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W:\John Ryan\CKY\2024 Rate Case\Settlement\"/>
    </mc:Choice>
  </mc:AlternateContent>
  <xr:revisionPtr revIDLastSave="0" documentId="8_{4D593865-2BC5-4297-98BF-19840F10F406}" xr6:coauthVersionLast="47" xr6:coauthVersionMax="47" xr10:uidLastSave="{00000000-0000-0000-0000-000000000000}"/>
  <bookViews>
    <workbookView xWindow="27840" yWindow="-16320" windowWidth="29040" windowHeight="15840" activeTab="2" xr2:uid="{7EA10FCC-000B-4215-8AD4-8ED794968553}"/>
  </bookViews>
  <sheets>
    <sheet name="Contents" sheetId="15" r:id="rId1"/>
    <sheet name="Input_Entry" sheetId="16" r:id="rId2"/>
    <sheet name="Rate Design" sheetId="2" r:id="rId3"/>
    <sheet name="Revenue Spread" sheetId="11" r:id="rId4"/>
    <sheet name="Sales_Input" sheetId="29" r:id="rId5"/>
    <sheet name="INDEX N" sheetId="30" r:id="rId6"/>
    <sheet name="GSR" sheetId="31" r:id="rId7"/>
    <sheet name="G1C" sheetId="33" r:id="rId8"/>
    <sheet name="G1R" sheetId="34" r:id="rId9"/>
    <sheet name="IN3R" sheetId="35" r:id="rId10"/>
    <sheet name="IN3C" sheetId="36" r:id="rId11"/>
    <sheet name="IN4" sheetId="37" r:id="rId12"/>
    <sheet name="IN5" sheetId="38" r:id="rId13"/>
    <sheet name="LG2R" sheetId="39" r:id="rId14"/>
    <sheet name="LG2C" sheetId="40" r:id="rId15"/>
    <sheet name="LG3" sheetId="41" r:id="rId16"/>
    <sheet name="LG4" sheetId="42" r:id="rId17"/>
    <sheet name="IS" sheetId="43" r:id="rId18"/>
    <sheet name="GSO" sheetId="32" r:id="rId19"/>
    <sheet name="IUS" sheetId="44" r:id="rId20"/>
    <sheet name="Trans_Inputs" sheetId="17" r:id="rId21"/>
    <sheet name="GTR" sheetId="18" r:id="rId22"/>
    <sheet name="GTO" sheetId="19" r:id="rId23"/>
    <sheet name="DS" sheetId="20" r:id="rId24"/>
    <sheet name="GDS" sheetId="21" r:id="rId25"/>
    <sheet name="DS3" sheetId="22" r:id="rId26"/>
    <sheet name="FX1" sheetId="23" r:id="rId27"/>
    <sheet name="FX2" sheetId="24" r:id="rId28"/>
    <sheet name="FX5" sheetId="25" r:id="rId29"/>
    <sheet name="FX7" sheetId="26" r:id="rId30"/>
    <sheet name="SAS" sheetId="27" r:id="rId31"/>
    <sheet name="SC3" sheetId="28" r:id="rId32"/>
  </sheets>
  <definedNames>
    <definedName name="_xlnm.Print_Area" localSheetId="23">DS!$A$1:$U$46</definedName>
    <definedName name="_xlnm.Print_Area" localSheetId="25">'DS3'!$A$1:$U$39</definedName>
    <definedName name="_xlnm.Print_Area" localSheetId="26">'FX1'!$A$1:$U$37</definedName>
    <definedName name="_xlnm.Print_Area" localSheetId="27">'FX2'!$A$1:$U$37</definedName>
    <definedName name="_xlnm.Print_Area" localSheetId="28">'FX5'!$A$1:$U$39</definedName>
    <definedName name="_xlnm.Print_Area" localSheetId="29">'FX7'!$A$1:$U$37</definedName>
    <definedName name="_xlnm.Print_Area" localSheetId="24">GDS!$A$1:$U$43</definedName>
    <definedName name="_xlnm.Print_Area" localSheetId="22">GTO!$A$1:$Q$43</definedName>
    <definedName name="_xlnm.Print_Area" localSheetId="21">GTR!$A$1:$Q$36</definedName>
    <definedName name="_xlnm.Print_Area" localSheetId="10">IN3C!$A$1:$L$34</definedName>
    <definedName name="_xlnm.Print_Area" localSheetId="11">'IN4'!$A$1:$L$34</definedName>
    <definedName name="_xlnm.Print_Area" localSheetId="5">'INDEX N'!$A$1:$C$26</definedName>
    <definedName name="_xlnm.Print_Area" localSheetId="1">Input_Entry!$A$1:$I$48</definedName>
    <definedName name="_xlnm.Print_Area" localSheetId="14">LG2C!$A$1:$L$34</definedName>
    <definedName name="_xlnm.Print_Area" localSheetId="2">'Rate Design'!$A$1:$J$66</definedName>
    <definedName name="_xlnm.Print_Area" localSheetId="4">Sales_Input!$A$13:$AA$39</definedName>
    <definedName name="_xlnm.Print_Area" localSheetId="30">SAS!$A$1:$U$44</definedName>
    <definedName name="_xlnm.Print_Area" localSheetId="20">Trans_Inputs!$A$1:$AT$38</definedName>
    <definedName name="Print_Area_MI">'INDEX N'!$A$1:$N$41</definedName>
  </definedNames>
  <calcPr calcId="191028" iterateCount="10" iterateDelta="1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1" l="1"/>
  <c r="E23" i="16"/>
  <c r="C35" i="15"/>
  <c r="E14" i="11" l="1"/>
  <c r="E12" i="11"/>
  <c r="F12" i="11"/>
  <c r="G12" i="11"/>
  <c r="H12" i="11"/>
  <c r="I12" i="11"/>
  <c r="B3" i="17" l="1"/>
  <c r="F56" i="2" l="1"/>
  <c r="F31" i="16" l="1"/>
  <c r="F26" i="2" s="1"/>
  <c r="G31" i="16"/>
  <c r="E33" i="31"/>
  <c r="F28" i="41"/>
  <c r="G28" i="41" s="1"/>
  <c r="H28" i="41" s="1"/>
  <c r="A2" i="15"/>
  <c r="A1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A2" i="44"/>
  <c r="A5" i="44"/>
  <c r="L10" i="44"/>
  <c r="E20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A2" i="43"/>
  <c r="A5" i="43"/>
  <c r="L1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A2" i="42"/>
  <c r="A5" i="42"/>
  <c r="L10" i="42"/>
  <c r="E21" i="42"/>
  <c r="J21" i="42" s="1"/>
  <c r="F21" i="42"/>
  <c r="I21" i="42"/>
  <c r="E22" i="42"/>
  <c r="J22" i="42" s="1"/>
  <c r="F22" i="42"/>
  <c r="I22" i="42"/>
  <c r="E23" i="42"/>
  <c r="J23" i="42" s="1"/>
  <c r="F23" i="42"/>
  <c r="I23" i="42"/>
  <c r="E24" i="42"/>
  <c r="J24" i="42" s="1"/>
  <c r="F24" i="42"/>
  <c r="I24" i="42"/>
  <c r="E25" i="42"/>
  <c r="J25" i="42" s="1"/>
  <c r="F25" i="42"/>
  <c r="I25" i="42"/>
  <c r="E26" i="42"/>
  <c r="J26" i="42" s="1"/>
  <c r="F26" i="42"/>
  <c r="I26" i="42"/>
  <c r="E27" i="42"/>
  <c r="J27" i="42" s="1"/>
  <c r="F27" i="42"/>
  <c r="I27" i="42"/>
  <c r="E28" i="42"/>
  <c r="J28" i="42" s="1"/>
  <c r="F28" i="42"/>
  <c r="I28" i="42"/>
  <c r="E29" i="42"/>
  <c r="J29" i="42" s="1"/>
  <c r="F29" i="42"/>
  <c r="I29" i="42"/>
  <c r="E30" i="42"/>
  <c r="J30" i="42" s="1"/>
  <c r="F30" i="42"/>
  <c r="I30" i="42"/>
  <c r="E31" i="42"/>
  <c r="J31" i="42" s="1"/>
  <c r="F31" i="42"/>
  <c r="I31" i="42"/>
  <c r="A2" i="41"/>
  <c r="A5" i="41"/>
  <c r="L10" i="41"/>
  <c r="E20" i="41"/>
  <c r="F20" i="41"/>
  <c r="I20" i="41"/>
  <c r="J20" i="41"/>
  <c r="K20" i="41"/>
  <c r="E21" i="41"/>
  <c r="I21" i="41"/>
  <c r="J21" i="41"/>
  <c r="E22" i="41"/>
  <c r="F22" i="41"/>
  <c r="K22" i="41" s="1"/>
  <c r="I22" i="41"/>
  <c r="J22" i="41"/>
  <c r="E23" i="41"/>
  <c r="F23" i="41"/>
  <c r="I23" i="41"/>
  <c r="J23" i="41"/>
  <c r="E24" i="41"/>
  <c r="I24" i="41"/>
  <c r="J24" i="41"/>
  <c r="E25" i="41"/>
  <c r="F25" i="41"/>
  <c r="I25" i="41"/>
  <c r="J25" i="41"/>
  <c r="E26" i="41"/>
  <c r="I26" i="41"/>
  <c r="J26" i="41"/>
  <c r="E28" i="41"/>
  <c r="J28" i="41" s="1"/>
  <c r="I28" i="41"/>
  <c r="E29" i="41"/>
  <c r="J29" i="41" s="1"/>
  <c r="F29" i="41"/>
  <c r="G29" i="41" s="1"/>
  <c r="H29" i="41" s="1"/>
  <c r="I29" i="41"/>
  <c r="E30" i="41"/>
  <c r="I30" i="41"/>
  <c r="E31" i="41"/>
  <c r="J31" i="41" s="1"/>
  <c r="F31" i="41"/>
  <c r="G31" i="41" s="1"/>
  <c r="H31" i="41" s="1"/>
  <c r="I31" i="41"/>
  <c r="K31" i="41" s="1"/>
  <c r="A2" i="40"/>
  <c r="A5" i="40"/>
  <c r="L10" i="40"/>
  <c r="E21" i="40"/>
  <c r="F21" i="40"/>
  <c r="K21" i="40" s="1"/>
  <c r="G21" i="40"/>
  <c r="H21" i="40" s="1"/>
  <c r="I21" i="40"/>
  <c r="J21" i="40"/>
  <c r="L21" i="40"/>
  <c r="E22" i="40"/>
  <c r="F22" i="40"/>
  <c r="K22" i="40" s="1"/>
  <c r="G22" i="40"/>
  <c r="H22" i="40" s="1"/>
  <c r="I22" i="40"/>
  <c r="J22" i="40"/>
  <c r="L22" i="40" s="1"/>
  <c r="E23" i="40"/>
  <c r="F23" i="40"/>
  <c r="K23" i="40" s="1"/>
  <c r="G23" i="40"/>
  <c r="H23" i="40" s="1"/>
  <c r="I23" i="40"/>
  <c r="J23" i="40"/>
  <c r="E24" i="40"/>
  <c r="F24" i="40"/>
  <c r="K24" i="40" s="1"/>
  <c r="L24" i="40" s="1"/>
  <c r="G24" i="40"/>
  <c r="H24" i="40" s="1"/>
  <c r="I24" i="40"/>
  <c r="J24" i="40"/>
  <c r="E25" i="40"/>
  <c r="F25" i="40"/>
  <c r="K25" i="40" s="1"/>
  <c r="G25" i="40"/>
  <c r="H25" i="40" s="1"/>
  <c r="I25" i="40"/>
  <c r="J25" i="40"/>
  <c r="L25" i="40"/>
  <c r="E26" i="40"/>
  <c r="F26" i="40"/>
  <c r="K26" i="40" s="1"/>
  <c r="G26" i="40"/>
  <c r="H26" i="40" s="1"/>
  <c r="I26" i="40"/>
  <c r="J26" i="40"/>
  <c r="L26" i="40" s="1"/>
  <c r="E27" i="40"/>
  <c r="F27" i="40"/>
  <c r="K27" i="40" s="1"/>
  <c r="L27" i="40" s="1"/>
  <c r="G27" i="40"/>
  <c r="H27" i="40" s="1"/>
  <c r="I27" i="40"/>
  <c r="J27" i="40"/>
  <c r="E28" i="40"/>
  <c r="F28" i="40"/>
  <c r="K28" i="40" s="1"/>
  <c r="L28" i="40" s="1"/>
  <c r="G28" i="40"/>
  <c r="H28" i="40" s="1"/>
  <c r="I28" i="40"/>
  <c r="J28" i="40"/>
  <c r="E29" i="40"/>
  <c r="F29" i="40"/>
  <c r="K29" i="40" s="1"/>
  <c r="G29" i="40"/>
  <c r="H29" i="40" s="1"/>
  <c r="I29" i="40"/>
  <c r="J29" i="40"/>
  <c r="L29" i="40"/>
  <c r="E30" i="40"/>
  <c r="F30" i="40"/>
  <c r="K30" i="40" s="1"/>
  <c r="G30" i="40"/>
  <c r="H30" i="40" s="1"/>
  <c r="I30" i="40"/>
  <c r="J30" i="40"/>
  <c r="L30" i="40" s="1"/>
  <c r="E31" i="40"/>
  <c r="F31" i="40"/>
  <c r="K31" i="40" s="1"/>
  <c r="G31" i="40"/>
  <c r="H31" i="40" s="1"/>
  <c r="I31" i="40"/>
  <c r="J31" i="40"/>
  <c r="A2" i="39"/>
  <c r="A5" i="39"/>
  <c r="L10" i="39"/>
  <c r="E20" i="39"/>
  <c r="F20" i="39"/>
  <c r="I20" i="39"/>
  <c r="J20" i="39"/>
  <c r="E21" i="39"/>
  <c r="F21" i="39"/>
  <c r="I21" i="39"/>
  <c r="J21" i="39"/>
  <c r="E22" i="39"/>
  <c r="F22" i="39"/>
  <c r="I22" i="39"/>
  <c r="J22" i="39"/>
  <c r="E23" i="39"/>
  <c r="F23" i="39"/>
  <c r="I23" i="39"/>
  <c r="J23" i="39"/>
  <c r="E24" i="39"/>
  <c r="F24" i="39"/>
  <c r="I24" i="39"/>
  <c r="J24" i="39"/>
  <c r="E25" i="39"/>
  <c r="F25" i="39"/>
  <c r="I25" i="39"/>
  <c r="J25" i="39"/>
  <c r="E26" i="39"/>
  <c r="J26" i="39" s="1"/>
  <c r="F26" i="39"/>
  <c r="I26" i="39"/>
  <c r="E27" i="39"/>
  <c r="J27" i="39" s="1"/>
  <c r="F27" i="39"/>
  <c r="I27" i="39"/>
  <c r="E29" i="39"/>
  <c r="F29" i="39"/>
  <c r="K29" i="39" s="1"/>
  <c r="I29" i="39"/>
  <c r="E30" i="39"/>
  <c r="J30" i="39" s="1"/>
  <c r="F30" i="39"/>
  <c r="K30" i="39" s="1"/>
  <c r="L30" i="39" s="1"/>
  <c r="G30" i="39"/>
  <c r="H30" i="39" s="1"/>
  <c r="I30" i="39"/>
  <c r="E31" i="39"/>
  <c r="F31" i="39"/>
  <c r="K31" i="39" s="1"/>
  <c r="I31" i="39"/>
  <c r="A2" i="38"/>
  <c r="A5" i="38"/>
  <c r="L10" i="38"/>
  <c r="E20" i="38"/>
  <c r="J20" i="38" s="1"/>
  <c r="F20" i="38"/>
  <c r="I20" i="38"/>
  <c r="K20" i="38"/>
  <c r="L20" i="38" s="1"/>
  <c r="E21" i="38"/>
  <c r="F21" i="38"/>
  <c r="I21" i="38"/>
  <c r="E22" i="38"/>
  <c r="J22" i="38" s="1"/>
  <c r="F22" i="38"/>
  <c r="I22" i="38"/>
  <c r="K22" i="38"/>
  <c r="E23" i="38"/>
  <c r="F23" i="38"/>
  <c r="I23" i="38"/>
  <c r="E25" i="38"/>
  <c r="F25" i="38"/>
  <c r="I25" i="38"/>
  <c r="K25" i="38"/>
  <c r="E26" i="38"/>
  <c r="G26" i="38" s="1"/>
  <c r="H26" i="38" s="1"/>
  <c r="F26" i="38"/>
  <c r="I26" i="38"/>
  <c r="J26" i="38"/>
  <c r="L26" i="38" s="1"/>
  <c r="K26" i="38"/>
  <c r="E27" i="38"/>
  <c r="F27" i="38"/>
  <c r="I27" i="38"/>
  <c r="K27" i="38"/>
  <c r="E28" i="38"/>
  <c r="G28" i="38" s="1"/>
  <c r="F28" i="38"/>
  <c r="H28" i="38"/>
  <c r="I28" i="38"/>
  <c r="J28" i="38"/>
  <c r="K28" i="38"/>
  <c r="L28" i="38"/>
  <c r="E29" i="38"/>
  <c r="J29" i="38" s="1"/>
  <c r="F29" i="38"/>
  <c r="G29" i="38"/>
  <c r="H29" i="38" s="1"/>
  <c r="I29" i="38"/>
  <c r="K29" i="38"/>
  <c r="L29" i="38"/>
  <c r="E30" i="38"/>
  <c r="J30" i="38" s="1"/>
  <c r="F30" i="38"/>
  <c r="G30" i="38"/>
  <c r="H30" i="38" s="1"/>
  <c r="I30" i="38"/>
  <c r="K30" i="38"/>
  <c r="L30" i="38"/>
  <c r="E31" i="38"/>
  <c r="J31" i="38" s="1"/>
  <c r="F31" i="38"/>
  <c r="G31" i="38"/>
  <c r="H31" i="38" s="1"/>
  <c r="I31" i="38"/>
  <c r="K31" i="38"/>
  <c r="L31" i="38"/>
  <c r="A2" i="37"/>
  <c r="A5" i="37"/>
  <c r="L10" i="37"/>
  <c r="E21" i="37"/>
  <c r="J21" i="37" s="1"/>
  <c r="F21" i="37"/>
  <c r="G21" i="37"/>
  <c r="H21" i="37"/>
  <c r="I21" i="37"/>
  <c r="K21" i="37"/>
  <c r="E22" i="37"/>
  <c r="H22" i="37" s="1"/>
  <c r="F22" i="37"/>
  <c r="G22" i="37"/>
  <c r="I22" i="37"/>
  <c r="K22" i="37"/>
  <c r="E23" i="37"/>
  <c r="G23" i="37" s="1"/>
  <c r="F23" i="37"/>
  <c r="I23" i="37"/>
  <c r="K23" i="37"/>
  <c r="E24" i="37"/>
  <c r="H24" i="37" s="1"/>
  <c r="F24" i="37"/>
  <c r="G24" i="37"/>
  <c r="I24" i="37"/>
  <c r="J24" i="37"/>
  <c r="K24" i="37"/>
  <c r="E25" i="37"/>
  <c r="F25" i="37"/>
  <c r="G25" i="37"/>
  <c r="H25" i="37" s="1"/>
  <c r="I25" i="37"/>
  <c r="J25" i="37"/>
  <c r="L25" i="37" s="1"/>
  <c r="K25" i="37"/>
  <c r="E26" i="37"/>
  <c r="F26" i="37"/>
  <c r="I26" i="37"/>
  <c r="K26" i="37"/>
  <c r="E27" i="37"/>
  <c r="G27" i="37" s="1"/>
  <c r="F27" i="37"/>
  <c r="I27" i="37"/>
  <c r="J27" i="37"/>
  <c r="L27" i="37" s="1"/>
  <c r="K27" i="37"/>
  <c r="E28" i="37"/>
  <c r="F28" i="37"/>
  <c r="G28" i="37"/>
  <c r="I28" i="37"/>
  <c r="J28" i="37"/>
  <c r="L28" i="37" s="1"/>
  <c r="K28" i="37"/>
  <c r="E29" i="37"/>
  <c r="J29" i="37" s="1"/>
  <c r="F29" i="37"/>
  <c r="G29" i="37" s="1"/>
  <c r="H29" i="37" s="1"/>
  <c r="I29" i="37"/>
  <c r="E30" i="37"/>
  <c r="F30" i="37"/>
  <c r="K30" i="37" s="1"/>
  <c r="G30" i="37"/>
  <c r="I30" i="37"/>
  <c r="E31" i="37"/>
  <c r="F31" i="37"/>
  <c r="K31" i="37" s="1"/>
  <c r="I31" i="37"/>
  <c r="A2" i="36"/>
  <c r="A5" i="36"/>
  <c r="L10" i="36"/>
  <c r="E21" i="36"/>
  <c r="F21" i="36"/>
  <c r="I21" i="36"/>
  <c r="E22" i="36"/>
  <c r="F22" i="36"/>
  <c r="I22" i="36"/>
  <c r="J22" i="36"/>
  <c r="E23" i="36"/>
  <c r="F23" i="36"/>
  <c r="I23" i="36"/>
  <c r="K23" i="36" s="1"/>
  <c r="E24" i="36"/>
  <c r="F24" i="36"/>
  <c r="I24" i="36"/>
  <c r="J24" i="36"/>
  <c r="E25" i="36"/>
  <c r="F25" i="36"/>
  <c r="G25" i="36" s="1"/>
  <c r="H25" i="36"/>
  <c r="I25" i="36"/>
  <c r="J25" i="36" s="1"/>
  <c r="K25" i="36"/>
  <c r="E26" i="36"/>
  <c r="F26" i="36"/>
  <c r="I26" i="36"/>
  <c r="K26" i="36" s="1"/>
  <c r="E27" i="36"/>
  <c r="F27" i="36"/>
  <c r="I27" i="36"/>
  <c r="J27" i="36"/>
  <c r="E28" i="36"/>
  <c r="J28" i="36" s="1"/>
  <c r="F28" i="36"/>
  <c r="I28" i="36"/>
  <c r="K28" i="36"/>
  <c r="L28" i="36" s="1"/>
  <c r="E29" i="36"/>
  <c r="J29" i="36" s="1"/>
  <c r="F29" i="36"/>
  <c r="G29" i="36" s="1"/>
  <c r="H29" i="36" s="1"/>
  <c r="I29" i="36"/>
  <c r="E30" i="36"/>
  <c r="J30" i="36" s="1"/>
  <c r="F30" i="36"/>
  <c r="G30" i="36" s="1"/>
  <c r="H30" i="36"/>
  <c r="I30" i="36"/>
  <c r="E31" i="36"/>
  <c r="J31" i="36" s="1"/>
  <c r="F31" i="36"/>
  <c r="G31" i="36" s="1"/>
  <c r="H31" i="36" s="1"/>
  <c r="I31" i="36"/>
  <c r="K31" i="36"/>
  <c r="L31" i="36" s="1"/>
  <c r="A2" i="35"/>
  <c r="A5" i="35"/>
  <c r="L10" i="35"/>
  <c r="E20" i="35"/>
  <c r="F20" i="35"/>
  <c r="G20" i="35"/>
  <c r="H20" i="35" s="1"/>
  <c r="I20" i="35"/>
  <c r="J20" i="35"/>
  <c r="L20" i="35" s="1"/>
  <c r="K20" i="35"/>
  <c r="E21" i="35"/>
  <c r="F21" i="35"/>
  <c r="G21" i="35"/>
  <c r="H21" i="35" s="1"/>
  <c r="I21" i="35"/>
  <c r="K21" i="35" s="1"/>
  <c r="J21" i="35"/>
  <c r="L21" i="35"/>
  <c r="E22" i="35"/>
  <c r="F22" i="35"/>
  <c r="K22" i="35" s="1"/>
  <c r="L22" i="35" s="1"/>
  <c r="G22" i="35"/>
  <c r="H22" i="35" s="1"/>
  <c r="I22" i="35"/>
  <c r="J22" i="35"/>
  <c r="E23" i="35"/>
  <c r="F23" i="35"/>
  <c r="K23" i="35" s="1"/>
  <c r="L23" i="35" s="1"/>
  <c r="G23" i="35"/>
  <c r="H23" i="35" s="1"/>
  <c r="I23" i="35"/>
  <c r="J23" i="35"/>
  <c r="E24" i="35"/>
  <c r="F24" i="35"/>
  <c r="K24" i="35" s="1"/>
  <c r="G24" i="35"/>
  <c r="H24" i="35" s="1"/>
  <c r="I24" i="35"/>
  <c r="J24" i="35"/>
  <c r="L24" i="35" s="1"/>
  <c r="E26" i="35"/>
  <c r="F26" i="35"/>
  <c r="G26" i="35" s="1"/>
  <c r="H26" i="35" s="1"/>
  <c r="I26" i="35"/>
  <c r="K26" i="35"/>
  <c r="E27" i="35"/>
  <c r="J27" i="35" s="1"/>
  <c r="F27" i="35"/>
  <c r="G27" i="35" s="1"/>
  <c r="H27" i="35" s="1"/>
  <c r="I27" i="35"/>
  <c r="E28" i="35"/>
  <c r="F28" i="35"/>
  <c r="G28" i="35" s="1"/>
  <c r="H28" i="35" s="1"/>
  <c r="I28" i="35"/>
  <c r="K28" i="35"/>
  <c r="E29" i="35"/>
  <c r="J29" i="35" s="1"/>
  <c r="F29" i="35"/>
  <c r="G29" i="35" s="1"/>
  <c r="H29" i="35" s="1"/>
  <c r="I29" i="35"/>
  <c r="E30" i="35"/>
  <c r="F30" i="35"/>
  <c r="G30" i="35" s="1"/>
  <c r="H30" i="35" s="1"/>
  <c r="I30" i="35"/>
  <c r="K30" i="35"/>
  <c r="E31" i="35"/>
  <c r="J31" i="35" s="1"/>
  <c r="F31" i="35"/>
  <c r="G31" i="35" s="1"/>
  <c r="H31" i="35" s="1"/>
  <c r="I31" i="35"/>
  <c r="A2" i="34"/>
  <c r="A5" i="34"/>
  <c r="L10" i="34"/>
  <c r="E20" i="34"/>
  <c r="F20" i="34"/>
  <c r="E21" i="34"/>
  <c r="F21" i="34"/>
  <c r="G21" i="34" s="1"/>
  <c r="H21" i="34" s="1"/>
  <c r="E22" i="34"/>
  <c r="F22" i="34"/>
  <c r="E23" i="34"/>
  <c r="F23" i="34"/>
  <c r="G23" i="34"/>
  <c r="H23" i="34" s="1"/>
  <c r="E24" i="34"/>
  <c r="F24" i="34"/>
  <c r="E26" i="34"/>
  <c r="F26" i="34"/>
  <c r="E27" i="34"/>
  <c r="F27" i="34"/>
  <c r="E28" i="34"/>
  <c r="F28" i="34"/>
  <c r="E29" i="34"/>
  <c r="F29" i="34"/>
  <c r="E30" i="34"/>
  <c r="F30" i="34"/>
  <c r="E31" i="34"/>
  <c r="F31" i="34"/>
  <c r="A2" i="33"/>
  <c r="A5" i="33"/>
  <c r="L10" i="33"/>
  <c r="E21" i="33"/>
  <c r="F21" i="33"/>
  <c r="G21" i="33" s="1"/>
  <c r="H21" i="33" s="1"/>
  <c r="E22" i="33"/>
  <c r="F22" i="33"/>
  <c r="G22" i="33" s="1"/>
  <c r="H22" i="33" s="1"/>
  <c r="E23" i="33"/>
  <c r="F23" i="33"/>
  <c r="G23" i="33"/>
  <c r="H23" i="33" s="1"/>
  <c r="E24" i="33"/>
  <c r="F24" i="33"/>
  <c r="G24" i="33" s="1"/>
  <c r="H24" i="33" s="1"/>
  <c r="E25" i="33"/>
  <c r="F25" i="33"/>
  <c r="G25" i="33"/>
  <c r="H25" i="33" s="1"/>
  <c r="E26" i="33"/>
  <c r="F26" i="33"/>
  <c r="G26" i="33" s="1"/>
  <c r="H26" i="33" s="1"/>
  <c r="E27" i="33"/>
  <c r="F27" i="33"/>
  <c r="G27" i="33"/>
  <c r="H27" i="33" s="1"/>
  <c r="I27" i="33"/>
  <c r="K27" i="33" s="1"/>
  <c r="E28" i="33"/>
  <c r="F28" i="33"/>
  <c r="G28" i="33"/>
  <c r="H28" i="33" s="1"/>
  <c r="E29" i="33"/>
  <c r="F29" i="33"/>
  <c r="G29" i="33" s="1"/>
  <c r="H29" i="33" s="1"/>
  <c r="E30" i="33"/>
  <c r="F30" i="33"/>
  <c r="G30" i="33"/>
  <c r="H30" i="33" s="1"/>
  <c r="E31" i="33"/>
  <c r="F31" i="33"/>
  <c r="G31" i="33" s="1"/>
  <c r="H31" i="33" s="1"/>
  <c r="A2" i="32"/>
  <c r="A5" i="32"/>
  <c r="L10" i="32"/>
  <c r="E20" i="32"/>
  <c r="E21" i="32"/>
  <c r="E23" i="32"/>
  <c r="E24" i="32"/>
  <c r="E25" i="32"/>
  <c r="E26" i="32"/>
  <c r="E27" i="32"/>
  <c r="E28" i="32"/>
  <c r="E29" i="32"/>
  <c r="E31" i="32"/>
  <c r="E32" i="32"/>
  <c r="E34" i="32"/>
  <c r="E37" i="32"/>
  <c r="E39" i="32"/>
  <c r="D22" i="32" s="1"/>
  <c r="A2" i="31"/>
  <c r="A5" i="31"/>
  <c r="L10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A9" i="30"/>
  <c r="P22" i="29"/>
  <c r="AF22" i="29"/>
  <c r="D23" i="31" s="1"/>
  <c r="Q23" i="29"/>
  <c r="I26" i="33" s="1"/>
  <c r="K26" i="33" s="1"/>
  <c r="AF23" i="29"/>
  <c r="E33" i="33" s="1"/>
  <c r="D20" i="33" s="1"/>
  <c r="Q24" i="29"/>
  <c r="I26" i="34" s="1"/>
  <c r="J26" i="34" s="1"/>
  <c r="AF24" i="29"/>
  <c r="E33" i="34" s="1"/>
  <c r="D25" i="34" s="1"/>
  <c r="AF25" i="29"/>
  <c r="E33" i="35" s="1"/>
  <c r="D25" i="35" s="1"/>
  <c r="E25" i="35" s="1"/>
  <c r="AF26" i="29"/>
  <c r="E33" i="36" s="1"/>
  <c r="D20" i="36" s="1"/>
  <c r="AF27" i="29"/>
  <c r="E33" i="37" s="1"/>
  <c r="D20" i="37" s="1"/>
  <c r="E20" i="37" s="1"/>
  <c r="AF28" i="29"/>
  <c r="E33" i="38" s="1"/>
  <c r="D24" i="38" s="1"/>
  <c r="AF29" i="29"/>
  <c r="E33" i="39" s="1"/>
  <c r="D28" i="39" s="1"/>
  <c r="AF30" i="29"/>
  <c r="E33" i="40" s="1"/>
  <c r="D20" i="40" s="1"/>
  <c r="AF31" i="29"/>
  <c r="E33" i="41" s="1"/>
  <c r="D27" i="41" s="1"/>
  <c r="AF32" i="29"/>
  <c r="E33" i="42" s="1"/>
  <c r="D20" i="42" s="1"/>
  <c r="P33" i="29"/>
  <c r="Q33" i="29"/>
  <c r="AF33" i="29"/>
  <c r="C34" i="29"/>
  <c r="D34" i="29"/>
  <c r="E34" i="29"/>
  <c r="F34" i="29"/>
  <c r="H34" i="29"/>
  <c r="J34" i="29"/>
  <c r="E36" i="32" s="1"/>
  <c r="P34" i="29"/>
  <c r="Q34" i="29"/>
  <c r="AF34" i="29"/>
  <c r="E40" i="32" s="1"/>
  <c r="D30" i="32" s="1"/>
  <c r="P35" i="29"/>
  <c r="Q35" i="29"/>
  <c r="AF35" i="29"/>
  <c r="D36" i="43" s="1"/>
  <c r="D20" i="43" s="1"/>
  <c r="P36" i="29"/>
  <c r="I33" i="32" s="1"/>
  <c r="Q36" i="29"/>
  <c r="AF36" i="29"/>
  <c r="D36" i="44" s="1"/>
  <c r="D21" i="44" s="1"/>
  <c r="A2" i="28"/>
  <c r="A5" i="28"/>
  <c r="U10" i="28"/>
  <c r="E21" i="28"/>
  <c r="H21" i="28" s="1"/>
  <c r="F21" i="28"/>
  <c r="J21" i="28"/>
  <c r="M21" i="28" s="1"/>
  <c r="K21" i="28"/>
  <c r="E22" i="28"/>
  <c r="H22" i="28" s="1"/>
  <c r="F22" i="28"/>
  <c r="J22" i="28"/>
  <c r="M22" i="28" s="1"/>
  <c r="K22" i="28"/>
  <c r="O22" i="28"/>
  <c r="R22" i="28" s="1"/>
  <c r="P22" i="28"/>
  <c r="E23" i="28"/>
  <c r="F23" i="28"/>
  <c r="J23" i="28"/>
  <c r="L23" i="28" s="1"/>
  <c r="K23" i="28"/>
  <c r="O23" i="28"/>
  <c r="P23" i="28"/>
  <c r="E24" i="28"/>
  <c r="H24" i="28" s="1"/>
  <c r="F24" i="28"/>
  <c r="J24" i="28"/>
  <c r="M24" i="28" s="1"/>
  <c r="K24" i="28"/>
  <c r="O24" i="28"/>
  <c r="R24" i="28" s="1"/>
  <c r="P24" i="28"/>
  <c r="E25" i="28"/>
  <c r="H25" i="28" s="1"/>
  <c r="F25" i="28"/>
  <c r="J25" i="28"/>
  <c r="M25" i="28" s="1"/>
  <c r="K25" i="28"/>
  <c r="O25" i="28"/>
  <c r="P25" i="28"/>
  <c r="E26" i="28"/>
  <c r="H26" i="28" s="1"/>
  <c r="F26" i="28"/>
  <c r="J26" i="28"/>
  <c r="M26" i="28" s="1"/>
  <c r="K26" i="28"/>
  <c r="O26" i="28"/>
  <c r="R26" i="28" s="1"/>
  <c r="P26" i="28"/>
  <c r="E27" i="28"/>
  <c r="H27" i="28" s="1"/>
  <c r="F27" i="28"/>
  <c r="J27" i="28"/>
  <c r="M27" i="28" s="1"/>
  <c r="K27" i="28"/>
  <c r="O27" i="28"/>
  <c r="R27" i="28" s="1"/>
  <c r="P27" i="28"/>
  <c r="E28" i="28"/>
  <c r="F28" i="28"/>
  <c r="J28" i="28"/>
  <c r="M28" i="28" s="1"/>
  <c r="K28" i="28"/>
  <c r="O28" i="28"/>
  <c r="R28" i="28" s="1"/>
  <c r="P28" i="28"/>
  <c r="E29" i="28"/>
  <c r="F29" i="28"/>
  <c r="J29" i="28"/>
  <c r="M29" i="28" s="1"/>
  <c r="K29" i="28"/>
  <c r="O29" i="28"/>
  <c r="R29" i="28" s="1"/>
  <c r="P29" i="28"/>
  <c r="E30" i="28"/>
  <c r="F30" i="28"/>
  <c r="J30" i="28"/>
  <c r="M30" i="28" s="1"/>
  <c r="K30" i="28"/>
  <c r="O30" i="28"/>
  <c r="R30" i="28" s="1"/>
  <c r="P30" i="28"/>
  <c r="E31" i="28"/>
  <c r="F31" i="28"/>
  <c r="J31" i="28"/>
  <c r="M31" i="28" s="1"/>
  <c r="K31" i="28"/>
  <c r="O31" i="28"/>
  <c r="R31" i="28" s="1"/>
  <c r="P31" i="28"/>
  <c r="E32" i="28"/>
  <c r="H32" i="28" s="1"/>
  <c r="F32" i="28"/>
  <c r="J32" i="28"/>
  <c r="K32" i="28"/>
  <c r="O32" i="28"/>
  <c r="R32" i="28" s="1"/>
  <c r="P32" i="28"/>
  <c r="E33" i="28"/>
  <c r="H33" i="28" s="1"/>
  <c r="F33" i="28"/>
  <c r="J33" i="28"/>
  <c r="M33" i="28" s="1"/>
  <c r="K33" i="28"/>
  <c r="O33" i="28"/>
  <c r="R33" i="28" s="1"/>
  <c r="P33" i="28"/>
  <c r="E34" i="28"/>
  <c r="H34" i="28" s="1"/>
  <c r="F34" i="28"/>
  <c r="J34" i="28"/>
  <c r="M34" i="28" s="1"/>
  <c r="K34" i="28"/>
  <c r="O34" i="28"/>
  <c r="R34" i="28" s="1"/>
  <c r="P34" i="28"/>
  <c r="E35" i="28"/>
  <c r="H35" i="28" s="1"/>
  <c r="F35" i="28"/>
  <c r="J35" i="28"/>
  <c r="M35" i="28" s="1"/>
  <c r="K35" i="28"/>
  <c r="O35" i="28"/>
  <c r="R35" i="28" s="1"/>
  <c r="P35" i="28"/>
  <c r="E36" i="28"/>
  <c r="H36" i="28" s="1"/>
  <c r="F36" i="28"/>
  <c r="J36" i="28"/>
  <c r="M36" i="28" s="1"/>
  <c r="K36" i="28"/>
  <c r="O36" i="28"/>
  <c r="R36" i="28" s="1"/>
  <c r="P36" i="28"/>
  <c r="E37" i="28"/>
  <c r="H37" i="28" s="1"/>
  <c r="F37" i="28"/>
  <c r="J37" i="28"/>
  <c r="M37" i="28" s="1"/>
  <c r="K37" i="28"/>
  <c r="O37" i="28"/>
  <c r="R37" i="28" s="1"/>
  <c r="P37" i="28"/>
  <c r="E38" i="28"/>
  <c r="F38" i="28"/>
  <c r="J38" i="28"/>
  <c r="M38" i="28" s="1"/>
  <c r="K38" i="28"/>
  <c r="O38" i="28"/>
  <c r="R38" i="28" s="1"/>
  <c r="P38" i="28"/>
  <c r="A2" i="27"/>
  <c r="A5" i="27"/>
  <c r="U10" i="27"/>
  <c r="E21" i="27"/>
  <c r="J21" i="27"/>
  <c r="M21" i="27" s="1"/>
  <c r="K21" i="27"/>
  <c r="O21" i="27"/>
  <c r="E22" i="27"/>
  <c r="J22" i="27"/>
  <c r="M22" i="27" s="1"/>
  <c r="K22" i="27"/>
  <c r="O22" i="27"/>
  <c r="E23" i="27"/>
  <c r="J23" i="27"/>
  <c r="M23" i="27" s="1"/>
  <c r="K23" i="27"/>
  <c r="O23" i="27"/>
  <c r="E24" i="27"/>
  <c r="J24" i="27"/>
  <c r="M24" i="27" s="1"/>
  <c r="K24" i="27"/>
  <c r="O24" i="27"/>
  <c r="E25" i="27"/>
  <c r="J25" i="27"/>
  <c r="M25" i="27" s="1"/>
  <c r="K25" i="27"/>
  <c r="O25" i="27"/>
  <c r="E26" i="27"/>
  <c r="J26" i="27"/>
  <c r="M26" i="27" s="1"/>
  <c r="K26" i="27"/>
  <c r="O26" i="27"/>
  <c r="E27" i="27"/>
  <c r="J27" i="27"/>
  <c r="M27" i="27" s="1"/>
  <c r="K27" i="27"/>
  <c r="O27" i="27"/>
  <c r="E28" i="27"/>
  <c r="J28" i="27"/>
  <c r="M28" i="27" s="1"/>
  <c r="K28" i="27"/>
  <c r="O28" i="27"/>
  <c r="E29" i="27"/>
  <c r="J29" i="27"/>
  <c r="M29" i="27" s="1"/>
  <c r="K29" i="27"/>
  <c r="O29" i="27"/>
  <c r="E30" i="27"/>
  <c r="J30" i="27"/>
  <c r="M30" i="27" s="1"/>
  <c r="K30" i="27"/>
  <c r="O30" i="27"/>
  <c r="E31" i="27"/>
  <c r="J31" i="27"/>
  <c r="M31" i="27" s="1"/>
  <c r="K31" i="27"/>
  <c r="O31" i="27"/>
  <c r="E32" i="27"/>
  <c r="J32" i="27"/>
  <c r="M32" i="27" s="1"/>
  <c r="K32" i="27"/>
  <c r="O32" i="27"/>
  <c r="E33" i="27"/>
  <c r="J33" i="27"/>
  <c r="M33" i="27" s="1"/>
  <c r="K33" i="27"/>
  <c r="O33" i="27"/>
  <c r="E34" i="27"/>
  <c r="J34" i="27"/>
  <c r="M34" i="27" s="1"/>
  <c r="K34" i="27"/>
  <c r="O34" i="27"/>
  <c r="E35" i="27"/>
  <c r="J35" i="27"/>
  <c r="M35" i="27" s="1"/>
  <c r="K35" i="27"/>
  <c r="O35" i="27"/>
  <c r="E36" i="27"/>
  <c r="J36" i="27"/>
  <c r="M36" i="27" s="1"/>
  <c r="K36" i="27"/>
  <c r="O36" i="27"/>
  <c r="E37" i="27"/>
  <c r="J37" i="27"/>
  <c r="M37" i="27" s="1"/>
  <c r="K37" i="27"/>
  <c r="O37" i="27"/>
  <c r="E38" i="27"/>
  <c r="J38" i="27"/>
  <c r="K38" i="27"/>
  <c r="O38" i="27"/>
  <c r="E39" i="27"/>
  <c r="J39" i="27"/>
  <c r="M39" i="27" s="1"/>
  <c r="K39" i="27"/>
  <c r="L39" i="27" s="1"/>
  <c r="O39" i="27"/>
  <c r="A2" i="26"/>
  <c r="A5" i="26"/>
  <c r="U10" i="26"/>
  <c r="E21" i="26"/>
  <c r="H21" i="26" s="1"/>
  <c r="F21" i="26"/>
  <c r="J21" i="26"/>
  <c r="K21" i="26"/>
  <c r="E22" i="26"/>
  <c r="F22" i="26"/>
  <c r="G22" i="26" s="1"/>
  <c r="J22" i="26"/>
  <c r="M22" i="26" s="1"/>
  <c r="K22" i="26"/>
  <c r="O22" i="26"/>
  <c r="R22" i="26" s="1"/>
  <c r="P22" i="26"/>
  <c r="E23" i="26"/>
  <c r="F23" i="26"/>
  <c r="J23" i="26"/>
  <c r="K23" i="26"/>
  <c r="O23" i="26"/>
  <c r="P23" i="26"/>
  <c r="E24" i="26"/>
  <c r="F24" i="26"/>
  <c r="J24" i="26"/>
  <c r="M24" i="26" s="1"/>
  <c r="K24" i="26"/>
  <c r="O24" i="26"/>
  <c r="R24" i="26" s="1"/>
  <c r="P24" i="26"/>
  <c r="Q24" i="26" s="1"/>
  <c r="E25" i="26"/>
  <c r="F25" i="26"/>
  <c r="J25" i="26"/>
  <c r="M25" i="26" s="1"/>
  <c r="K25" i="26"/>
  <c r="O25" i="26"/>
  <c r="R25" i="26" s="1"/>
  <c r="P25" i="26"/>
  <c r="E26" i="26"/>
  <c r="F26" i="26"/>
  <c r="J26" i="26"/>
  <c r="M26" i="26" s="1"/>
  <c r="K26" i="26"/>
  <c r="O26" i="26"/>
  <c r="R26" i="26" s="1"/>
  <c r="P26" i="26"/>
  <c r="E27" i="26"/>
  <c r="F27" i="26"/>
  <c r="J27" i="26"/>
  <c r="M27" i="26" s="1"/>
  <c r="K27" i="26"/>
  <c r="O27" i="26"/>
  <c r="P27" i="26"/>
  <c r="E28" i="26"/>
  <c r="F28" i="26"/>
  <c r="J28" i="26"/>
  <c r="K28" i="26"/>
  <c r="O28" i="26"/>
  <c r="R28" i="26" s="1"/>
  <c r="P28" i="26"/>
  <c r="E29" i="26"/>
  <c r="F29" i="26"/>
  <c r="J29" i="26"/>
  <c r="M29" i="26" s="1"/>
  <c r="K29" i="26"/>
  <c r="O29" i="26"/>
  <c r="R29" i="26" s="1"/>
  <c r="P29" i="26"/>
  <c r="E30" i="26"/>
  <c r="F30" i="26"/>
  <c r="J30" i="26"/>
  <c r="M30" i="26" s="1"/>
  <c r="K30" i="26"/>
  <c r="O30" i="26"/>
  <c r="P30" i="26"/>
  <c r="E31" i="26"/>
  <c r="F31" i="26"/>
  <c r="J31" i="26"/>
  <c r="M31" i="26" s="1"/>
  <c r="K31" i="26"/>
  <c r="O31" i="26"/>
  <c r="R31" i="26" s="1"/>
  <c r="P31" i="26"/>
  <c r="E32" i="26"/>
  <c r="H32" i="26" s="1"/>
  <c r="F32" i="26"/>
  <c r="J32" i="26"/>
  <c r="M32" i="26" s="1"/>
  <c r="K32" i="26"/>
  <c r="O32" i="26"/>
  <c r="P32" i="26"/>
  <c r="E33" i="26"/>
  <c r="F33" i="26"/>
  <c r="J33" i="26"/>
  <c r="M33" i="26" s="1"/>
  <c r="K33" i="26"/>
  <c r="O33" i="26"/>
  <c r="R33" i="26" s="1"/>
  <c r="P33" i="26"/>
  <c r="E34" i="26"/>
  <c r="F34" i="26"/>
  <c r="J34" i="26"/>
  <c r="M34" i="26" s="1"/>
  <c r="K34" i="26"/>
  <c r="O34" i="26"/>
  <c r="P34" i="26"/>
  <c r="E35" i="26"/>
  <c r="F35" i="26"/>
  <c r="J35" i="26"/>
  <c r="M35" i="26" s="1"/>
  <c r="K35" i="26"/>
  <c r="O35" i="26"/>
  <c r="R35" i="26" s="1"/>
  <c r="P35" i="26"/>
  <c r="A2" i="25"/>
  <c r="A5" i="25"/>
  <c r="U10" i="25"/>
  <c r="E21" i="25"/>
  <c r="J21" i="25"/>
  <c r="M21" i="25" s="1"/>
  <c r="K21" i="25"/>
  <c r="L21" i="25" s="1"/>
  <c r="O21" i="25"/>
  <c r="E22" i="25"/>
  <c r="J22" i="25"/>
  <c r="M22" i="25" s="1"/>
  <c r="K22" i="25"/>
  <c r="O22" i="25"/>
  <c r="E23" i="25"/>
  <c r="J23" i="25"/>
  <c r="K23" i="25"/>
  <c r="M23" i="25"/>
  <c r="O23" i="25"/>
  <c r="S23" i="25" s="1"/>
  <c r="E24" i="25"/>
  <c r="J24" i="25"/>
  <c r="K24" i="25"/>
  <c r="O24" i="25"/>
  <c r="E25" i="25"/>
  <c r="J25" i="25"/>
  <c r="M25" i="25" s="1"/>
  <c r="K25" i="25"/>
  <c r="O25" i="25"/>
  <c r="E26" i="25"/>
  <c r="J26" i="25"/>
  <c r="M26" i="25" s="1"/>
  <c r="K26" i="25"/>
  <c r="O26" i="25"/>
  <c r="E27" i="25"/>
  <c r="J27" i="25"/>
  <c r="K27" i="25"/>
  <c r="M27" i="25"/>
  <c r="O27" i="25"/>
  <c r="S27" i="25" s="1"/>
  <c r="E28" i="25"/>
  <c r="J28" i="25"/>
  <c r="K28" i="25"/>
  <c r="O28" i="25"/>
  <c r="E29" i="25"/>
  <c r="J29" i="25"/>
  <c r="M29" i="25" s="1"/>
  <c r="K29" i="25"/>
  <c r="L29" i="25" s="1"/>
  <c r="O29" i="25"/>
  <c r="E30" i="25"/>
  <c r="J30" i="25"/>
  <c r="M30" i="25" s="1"/>
  <c r="K30" i="25"/>
  <c r="O30" i="25"/>
  <c r="E31" i="25"/>
  <c r="J31" i="25"/>
  <c r="M31" i="25" s="1"/>
  <c r="K31" i="25"/>
  <c r="O31" i="25"/>
  <c r="E32" i="25"/>
  <c r="J32" i="25"/>
  <c r="K32" i="25"/>
  <c r="O32" i="25"/>
  <c r="E33" i="25"/>
  <c r="J33" i="25"/>
  <c r="M33" i="25" s="1"/>
  <c r="K33" i="25"/>
  <c r="O33" i="25"/>
  <c r="E34" i="25"/>
  <c r="J34" i="25"/>
  <c r="M34" i="25" s="1"/>
  <c r="K34" i="25"/>
  <c r="O34" i="25"/>
  <c r="E35" i="25"/>
  <c r="J35" i="25"/>
  <c r="M35" i="25" s="1"/>
  <c r="K35" i="25"/>
  <c r="O35" i="25"/>
  <c r="E36" i="25"/>
  <c r="J36" i="25"/>
  <c r="K36" i="25"/>
  <c r="O36" i="25"/>
  <c r="E37" i="25"/>
  <c r="J37" i="25"/>
  <c r="M37" i="25" s="1"/>
  <c r="K37" i="25"/>
  <c r="A2" i="24"/>
  <c r="A5" i="24"/>
  <c r="U10" i="24"/>
  <c r="E21" i="24"/>
  <c r="H21" i="24" s="1"/>
  <c r="F21" i="24"/>
  <c r="J21" i="24"/>
  <c r="M21" i="24" s="1"/>
  <c r="K21" i="24"/>
  <c r="E22" i="24"/>
  <c r="H22" i="24" s="1"/>
  <c r="F22" i="24"/>
  <c r="J22" i="24"/>
  <c r="M22" i="24" s="1"/>
  <c r="K22" i="24"/>
  <c r="O22" i="24"/>
  <c r="R22" i="24" s="1"/>
  <c r="P22" i="24"/>
  <c r="E23" i="24"/>
  <c r="H23" i="24" s="1"/>
  <c r="F23" i="24"/>
  <c r="J23" i="24"/>
  <c r="K23" i="24"/>
  <c r="O23" i="24"/>
  <c r="R23" i="24" s="1"/>
  <c r="P23" i="24"/>
  <c r="E24" i="24"/>
  <c r="F24" i="24"/>
  <c r="J24" i="24"/>
  <c r="M24" i="24" s="1"/>
  <c r="K24" i="24"/>
  <c r="O24" i="24"/>
  <c r="R24" i="24" s="1"/>
  <c r="P24" i="24"/>
  <c r="E25" i="24"/>
  <c r="F25" i="24"/>
  <c r="J25" i="24"/>
  <c r="M25" i="24" s="1"/>
  <c r="K25" i="24"/>
  <c r="O25" i="24"/>
  <c r="P25" i="24"/>
  <c r="E26" i="24"/>
  <c r="H26" i="24" s="1"/>
  <c r="F26" i="24"/>
  <c r="J26" i="24"/>
  <c r="K26" i="24"/>
  <c r="O26" i="24"/>
  <c r="R26" i="24" s="1"/>
  <c r="P26" i="24"/>
  <c r="E27" i="24"/>
  <c r="H27" i="24" s="1"/>
  <c r="F27" i="24"/>
  <c r="J27" i="24"/>
  <c r="M27" i="24" s="1"/>
  <c r="K27" i="24"/>
  <c r="L27" i="24" s="1"/>
  <c r="O27" i="24"/>
  <c r="R27" i="24" s="1"/>
  <c r="P27" i="24"/>
  <c r="E28" i="24"/>
  <c r="F28" i="24"/>
  <c r="J28" i="24"/>
  <c r="M28" i="24" s="1"/>
  <c r="K28" i="24"/>
  <c r="O28" i="24"/>
  <c r="P28" i="24"/>
  <c r="E29" i="24"/>
  <c r="F29" i="24"/>
  <c r="J29" i="24"/>
  <c r="M29" i="24" s="1"/>
  <c r="K29" i="24"/>
  <c r="O29" i="24"/>
  <c r="R29" i="24" s="1"/>
  <c r="P29" i="24"/>
  <c r="E30" i="24"/>
  <c r="H30" i="24" s="1"/>
  <c r="F30" i="24"/>
  <c r="J30" i="24"/>
  <c r="K30" i="24"/>
  <c r="O30" i="24"/>
  <c r="R30" i="24" s="1"/>
  <c r="P30" i="24"/>
  <c r="E31" i="24"/>
  <c r="H31" i="24" s="1"/>
  <c r="F31" i="24"/>
  <c r="J31" i="24"/>
  <c r="M31" i="24" s="1"/>
  <c r="K31" i="24"/>
  <c r="O31" i="24"/>
  <c r="R31" i="24" s="1"/>
  <c r="P31" i="24"/>
  <c r="E32" i="24"/>
  <c r="H32" i="24" s="1"/>
  <c r="F32" i="24"/>
  <c r="J32" i="24"/>
  <c r="M32" i="24" s="1"/>
  <c r="K32" i="24"/>
  <c r="O32" i="24"/>
  <c r="P32" i="24"/>
  <c r="E33" i="24"/>
  <c r="H33" i="24" s="1"/>
  <c r="F33" i="24"/>
  <c r="J33" i="24"/>
  <c r="K33" i="24"/>
  <c r="O33" i="24"/>
  <c r="R33" i="24" s="1"/>
  <c r="P33" i="24"/>
  <c r="E34" i="24"/>
  <c r="H34" i="24" s="1"/>
  <c r="F34" i="24"/>
  <c r="J34" i="24"/>
  <c r="K34" i="24"/>
  <c r="O34" i="24"/>
  <c r="R34" i="24" s="1"/>
  <c r="P34" i="24"/>
  <c r="E35" i="24"/>
  <c r="H35" i="24" s="1"/>
  <c r="F35" i="24"/>
  <c r="J35" i="24"/>
  <c r="M35" i="24" s="1"/>
  <c r="K35" i="24"/>
  <c r="O35" i="24"/>
  <c r="R35" i="24" s="1"/>
  <c r="P35" i="24"/>
  <c r="A2" i="23"/>
  <c r="A5" i="23"/>
  <c r="U10" i="23"/>
  <c r="E21" i="23"/>
  <c r="F21" i="23"/>
  <c r="J21" i="23"/>
  <c r="M21" i="23" s="1"/>
  <c r="K21" i="23"/>
  <c r="E22" i="23"/>
  <c r="H22" i="23" s="1"/>
  <c r="F22" i="23"/>
  <c r="J22" i="23"/>
  <c r="M22" i="23" s="1"/>
  <c r="K22" i="23"/>
  <c r="O22" i="23"/>
  <c r="R22" i="23" s="1"/>
  <c r="P22" i="23"/>
  <c r="Q22" i="23" s="1"/>
  <c r="E23" i="23"/>
  <c r="F23" i="23"/>
  <c r="J23" i="23"/>
  <c r="M23" i="23" s="1"/>
  <c r="K23" i="23"/>
  <c r="O23" i="23"/>
  <c r="R23" i="23" s="1"/>
  <c r="P23" i="23"/>
  <c r="E24" i="23"/>
  <c r="H24" i="23" s="1"/>
  <c r="F24" i="23"/>
  <c r="J24" i="23"/>
  <c r="K24" i="23"/>
  <c r="O24" i="23"/>
  <c r="R24" i="23" s="1"/>
  <c r="P24" i="23"/>
  <c r="E25" i="23"/>
  <c r="H25" i="23" s="1"/>
  <c r="F25" i="23"/>
  <c r="J25" i="23"/>
  <c r="M25" i="23" s="1"/>
  <c r="K25" i="23"/>
  <c r="O25" i="23"/>
  <c r="R25" i="23" s="1"/>
  <c r="P25" i="23"/>
  <c r="E26" i="23"/>
  <c r="H26" i="23" s="1"/>
  <c r="F26" i="23"/>
  <c r="J26" i="23"/>
  <c r="M26" i="23" s="1"/>
  <c r="K26" i="23"/>
  <c r="O26" i="23"/>
  <c r="R26" i="23" s="1"/>
  <c r="P26" i="23"/>
  <c r="E27" i="23"/>
  <c r="F27" i="23"/>
  <c r="J27" i="23"/>
  <c r="M27" i="23" s="1"/>
  <c r="K27" i="23"/>
  <c r="O27" i="23"/>
  <c r="R27" i="23" s="1"/>
  <c r="P27" i="23"/>
  <c r="E28" i="23"/>
  <c r="H28" i="23" s="1"/>
  <c r="F28" i="23"/>
  <c r="J28" i="23"/>
  <c r="M28" i="23" s="1"/>
  <c r="K28" i="23"/>
  <c r="O28" i="23"/>
  <c r="R28" i="23" s="1"/>
  <c r="P28" i="23"/>
  <c r="E29" i="23"/>
  <c r="H29" i="23" s="1"/>
  <c r="F29" i="23"/>
  <c r="J29" i="23"/>
  <c r="M29" i="23" s="1"/>
  <c r="K29" i="23"/>
  <c r="O29" i="23"/>
  <c r="R29" i="23" s="1"/>
  <c r="P29" i="23"/>
  <c r="E30" i="23"/>
  <c r="H30" i="23" s="1"/>
  <c r="F30" i="23"/>
  <c r="J30" i="23"/>
  <c r="M30" i="23" s="1"/>
  <c r="K30" i="23"/>
  <c r="O30" i="23"/>
  <c r="R30" i="23" s="1"/>
  <c r="P30" i="23"/>
  <c r="E31" i="23"/>
  <c r="F31" i="23"/>
  <c r="J31" i="23"/>
  <c r="K31" i="23"/>
  <c r="O31" i="23"/>
  <c r="R31" i="23" s="1"/>
  <c r="P31" i="23"/>
  <c r="E32" i="23"/>
  <c r="H32" i="23" s="1"/>
  <c r="F32" i="23"/>
  <c r="J32" i="23"/>
  <c r="L32" i="23" s="1"/>
  <c r="K32" i="23"/>
  <c r="O32" i="23"/>
  <c r="R32" i="23" s="1"/>
  <c r="P32" i="23"/>
  <c r="E33" i="23"/>
  <c r="F33" i="23"/>
  <c r="J33" i="23"/>
  <c r="M33" i="23" s="1"/>
  <c r="K33" i="23"/>
  <c r="O33" i="23"/>
  <c r="R33" i="23" s="1"/>
  <c r="P33" i="23"/>
  <c r="E34" i="23"/>
  <c r="H34" i="23" s="1"/>
  <c r="F34" i="23"/>
  <c r="J34" i="23"/>
  <c r="M34" i="23" s="1"/>
  <c r="K34" i="23"/>
  <c r="O34" i="23"/>
  <c r="R34" i="23" s="1"/>
  <c r="P34" i="23"/>
  <c r="E35" i="23"/>
  <c r="F35" i="23"/>
  <c r="J35" i="23"/>
  <c r="M35" i="23" s="1"/>
  <c r="K35" i="23"/>
  <c r="O35" i="23"/>
  <c r="R35" i="23" s="1"/>
  <c r="P35" i="23"/>
  <c r="A2" i="22"/>
  <c r="A5" i="22"/>
  <c r="U10" i="22"/>
  <c r="E21" i="22"/>
  <c r="J21" i="22"/>
  <c r="M21" i="22" s="1"/>
  <c r="K21" i="22"/>
  <c r="O21" i="22"/>
  <c r="E22" i="22"/>
  <c r="J22" i="22"/>
  <c r="M22" i="22" s="1"/>
  <c r="K22" i="22"/>
  <c r="O22" i="22"/>
  <c r="E23" i="22"/>
  <c r="J23" i="22"/>
  <c r="M23" i="22" s="1"/>
  <c r="K23" i="22"/>
  <c r="O23" i="22"/>
  <c r="E24" i="22"/>
  <c r="J24" i="22"/>
  <c r="K24" i="22"/>
  <c r="O24" i="22"/>
  <c r="E25" i="22"/>
  <c r="J25" i="22"/>
  <c r="M25" i="22" s="1"/>
  <c r="K25" i="22"/>
  <c r="O25" i="22"/>
  <c r="E26" i="22"/>
  <c r="J26" i="22"/>
  <c r="K26" i="22"/>
  <c r="O26" i="22"/>
  <c r="E27" i="22"/>
  <c r="J27" i="22"/>
  <c r="M27" i="22" s="1"/>
  <c r="K27" i="22"/>
  <c r="O27" i="22"/>
  <c r="E28" i="22"/>
  <c r="J28" i="22"/>
  <c r="M28" i="22" s="1"/>
  <c r="K28" i="22"/>
  <c r="O28" i="22"/>
  <c r="E29" i="22"/>
  <c r="J29" i="22"/>
  <c r="M29" i="22" s="1"/>
  <c r="K29" i="22"/>
  <c r="O29" i="22"/>
  <c r="E30" i="22"/>
  <c r="J30" i="22"/>
  <c r="M30" i="22" s="1"/>
  <c r="K30" i="22"/>
  <c r="O30" i="22"/>
  <c r="E31" i="22"/>
  <c r="J31" i="22"/>
  <c r="M31" i="22" s="1"/>
  <c r="K31" i="22"/>
  <c r="O31" i="22"/>
  <c r="E32" i="22"/>
  <c r="J32" i="22"/>
  <c r="M32" i="22" s="1"/>
  <c r="K32" i="22"/>
  <c r="O32" i="22"/>
  <c r="E33" i="22"/>
  <c r="J33" i="22"/>
  <c r="M33" i="22" s="1"/>
  <c r="K33" i="22"/>
  <c r="O33" i="22"/>
  <c r="E34" i="22"/>
  <c r="J34" i="22"/>
  <c r="K34" i="22"/>
  <c r="M34" i="22"/>
  <c r="O34" i="22"/>
  <c r="E35" i="22"/>
  <c r="J35" i="22"/>
  <c r="M35" i="22" s="1"/>
  <c r="K35" i="22"/>
  <c r="O35" i="22"/>
  <c r="E36" i="22"/>
  <c r="J36" i="22"/>
  <c r="M36" i="22" s="1"/>
  <c r="K36" i="22"/>
  <c r="O36" i="22"/>
  <c r="E37" i="22"/>
  <c r="J37" i="22"/>
  <c r="M37" i="22" s="1"/>
  <c r="K37" i="22"/>
  <c r="L37" i="22" s="1"/>
  <c r="A2" i="21"/>
  <c r="A5" i="21"/>
  <c r="U10" i="21"/>
  <c r="E21" i="21"/>
  <c r="J21" i="21"/>
  <c r="M21" i="21" s="1"/>
  <c r="K21" i="21"/>
  <c r="L21" i="21" s="1"/>
  <c r="O21" i="21"/>
  <c r="E22" i="21"/>
  <c r="J22" i="21"/>
  <c r="M22" i="21" s="1"/>
  <c r="K22" i="21"/>
  <c r="O22" i="21"/>
  <c r="E23" i="21"/>
  <c r="J23" i="21"/>
  <c r="K23" i="21"/>
  <c r="M23" i="21"/>
  <c r="O23" i="21"/>
  <c r="E24" i="21"/>
  <c r="J24" i="21"/>
  <c r="M24" i="21" s="1"/>
  <c r="K24" i="21"/>
  <c r="L24" i="21" s="1"/>
  <c r="O24" i="21"/>
  <c r="E25" i="21"/>
  <c r="J25" i="21"/>
  <c r="K25" i="21"/>
  <c r="O25" i="21"/>
  <c r="E26" i="21"/>
  <c r="J26" i="21"/>
  <c r="M26" i="21" s="1"/>
  <c r="K26" i="21"/>
  <c r="O26" i="21"/>
  <c r="E27" i="21"/>
  <c r="J27" i="21"/>
  <c r="M27" i="21" s="1"/>
  <c r="K27" i="21"/>
  <c r="O27" i="21"/>
  <c r="S27" i="21" s="1"/>
  <c r="E28" i="21"/>
  <c r="J28" i="21"/>
  <c r="K28" i="21"/>
  <c r="M28" i="21"/>
  <c r="O28" i="21"/>
  <c r="E29" i="21"/>
  <c r="J29" i="21"/>
  <c r="M29" i="21" s="1"/>
  <c r="K29" i="21"/>
  <c r="L29" i="21" s="1"/>
  <c r="O29" i="21"/>
  <c r="E30" i="21"/>
  <c r="J30" i="21"/>
  <c r="M30" i="21" s="1"/>
  <c r="K30" i="21"/>
  <c r="O30" i="21"/>
  <c r="E31" i="21"/>
  <c r="J31" i="21"/>
  <c r="K31" i="21"/>
  <c r="M31" i="21"/>
  <c r="O31" i="21"/>
  <c r="E32" i="21"/>
  <c r="J32" i="21"/>
  <c r="M32" i="21" s="1"/>
  <c r="K32" i="21"/>
  <c r="O32" i="21"/>
  <c r="E33" i="21"/>
  <c r="J33" i="21"/>
  <c r="M33" i="21" s="1"/>
  <c r="K33" i="21"/>
  <c r="O33" i="21"/>
  <c r="E34" i="21"/>
  <c r="J34" i="21"/>
  <c r="M34" i="21" s="1"/>
  <c r="K34" i="21"/>
  <c r="O34" i="21"/>
  <c r="E35" i="21"/>
  <c r="J35" i="21"/>
  <c r="M35" i="21" s="1"/>
  <c r="K35" i="21"/>
  <c r="O35" i="21"/>
  <c r="E36" i="21"/>
  <c r="J36" i="21"/>
  <c r="M36" i="21" s="1"/>
  <c r="K36" i="21"/>
  <c r="O36" i="21"/>
  <c r="E37" i="21"/>
  <c r="J37" i="21"/>
  <c r="K37" i="21"/>
  <c r="M37" i="21"/>
  <c r="E38" i="21"/>
  <c r="J38" i="21"/>
  <c r="M38" i="21" s="1"/>
  <c r="K38" i="21"/>
  <c r="B43" i="21"/>
  <c r="A2" i="20"/>
  <c r="A5" i="20"/>
  <c r="U10" i="20"/>
  <c r="E21" i="20"/>
  <c r="J21" i="20"/>
  <c r="K21" i="20"/>
  <c r="O21" i="20"/>
  <c r="E22" i="20"/>
  <c r="J22" i="20"/>
  <c r="M22" i="20" s="1"/>
  <c r="K22" i="20"/>
  <c r="O22" i="20"/>
  <c r="E23" i="20"/>
  <c r="J23" i="20"/>
  <c r="M23" i="20" s="1"/>
  <c r="K23" i="20"/>
  <c r="O23" i="20"/>
  <c r="E24" i="20"/>
  <c r="J24" i="20"/>
  <c r="M24" i="20" s="1"/>
  <c r="K24" i="20"/>
  <c r="O24" i="20"/>
  <c r="E25" i="20"/>
  <c r="J25" i="20"/>
  <c r="K25" i="20"/>
  <c r="O25" i="20"/>
  <c r="E26" i="20"/>
  <c r="J26" i="20"/>
  <c r="M26" i="20" s="1"/>
  <c r="K26" i="20"/>
  <c r="O26" i="20"/>
  <c r="E27" i="20"/>
  <c r="J27" i="20"/>
  <c r="M27" i="20" s="1"/>
  <c r="K27" i="20"/>
  <c r="O27" i="20"/>
  <c r="E28" i="20"/>
  <c r="J28" i="20"/>
  <c r="M28" i="20" s="1"/>
  <c r="K28" i="20"/>
  <c r="O28" i="20"/>
  <c r="E29" i="20"/>
  <c r="J29" i="20"/>
  <c r="K29" i="20"/>
  <c r="M29" i="20"/>
  <c r="E30" i="20"/>
  <c r="J30" i="20"/>
  <c r="K30" i="20"/>
  <c r="M30" i="20"/>
  <c r="E31" i="20"/>
  <c r="J31" i="20"/>
  <c r="M31" i="20" s="1"/>
  <c r="K31" i="20"/>
  <c r="L31" i="20"/>
  <c r="O31" i="20"/>
  <c r="E32" i="20"/>
  <c r="J32" i="20"/>
  <c r="M32" i="20" s="1"/>
  <c r="K32" i="20"/>
  <c r="O32" i="20"/>
  <c r="E33" i="20"/>
  <c r="J33" i="20"/>
  <c r="M33" i="20" s="1"/>
  <c r="K33" i="20"/>
  <c r="L33" i="20" s="1"/>
  <c r="O33" i="20"/>
  <c r="E34" i="20"/>
  <c r="J34" i="20"/>
  <c r="K34" i="20"/>
  <c r="O34" i="20"/>
  <c r="E35" i="20"/>
  <c r="J35" i="20"/>
  <c r="M35" i="20" s="1"/>
  <c r="K35" i="20"/>
  <c r="O35" i="20"/>
  <c r="E36" i="20"/>
  <c r="J36" i="20"/>
  <c r="K36" i="20"/>
  <c r="O36" i="20"/>
  <c r="E37" i="20"/>
  <c r="J37" i="20"/>
  <c r="M37" i="20" s="1"/>
  <c r="K37" i="20"/>
  <c r="O37" i="20"/>
  <c r="E38" i="20"/>
  <c r="J38" i="20"/>
  <c r="M38" i="20" s="1"/>
  <c r="K38" i="20"/>
  <c r="O38" i="20"/>
  <c r="E39" i="20"/>
  <c r="J39" i="20"/>
  <c r="M39" i="20" s="1"/>
  <c r="K39" i="20"/>
  <c r="O39" i="20"/>
  <c r="E40" i="20"/>
  <c r="J40" i="20"/>
  <c r="M40" i="20" s="1"/>
  <c r="K40" i="20"/>
  <c r="O40" i="20"/>
  <c r="A2" i="19"/>
  <c r="A5" i="19"/>
  <c r="Q10" i="19"/>
  <c r="E21" i="19"/>
  <c r="J21" i="19"/>
  <c r="E22" i="19"/>
  <c r="J22" i="19"/>
  <c r="O22" i="19" s="1"/>
  <c r="E23" i="19"/>
  <c r="E24" i="19"/>
  <c r="J24" i="19"/>
  <c r="O24" i="19" s="1"/>
  <c r="E25" i="19"/>
  <c r="J25" i="19"/>
  <c r="O25" i="19" s="1"/>
  <c r="E26" i="19"/>
  <c r="J26" i="19"/>
  <c r="E27" i="19"/>
  <c r="J27" i="19"/>
  <c r="E28" i="19"/>
  <c r="J28" i="19"/>
  <c r="O28" i="19" s="1"/>
  <c r="E29" i="19"/>
  <c r="J29" i="19"/>
  <c r="O29" i="19" s="1"/>
  <c r="E30" i="19"/>
  <c r="J30" i="19"/>
  <c r="E31" i="19"/>
  <c r="J31" i="19"/>
  <c r="E32" i="19"/>
  <c r="J32" i="19"/>
  <c r="E33" i="19"/>
  <c r="E34" i="19"/>
  <c r="J34" i="19"/>
  <c r="E35" i="19"/>
  <c r="J35" i="19"/>
  <c r="E36" i="19"/>
  <c r="J36" i="19"/>
  <c r="E37" i="19"/>
  <c r="J37" i="19"/>
  <c r="E38" i="19"/>
  <c r="J38" i="19"/>
  <c r="A2" i="18"/>
  <c r="A5" i="18"/>
  <c r="Q10" i="18"/>
  <c r="E21" i="18"/>
  <c r="J21" i="18"/>
  <c r="E22" i="18"/>
  <c r="J22" i="18"/>
  <c r="O22" i="18" s="1"/>
  <c r="E23" i="18"/>
  <c r="J23" i="18"/>
  <c r="E24" i="18"/>
  <c r="J24" i="18"/>
  <c r="D25" i="18"/>
  <c r="E25" i="18"/>
  <c r="E26" i="18"/>
  <c r="J26" i="18"/>
  <c r="E27" i="18"/>
  <c r="J27" i="18"/>
  <c r="E28" i="18"/>
  <c r="J28" i="18"/>
  <c r="E29" i="18"/>
  <c r="J29" i="18"/>
  <c r="O29" i="18" s="1"/>
  <c r="E30" i="18"/>
  <c r="J30" i="18"/>
  <c r="E31" i="18"/>
  <c r="J31" i="18"/>
  <c r="S31" i="18" s="1"/>
  <c r="E32" i="18"/>
  <c r="J32" i="18"/>
  <c r="AT14" i="17"/>
  <c r="D34" i="18" s="1"/>
  <c r="AT15" i="17"/>
  <c r="D40" i="19" s="1"/>
  <c r="D23" i="19" s="1"/>
  <c r="J16" i="17"/>
  <c r="AT16" i="17"/>
  <c r="D41" i="19" s="1"/>
  <c r="D33" i="19" s="1"/>
  <c r="AT17" i="17"/>
  <c r="D42" i="20" s="1"/>
  <c r="D29" i="20" s="1"/>
  <c r="AT18" i="17"/>
  <c r="D43" i="20" s="1"/>
  <c r="D30" i="20" s="1"/>
  <c r="AT19" i="17"/>
  <c r="D40" i="21" s="1"/>
  <c r="D38" i="21" s="1"/>
  <c r="AT20" i="17"/>
  <c r="D41" i="21" s="1"/>
  <c r="D37" i="21" s="1"/>
  <c r="AT21" i="17"/>
  <c r="D39" i="22" s="1"/>
  <c r="D37" i="22" s="1"/>
  <c r="AT22" i="17"/>
  <c r="D37" i="23" s="1"/>
  <c r="D21" i="23" s="1"/>
  <c r="AT23" i="17"/>
  <c r="D37" i="24" s="1"/>
  <c r="D21" i="24" s="1"/>
  <c r="AT24" i="17"/>
  <c r="D39" i="25" s="1"/>
  <c r="D37" i="25" s="1"/>
  <c r="AT25" i="17"/>
  <c r="D37" i="26" s="1"/>
  <c r="D21" i="26" s="1"/>
  <c r="AT26" i="17"/>
  <c r="D41" i="27" s="1"/>
  <c r="AT27" i="17"/>
  <c r="D40" i="28" s="1"/>
  <c r="D21" i="28" s="1"/>
  <c r="M23" i="28" l="1"/>
  <c r="G35" i="28"/>
  <c r="S25" i="28"/>
  <c r="U25" i="28" s="1"/>
  <c r="L37" i="28"/>
  <c r="T36" i="28"/>
  <c r="T23" i="28"/>
  <c r="Q26" i="28"/>
  <c r="S28" i="28"/>
  <c r="U28" i="28" s="1"/>
  <c r="L25" i="28"/>
  <c r="Q32" i="28"/>
  <c r="G31" i="28"/>
  <c r="L35" i="28"/>
  <c r="L33" i="28"/>
  <c r="Q27" i="28"/>
  <c r="G24" i="28"/>
  <c r="G25" i="28"/>
  <c r="L21" i="28"/>
  <c r="S34" i="28"/>
  <c r="U34" i="28" s="1"/>
  <c r="L27" i="28"/>
  <c r="G23" i="28"/>
  <c r="T33" i="28"/>
  <c r="G32" i="28"/>
  <c r="S31" i="28"/>
  <c r="U31" i="28" s="1"/>
  <c r="Q29" i="28"/>
  <c r="G27" i="28"/>
  <c r="H28" i="28"/>
  <c r="Q35" i="28"/>
  <c r="Q31" i="28"/>
  <c r="Q33" i="28"/>
  <c r="H31" i="28"/>
  <c r="T30" i="28"/>
  <c r="Q25" i="28"/>
  <c r="S29" i="28"/>
  <c r="U29" i="28" s="1"/>
  <c r="S23" i="28"/>
  <c r="U23" i="28" s="1"/>
  <c r="S22" i="28"/>
  <c r="U22" i="28" s="1"/>
  <c r="T38" i="28"/>
  <c r="S38" i="28"/>
  <c r="U38" i="28" s="1"/>
  <c r="G21" i="28"/>
  <c r="S35" i="28"/>
  <c r="U35" i="28" s="1"/>
  <c r="G33" i="28"/>
  <c r="L30" i="28"/>
  <c r="L29" i="28"/>
  <c r="L36" i="28"/>
  <c r="Q34" i="28"/>
  <c r="Q24" i="28"/>
  <c r="Q22" i="28"/>
  <c r="S26" i="28"/>
  <c r="U26" i="28" s="1"/>
  <c r="T25" i="28"/>
  <c r="R23" i="28"/>
  <c r="H23" i="28"/>
  <c r="S37" i="28"/>
  <c r="U37" i="28" s="1"/>
  <c r="T35" i="28"/>
  <c r="S27" i="28"/>
  <c r="U27" i="28" s="1"/>
  <c r="R25" i="28"/>
  <c r="Q23" i="28"/>
  <c r="L38" i="28"/>
  <c r="Q37" i="28"/>
  <c r="S33" i="28"/>
  <c r="U33" i="28" s="1"/>
  <c r="L31" i="28"/>
  <c r="H29" i="28"/>
  <c r="S24" i="28"/>
  <c r="U24" i="28" s="1"/>
  <c r="G34" i="28"/>
  <c r="G29" i="28"/>
  <c r="T27" i="28"/>
  <c r="L29" i="27"/>
  <c r="L23" i="27"/>
  <c r="L21" i="27"/>
  <c r="L35" i="27"/>
  <c r="S35" i="27"/>
  <c r="S33" i="27"/>
  <c r="S31" i="27"/>
  <c r="S28" i="27"/>
  <c r="S39" i="27"/>
  <c r="S22" i="27"/>
  <c r="L33" i="27"/>
  <c r="S30" i="27"/>
  <c r="L31" i="27"/>
  <c r="S23" i="27"/>
  <c r="L37" i="27"/>
  <c r="L25" i="27"/>
  <c r="L32" i="27"/>
  <c r="S29" i="27"/>
  <c r="L26" i="27"/>
  <c r="S27" i="27"/>
  <c r="S25" i="27"/>
  <c r="L24" i="27"/>
  <c r="S21" i="27"/>
  <c r="S37" i="27"/>
  <c r="L27" i="27"/>
  <c r="S36" i="27"/>
  <c r="S34" i="27"/>
  <c r="L25" i="26"/>
  <c r="G24" i="26"/>
  <c r="L34" i="26"/>
  <c r="Q22" i="26"/>
  <c r="G33" i="26"/>
  <c r="L32" i="26"/>
  <c r="L35" i="26"/>
  <c r="G35" i="26"/>
  <c r="Q29" i="26"/>
  <c r="S27" i="26"/>
  <c r="U27" i="26" s="1"/>
  <c r="S23" i="26"/>
  <c r="U23" i="26" s="1"/>
  <c r="T28" i="26"/>
  <c r="S26" i="26"/>
  <c r="U26" i="26" s="1"/>
  <c r="G28" i="26"/>
  <c r="Q26" i="26"/>
  <c r="G23" i="26"/>
  <c r="Q25" i="26"/>
  <c r="H23" i="26"/>
  <c r="G31" i="26"/>
  <c r="L21" i="26"/>
  <c r="G32" i="26"/>
  <c r="T27" i="26"/>
  <c r="G21" i="26"/>
  <c r="T35" i="26"/>
  <c r="T31" i="26"/>
  <c r="Q23" i="26"/>
  <c r="S33" i="26"/>
  <c r="U33" i="26" s="1"/>
  <c r="L31" i="26"/>
  <c r="T30" i="26"/>
  <c r="T29" i="26"/>
  <c r="S25" i="26"/>
  <c r="U25" i="26" s="1"/>
  <c r="H25" i="26"/>
  <c r="R23" i="26"/>
  <c r="M21" i="26"/>
  <c r="S29" i="26"/>
  <c r="U29" i="26" s="1"/>
  <c r="L26" i="26"/>
  <c r="S22" i="26"/>
  <c r="U22" i="26" s="1"/>
  <c r="T34" i="26"/>
  <c r="Q34" i="26"/>
  <c r="L33" i="26"/>
  <c r="T32" i="26"/>
  <c r="H26" i="26"/>
  <c r="M23" i="26"/>
  <c r="G30" i="26"/>
  <c r="S24" i="26"/>
  <c r="U24" i="26" s="1"/>
  <c r="G29" i="26"/>
  <c r="S36" i="25"/>
  <c r="L23" i="25"/>
  <c r="L35" i="25"/>
  <c r="L33" i="25"/>
  <c r="S28" i="25"/>
  <c r="L36" i="25"/>
  <c r="S31" i="25"/>
  <c r="S29" i="25"/>
  <c r="S32" i="25"/>
  <c r="S24" i="25"/>
  <c r="S35" i="25"/>
  <c r="L25" i="25"/>
  <c r="L31" i="25"/>
  <c r="L28" i="25"/>
  <c r="S21" i="25"/>
  <c r="L32" i="25"/>
  <c r="S25" i="25"/>
  <c r="L37" i="25"/>
  <c r="S33" i="25"/>
  <c r="L27" i="25"/>
  <c r="L24" i="25"/>
  <c r="G21" i="24"/>
  <c r="G29" i="24"/>
  <c r="Q24" i="24"/>
  <c r="Q29" i="24"/>
  <c r="L34" i="24"/>
  <c r="G32" i="24"/>
  <c r="Q26" i="24"/>
  <c r="G28" i="24"/>
  <c r="Q23" i="24"/>
  <c r="L22" i="24"/>
  <c r="L35" i="24"/>
  <c r="G33" i="24"/>
  <c r="Q33" i="24"/>
  <c r="L26" i="24"/>
  <c r="S33" i="24"/>
  <c r="U33" i="24" s="1"/>
  <c r="G24" i="24"/>
  <c r="Q28" i="24"/>
  <c r="H28" i="24"/>
  <c r="M33" i="24"/>
  <c r="L31" i="24"/>
  <c r="Q32" i="24"/>
  <c r="Q30" i="24"/>
  <c r="T25" i="24"/>
  <c r="T32" i="24"/>
  <c r="S26" i="24"/>
  <c r="U26" i="24" s="1"/>
  <c r="L23" i="24"/>
  <c r="S30" i="24"/>
  <c r="U30" i="24" s="1"/>
  <c r="Q35" i="24"/>
  <c r="T29" i="24"/>
  <c r="T31" i="24"/>
  <c r="M34" i="24"/>
  <c r="R28" i="24"/>
  <c r="G25" i="24"/>
  <c r="R32" i="24"/>
  <c r="M26" i="24"/>
  <c r="S25" i="24"/>
  <c r="U25" i="24" s="1"/>
  <c r="H25" i="24"/>
  <c r="S23" i="24"/>
  <c r="U23" i="24" s="1"/>
  <c r="S34" i="24"/>
  <c r="U34" i="24" s="1"/>
  <c r="T27" i="24"/>
  <c r="R25" i="24"/>
  <c r="Q34" i="24"/>
  <c r="M30" i="24"/>
  <c r="S29" i="24"/>
  <c r="U29" i="24" s="1"/>
  <c r="H29" i="24"/>
  <c r="Q27" i="24"/>
  <c r="S27" i="24"/>
  <c r="U27" i="24" s="1"/>
  <c r="Q25" i="24"/>
  <c r="H24" i="24"/>
  <c r="M23" i="24"/>
  <c r="L30" i="24"/>
  <c r="S22" i="24"/>
  <c r="U22" i="24" s="1"/>
  <c r="Q31" i="24"/>
  <c r="S31" i="24"/>
  <c r="U31" i="24" s="1"/>
  <c r="Q22" i="24"/>
  <c r="T23" i="24"/>
  <c r="L21" i="23"/>
  <c r="G33" i="23"/>
  <c r="L31" i="23"/>
  <c r="Q34" i="23"/>
  <c r="L34" i="23"/>
  <c r="G28" i="23"/>
  <c r="H33" i="23"/>
  <c r="G25" i="23"/>
  <c r="Q23" i="23"/>
  <c r="L27" i="23"/>
  <c r="G30" i="23"/>
  <c r="G26" i="23"/>
  <c r="L22" i="23"/>
  <c r="Q29" i="23"/>
  <c r="L23" i="23"/>
  <c r="T23" i="23"/>
  <c r="G34" i="23"/>
  <c r="L24" i="23"/>
  <c r="Q33" i="23"/>
  <c r="Q32" i="23"/>
  <c r="T27" i="23"/>
  <c r="Q25" i="23"/>
  <c r="Q24" i="23"/>
  <c r="M32" i="23"/>
  <c r="T31" i="23"/>
  <c r="Q26" i="23"/>
  <c r="M24" i="23"/>
  <c r="Q28" i="23"/>
  <c r="L26" i="23"/>
  <c r="G22" i="23"/>
  <c r="S34" i="23"/>
  <c r="U34" i="23" s="1"/>
  <c r="G24" i="23"/>
  <c r="Q30" i="23"/>
  <c r="L28" i="23"/>
  <c r="T35" i="23"/>
  <c r="T29" i="23"/>
  <c r="T26" i="23"/>
  <c r="T25" i="23"/>
  <c r="T22" i="23"/>
  <c r="T33" i="23"/>
  <c r="T30" i="23"/>
  <c r="S26" i="23"/>
  <c r="U26" i="23" s="1"/>
  <c r="S22" i="23"/>
  <c r="U22" i="23" s="1"/>
  <c r="T34" i="23"/>
  <c r="M31" i="23"/>
  <c r="S30" i="23"/>
  <c r="U30" i="23" s="1"/>
  <c r="G32" i="23"/>
  <c r="T28" i="23"/>
  <c r="T24" i="23"/>
  <c r="L35" i="23"/>
  <c r="T32" i="23"/>
  <c r="L29" i="23"/>
  <c r="L25" i="23"/>
  <c r="G35" i="23"/>
  <c r="L30" i="23"/>
  <c r="G29" i="23"/>
  <c r="Q27" i="23"/>
  <c r="S25" i="23"/>
  <c r="U25" i="23" s="1"/>
  <c r="L27" i="22"/>
  <c r="L25" i="22"/>
  <c r="L21" i="22"/>
  <c r="L30" i="22"/>
  <c r="L23" i="22"/>
  <c r="S35" i="22"/>
  <c r="L24" i="22"/>
  <c r="L26" i="22"/>
  <c r="L35" i="22"/>
  <c r="L33" i="22"/>
  <c r="S29" i="22"/>
  <c r="L22" i="22"/>
  <c r="S33" i="22"/>
  <c r="S25" i="22"/>
  <c r="L34" i="22"/>
  <c r="L31" i="22"/>
  <c r="S21" i="22"/>
  <c r="S32" i="22"/>
  <c r="S27" i="22"/>
  <c r="L32" i="22"/>
  <c r="S31" i="22"/>
  <c r="M26" i="22"/>
  <c r="S36" i="22"/>
  <c r="L29" i="22"/>
  <c r="S23" i="22"/>
  <c r="L33" i="21"/>
  <c r="S23" i="21"/>
  <c r="S35" i="21"/>
  <c r="S24" i="21"/>
  <c r="S33" i="21"/>
  <c r="L37" i="21"/>
  <c r="L28" i="21"/>
  <c r="L38" i="21"/>
  <c r="L25" i="21"/>
  <c r="S31" i="21"/>
  <c r="S28" i="21"/>
  <c r="L34" i="21"/>
  <c r="S32" i="21"/>
  <c r="S29" i="21"/>
  <c r="S25" i="21"/>
  <c r="S21" i="21"/>
  <c r="L35" i="21"/>
  <c r="L32" i="21"/>
  <c r="L24" i="20"/>
  <c r="L22" i="20"/>
  <c r="L34" i="20"/>
  <c r="L25" i="20"/>
  <c r="L29" i="20"/>
  <c r="S36" i="20"/>
  <c r="L30" i="20"/>
  <c r="S24" i="20"/>
  <c r="S37" i="20"/>
  <c r="S35" i="20"/>
  <c r="S33" i="20"/>
  <c r="L21" i="20"/>
  <c r="S38" i="20"/>
  <c r="S27" i="20"/>
  <c r="L35" i="20"/>
  <c r="L38" i="20"/>
  <c r="L26" i="20"/>
  <c r="S31" i="20"/>
  <c r="S25" i="20"/>
  <c r="S22" i="20"/>
  <c r="L39" i="20"/>
  <c r="S28" i="20"/>
  <c r="L27" i="20"/>
  <c r="S26" i="20"/>
  <c r="M21" i="20"/>
  <c r="L40" i="20"/>
  <c r="M34" i="20"/>
  <c r="M25" i="20"/>
  <c r="S40" i="20"/>
  <c r="O35" i="19"/>
  <c r="O37" i="19"/>
  <c r="O27" i="19"/>
  <c r="O31" i="19"/>
  <c r="O32" i="19"/>
  <c r="O28" i="18"/>
  <c r="O24" i="18"/>
  <c r="O30" i="18"/>
  <c r="O27" i="18"/>
  <c r="S26" i="18"/>
  <c r="S30" i="18"/>
  <c r="S27" i="18"/>
  <c r="S24" i="18"/>
  <c r="O26" i="18"/>
  <c r="O32" i="18"/>
  <c r="O21" i="18"/>
  <c r="S32" i="18"/>
  <c r="S28" i="18"/>
  <c r="O31" i="18"/>
  <c r="S21" i="18"/>
  <c r="K29" i="41"/>
  <c r="L29" i="41" s="1"/>
  <c r="K23" i="41"/>
  <c r="F26" i="41"/>
  <c r="G23" i="41"/>
  <c r="H23" i="41" s="1"/>
  <c r="L21" i="41"/>
  <c r="G20" i="41"/>
  <c r="H20" i="41" s="1"/>
  <c r="K28" i="41"/>
  <c r="G26" i="41"/>
  <c r="H26" i="41" s="1"/>
  <c r="F24" i="41"/>
  <c r="K24" i="41" s="1"/>
  <c r="L24" i="41" s="1"/>
  <c r="L22" i="41"/>
  <c r="F21" i="41"/>
  <c r="K21" i="41" s="1"/>
  <c r="F30" i="41"/>
  <c r="G30" i="41" s="1"/>
  <c r="H30" i="41" s="1"/>
  <c r="K25" i="41"/>
  <c r="L25" i="41" s="1"/>
  <c r="G21" i="41"/>
  <c r="H21" i="41" s="1"/>
  <c r="L20" i="41"/>
  <c r="K26" i="41"/>
  <c r="L26" i="41" s="1"/>
  <c r="G25" i="41"/>
  <c r="H25" i="41" s="1"/>
  <c r="G22" i="41"/>
  <c r="H22" i="41" s="1"/>
  <c r="H20" i="37"/>
  <c r="E22" i="32"/>
  <c r="J22" i="32" s="1"/>
  <c r="I22" i="32"/>
  <c r="I20" i="42"/>
  <c r="E20" i="42"/>
  <c r="F20" i="42"/>
  <c r="E25" i="34"/>
  <c r="J25" i="34" s="1"/>
  <c r="F25" i="34"/>
  <c r="I25" i="34"/>
  <c r="E20" i="40"/>
  <c r="F20" i="40"/>
  <c r="I20" i="40"/>
  <c r="E20" i="33"/>
  <c r="F20" i="33"/>
  <c r="I20" i="33"/>
  <c r="I30" i="32"/>
  <c r="E30" i="32"/>
  <c r="F24" i="38"/>
  <c r="I24" i="38"/>
  <c r="E24" i="38"/>
  <c r="I21" i="31"/>
  <c r="J21" i="31" s="1"/>
  <c r="I21" i="44"/>
  <c r="E21" i="44"/>
  <c r="F20" i="36"/>
  <c r="I20" i="36"/>
  <c r="E33" i="32"/>
  <c r="I29" i="33"/>
  <c r="K29" i="33" s="1"/>
  <c r="I21" i="33"/>
  <c r="K21" i="33" s="1"/>
  <c r="I30" i="34"/>
  <c r="J30" i="34" s="1"/>
  <c r="I28" i="34"/>
  <c r="J28" i="34" s="1"/>
  <c r="G24" i="34"/>
  <c r="H24" i="34" s="1"/>
  <c r="G22" i="34"/>
  <c r="H22" i="34" s="1"/>
  <c r="G20" i="34"/>
  <c r="H20" i="34" s="1"/>
  <c r="F25" i="35"/>
  <c r="K30" i="36"/>
  <c r="L30" i="36" s="1"/>
  <c r="E20" i="36"/>
  <c r="J20" i="36" s="1"/>
  <c r="L20" i="36" s="1"/>
  <c r="J29" i="39"/>
  <c r="G29" i="39"/>
  <c r="H29" i="39" s="1"/>
  <c r="G30" i="42"/>
  <c r="H30" i="42" s="1"/>
  <c r="K30" i="42"/>
  <c r="L30" i="42" s="1"/>
  <c r="I20" i="31"/>
  <c r="J20" i="31" s="1"/>
  <c r="I35" i="32"/>
  <c r="I31" i="32"/>
  <c r="J31" i="33"/>
  <c r="I24" i="33"/>
  <c r="K24" i="33" s="1"/>
  <c r="G30" i="34"/>
  <c r="H30" i="34" s="1"/>
  <c r="K30" i="34"/>
  <c r="L30" i="34" s="1"/>
  <c r="G28" i="34"/>
  <c r="H28" i="34" s="1"/>
  <c r="K28" i="34"/>
  <c r="L28" i="34" s="1"/>
  <c r="G26" i="34"/>
  <c r="H26" i="34" s="1"/>
  <c r="K26" i="34"/>
  <c r="L26" i="34" s="1"/>
  <c r="G27" i="36"/>
  <c r="H27" i="36" s="1"/>
  <c r="K27" i="36"/>
  <c r="L27" i="36" s="1"/>
  <c r="G26" i="37"/>
  <c r="J26" i="37"/>
  <c r="L26" i="37" s="1"/>
  <c r="H23" i="37"/>
  <c r="G27" i="38"/>
  <c r="H27" i="38" s="1"/>
  <c r="J27" i="38"/>
  <c r="L27" i="38" s="1"/>
  <c r="L22" i="38"/>
  <c r="J31" i="39"/>
  <c r="G31" i="39"/>
  <c r="H31" i="39" s="1"/>
  <c r="L23" i="40"/>
  <c r="J30" i="41"/>
  <c r="J26" i="33"/>
  <c r="L26" i="33" s="1"/>
  <c r="E20" i="43"/>
  <c r="J20" i="43" s="1"/>
  <c r="I20" i="43"/>
  <c r="E27" i="41"/>
  <c r="F27" i="41"/>
  <c r="I27" i="41"/>
  <c r="I20" i="34"/>
  <c r="K20" i="34" s="1"/>
  <c r="I21" i="34"/>
  <c r="I22" i="34"/>
  <c r="K22" i="34" s="1"/>
  <c r="I23" i="34"/>
  <c r="I24" i="34"/>
  <c r="K24" i="34" s="1"/>
  <c r="I22" i="31"/>
  <c r="J22" i="31" s="1"/>
  <c r="I36" i="32"/>
  <c r="I32" i="32"/>
  <c r="I30" i="33"/>
  <c r="K30" i="33" s="1"/>
  <c r="J29" i="33"/>
  <c r="I22" i="33"/>
  <c r="K22" i="33" s="1"/>
  <c r="J21" i="33"/>
  <c r="G25" i="38"/>
  <c r="H25" i="38" s="1"/>
  <c r="J25" i="38"/>
  <c r="L25" i="38" s="1"/>
  <c r="K23" i="39"/>
  <c r="L23" i="39" s="1"/>
  <c r="G23" i="39"/>
  <c r="H23" i="39" s="1"/>
  <c r="J29" i="43"/>
  <c r="J33" i="43"/>
  <c r="I23" i="31"/>
  <c r="J23" i="31" s="1"/>
  <c r="E35" i="32"/>
  <c r="J31" i="32"/>
  <c r="I25" i="33"/>
  <c r="K25" i="33" s="1"/>
  <c r="J24" i="33"/>
  <c r="I31" i="34"/>
  <c r="J31" i="34" s="1"/>
  <c r="I29" i="34"/>
  <c r="J29" i="34" s="1"/>
  <c r="I27" i="34"/>
  <c r="J27" i="34" s="1"/>
  <c r="J23" i="36"/>
  <c r="L23" i="36" s="1"/>
  <c r="G21" i="36"/>
  <c r="H21" i="36" s="1"/>
  <c r="K21" i="36"/>
  <c r="L21" i="36" s="1"/>
  <c r="J31" i="37"/>
  <c r="L31" i="37" s="1"/>
  <c r="H30" i="37"/>
  <c r="G22" i="42"/>
  <c r="H22" i="42" s="1"/>
  <c r="K22" i="42"/>
  <c r="L22" i="42" s="1"/>
  <c r="I28" i="39"/>
  <c r="F28" i="39"/>
  <c r="E28" i="39"/>
  <c r="J28" i="39" s="1"/>
  <c r="I31" i="31"/>
  <c r="J31" i="31" s="1"/>
  <c r="I30" i="31"/>
  <c r="J30" i="31" s="1"/>
  <c r="I29" i="31"/>
  <c r="J29" i="31" s="1"/>
  <c r="I28" i="31"/>
  <c r="J28" i="31" s="1"/>
  <c r="I27" i="31"/>
  <c r="J27" i="31" s="1"/>
  <c r="I26" i="31"/>
  <c r="J26" i="31" s="1"/>
  <c r="I25" i="31"/>
  <c r="J25" i="31" s="1"/>
  <c r="I24" i="31"/>
  <c r="J24" i="31" s="1"/>
  <c r="I37" i="32"/>
  <c r="J21" i="32"/>
  <c r="I28" i="33"/>
  <c r="K28" i="33" s="1"/>
  <c r="J27" i="33"/>
  <c r="L27" i="33" s="1"/>
  <c r="G31" i="34"/>
  <c r="H31" i="34" s="1"/>
  <c r="K31" i="34"/>
  <c r="L31" i="34" s="1"/>
  <c r="G29" i="34"/>
  <c r="H29" i="34" s="1"/>
  <c r="K29" i="34"/>
  <c r="L29" i="34" s="1"/>
  <c r="G27" i="34"/>
  <c r="H27" i="34" s="1"/>
  <c r="K27" i="34"/>
  <c r="L27" i="34" s="1"/>
  <c r="J30" i="35"/>
  <c r="L30" i="35" s="1"/>
  <c r="J28" i="35"/>
  <c r="L28" i="35" s="1"/>
  <c r="J26" i="35"/>
  <c r="L26" i="35" s="1"/>
  <c r="K29" i="36"/>
  <c r="L29" i="36" s="1"/>
  <c r="J21" i="36"/>
  <c r="K29" i="37"/>
  <c r="L29" i="37" s="1"/>
  <c r="G24" i="42"/>
  <c r="H24" i="42" s="1"/>
  <c r="K24" i="42"/>
  <c r="L24" i="42" s="1"/>
  <c r="I22" i="44"/>
  <c r="I23" i="44"/>
  <c r="I24" i="44"/>
  <c r="I25" i="44"/>
  <c r="I26" i="44"/>
  <c r="I27" i="44"/>
  <c r="I28" i="44"/>
  <c r="I29" i="44"/>
  <c r="I30" i="44"/>
  <c r="I31" i="44"/>
  <c r="J31" i="44" s="1"/>
  <c r="I32" i="44"/>
  <c r="I33" i="44"/>
  <c r="I34" i="44"/>
  <c r="J34" i="44" s="1"/>
  <c r="I22" i="43"/>
  <c r="I24" i="43"/>
  <c r="I26" i="43"/>
  <c r="I28" i="43"/>
  <c r="I30" i="43"/>
  <c r="I32" i="43"/>
  <c r="I34" i="43"/>
  <c r="I20" i="44"/>
  <c r="I20" i="32"/>
  <c r="I21" i="32"/>
  <c r="I21" i="43"/>
  <c r="I23" i="43"/>
  <c r="I25" i="43"/>
  <c r="I27" i="43"/>
  <c r="I29" i="43"/>
  <c r="I31" i="43"/>
  <c r="I33" i="43"/>
  <c r="I23" i="32"/>
  <c r="J23" i="32" s="1"/>
  <c r="I24" i="32"/>
  <c r="J24" i="32" s="1"/>
  <c r="I25" i="32"/>
  <c r="J25" i="32" s="1"/>
  <c r="I26" i="32"/>
  <c r="J26" i="32" s="1"/>
  <c r="I27" i="32"/>
  <c r="I28" i="32"/>
  <c r="J28" i="32" s="1"/>
  <c r="I29" i="32"/>
  <c r="J29" i="32" s="1"/>
  <c r="J32" i="32"/>
  <c r="J27" i="32"/>
  <c r="I31" i="33"/>
  <c r="K31" i="33" s="1"/>
  <c r="I23" i="33"/>
  <c r="K23" i="33" s="1"/>
  <c r="K31" i="35"/>
  <c r="L31" i="35" s="1"/>
  <c r="K29" i="35"/>
  <c r="L29" i="35" s="1"/>
  <c r="K27" i="35"/>
  <c r="L27" i="35" s="1"/>
  <c r="J26" i="36"/>
  <c r="L26" i="36" s="1"/>
  <c r="L21" i="37"/>
  <c r="G21" i="38"/>
  <c r="H21" i="38" s="1"/>
  <c r="K21" i="38"/>
  <c r="L28" i="41"/>
  <c r="G26" i="42"/>
  <c r="H26" i="42" s="1"/>
  <c r="K26" i="42"/>
  <c r="L26" i="42" s="1"/>
  <c r="K27" i="39"/>
  <c r="L27" i="39" s="1"/>
  <c r="G27" i="39"/>
  <c r="H27" i="39" s="1"/>
  <c r="F20" i="37"/>
  <c r="I20" i="37"/>
  <c r="J20" i="37" s="1"/>
  <c r="L20" i="37" s="1"/>
  <c r="I34" i="32"/>
  <c r="J25" i="33"/>
  <c r="I25" i="35"/>
  <c r="J25" i="35" s="1"/>
  <c r="L25" i="36"/>
  <c r="G24" i="36"/>
  <c r="H24" i="36" s="1"/>
  <c r="K24" i="36"/>
  <c r="L24" i="36" s="1"/>
  <c r="H20" i="36"/>
  <c r="H28" i="37"/>
  <c r="H26" i="37"/>
  <c r="J23" i="37"/>
  <c r="L23" i="37" s="1"/>
  <c r="G23" i="38"/>
  <c r="H23" i="38" s="1"/>
  <c r="K23" i="38"/>
  <c r="K24" i="39"/>
  <c r="L24" i="39" s="1"/>
  <c r="G24" i="39"/>
  <c r="H24" i="39" s="1"/>
  <c r="K22" i="39"/>
  <c r="L22" i="39" s="1"/>
  <c r="G22" i="39"/>
  <c r="H22" i="39" s="1"/>
  <c r="L31" i="40"/>
  <c r="G28" i="42"/>
  <c r="H28" i="42" s="1"/>
  <c r="K28" i="42"/>
  <c r="L28" i="42" s="1"/>
  <c r="J31" i="43"/>
  <c r="J27" i="43"/>
  <c r="G22" i="36"/>
  <c r="H22" i="36" s="1"/>
  <c r="G31" i="37"/>
  <c r="H31" i="37" s="1"/>
  <c r="K25" i="39"/>
  <c r="L25" i="39" s="1"/>
  <c r="G25" i="39"/>
  <c r="H25" i="39" s="1"/>
  <c r="L23" i="41"/>
  <c r="J32" i="44"/>
  <c r="J24" i="44"/>
  <c r="G23" i="36"/>
  <c r="H23" i="36" s="1"/>
  <c r="G22" i="38"/>
  <c r="H22" i="38" s="1"/>
  <c r="G20" i="38"/>
  <c r="H20" i="38" s="1"/>
  <c r="L31" i="39"/>
  <c r="L29" i="39"/>
  <c r="K20" i="39"/>
  <c r="L20" i="39" s="1"/>
  <c r="G20" i="39"/>
  <c r="H20" i="39" s="1"/>
  <c r="J29" i="44"/>
  <c r="H27" i="37"/>
  <c r="K26" i="39"/>
  <c r="L26" i="39" s="1"/>
  <c r="G26" i="39"/>
  <c r="H26" i="39" s="1"/>
  <c r="G31" i="42"/>
  <c r="H31" i="42" s="1"/>
  <c r="K31" i="42"/>
  <c r="L31" i="42" s="1"/>
  <c r="G29" i="42"/>
  <c r="H29" i="42" s="1"/>
  <c r="K29" i="42"/>
  <c r="L29" i="42" s="1"/>
  <c r="G27" i="42"/>
  <c r="H27" i="42" s="1"/>
  <c r="K27" i="42"/>
  <c r="L27" i="42" s="1"/>
  <c r="G25" i="42"/>
  <c r="H25" i="42" s="1"/>
  <c r="K25" i="42"/>
  <c r="L25" i="42" s="1"/>
  <c r="G23" i="42"/>
  <c r="H23" i="42" s="1"/>
  <c r="K23" i="42"/>
  <c r="L23" i="42" s="1"/>
  <c r="G21" i="42"/>
  <c r="H21" i="42" s="1"/>
  <c r="K21" i="42"/>
  <c r="L21" i="42" s="1"/>
  <c r="G26" i="36"/>
  <c r="H26" i="36" s="1"/>
  <c r="K22" i="36"/>
  <c r="L22" i="36" s="1"/>
  <c r="J30" i="37"/>
  <c r="L30" i="37" s="1"/>
  <c r="J22" i="37"/>
  <c r="L22" i="37" s="1"/>
  <c r="K21" i="39"/>
  <c r="L21" i="39" s="1"/>
  <c r="G21" i="39"/>
  <c r="H21" i="39" s="1"/>
  <c r="J28" i="44"/>
  <c r="J33" i="44"/>
  <c r="J25" i="44"/>
  <c r="G28" i="36"/>
  <c r="H28" i="36" s="1"/>
  <c r="L24" i="37"/>
  <c r="J23" i="38"/>
  <c r="J21" i="38"/>
  <c r="L31" i="41"/>
  <c r="J34" i="43"/>
  <c r="J32" i="43"/>
  <c r="J28" i="43"/>
  <c r="J26" i="43"/>
  <c r="J24" i="43"/>
  <c r="J22" i="43"/>
  <c r="J30" i="44"/>
  <c r="J22" i="44"/>
  <c r="J27" i="44"/>
  <c r="J23" i="19"/>
  <c r="O23" i="19" s="1"/>
  <c r="O30" i="20"/>
  <c r="O29" i="20"/>
  <c r="S23" i="18"/>
  <c r="O21" i="19"/>
  <c r="L36" i="20"/>
  <c r="M36" i="20"/>
  <c r="S21" i="20"/>
  <c r="J33" i="19"/>
  <c r="J25" i="18"/>
  <c r="S22" i="18"/>
  <c r="L37" i="20"/>
  <c r="S32" i="20"/>
  <c r="L28" i="20"/>
  <c r="S23" i="20"/>
  <c r="M24" i="22"/>
  <c r="S24" i="22"/>
  <c r="O38" i="21"/>
  <c r="S38" i="21" s="1"/>
  <c r="S34" i="20"/>
  <c r="S36" i="21"/>
  <c r="S29" i="18"/>
  <c r="O23" i="18"/>
  <c r="O36" i="19"/>
  <c r="O21" i="24"/>
  <c r="P21" i="24"/>
  <c r="P21" i="23"/>
  <c r="T21" i="23" s="1"/>
  <c r="O21" i="23"/>
  <c r="R21" i="23" s="1"/>
  <c r="S39" i="20"/>
  <c r="H23" i="23"/>
  <c r="S23" i="23"/>
  <c r="U23" i="23" s="1"/>
  <c r="P21" i="26"/>
  <c r="T21" i="26" s="1"/>
  <c r="O21" i="26"/>
  <c r="O37" i="25"/>
  <c r="O38" i="19"/>
  <c r="O21" i="28"/>
  <c r="P21" i="28"/>
  <c r="O37" i="22"/>
  <c r="S37" i="22" s="1"/>
  <c r="O37" i="21"/>
  <c r="O34" i="19"/>
  <c r="L32" i="20"/>
  <c r="L23" i="20"/>
  <c r="S34" i="22"/>
  <c r="O30" i="19"/>
  <c r="O26" i="19"/>
  <c r="L28" i="22"/>
  <c r="S22" i="22"/>
  <c r="L23" i="26"/>
  <c r="T23" i="26"/>
  <c r="L36" i="21"/>
  <c r="L30" i="21"/>
  <c r="L26" i="21"/>
  <c r="L33" i="23"/>
  <c r="S26" i="22"/>
  <c r="L22" i="21"/>
  <c r="H35" i="23"/>
  <c r="S35" i="23"/>
  <c r="U35" i="23" s="1"/>
  <c r="G34" i="26"/>
  <c r="H34" i="26"/>
  <c r="S34" i="26"/>
  <c r="U34" i="26" s="1"/>
  <c r="L36" i="22"/>
  <c r="S30" i="22"/>
  <c r="S28" i="22"/>
  <c r="Q35" i="23"/>
  <c r="S33" i="23"/>
  <c r="U33" i="23" s="1"/>
  <c r="G31" i="23"/>
  <c r="H31" i="23"/>
  <c r="S31" i="23"/>
  <c r="U31" i="23" s="1"/>
  <c r="G27" i="23"/>
  <c r="G21" i="23"/>
  <c r="H21" i="23"/>
  <c r="Q31" i="23"/>
  <c r="S29" i="23"/>
  <c r="U29" i="23" s="1"/>
  <c r="H27" i="23"/>
  <c r="S27" i="23"/>
  <c r="U27" i="23" s="1"/>
  <c r="G23" i="23"/>
  <c r="S34" i="21"/>
  <c r="L31" i="21"/>
  <c r="S30" i="21"/>
  <c r="L27" i="21"/>
  <c r="S26" i="21"/>
  <c r="L23" i="21"/>
  <c r="S22" i="21"/>
  <c r="T35" i="24"/>
  <c r="G35" i="24"/>
  <c r="L28" i="24"/>
  <c r="Q33" i="26"/>
  <c r="S35" i="24"/>
  <c r="U35" i="24" s="1"/>
  <c r="L33" i="24"/>
  <c r="L22" i="25"/>
  <c r="R30" i="26"/>
  <c r="Q30" i="26"/>
  <c r="S30" i="26"/>
  <c r="U30" i="26" s="1"/>
  <c r="T33" i="24"/>
  <c r="G30" i="24"/>
  <c r="T30" i="24"/>
  <c r="L24" i="24"/>
  <c r="L26" i="25"/>
  <c r="M28" i="26"/>
  <c r="L28" i="26"/>
  <c r="S28" i="26"/>
  <c r="U28" i="26" s="1"/>
  <c r="M25" i="21"/>
  <c r="T28" i="24"/>
  <c r="L30" i="25"/>
  <c r="R32" i="26"/>
  <c r="Q32" i="26"/>
  <c r="S32" i="26"/>
  <c r="U32" i="26" s="1"/>
  <c r="G26" i="24"/>
  <c r="T26" i="24"/>
  <c r="L34" i="25"/>
  <c r="S32" i="23"/>
  <c r="U32" i="23" s="1"/>
  <c r="S28" i="23"/>
  <c r="U28" i="23" s="1"/>
  <c r="S24" i="23"/>
  <c r="U24" i="23" s="1"/>
  <c r="G34" i="24"/>
  <c r="T34" i="24"/>
  <c r="T24" i="24"/>
  <c r="L32" i="24"/>
  <c r="G22" i="24"/>
  <c r="T22" i="24"/>
  <c r="S32" i="24"/>
  <c r="U32" i="24" s="1"/>
  <c r="G31" i="24"/>
  <c r="L29" i="24"/>
  <c r="S28" i="24"/>
  <c r="U28" i="24" s="1"/>
  <c r="G27" i="24"/>
  <c r="L25" i="24"/>
  <c r="S24" i="24"/>
  <c r="U24" i="24" s="1"/>
  <c r="G23" i="24"/>
  <c r="L21" i="24"/>
  <c r="S34" i="25"/>
  <c r="S30" i="25"/>
  <c r="S26" i="25"/>
  <c r="S22" i="25"/>
  <c r="L30" i="26"/>
  <c r="T25" i="26"/>
  <c r="G25" i="26"/>
  <c r="M36" i="25"/>
  <c r="M32" i="25"/>
  <c r="M28" i="25"/>
  <c r="M24" i="25"/>
  <c r="Q27" i="26"/>
  <c r="R27" i="26"/>
  <c r="G26" i="26"/>
  <c r="T26" i="26"/>
  <c r="L24" i="26"/>
  <c r="Q28" i="26"/>
  <c r="H28" i="26"/>
  <c r="L27" i="26"/>
  <c r="M38" i="27"/>
  <c r="S38" i="27"/>
  <c r="G37" i="28"/>
  <c r="T37" i="28"/>
  <c r="H29" i="26"/>
  <c r="L34" i="27"/>
  <c r="S32" i="27"/>
  <c r="G26" i="28"/>
  <c r="T26" i="28"/>
  <c r="G22" i="28"/>
  <c r="T22" i="28"/>
  <c r="T24" i="26"/>
  <c r="S26" i="27"/>
  <c r="M32" i="28"/>
  <c r="S32" i="28"/>
  <c r="U32" i="28" s="1"/>
  <c r="S35" i="26"/>
  <c r="U35" i="26" s="1"/>
  <c r="R34" i="26"/>
  <c r="T33" i="26"/>
  <c r="S31" i="26"/>
  <c r="U31" i="26" s="1"/>
  <c r="H30" i="26"/>
  <c r="H24" i="26"/>
  <c r="S30" i="28"/>
  <c r="U30" i="28" s="1"/>
  <c r="H30" i="28"/>
  <c r="Q35" i="26"/>
  <c r="H35" i="26"/>
  <c r="H33" i="26"/>
  <c r="Q31" i="26"/>
  <c r="H31" i="26"/>
  <c r="L29" i="26"/>
  <c r="G27" i="26"/>
  <c r="H27" i="26"/>
  <c r="L28" i="28"/>
  <c r="T28" i="28"/>
  <c r="L30" i="27"/>
  <c r="S24" i="27"/>
  <c r="S36" i="28"/>
  <c r="U36" i="28" s="1"/>
  <c r="G36" i="28"/>
  <c r="T32" i="28"/>
  <c r="Q30" i="28"/>
  <c r="L24" i="28"/>
  <c r="L22" i="26"/>
  <c r="T31" i="28"/>
  <c r="L36" i="27"/>
  <c r="L22" i="27"/>
  <c r="Q36" i="28"/>
  <c r="L34" i="28"/>
  <c r="G28" i="28"/>
  <c r="T24" i="28"/>
  <c r="H38" i="28"/>
  <c r="T22" i="26"/>
  <c r="L28" i="27"/>
  <c r="G38" i="28"/>
  <c r="T34" i="28"/>
  <c r="Q28" i="28"/>
  <c r="L26" i="28"/>
  <c r="L22" i="28"/>
  <c r="H22" i="26"/>
  <c r="L38" i="27"/>
  <c r="Q38" i="28"/>
  <c r="L32" i="28"/>
  <c r="G30" i="28"/>
  <c r="T29" i="28"/>
  <c r="S21" i="23" l="1"/>
  <c r="U21" i="23" s="1"/>
  <c r="S30" i="20"/>
  <c r="G24" i="41"/>
  <c r="H24" i="41" s="1"/>
  <c r="K30" i="41"/>
  <c r="L30" i="41" s="1"/>
  <c r="K28" i="39"/>
  <c r="L28" i="39" s="1"/>
  <c r="G28" i="39"/>
  <c r="H28" i="39" s="1"/>
  <c r="J34" i="32"/>
  <c r="J20" i="32"/>
  <c r="J37" i="32"/>
  <c r="G20" i="40"/>
  <c r="K20" i="40"/>
  <c r="J36" i="32"/>
  <c r="J23" i="44"/>
  <c r="J35" i="32"/>
  <c r="J26" i="44"/>
  <c r="J20" i="34"/>
  <c r="L20" i="34" s="1"/>
  <c r="H20" i="40"/>
  <c r="J20" i="40"/>
  <c r="L20" i="40" s="1"/>
  <c r="G20" i="42"/>
  <c r="K20" i="42"/>
  <c r="J22" i="34"/>
  <c r="K21" i="34"/>
  <c r="J21" i="34"/>
  <c r="J33" i="32"/>
  <c r="J23" i="43"/>
  <c r="G20" i="37"/>
  <c r="K20" i="37"/>
  <c r="J22" i="33"/>
  <c r="K27" i="41"/>
  <c r="L27" i="41" s="1"/>
  <c r="G27" i="41"/>
  <c r="H27" i="41" s="1"/>
  <c r="J24" i="38"/>
  <c r="H20" i="42"/>
  <c r="J20" i="42"/>
  <c r="L20" i="42" s="1"/>
  <c r="G25" i="34"/>
  <c r="H25" i="34" s="1"/>
  <c r="K25" i="34"/>
  <c r="L25" i="34" s="1"/>
  <c r="L21" i="38"/>
  <c r="J27" i="41"/>
  <c r="L21" i="33"/>
  <c r="G20" i="36"/>
  <c r="K20" i="36"/>
  <c r="L23" i="38"/>
  <c r="J30" i="33"/>
  <c r="L30" i="33" s="1"/>
  <c r="L24" i="34"/>
  <c r="J28" i="33"/>
  <c r="L28" i="33" s="1"/>
  <c r="K24" i="38"/>
  <c r="L24" i="38" s="1"/>
  <c r="G24" i="38"/>
  <c r="H24" i="38" s="1"/>
  <c r="J30" i="43"/>
  <c r="J20" i="44"/>
  <c r="L31" i="33"/>
  <c r="J21" i="43"/>
  <c r="L22" i="33"/>
  <c r="K23" i="34"/>
  <c r="J23" i="34"/>
  <c r="J23" i="33"/>
  <c r="L23" i="33" s="1"/>
  <c r="G25" i="35"/>
  <c r="H25" i="35" s="1"/>
  <c r="K25" i="35"/>
  <c r="L25" i="35" s="1"/>
  <c r="L29" i="33"/>
  <c r="J21" i="44"/>
  <c r="K20" i="33"/>
  <c r="L20" i="33" s="1"/>
  <c r="G20" i="33"/>
  <c r="H20" i="33" s="1"/>
  <c r="J24" i="34"/>
  <c r="L25" i="33"/>
  <c r="J25" i="43"/>
  <c r="L22" i="34"/>
  <c r="L24" i="33"/>
  <c r="J30" i="32"/>
  <c r="J20" i="33"/>
  <c r="O25" i="18"/>
  <c r="S25" i="18"/>
  <c r="S37" i="25"/>
  <c r="Q21" i="23"/>
  <c r="Q21" i="28"/>
  <c r="T21" i="28"/>
  <c r="R21" i="26"/>
  <c r="S21" i="26"/>
  <c r="U21" i="26" s="1"/>
  <c r="Q21" i="24"/>
  <c r="T21" i="24"/>
  <c r="S21" i="28"/>
  <c r="U21" i="28" s="1"/>
  <c r="R21" i="28"/>
  <c r="Q21" i="26"/>
  <c r="R21" i="24"/>
  <c r="S21" i="24"/>
  <c r="U21" i="24" s="1"/>
  <c r="O33" i="19"/>
  <c r="S37" i="21"/>
  <c r="S29" i="20"/>
  <c r="L23" i="34" l="1"/>
  <c r="L21" i="34"/>
  <c r="D11" i="16" l="1"/>
  <c r="I31" i="16"/>
  <c r="F53" i="2" s="1"/>
  <c r="I37" i="16" s="1"/>
  <c r="H32" i="16"/>
  <c r="F37" i="16"/>
  <c r="F38" i="2"/>
  <c r="G37" i="16" s="1"/>
  <c r="Y36" i="29" s="1"/>
  <c r="H31" i="16"/>
  <c r="F12" i="2"/>
  <c r="E37" i="16" s="1"/>
  <c r="I28" i="16"/>
  <c r="H28" i="16"/>
  <c r="G28" i="16"/>
  <c r="F28" i="16"/>
  <c r="E28" i="16"/>
  <c r="F18" i="16"/>
  <c r="G18" i="16"/>
  <c r="H18" i="16"/>
  <c r="I18" i="16"/>
  <c r="E18" i="16"/>
  <c r="A2" i="16"/>
  <c r="A1" i="16"/>
  <c r="F15" i="11"/>
  <c r="G15" i="11"/>
  <c r="H15" i="11"/>
  <c r="I15" i="11"/>
  <c r="F14" i="11"/>
  <c r="G14" i="11"/>
  <c r="H14" i="11"/>
  <c r="I14" i="11"/>
  <c r="K14" i="11"/>
  <c r="D15" i="11"/>
  <c r="Y33" i="29" l="1"/>
  <c r="Y34" i="29" s="1"/>
  <c r="V15" i="17"/>
  <c r="V17" i="17"/>
  <c r="Y35" i="29"/>
  <c r="Y22" i="29"/>
  <c r="V14" i="17"/>
  <c r="D18" i="16"/>
  <c r="F46" i="2"/>
  <c r="V24" i="17" s="1"/>
  <c r="F45" i="2"/>
  <c r="F19" i="16"/>
  <c r="F17" i="11" s="1"/>
  <c r="I19" i="16"/>
  <c r="I17" i="11" s="1"/>
  <c r="H19" i="16"/>
  <c r="H17" i="11" s="1"/>
  <c r="G19" i="16"/>
  <c r="G17" i="11" s="1"/>
  <c r="E19" i="16"/>
  <c r="J19" i="16" l="1"/>
  <c r="E17" i="11"/>
  <c r="V21" i="17"/>
  <c r="H37" i="16"/>
  <c r="F33" i="20"/>
  <c r="G33" i="20" s="1"/>
  <c r="H33" i="20" s="1"/>
  <c r="F23" i="20"/>
  <c r="G23" i="20" s="1"/>
  <c r="H23" i="20" s="1"/>
  <c r="F29" i="20"/>
  <c r="G29" i="20" s="1"/>
  <c r="H29" i="20" s="1"/>
  <c r="F40" i="20"/>
  <c r="G40" i="20" s="1"/>
  <c r="H40" i="20" s="1"/>
  <c r="F22" i="20"/>
  <c r="G22" i="20" s="1"/>
  <c r="H22" i="20" s="1"/>
  <c r="F26" i="20"/>
  <c r="G26" i="20" s="1"/>
  <c r="H26" i="20" s="1"/>
  <c r="V26" i="17"/>
  <c r="V18" i="17"/>
  <c r="F28" i="20"/>
  <c r="G28" i="20" s="1"/>
  <c r="H28" i="20" s="1"/>
  <c r="F32" i="20"/>
  <c r="G32" i="20" s="1"/>
  <c r="H32" i="20" s="1"/>
  <c r="F38" i="20"/>
  <c r="G38" i="20" s="1"/>
  <c r="H38" i="20" s="1"/>
  <c r="F39" i="20"/>
  <c r="G39" i="20" s="1"/>
  <c r="H39" i="20" s="1"/>
  <c r="F21" i="20"/>
  <c r="G21" i="20" s="1"/>
  <c r="H21" i="20" s="1"/>
  <c r="F27" i="20"/>
  <c r="G27" i="20" s="1"/>
  <c r="H27" i="20" s="1"/>
  <c r="F31" i="20"/>
  <c r="G31" i="20" s="1"/>
  <c r="H31" i="20" s="1"/>
  <c r="F37" i="20"/>
  <c r="G37" i="20" s="1"/>
  <c r="H37" i="20" s="1"/>
  <c r="F25" i="20"/>
  <c r="G25" i="20" s="1"/>
  <c r="H25" i="20" s="1"/>
  <c r="F35" i="20"/>
  <c r="G35" i="20" s="1"/>
  <c r="H35" i="20" s="1"/>
  <c r="F36" i="20"/>
  <c r="G36" i="20" s="1"/>
  <c r="H36" i="20" s="1"/>
  <c r="F24" i="20"/>
  <c r="G24" i="20" s="1"/>
  <c r="H24" i="20" s="1"/>
  <c r="F30" i="20"/>
  <c r="G30" i="20" s="1"/>
  <c r="H30" i="20" s="1"/>
  <c r="F34" i="20"/>
  <c r="G34" i="20" s="1"/>
  <c r="H34" i="20" s="1"/>
  <c r="F29" i="25"/>
  <c r="G29" i="25" s="1"/>
  <c r="H29" i="25" s="1"/>
  <c r="F36" i="25"/>
  <c r="G36" i="25" s="1"/>
  <c r="H36" i="25" s="1"/>
  <c r="F31" i="25"/>
  <c r="G31" i="25" s="1"/>
  <c r="H31" i="25" s="1"/>
  <c r="F27" i="25"/>
  <c r="G27" i="25" s="1"/>
  <c r="H27" i="25" s="1"/>
  <c r="F22" i="25"/>
  <c r="G22" i="25" s="1"/>
  <c r="H22" i="25" s="1"/>
  <c r="F28" i="25"/>
  <c r="G28" i="25" s="1"/>
  <c r="H28" i="25" s="1"/>
  <c r="F34" i="25"/>
  <c r="G34" i="25" s="1"/>
  <c r="H34" i="25" s="1"/>
  <c r="F21" i="25"/>
  <c r="G21" i="25" s="1"/>
  <c r="H21" i="25" s="1"/>
  <c r="F33" i="25"/>
  <c r="G33" i="25" s="1"/>
  <c r="H33" i="25" s="1"/>
  <c r="F26" i="25"/>
  <c r="G26" i="25" s="1"/>
  <c r="H26" i="25" s="1"/>
  <c r="F25" i="25"/>
  <c r="G25" i="25" s="1"/>
  <c r="H25" i="25" s="1"/>
  <c r="F32" i="25"/>
  <c r="G32" i="25" s="1"/>
  <c r="H32" i="25" s="1"/>
  <c r="F37" i="25"/>
  <c r="G37" i="25" s="1"/>
  <c r="H37" i="25" s="1"/>
  <c r="F23" i="25"/>
  <c r="G23" i="25" s="1"/>
  <c r="H23" i="25" s="1"/>
  <c r="F24" i="25"/>
  <c r="G24" i="25" s="1"/>
  <c r="H24" i="25" s="1"/>
  <c r="F30" i="25"/>
  <c r="G30" i="25" s="1"/>
  <c r="H30" i="25" s="1"/>
  <c r="F35" i="25"/>
  <c r="G35" i="25" s="1"/>
  <c r="H35" i="25" s="1"/>
  <c r="V20" i="17"/>
  <c r="F34" i="19"/>
  <c r="G34" i="19" s="1"/>
  <c r="H34" i="19" s="1"/>
  <c r="F21" i="19"/>
  <c r="G21" i="19" s="1"/>
  <c r="H21" i="19" s="1"/>
  <c r="F23" i="19"/>
  <c r="G23" i="19" s="1"/>
  <c r="H23" i="19" s="1"/>
  <c r="F30" i="19"/>
  <c r="G30" i="19" s="1"/>
  <c r="H30" i="19" s="1"/>
  <c r="F32" i="19"/>
  <c r="G32" i="19" s="1"/>
  <c r="H32" i="19" s="1"/>
  <c r="F36" i="19"/>
  <c r="G36" i="19" s="1"/>
  <c r="H36" i="19" s="1"/>
  <c r="V16" i="17"/>
  <c r="F26" i="19"/>
  <c r="G26" i="19" s="1"/>
  <c r="H26" i="19" s="1"/>
  <c r="F28" i="19"/>
  <c r="G28" i="19" s="1"/>
  <c r="H28" i="19" s="1"/>
  <c r="F35" i="19"/>
  <c r="G35" i="19" s="1"/>
  <c r="H35" i="19" s="1"/>
  <c r="F22" i="19"/>
  <c r="G22" i="19" s="1"/>
  <c r="H22" i="19" s="1"/>
  <c r="F37" i="19"/>
  <c r="G37" i="19" s="1"/>
  <c r="H37" i="19" s="1"/>
  <c r="F31" i="19"/>
  <c r="G31" i="19" s="1"/>
  <c r="H31" i="19" s="1"/>
  <c r="F33" i="19"/>
  <c r="G33" i="19" s="1"/>
  <c r="H33" i="19" s="1"/>
  <c r="F38" i="19"/>
  <c r="G38" i="19" s="1"/>
  <c r="H38" i="19" s="1"/>
  <c r="F25" i="19"/>
  <c r="G25" i="19" s="1"/>
  <c r="H25" i="19" s="1"/>
  <c r="F27" i="19"/>
  <c r="G27" i="19" s="1"/>
  <c r="H27" i="19" s="1"/>
  <c r="F29" i="19"/>
  <c r="G29" i="19" s="1"/>
  <c r="H29" i="19" s="1"/>
  <c r="F24" i="19"/>
  <c r="G24" i="19" s="1"/>
  <c r="H24" i="19" s="1"/>
  <c r="V19" i="17"/>
  <c r="F21" i="18"/>
  <c r="G21" i="18" s="1"/>
  <c r="H21" i="18" s="1"/>
  <c r="F23" i="18"/>
  <c r="G23" i="18" s="1"/>
  <c r="H23" i="18" s="1"/>
  <c r="F29" i="18"/>
  <c r="G29" i="18" s="1"/>
  <c r="H29" i="18" s="1"/>
  <c r="F31" i="18"/>
  <c r="G31" i="18" s="1"/>
  <c r="H31" i="18" s="1"/>
  <c r="F25" i="18"/>
  <c r="G25" i="18" s="1"/>
  <c r="H25" i="18" s="1"/>
  <c r="F30" i="18"/>
  <c r="G30" i="18" s="1"/>
  <c r="H30" i="18" s="1"/>
  <c r="F28" i="18"/>
  <c r="G28" i="18" s="1"/>
  <c r="H28" i="18" s="1"/>
  <c r="F32" i="18"/>
  <c r="G32" i="18" s="1"/>
  <c r="H32" i="18" s="1"/>
  <c r="F22" i="18"/>
  <c r="G22" i="18" s="1"/>
  <c r="H22" i="18" s="1"/>
  <c r="F26" i="18"/>
  <c r="G26" i="18" s="1"/>
  <c r="H26" i="18" s="1"/>
  <c r="F24" i="18"/>
  <c r="G24" i="18" s="1"/>
  <c r="H24" i="18" s="1"/>
  <c r="F27" i="18"/>
  <c r="G27" i="18" s="1"/>
  <c r="H27" i="18" s="1"/>
  <c r="D19" i="16"/>
  <c r="F34" i="21" l="1"/>
  <c r="G34" i="21" s="1"/>
  <c r="H34" i="21" s="1"/>
  <c r="F25" i="21"/>
  <c r="G25" i="21" s="1"/>
  <c r="H25" i="21" s="1"/>
  <c r="F33" i="21"/>
  <c r="G33" i="21" s="1"/>
  <c r="H33" i="21" s="1"/>
  <c r="F21" i="21"/>
  <c r="G21" i="21" s="1"/>
  <c r="H21" i="21" s="1"/>
  <c r="F23" i="21"/>
  <c r="G23" i="21" s="1"/>
  <c r="H23" i="21" s="1"/>
  <c r="F35" i="21"/>
  <c r="G35" i="21" s="1"/>
  <c r="H35" i="21" s="1"/>
  <c r="F29" i="21"/>
  <c r="G29" i="21" s="1"/>
  <c r="H29" i="21" s="1"/>
  <c r="F31" i="21"/>
  <c r="G31" i="21" s="1"/>
  <c r="H31" i="21" s="1"/>
  <c r="F28" i="21"/>
  <c r="G28" i="21" s="1"/>
  <c r="H28" i="21" s="1"/>
  <c r="F37" i="21"/>
  <c r="G37" i="21" s="1"/>
  <c r="H37" i="21" s="1"/>
  <c r="F36" i="21"/>
  <c r="G36" i="21" s="1"/>
  <c r="H36" i="21" s="1"/>
  <c r="F27" i="21"/>
  <c r="G27" i="21" s="1"/>
  <c r="H27" i="21" s="1"/>
  <c r="F22" i="21"/>
  <c r="G22" i="21" s="1"/>
  <c r="H22" i="21" s="1"/>
  <c r="F24" i="21"/>
  <c r="G24" i="21" s="1"/>
  <c r="H24" i="21" s="1"/>
  <c r="F38" i="21"/>
  <c r="G38" i="21" s="1"/>
  <c r="H38" i="21" s="1"/>
  <c r="F26" i="21"/>
  <c r="G26" i="21" s="1"/>
  <c r="H26" i="21" s="1"/>
  <c r="F30" i="21"/>
  <c r="G30" i="21" s="1"/>
  <c r="H30" i="21" s="1"/>
  <c r="F32" i="21"/>
  <c r="G32" i="21" s="1"/>
  <c r="H32" i="21" s="1"/>
  <c r="F35" i="27"/>
  <c r="G35" i="27" s="1"/>
  <c r="H35" i="27" s="1"/>
  <c r="F28" i="27"/>
  <c r="G28" i="27" s="1"/>
  <c r="H28" i="27" s="1"/>
  <c r="F29" i="27"/>
  <c r="G29" i="27" s="1"/>
  <c r="H29" i="27" s="1"/>
  <c r="F31" i="27"/>
  <c r="G31" i="27" s="1"/>
  <c r="H31" i="27" s="1"/>
  <c r="F33" i="27"/>
  <c r="G33" i="27" s="1"/>
  <c r="H33" i="27" s="1"/>
  <c r="F34" i="27"/>
  <c r="G34" i="27" s="1"/>
  <c r="H34" i="27" s="1"/>
  <c r="F39" i="27"/>
  <c r="G39" i="27" s="1"/>
  <c r="H39" i="27" s="1"/>
  <c r="F24" i="27"/>
  <c r="G24" i="27" s="1"/>
  <c r="H24" i="27" s="1"/>
  <c r="F30" i="27"/>
  <c r="G30" i="27" s="1"/>
  <c r="H30" i="27" s="1"/>
  <c r="F32" i="27"/>
  <c r="G32" i="27" s="1"/>
  <c r="H32" i="27" s="1"/>
  <c r="F38" i="27"/>
  <c r="G38" i="27" s="1"/>
  <c r="H38" i="27" s="1"/>
  <c r="F36" i="27"/>
  <c r="G36" i="27" s="1"/>
  <c r="H36" i="27" s="1"/>
  <c r="F26" i="27"/>
  <c r="G26" i="27" s="1"/>
  <c r="H26" i="27" s="1"/>
  <c r="F25" i="27"/>
  <c r="G25" i="27" s="1"/>
  <c r="H25" i="27" s="1"/>
  <c r="F23" i="27"/>
  <c r="G23" i="27" s="1"/>
  <c r="H23" i="27" s="1"/>
  <c r="F22" i="27"/>
  <c r="G22" i="27" s="1"/>
  <c r="H22" i="27" s="1"/>
  <c r="F21" i="27"/>
  <c r="G21" i="27" s="1"/>
  <c r="H21" i="27" s="1"/>
  <c r="F27" i="27"/>
  <c r="G27" i="27" s="1"/>
  <c r="H27" i="27" s="1"/>
  <c r="F37" i="27"/>
  <c r="G37" i="27" s="1"/>
  <c r="H37" i="27" s="1"/>
  <c r="F34" i="22"/>
  <c r="G34" i="22" s="1"/>
  <c r="H34" i="22" s="1"/>
  <c r="F37" i="22"/>
  <c r="G37" i="22" s="1"/>
  <c r="H37" i="22" s="1"/>
  <c r="F28" i="22"/>
  <c r="G28" i="22" s="1"/>
  <c r="H28" i="22" s="1"/>
  <c r="F24" i="22"/>
  <c r="G24" i="22" s="1"/>
  <c r="H24" i="22" s="1"/>
  <c r="F23" i="22"/>
  <c r="G23" i="22" s="1"/>
  <c r="H23" i="22" s="1"/>
  <c r="F31" i="22"/>
  <c r="G31" i="22" s="1"/>
  <c r="H31" i="22" s="1"/>
  <c r="F35" i="22"/>
  <c r="G35" i="22" s="1"/>
  <c r="H35" i="22" s="1"/>
  <c r="F21" i="22"/>
  <c r="G21" i="22" s="1"/>
  <c r="H21" i="22" s="1"/>
  <c r="F29" i="22"/>
  <c r="G29" i="22" s="1"/>
  <c r="H29" i="22" s="1"/>
  <c r="F33" i="22"/>
  <c r="G33" i="22" s="1"/>
  <c r="H33" i="22" s="1"/>
  <c r="F36" i="22"/>
  <c r="G36" i="22" s="1"/>
  <c r="H36" i="22" s="1"/>
  <c r="F26" i="22"/>
  <c r="G26" i="22" s="1"/>
  <c r="H26" i="22" s="1"/>
  <c r="F22" i="22"/>
  <c r="G22" i="22" s="1"/>
  <c r="H22" i="22" s="1"/>
  <c r="F30" i="22"/>
  <c r="G30" i="22" s="1"/>
  <c r="H30" i="22" s="1"/>
  <c r="F27" i="22"/>
  <c r="G27" i="22" s="1"/>
  <c r="H27" i="22" s="1"/>
  <c r="F25" i="22"/>
  <c r="G25" i="22" s="1"/>
  <c r="H25" i="22" s="1"/>
  <c r="F32" i="22"/>
  <c r="G32" i="22" s="1"/>
  <c r="H32" i="22" s="1"/>
  <c r="E65" i="2" l="1"/>
  <c r="C45" i="2" l="1"/>
  <c r="G32" i="2" l="1"/>
  <c r="H32" i="2" s="1"/>
  <c r="G31" i="2"/>
  <c r="G15" i="2"/>
  <c r="G16" i="2"/>
  <c r="H16" i="2" s="1"/>
  <c r="G17" i="2"/>
  <c r="G18" i="2"/>
  <c r="G19" i="2"/>
  <c r="G20" i="2"/>
  <c r="H20" i="2" s="1"/>
  <c r="G14" i="2"/>
  <c r="H31" i="2" l="1"/>
  <c r="G64" i="2"/>
  <c r="H19" i="2"/>
  <c r="I19" i="2" s="1"/>
  <c r="H14" i="2"/>
  <c r="I14" i="2" s="1"/>
  <c r="H18" i="2"/>
  <c r="I18" i="2" s="1"/>
  <c r="H17" i="2"/>
  <c r="I17" i="2" s="1"/>
  <c r="H15" i="2"/>
  <c r="I15" i="2" s="1"/>
  <c r="E64" i="2"/>
  <c r="B49" i="2"/>
  <c r="B41" i="2"/>
  <c r="B58" i="2"/>
  <c r="B34" i="2"/>
  <c r="B22" i="2"/>
  <c r="H64" i="2" l="1"/>
  <c r="H5" i="11"/>
  <c r="G5" i="11"/>
  <c r="I5" i="11"/>
  <c r="E45" i="2" l="1"/>
  <c r="E47" i="2"/>
  <c r="E56" i="2"/>
  <c r="E30" i="2"/>
  <c r="E26" i="2"/>
  <c r="E13" i="2"/>
  <c r="E12" i="2"/>
  <c r="E53" i="2" l="1"/>
  <c r="E27" i="2"/>
  <c r="E38" i="2"/>
  <c r="E55" i="2"/>
  <c r="E28" i="2"/>
  <c r="E29" i="2"/>
  <c r="E39" i="2"/>
  <c r="E54" i="2"/>
  <c r="M54" i="2" s="1"/>
  <c r="D46" i="2"/>
  <c r="M55" i="2" l="1"/>
  <c r="M31" i="2"/>
  <c r="M27" i="2"/>
  <c r="M29" i="2"/>
  <c r="M28" i="2"/>
  <c r="M30" i="2"/>
  <c r="F5" i="11"/>
  <c r="E5" i="11"/>
  <c r="A2" i="11"/>
  <c r="A1" i="11"/>
  <c r="E22" i="2" l="1"/>
  <c r="E63" i="2" l="1"/>
  <c r="M47" i="2" l="1"/>
  <c r="M5" i="2"/>
  <c r="E58" i="2" l="1"/>
  <c r="G53" i="2"/>
  <c r="H53" i="2" s="1"/>
  <c r="G12" i="2"/>
  <c r="H12" i="2" s="1"/>
  <c r="E34" i="2" l="1"/>
  <c r="I7" i="11"/>
  <c r="E7" i="11"/>
  <c r="M39" i="2"/>
  <c r="E41" i="2"/>
  <c r="I12" i="2" l="1"/>
  <c r="G7" i="11"/>
  <c r="I53" i="2"/>
  <c r="F7" i="11"/>
  <c r="G26" i="2" l="1"/>
  <c r="H26" i="2" s="1"/>
  <c r="I26" i="2" l="1"/>
  <c r="G45" i="2" l="1"/>
  <c r="H45" i="2" s="1"/>
  <c r="E46" i="2"/>
  <c r="E62" i="2" l="1"/>
  <c r="E66" i="2" s="1"/>
  <c r="G46" i="2"/>
  <c r="E49" i="2"/>
  <c r="H46" i="2" l="1"/>
  <c r="I46" i="2" s="1"/>
  <c r="H7" i="11"/>
  <c r="I45" i="2"/>
  <c r="D63" i="2"/>
  <c r="D7" i="11" l="1"/>
  <c r="D8" i="16"/>
  <c r="D10" i="16" s="1"/>
  <c r="D23" i="16" s="1"/>
  <c r="D62" i="2"/>
  <c r="D12" i="16" l="1"/>
  <c r="D17" i="11"/>
  <c r="G38" i="2"/>
  <c r="D18" i="11" l="1"/>
  <c r="D27" i="11" s="1"/>
  <c r="D28" i="11" s="1"/>
  <c r="D48" i="16" s="1"/>
  <c r="I23" i="16"/>
  <c r="F23" i="16"/>
  <c r="H23" i="16"/>
  <c r="G23" i="16"/>
  <c r="G62" i="2"/>
  <c r="H38" i="2"/>
  <c r="H62" i="2" s="1"/>
  <c r="I62" i="2" s="1"/>
  <c r="J23" i="16" l="1"/>
  <c r="F18" i="11"/>
  <c r="F27" i="11" s="1"/>
  <c r="F28" i="11" s="1"/>
  <c r="F48" i="16" s="1"/>
  <c r="I18" i="11"/>
  <c r="I27" i="11" s="1"/>
  <c r="I28" i="11" s="1"/>
  <c r="I48" i="16" s="1"/>
  <c r="H18" i="11"/>
  <c r="H27" i="11" s="1"/>
  <c r="H28" i="11" s="1"/>
  <c r="H48" i="16" s="1"/>
  <c r="E18" i="11"/>
  <c r="E27" i="11" s="1"/>
  <c r="E28" i="11" s="1"/>
  <c r="E48" i="16" s="1"/>
  <c r="G18" i="11"/>
  <c r="G27" i="11" s="1"/>
  <c r="G28" i="11" s="1"/>
  <c r="G48" i="16" s="1"/>
  <c r="I38" i="2"/>
  <c r="K18" i="11" l="1"/>
  <c r="L22" i="2"/>
  <c r="L41" i="2"/>
  <c r="F39" i="2" s="1"/>
  <c r="G38" i="16" s="1"/>
  <c r="T36" i="29" s="1"/>
  <c r="L49" i="2"/>
  <c r="F47" i="2" s="1"/>
  <c r="L58" i="2"/>
  <c r="L34" i="2"/>
  <c r="H38" i="16" l="1"/>
  <c r="Q21" i="17" s="1"/>
  <c r="F20" i="44"/>
  <c r="F23" i="44"/>
  <c r="F29" i="44"/>
  <c r="F28" i="44"/>
  <c r="F32" i="44"/>
  <c r="F25" i="44"/>
  <c r="F34" i="44"/>
  <c r="F33" i="44"/>
  <c r="F30" i="44"/>
  <c r="F31" i="44"/>
  <c r="F21" i="44"/>
  <c r="F24" i="44"/>
  <c r="F26" i="44"/>
  <c r="F22" i="44"/>
  <c r="F27" i="44"/>
  <c r="F27" i="2"/>
  <c r="F38" i="16" s="1"/>
  <c r="F29" i="2"/>
  <c r="F28" i="2"/>
  <c r="F30" i="2"/>
  <c r="G47" i="2"/>
  <c r="F13" i="2"/>
  <c r="E38" i="16" s="1"/>
  <c r="D9" i="11"/>
  <c r="G39" i="2"/>
  <c r="P32" i="22" l="1"/>
  <c r="Q32" i="22" s="1"/>
  <c r="R32" i="22" s="1"/>
  <c r="P29" i="22"/>
  <c r="T29" i="22" s="1"/>
  <c r="U29" i="22" s="1"/>
  <c r="P24" i="22"/>
  <c r="Q24" i="22" s="1"/>
  <c r="R24" i="22" s="1"/>
  <c r="P21" i="22"/>
  <c r="P30" i="22"/>
  <c r="Q30" i="22" s="1"/>
  <c r="R30" i="22" s="1"/>
  <c r="P33" i="22"/>
  <c r="P31" i="22"/>
  <c r="Q24" i="17"/>
  <c r="P27" i="25" s="1"/>
  <c r="P34" i="22"/>
  <c r="T34" i="22" s="1"/>
  <c r="U34" i="22" s="1"/>
  <c r="P22" i="22"/>
  <c r="Q22" i="22" s="1"/>
  <c r="R22" i="22" s="1"/>
  <c r="P27" i="22"/>
  <c r="T27" i="22" s="1"/>
  <c r="U27" i="22" s="1"/>
  <c r="P35" i="22"/>
  <c r="Q35" i="22" s="1"/>
  <c r="R35" i="22" s="1"/>
  <c r="P37" i="22"/>
  <c r="T37" i="22" s="1"/>
  <c r="U37" i="22" s="1"/>
  <c r="P25" i="22"/>
  <c r="Q25" i="22" s="1"/>
  <c r="R25" i="22" s="1"/>
  <c r="P23" i="22"/>
  <c r="P26" i="22"/>
  <c r="Q26" i="22" s="1"/>
  <c r="R26" i="22" s="1"/>
  <c r="P36" i="22"/>
  <c r="Q36" i="22" s="1"/>
  <c r="R36" i="22" s="1"/>
  <c r="P28" i="22"/>
  <c r="Q28" i="22" s="1"/>
  <c r="R28" i="22" s="1"/>
  <c r="I40" i="16"/>
  <c r="S17" i="17" s="1"/>
  <c r="G33" i="44"/>
  <c r="H33" i="44" s="1"/>
  <c r="K33" i="44"/>
  <c r="L33" i="44" s="1"/>
  <c r="K25" i="44"/>
  <c r="L25" i="44" s="1"/>
  <c r="G25" i="44"/>
  <c r="H25" i="44" s="1"/>
  <c r="G26" i="44"/>
  <c r="H26" i="44" s="1"/>
  <c r="K26" i="44"/>
  <c r="L26" i="44" s="1"/>
  <c r="G32" i="44"/>
  <c r="H32" i="44" s="1"/>
  <c r="K32" i="44"/>
  <c r="L32" i="44" s="1"/>
  <c r="G24" i="44"/>
  <c r="H24" i="44" s="1"/>
  <c r="K24" i="44"/>
  <c r="L24" i="44" s="1"/>
  <c r="G28" i="44"/>
  <c r="H28" i="44" s="1"/>
  <c r="K28" i="44"/>
  <c r="L28" i="44" s="1"/>
  <c r="K27" i="44"/>
  <c r="L27" i="44" s="1"/>
  <c r="G27" i="44"/>
  <c r="H27" i="44" s="1"/>
  <c r="K22" i="44"/>
  <c r="L22" i="44" s="1"/>
  <c r="G22" i="44"/>
  <c r="H22" i="44" s="1"/>
  <c r="K21" i="44"/>
  <c r="L21" i="44" s="1"/>
  <c r="G21" i="44"/>
  <c r="H21" i="44" s="1"/>
  <c r="G29" i="44"/>
  <c r="H29" i="44" s="1"/>
  <c r="K29" i="44"/>
  <c r="L29" i="44" s="1"/>
  <c r="G34" i="44"/>
  <c r="H34" i="44" s="1"/>
  <c r="K34" i="44"/>
  <c r="L34" i="44" s="1"/>
  <c r="Q15" i="17"/>
  <c r="T33" i="29"/>
  <c r="G31" i="44"/>
  <c r="H31" i="44" s="1"/>
  <c r="K31" i="44"/>
  <c r="L31" i="44" s="1"/>
  <c r="G23" i="44"/>
  <c r="H23" i="44" s="1"/>
  <c r="K23" i="44"/>
  <c r="L23" i="44" s="1"/>
  <c r="T22" i="29"/>
  <c r="F29" i="31" s="1"/>
  <c r="Q14" i="17"/>
  <c r="K30" i="44"/>
  <c r="L30" i="44" s="1"/>
  <c r="G30" i="44"/>
  <c r="H30" i="44" s="1"/>
  <c r="G20" i="44"/>
  <c r="H20" i="44" s="1"/>
  <c r="K20" i="44"/>
  <c r="L20" i="44" s="1"/>
  <c r="G30" i="2"/>
  <c r="H30" i="2" s="1"/>
  <c r="I30" i="2" s="1"/>
  <c r="F41" i="16"/>
  <c r="G28" i="2"/>
  <c r="H28" i="2" s="1"/>
  <c r="I28" i="2" s="1"/>
  <c r="F39" i="16"/>
  <c r="G29" i="2"/>
  <c r="H29" i="2" s="1"/>
  <c r="I29" i="2" s="1"/>
  <c r="F40" i="16"/>
  <c r="D12" i="11"/>
  <c r="H39" i="2"/>
  <c r="I39" i="2" s="1"/>
  <c r="L40" i="2"/>
  <c r="L42" i="2" s="1"/>
  <c r="G40" i="2" s="1"/>
  <c r="G56" i="2"/>
  <c r="G13" i="2"/>
  <c r="H47" i="2"/>
  <c r="I47" i="2" s="1"/>
  <c r="L48" i="2"/>
  <c r="L50" i="2" s="1"/>
  <c r="G48" i="2" s="1"/>
  <c r="H48" i="2" s="1"/>
  <c r="G27" i="2"/>
  <c r="H13" i="2" l="1"/>
  <c r="P33" i="25"/>
  <c r="F55" i="2"/>
  <c r="F54" i="2"/>
  <c r="T36" i="22"/>
  <c r="U36" i="22" s="1"/>
  <c r="Q34" i="22"/>
  <c r="R34" i="22" s="1"/>
  <c r="Q27" i="22"/>
  <c r="R27" i="22" s="1"/>
  <c r="T24" i="22"/>
  <c r="U24" i="22" s="1"/>
  <c r="P22" i="25"/>
  <c r="Q22" i="25" s="1"/>
  <c r="R22" i="25" s="1"/>
  <c r="T32" i="22"/>
  <c r="U32" i="22" s="1"/>
  <c r="T35" i="22"/>
  <c r="U35" i="22" s="1"/>
  <c r="T21" i="22"/>
  <c r="U21" i="22" s="1"/>
  <c r="Q29" i="22"/>
  <c r="R29" i="22" s="1"/>
  <c r="T22" i="22"/>
  <c r="U22" i="22" s="1"/>
  <c r="T28" i="22"/>
  <c r="U28" i="22" s="1"/>
  <c r="Q21" i="22"/>
  <c r="R21" i="22" s="1"/>
  <c r="Q37" i="22"/>
  <c r="R37" i="22" s="1"/>
  <c r="T30" i="22"/>
  <c r="U30" i="22" s="1"/>
  <c r="H56" i="2"/>
  <c r="I56" i="2" s="1"/>
  <c r="Q31" i="22"/>
  <c r="R31" i="22" s="1"/>
  <c r="T23" i="22"/>
  <c r="U23" i="22" s="1"/>
  <c r="Q23" i="22"/>
  <c r="R23" i="22" s="1"/>
  <c r="T25" i="22"/>
  <c r="U25" i="22" s="1"/>
  <c r="T31" i="22"/>
  <c r="U31" i="22" s="1"/>
  <c r="Q33" i="22"/>
  <c r="R33" i="22" s="1"/>
  <c r="P24" i="25"/>
  <c r="Q24" i="25" s="1"/>
  <c r="R24" i="25" s="1"/>
  <c r="P28" i="25"/>
  <c r="T28" i="25" s="1"/>
  <c r="U28" i="25" s="1"/>
  <c r="P34" i="25"/>
  <c r="P21" i="25"/>
  <c r="Q21" i="25" s="1"/>
  <c r="R21" i="25" s="1"/>
  <c r="P36" i="25"/>
  <c r="P31" i="25"/>
  <c r="Q31" i="25" s="1"/>
  <c r="R31" i="25" s="1"/>
  <c r="P26" i="25"/>
  <c r="T26" i="25" s="1"/>
  <c r="U26" i="25" s="1"/>
  <c r="P30" i="25"/>
  <c r="T30" i="25" s="1"/>
  <c r="U30" i="25" s="1"/>
  <c r="P37" i="25"/>
  <c r="Q37" i="25" s="1"/>
  <c r="R37" i="25" s="1"/>
  <c r="P35" i="25"/>
  <c r="T35" i="25" s="1"/>
  <c r="U35" i="25" s="1"/>
  <c r="P32" i="25"/>
  <c r="T26" i="22"/>
  <c r="U26" i="22" s="1"/>
  <c r="P23" i="25"/>
  <c r="P25" i="25"/>
  <c r="T33" i="22"/>
  <c r="U33" i="22" s="1"/>
  <c r="P29" i="25"/>
  <c r="Q29" i="25" s="1"/>
  <c r="R29" i="25" s="1"/>
  <c r="V35" i="29"/>
  <c r="S18" i="17"/>
  <c r="S26" i="17"/>
  <c r="F27" i="31"/>
  <c r="G27" i="31" s="1"/>
  <c r="H27" i="31" s="1"/>
  <c r="F24" i="31"/>
  <c r="G24" i="31" s="1"/>
  <c r="H24" i="31" s="1"/>
  <c r="F21" i="31"/>
  <c r="K21" i="31" s="1"/>
  <c r="L21" i="31" s="1"/>
  <c r="F22" i="31"/>
  <c r="G22" i="31" s="1"/>
  <c r="H22" i="31" s="1"/>
  <c r="F30" i="31"/>
  <c r="G30" i="31" s="1"/>
  <c r="H30" i="31" s="1"/>
  <c r="F28" i="31"/>
  <c r="G28" i="31" s="1"/>
  <c r="H28" i="31" s="1"/>
  <c r="F31" i="31"/>
  <c r="K31" i="31" s="1"/>
  <c r="L31" i="31" s="1"/>
  <c r="F23" i="31"/>
  <c r="K23" i="31" s="1"/>
  <c r="L23" i="31" s="1"/>
  <c r="F20" i="31"/>
  <c r="G20" i="31" s="1"/>
  <c r="H20" i="31" s="1"/>
  <c r="Q27" i="25"/>
  <c r="R27" i="25" s="1"/>
  <c r="T27" i="25"/>
  <c r="U27" i="25" s="1"/>
  <c r="F25" i="31"/>
  <c r="K25" i="31" s="1"/>
  <c r="L25" i="31" s="1"/>
  <c r="F26" i="31"/>
  <c r="K26" i="31" s="1"/>
  <c r="L26" i="31" s="1"/>
  <c r="Q33" i="25"/>
  <c r="R33" i="25" s="1"/>
  <c r="T33" i="25"/>
  <c r="U33" i="25" s="1"/>
  <c r="U33" i="29"/>
  <c r="U34" i="29" s="1"/>
  <c r="R15" i="17"/>
  <c r="K25" i="19" s="1"/>
  <c r="K26" i="18"/>
  <c r="K29" i="18"/>
  <c r="K32" i="18"/>
  <c r="K31" i="18"/>
  <c r="K27" i="18"/>
  <c r="K23" i="18"/>
  <c r="K28" i="18"/>
  <c r="K22" i="18"/>
  <c r="K30" i="18"/>
  <c r="K21" i="18"/>
  <c r="K24" i="18"/>
  <c r="K25" i="18"/>
  <c r="T34" i="29"/>
  <c r="F22" i="32"/>
  <c r="F23" i="32"/>
  <c r="F21" i="32"/>
  <c r="F20" i="32"/>
  <c r="K22" i="19"/>
  <c r="Q20" i="17"/>
  <c r="K24" i="19"/>
  <c r="Q19" i="17"/>
  <c r="Q16" i="17"/>
  <c r="K21" i="19"/>
  <c r="K23" i="19"/>
  <c r="W33" i="29"/>
  <c r="W34" i="29" s="1"/>
  <c r="T15" i="17"/>
  <c r="V33" i="29"/>
  <c r="V34" i="29" s="1"/>
  <c r="S15" i="17"/>
  <c r="G29" i="31"/>
  <c r="H29" i="31" s="1"/>
  <c r="K29" i="31"/>
  <c r="L29" i="31" s="1"/>
  <c r="K15" i="11"/>
  <c r="H27" i="2"/>
  <c r="I27" i="2" s="1"/>
  <c r="L33" i="2"/>
  <c r="L35" i="2" s="1"/>
  <c r="G33" i="2" s="1"/>
  <c r="G49" i="2"/>
  <c r="H49" i="2" s="1"/>
  <c r="G41" i="2"/>
  <c r="H41" i="2" s="1"/>
  <c r="I41" i="2" s="1"/>
  <c r="G47" i="16" s="1"/>
  <c r="H40" i="2"/>
  <c r="L21" i="2"/>
  <c r="L23" i="2" s="1"/>
  <c r="G21" i="2" s="1"/>
  <c r="T22" i="25" l="1"/>
  <c r="U22" i="25" s="1"/>
  <c r="G31" i="31"/>
  <c r="H31" i="31" s="1"/>
  <c r="Q36" i="25"/>
  <c r="R36" i="25" s="1"/>
  <c r="Q32" i="25"/>
  <c r="R32" i="25" s="1"/>
  <c r="T24" i="25"/>
  <c r="U24" i="25" s="1"/>
  <c r="T21" i="25"/>
  <c r="U21" i="25" s="1"/>
  <c r="T29" i="25"/>
  <c r="U29" i="25" s="1"/>
  <c r="Q35" i="25"/>
  <c r="R35" i="25" s="1"/>
  <c r="Q34" i="25"/>
  <c r="R34" i="25" s="1"/>
  <c r="T31" i="25"/>
  <c r="U31" i="25" s="1"/>
  <c r="T32" i="25"/>
  <c r="U32" i="25" s="1"/>
  <c r="T34" i="25"/>
  <c r="U34" i="25" s="1"/>
  <c r="Q28" i="25"/>
  <c r="R28" i="25" s="1"/>
  <c r="T37" i="25"/>
  <c r="U37" i="25" s="1"/>
  <c r="T36" i="25"/>
  <c r="U36" i="25" s="1"/>
  <c r="I49" i="2"/>
  <c r="H47" i="16" s="1"/>
  <c r="I38" i="16"/>
  <c r="G54" i="2"/>
  <c r="G63" i="2" s="1"/>
  <c r="I39" i="16"/>
  <c r="G55" i="2"/>
  <c r="H55" i="2" s="1"/>
  <c r="I55" i="2" s="1"/>
  <c r="T25" i="25"/>
  <c r="U25" i="25" s="1"/>
  <c r="Q25" i="25"/>
  <c r="R25" i="25" s="1"/>
  <c r="Q23" i="25"/>
  <c r="R23" i="25" s="1"/>
  <c r="T23" i="25"/>
  <c r="U23" i="25" s="1"/>
  <c r="Q26" i="25"/>
  <c r="R26" i="25" s="1"/>
  <c r="Q30" i="25"/>
  <c r="R30" i="25" s="1"/>
  <c r="K27" i="31"/>
  <c r="L27" i="31" s="1"/>
  <c r="G21" i="31"/>
  <c r="H21" i="31" s="1"/>
  <c r="K28" i="31"/>
  <c r="L28" i="31" s="1"/>
  <c r="K24" i="31"/>
  <c r="L24" i="31" s="1"/>
  <c r="G26" i="31"/>
  <c r="H26" i="31" s="1"/>
  <c r="K20" i="31"/>
  <c r="L20" i="31" s="1"/>
  <c r="K28" i="19"/>
  <c r="P28" i="19" s="1"/>
  <c r="Q28" i="19" s="1"/>
  <c r="G25" i="31"/>
  <c r="H25" i="31" s="1"/>
  <c r="K35" i="19"/>
  <c r="P35" i="19" s="1"/>
  <c r="Q35" i="19" s="1"/>
  <c r="F31" i="32"/>
  <c r="F26" i="32"/>
  <c r="G26" i="32" s="1"/>
  <c r="H26" i="32" s="1"/>
  <c r="F27" i="32"/>
  <c r="G27" i="32" s="1"/>
  <c r="H27" i="32" s="1"/>
  <c r="G23" i="31"/>
  <c r="H23" i="31" s="1"/>
  <c r="K31" i="19"/>
  <c r="K38" i="19"/>
  <c r="F28" i="32"/>
  <c r="G28" i="32" s="1"/>
  <c r="H28" i="32" s="1"/>
  <c r="K26" i="19"/>
  <c r="F25" i="32"/>
  <c r="G25" i="32" s="1"/>
  <c r="H25" i="32" s="1"/>
  <c r="K32" i="19"/>
  <c r="L32" i="19" s="1"/>
  <c r="M32" i="19" s="1"/>
  <c r="K36" i="19"/>
  <c r="L36" i="19" s="1"/>
  <c r="M36" i="19" s="1"/>
  <c r="K30" i="31"/>
  <c r="L30" i="31" s="1"/>
  <c r="K22" i="31"/>
  <c r="L22" i="31" s="1"/>
  <c r="K27" i="19"/>
  <c r="P27" i="19" s="1"/>
  <c r="Q27" i="19" s="1"/>
  <c r="K29" i="19"/>
  <c r="F29" i="32"/>
  <c r="G29" i="32" s="1"/>
  <c r="H29" i="32" s="1"/>
  <c r="F24" i="32"/>
  <c r="K24" i="32" s="1"/>
  <c r="L24" i="32" s="1"/>
  <c r="K30" i="19"/>
  <c r="L30" i="19" s="1"/>
  <c r="M30" i="19" s="1"/>
  <c r="F30" i="32"/>
  <c r="G30" i="32" s="1"/>
  <c r="H30" i="32" s="1"/>
  <c r="F36" i="32"/>
  <c r="G21" i="32"/>
  <c r="H21" i="32" s="1"/>
  <c r="K21" i="32"/>
  <c r="L21" i="32" s="1"/>
  <c r="P23" i="18"/>
  <c r="Q23" i="18" s="1"/>
  <c r="L23" i="18"/>
  <c r="M23" i="18" s="1"/>
  <c r="T23" i="18"/>
  <c r="S19" i="17"/>
  <c r="S16" i="17"/>
  <c r="S20" i="17"/>
  <c r="K33" i="19"/>
  <c r="L22" i="19"/>
  <c r="M22" i="19" s="1"/>
  <c r="P22" i="19"/>
  <c r="Q22" i="19" s="1"/>
  <c r="F32" i="32"/>
  <c r="L27" i="18"/>
  <c r="M27" i="18" s="1"/>
  <c r="T27" i="18"/>
  <c r="P27" i="18"/>
  <c r="Q27" i="18" s="1"/>
  <c r="P25" i="18"/>
  <c r="Q25" i="18" s="1"/>
  <c r="T25" i="18"/>
  <c r="L25" i="18"/>
  <c r="M25" i="18" s="1"/>
  <c r="T20" i="17"/>
  <c r="T16" i="17"/>
  <c r="T19" i="17"/>
  <c r="K34" i="19"/>
  <c r="T24" i="18"/>
  <c r="P24" i="18"/>
  <c r="Q24" i="18" s="1"/>
  <c r="L24" i="18"/>
  <c r="M24" i="18" s="1"/>
  <c r="L32" i="18"/>
  <c r="M32" i="18" s="1"/>
  <c r="T32" i="18"/>
  <c r="P32" i="18"/>
  <c r="Q32" i="18" s="1"/>
  <c r="F35" i="32"/>
  <c r="L31" i="18"/>
  <c r="M31" i="18" s="1"/>
  <c r="T31" i="18"/>
  <c r="P31" i="18"/>
  <c r="Q31" i="18" s="1"/>
  <c r="P21" i="21"/>
  <c r="P23" i="21"/>
  <c r="P22" i="21"/>
  <c r="G23" i="32"/>
  <c r="H23" i="32" s="1"/>
  <c r="K23" i="32"/>
  <c r="L23" i="32" s="1"/>
  <c r="T21" i="18"/>
  <c r="L21" i="18"/>
  <c r="M21" i="18" s="1"/>
  <c r="P21" i="18"/>
  <c r="Q21" i="18" s="1"/>
  <c r="P29" i="18"/>
  <c r="Q29" i="18" s="1"/>
  <c r="L29" i="18"/>
  <c r="M29" i="18" s="1"/>
  <c r="T29" i="18"/>
  <c r="L23" i="19"/>
  <c r="M23" i="19" s="1"/>
  <c r="P23" i="19"/>
  <c r="Q23" i="19" s="1"/>
  <c r="L24" i="19"/>
  <c r="M24" i="19" s="1"/>
  <c r="P24" i="19"/>
  <c r="Q24" i="19" s="1"/>
  <c r="F37" i="32"/>
  <c r="L30" i="18"/>
  <c r="M30" i="18" s="1"/>
  <c r="P30" i="18"/>
  <c r="Q30" i="18" s="1"/>
  <c r="T30" i="18"/>
  <c r="L26" i="18"/>
  <c r="M26" i="18" s="1"/>
  <c r="T26" i="18"/>
  <c r="P26" i="18"/>
  <c r="Q26" i="18" s="1"/>
  <c r="G20" i="32"/>
  <c r="H20" i="32" s="1"/>
  <c r="K20" i="32"/>
  <c r="L20" i="32" s="1"/>
  <c r="P21" i="19"/>
  <c r="Q21" i="19" s="1"/>
  <c r="L21" i="19"/>
  <c r="M21" i="19" s="1"/>
  <c r="F33" i="32"/>
  <c r="K22" i="32"/>
  <c r="L22" i="32" s="1"/>
  <c r="G22" i="32"/>
  <c r="H22" i="32" s="1"/>
  <c r="T22" i="18"/>
  <c r="L22" i="18"/>
  <c r="M22" i="18" s="1"/>
  <c r="P22" i="18"/>
  <c r="Q22" i="18" s="1"/>
  <c r="R16" i="17"/>
  <c r="R20" i="17"/>
  <c r="R19" i="17"/>
  <c r="K37" i="19"/>
  <c r="P25" i="19"/>
  <c r="Q25" i="19" s="1"/>
  <c r="L25" i="19"/>
  <c r="M25" i="19" s="1"/>
  <c r="F34" i="32"/>
  <c r="G31" i="32"/>
  <c r="H31" i="32" s="1"/>
  <c r="K31" i="32"/>
  <c r="L31" i="32" s="1"/>
  <c r="L28" i="18"/>
  <c r="M28" i="18" s="1"/>
  <c r="P28" i="18"/>
  <c r="Q28" i="18" s="1"/>
  <c r="T28" i="18"/>
  <c r="G34" i="2"/>
  <c r="H34" i="2" s="1"/>
  <c r="I34" i="2" s="1"/>
  <c r="F47" i="16" s="1"/>
  <c r="H33" i="2"/>
  <c r="G22" i="2"/>
  <c r="H21" i="2"/>
  <c r="H22" i="2" s="1"/>
  <c r="I22" i="2" s="1"/>
  <c r="E47" i="16" s="1"/>
  <c r="I13" i="2"/>
  <c r="U35" i="29" l="1"/>
  <c r="R17" i="17"/>
  <c r="L57" i="2"/>
  <c r="L59" i="2" s="1"/>
  <c r="G57" i="2" s="1"/>
  <c r="H54" i="2"/>
  <c r="H63" i="2" s="1"/>
  <c r="T35" i="29"/>
  <c r="Q17" i="17"/>
  <c r="L29" i="19"/>
  <c r="M29" i="19" s="1"/>
  <c r="L31" i="19"/>
  <c r="M31" i="19" s="1"/>
  <c r="P31" i="19"/>
  <c r="Q31" i="19" s="1"/>
  <c r="K25" i="32"/>
  <c r="L25" i="32" s="1"/>
  <c r="L35" i="19"/>
  <c r="M35" i="19" s="1"/>
  <c r="K30" i="32"/>
  <c r="L30" i="32" s="1"/>
  <c r="L28" i="19"/>
  <c r="M28" i="19" s="1"/>
  <c r="P30" i="19"/>
  <c r="Q30" i="19" s="1"/>
  <c r="G24" i="32"/>
  <c r="H24" i="32" s="1"/>
  <c r="K27" i="32"/>
  <c r="L27" i="32" s="1"/>
  <c r="K26" i="32"/>
  <c r="L26" i="32" s="1"/>
  <c r="P37" i="21"/>
  <c r="Q37" i="21" s="1"/>
  <c r="R37" i="21" s="1"/>
  <c r="P27" i="21"/>
  <c r="Q27" i="21" s="1"/>
  <c r="R27" i="21" s="1"/>
  <c r="L38" i="19"/>
  <c r="M38" i="19" s="1"/>
  <c r="K28" i="32"/>
  <c r="L28" i="32" s="1"/>
  <c r="L26" i="19"/>
  <c r="M26" i="19" s="1"/>
  <c r="P26" i="19"/>
  <c r="Q26" i="19" s="1"/>
  <c r="P25" i="21"/>
  <c r="P36" i="19"/>
  <c r="Q36" i="19" s="1"/>
  <c r="K29" i="32"/>
  <c r="L29" i="32" s="1"/>
  <c r="P38" i="19"/>
  <c r="Q38" i="19" s="1"/>
  <c r="P29" i="19"/>
  <c r="Q29" i="19" s="1"/>
  <c r="P38" i="21"/>
  <c r="Q38" i="21" s="1"/>
  <c r="R38" i="21" s="1"/>
  <c r="L27" i="19"/>
  <c r="M27" i="19" s="1"/>
  <c r="P32" i="19"/>
  <c r="Q32" i="19" s="1"/>
  <c r="T23" i="21"/>
  <c r="U23" i="21" s="1"/>
  <c r="Q23" i="21"/>
  <c r="R23" i="21" s="1"/>
  <c r="G34" i="32"/>
  <c r="H34" i="32" s="1"/>
  <c r="K34" i="32"/>
  <c r="L34" i="32" s="1"/>
  <c r="G37" i="32"/>
  <c r="H37" i="32" s="1"/>
  <c r="K37" i="32"/>
  <c r="L37" i="32" s="1"/>
  <c r="L37" i="19"/>
  <c r="M37" i="19" s="1"/>
  <c r="P37" i="19"/>
  <c r="Q37" i="19" s="1"/>
  <c r="P32" i="21"/>
  <c r="P24" i="21"/>
  <c r="G36" i="32"/>
  <c r="H36" i="32" s="1"/>
  <c r="K36" i="32"/>
  <c r="L36" i="32" s="1"/>
  <c r="Q21" i="21"/>
  <c r="R21" i="21" s="1"/>
  <c r="T21" i="21"/>
  <c r="U21" i="21" s="1"/>
  <c r="P29" i="21"/>
  <c r="P34" i="21"/>
  <c r="K33" i="32"/>
  <c r="L33" i="32" s="1"/>
  <c r="G33" i="32"/>
  <c r="H33" i="32" s="1"/>
  <c r="P36" i="21"/>
  <c r="P26" i="21"/>
  <c r="K35" i="32"/>
  <c r="L35" i="32" s="1"/>
  <c r="G35" i="32"/>
  <c r="H35" i="32" s="1"/>
  <c r="P31" i="21"/>
  <c r="P35" i="21"/>
  <c r="L34" i="19"/>
  <c r="M34" i="19" s="1"/>
  <c r="P34" i="19"/>
  <c r="Q34" i="19" s="1"/>
  <c r="G32" i="32"/>
  <c r="H32" i="32" s="1"/>
  <c r="K32" i="32"/>
  <c r="L32" i="32" s="1"/>
  <c r="P33" i="21"/>
  <c r="P28" i="21"/>
  <c r="P33" i="19"/>
  <c r="Q33" i="19" s="1"/>
  <c r="L33" i="19"/>
  <c r="M33" i="19" s="1"/>
  <c r="Q22" i="21"/>
  <c r="R22" i="21" s="1"/>
  <c r="T22" i="21"/>
  <c r="U22" i="21" s="1"/>
  <c r="P30" i="21"/>
  <c r="Q26" i="17" l="1"/>
  <c r="P31" i="20"/>
  <c r="P21" i="20"/>
  <c r="P26" i="20"/>
  <c r="P22" i="20"/>
  <c r="P40" i="20"/>
  <c r="P29" i="20"/>
  <c r="P23" i="20"/>
  <c r="P36" i="20"/>
  <c r="P25" i="20"/>
  <c r="Q18" i="17"/>
  <c r="P27" i="20"/>
  <c r="P35" i="20"/>
  <c r="P33" i="20"/>
  <c r="P30" i="20"/>
  <c r="P28" i="20"/>
  <c r="P32" i="20"/>
  <c r="P34" i="20"/>
  <c r="P39" i="20"/>
  <c r="P24" i="20"/>
  <c r="P38" i="20"/>
  <c r="P37" i="20"/>
  <c r="F21" i="43"/>
  <c r="F32" i="43"/>
  <c r="F27" i="43"/>
  <c r="F28" i="43"/>
  <c r="F23" i="43"/>
  <c r="F20" i="43"/>
  <c r="F26" i="43"/>
  <c r="F31" i="43"/>
  <c r="F33" i="43"/>
  <c r="F34" i="43"/>
  <c r="F22" i="43"/>
  <c r="F30" i="43"/>
  <c r="F25" i="43"/>
  <c r="F24" i="43"/>
  <c r="F29" i="43"/>
  <c r="I63" i="2"/>
  <c r="I54" i="2"/>
  <c r="G58" i="2"/>
  <c r="H57" i="2"/>
  <c r="G65" i="2"/>
  <c r="R26" i="17"/>
  <c r="R18" i="17"/>
  <c r="T38" i="21"/>
  <c r="U38" i="21" s="1"/>
  <c r="T27" i="21"/>
  <c r="U27" i="21" s="1"/>
  <c r="T37" i="21"/>
  <c r="U37" i="21" s="1"/>
  <c r="T25" i="21"/>
  <c r="U25" i="21" s="1"/>
  <c r="Q25" i="21"/>
  <c r="R25" i="21" s="1"/>
  <c r="Q26" i="21"/>
  <c r="R26" i="21" s="1"/>
  <c r="T26" i="21"/>
  <c r="U26" i="21" s="1"/>
  <c r="Q29" i="21"/>
  <c r="R29" i="21" s="1"/>
  <c r="T29" i="21"/>
  <c r="U29" i="21" s="1"/>
  <c r="Q36" i="21"/>
  <c r="R36" i="21" s="1"/>
  <c r="T36" i="21"/>
  <c r="U36" i="21" s="1"/>
  <c r="Q31" i="21"/>
  <c r="R31" i="21" s="1"/>
  <c r="T31" i="21"/>
  <c r="U31" i="21" s="1"/>
  <c r="Q34" i="21"/>
  <c r="R34" i="21" s="1"/>
  <c r="T34" i="21"/>
  <c r="U34" i="21" s="1"/>
  <c r="Q24" i="21"/>
  <c r="R24" i="21" s="1"/>
  <c r="T24" i="21"/>
  <c r="U24" i="21" s="1"/>
  <c r="Q28" i="21"/>
  <c r="R28" i="21" s="1"/>
  <c r="T28" i="21"/>
  <c r="U28" i="21" s="1"/>
  <c r="Q32" i="21"/>
  <c r="R32" i="21" s="1"/>
  <c r="T32" i="21"/>
  <c r="U32" i="21" s="1"/>
  <c r="Q35" i="21"/>
  <c r="R35" i="21" s="1"/>
  <c r="T35" i="21"/>
  <c r="U35" i="21" s="1"/>
  <c r="Q30" i="21"/>
  <c r="R30" i="21" s="1"/>
  <c r="T30" i="21"/>
  <c r="U30" i="21" s="1"/>
  <c r="Q33" i="21"/>
  <c r="R33" i="21" s="1"/>
  <c r="T33" i="21"/>
  <c r="U33" i="21" s="1"/>
  <c r="G34" i="43" l="1"/>
  <c r="H34" i="43" s="1"/>
  <c r="K34" i="43"/>
  <c r="L34" i="43" s="1"/>
  <c r="K32" i="43"/>
  <c r="L32" i="43" s="1"/>
  <c r="G32" i="43"/>
  <c r="H32" i="43" s="1"/>
  <c r="Q28" i="20"/>
  <c r="R28" i="20" s="1"/>
  <c r="T28" i="20"/>
  <c r="U28" i="20" s="1"/>
  <c r="T23" i="20"/>
  <c r="U23" i="20" s="1"/>
  <c r="Q23" i="20"/>
  <c r="R23" i="20" s="1"/>
  <c r="G33" i="43"/>
  <c r="H33" i="43" s="1"/>
  <c r="K33" i="43"/>
  <c r="L33" i="43" s="1"/>
  <c r="G21" i="43"/>
  <c r="H21" i="43" s="1"/>
  <c r="K21" i="43"/>
  <c r="L21" i="43" s="1"/>
  <c r="Q30" i="20"/>
  <c r="R30" i="20" s="1"/>
  <c r="T30" i="20"/>
  <c r="U30" i="20" s="1"/>
  <c r="Q29" i="20"/>
  <c r="R29" i="20" s="1"/>
  <c r="T29" i="20"/>
  <c r="U29" i="20" s="1"/>
  <c r="K31" i="43"/>
  <c r="L31" i="43" s="1"/>
  <c r="G31" i="43"/>
  <c r="H31" i="43" s="1"/>
  <c r="Q37" i="20"/>
  <c r="R37" i="20" s="1"/>
  <c r="T37" i="20"/>
  <c r="U37" i="20" s="1"/>
  <c r="T33" i="20"/>
  <c r="U33" i="20" s="1"/>
  <c r="Q33" i="20"/>
  <c r="R33" i="20" s="1"/>
  <c r="Q40" i="20"/>
  <c r="R40" i="20" s="1"/>
  <c r="T40" i="20"/>
  <c r="U40" i="20" s="1"/>
  <c r="G29" i="43"/>
  <c r="H29" i="43" s="1"/>
  <c r="K29" i="43"/>
  <c r="L29" i="43" s="1"/>
  <c r="G26" i="43"/>
  <c r="H26" i="43" s="1"/>
  <c r="K26" i="43"/>
  <c r="L26" i="43" s="1"/>
  <c r="T38" i="20"/>
  <c r="U38" i="20" s="1"/>
  <c r="Q38" i="20"/>
  <c r="R38" i="20" s="1"/>
  <c r="Q35" i="20"/>
  <c r="R35" i="20" s="1"/>
  <c r="T35" i="20"/>
  <c r="U35" i="20" s="1"/>
  <c r="Q22" i="20"/>
  <c r="R22" i="20" s="1"/>
  <c r="T22" i="20"/>
  <c r="U22" i="20" s="1"/>
  <c r="G24" i="43"/>
  <c r="H24" i="43" s="1"/>
  <c r="K24" i="43"/>
  <c r="L24" i="43" s="1"/>
  <c r="K20" i="43"/>
  <c r="L20" i="43" s="1"/>
  <c r="G20" i="43"/>
  <c r="H20" i="43" s="1"/>
  <c r="T24" i="20"/>
  <c r="U24" i="20" s="1"/>
  <c r="Q24" i="20"/>
  <c r="R24" i="20" s="1"/>
  <c r="T27" i="20"/>
  <c r="U27" i="20" s="1"/>
  <c r="Q27" i="20"/>
  <c r="R27" i="20" s="1"/>
  <c r="T26" i="20"/>
  <c r="U26" i="20" s="1"/>
  <c r="Q26" i="20"/>
  <c r="R26" i="20" s="1"/>
  <c r="G25" i="43"/>
  <c r="H25" i="43" s="1"/>
  <c r="K25" i="43"/>
  <c r="L25" i="43" s="1"/>
  <c r="G23" i="43"/>
  <c r="H23" i="43" s="1"/>
  <c r="K23" i="43"/>
  <c r="L23" i="43" s="1"/>
  <c r="T39" i="20"/>
  <c r="U39" i="20" s="1"/>
  <c r="Q39" i="20"/>
  <c r="R39" i="20" s="1"/>
  <c r="Q21" i="20"/>
  <c r="R21" i="20" s="1"/>
  <c r="T21" i="20"/>
  <c r="U21" i="20" s="1"/>
  <c r="G66" i="2"/>
  <c r="G30" i="43"/>
  <c r="H30" i="43" s="1"/>
  <c r="K30" i="43"/>
  <c r="L30" i="43" s="1"/>
  <c r="G28" i="43"/>
  <c r="H28" i="43" s="1"/>
  <c r="K28" i="43"/>
  <c r="L28" i="43" s="1"/>
  <c r="T34" i="20"/>
  <c r="U34" i="20" s="1"/>
  <c r="Q34" i="20"/>
  <c r="R34" i="20" s="1"/>
  <c r="Q25" i="20"/>
  <c r="R25" i="20" s="1"/>
  <c r="T25" i="20"/>
  <c r="U25" i="20" s="1"/>
  <c r="Q31" i="20"/>
  <c r="R31" i="20" s="1"/>
  <c r="T31" i="20"/>
  <c r="U31" i="20" s="1"/>
  <c r="H58" i="2"/>
  <c r="I58" i="2" s="1"/>
  <c r="I47" i="16" s="1"/>
  <c r="H65" i="2"/>
  <c r="G22" i="43"/>
  <c r="H22" i="43" s="1"/>
  <c r="K22" i="43"/>
  <c r="L22" i="43" s="1"/>
  <c r="G27" i="43"/>
  <c r="H27" i="43" s="1"/>
  <c r="K27" i="43"/>
  <c r="L27" i="43" s="1"/>
  <c r="T32" i="20"/>
  <c r="U32" i="20" s="1"/>
  <c r="Q32" i="20"/>
  <c r="R32" i="20" s="1"/>
  <c r="T36" i="20"/>
  <c r="U36" i="20" s="1"/>
  <c r="Q36" i="20"/>
  <c r="R36" i="20" s="1"/>
  <c r="P26" i="27"/>
  <c r="P31" i="27"/>
  <c r="P33" i="27"/>
  <c r="P29" i="27"/>
  <c r="P25" i="27"/>
  <c r="P22" i="27"/>
  <c r="P39" i="27"/>
  <c r="P23" i="27"/>
  <c r="P24" i="27"/>
  <c r="P27" i="27"/>
  <c r="P32" i="27"/>
  <c r="P21" i="27"/>
  <c r="P30" i="27"/>
  <c r="P28" i="27"/>
  <c r="P38" i="27"/>
  <c r="P37" i="27"/>
  <c r="P36" i="27"/>
  <c r="P35" i="27"/>
  <c r="P34" i="27"/>
  <c r="H66" i="2" l="1"/>
  <c r="I66" i="2" s="1"/>
  <c r="D47" i="16" s="1"/>
  <c r="J58" i="2"/>
  <c r="I46" i="16" s="1"/>
  <c r="J22" i="2"/>
  <c r="E46" i="16" s="1"/>
  <c r="J41" i="2"/>
  <c r="G46" i="16" s="1"/>
  <c r="J49" i="2"/>
  <c r="H46" i="16" s="1"/>
  <c r="T28" i="27"/>
  <c r="U28" i="27" s="1"/>
  <c r="Q28" i="27"/>
  <c r="R28" i="27" s="1"/>
  <c r="T30" i="27"/>
  <c r="U30" i="27" s="1"/>
  <c r="Q30" i="27"/>
  <c r="R30" i="27" s="1"/>
  <c r="Q25" i="27"/>
  <c r="R25" i="27" s="1"/>
  <c r="T25" i="27"/>
  <c r="U25" i="27" s="1"/>
  <c r="T22" i="27"/>
  <c r="U22" i="27" s="1"/>
  <c r="Q22" i="27"/>
  <c r="R22" i="27" s="1"/>
  <c r="T21" i="27"/>
  <c r="U21" i="27" s="1"/>
  <c r="Q21" i="27"/>
  <c r="R21" i="27" s="1"/>
  <c r="Q29" i="27"/>
  <c r="R29" i="27" s="1"/>
  <c r="T29" i="27"/>
  <c r="U29" i="27" s="1"/>
  <c r="T34" i="27"/>
  <c r="U34" i="27" s="1"/>
  <c r="Q34" i="27"/>
  <c r="R34" i="27" s="1"/>
  <c r="Q33" i="27"/>
  <c r="R33" i="27" s="1"/>
  <c r="T33" i="27"/>
  <c r="U33" i="27" s="1"/>
  <c r="Q35" i="27"/>
  <c r="R35" i="27" s="1"/>
  <c r="T35" i="27"/>
  <c r="U35" i="27" s="1"/>
  <c r="Q27" i="27"/>
  <c r="R27" i="27" s="1"/>
  <c r="T27" i="27"/>
  <c r="U27" i="27" s="1"/>
  <c r="T31" i="27"/>
  <c r="U31" i="27" s="1"/>
  <c r="Q31" i="27"/>
  <c r="R31" i="27" s="1"/>
  <c r="T36" i="27"/>
  <c r="U36" i="27" s="1"/>
  <c r="Q36" i="27"/>
  <c r="R36" i="27" s="1"/>
  <c r="T24" i="27"/>
  <c r="U24" i="27" s="1"/>
  <c r="Q24" i="27"/>
  <c r="R24" i="27" s="1"/>
  <c r="Q26" i="27"/>
  <c r="R26" i="27" s="1"/>
  <c r="T26" i="27"/>
  <c r="U26" i="27" s="1"/>
  <c r="Q32" i="27"/>
  <c r="R32" i="27" s="1"/>
  <c r="T32" i="27"/>
  <c r="U32" i="27" s="1"/>
  <c r="Q37" i="27"/>
  <c r="R37" i="27" s="1"/>
  <c r="T37" i="27"/>
  <c r="U37" i="27" s="1"/>
  <c r="Q23" i="27"/>
  <c r="R23" i="27" s="1"/>
  <c r="T23" i="27"/>
  <c r="U23" i="27" s="1"/>
  <c r="Q38" i="27"/>
  <c r="R38" i="27" s="1"/>
  <c r="T38" i="27"/>
  <c r="U38" i="27" s="1"/>
  <c r="Q39" i="27"/>
  <c r="R39" i="27" s="1"/>
  <c r="T39" i="27"/>
  <c r="U39" i="27" s="1"/>
  <c r="F63" i="2"/>
  <c r="F62" i="2"/>
  <c r="J34" i="2" l="1"/>
  <c r="F46" i="16" s="1"/>
  <c r="D46" i="16"/>
  <c r="J66" i="2"/>
</calcChain>
</file>

<file path=xl/sharedStrings.xml><?xml version="1.0" encoding="utf-8"?>
<sst xmlns="http://schemas.openxmlformats.org/spreadsheetml/2006/main" count="2564" uniqueCount="345">
  <si>
    <t>Model for Scenario Number</t>
  </si>
  <si>
    <t>Pro Forma Test Year Revenues</t>
  </si>
  <si>
    <t>Proposed Revenues</t>
  </si>
  <si>
    <t>Difference</t>
  </si>
  <si>
    <t>Present Rates</t>
  </si>
  <si>
    <t>Proposed Rates</t>
  </si>
  <si>
    <t>Customer Class</t>
  </si>
  <si>
    <t>Billing Units</t>
  </si>
  <si>
    <t>Margin</t>
  </si>
  <si>
    <t>Revenue</t>
  </si>
  <si>
    <t>$ Amount</t>
  </si>
  <si>
    <t>% Amount</t>
  </si>
  <si>
    <t>Delivery Charge</t>
  </si>
  <si>
    <t>Rounding Difference</t>
  </si>
  <si>
    <t>Proposed Revenue Needed</t>
  </si>
  <si>
    <t>Fixed Charge Recovery</t>
  </si>
  <si>
    <t>Volumectric Charge Recovery</t>
  </si>
  <si>
    <t>Total</t>
  </si>
  <si>
    <t>Line</t>
  </si>
  <si>
    <t>Proposed</t>
  </si>
  <si>
    <t>Customer</t>
  </si>
  <si>
    <t>Percent</t>
  </si>
  <si>
    <t>Revenue Spread</t>
  </si>
  <si>
    <t>Scenario</t>
  </si>
  <si>
    <t>Total Cascade</t>
  </si>
  <si>
    <t>Revenue at Current Rates</t>
  </si>
  <si>
    <t>Rate Schedule Revenue as Proposed</t>
  </si>
  <si>
    <t>GSR/GTR</t>
  </si>
  <si>
    <t>GSO/GTO/GDS</t>
  </si>
  <si>
    <t>IS/DS</t>
  </si>
  <si>
    <t>IUS</t>
  </si>
  <si>
    <t>DS-ML</t>
  </si>
  <si>
    <t xml:space="preserve">Delivery Charge </t>
  </si>
  <si>
    <t>Delivery Charge -First 50 Mcf</t>
  </si>
  <si>
    <t>Delivery Charge -Next 350 Mcf</t>
  </si>
  <si>
    <t>Delivery Charge -Next 600 Mcf</t>
  </si>
  <si>
    <t>Delivery Charge -Over 1,000 Mcf</t>
  </si>
  <si>
    <t>Delivery Charge -    First 30,000 Mcf</t>
  </si>
  <si>
    <t>Delivery Charge -    Next 70,000 Mcf</t>
  </si>
  <si>
    <t>Delivery Charge -    Over 100,000 Mcf</t>
  </si>
  <si>
    <t>Customer Charge</t>
  </si>
  <si>
    <t>Delivery Charge - All Volumes</t>
  </si>
  <si>
    <t>G1R Base Revenue</t>
  </si>
  <si>
    <t>IN3 Base Revenue</t>
  </si>
  <si>
    <t>IN4 Base Revenue</t>
  </si>
  <si>
    <t>IN5 Base Revenue</t>
  </si>
  <si>
    <t>LG2 - Residential Base Revenue</t>
  </si>
  <si>
    <t>LG3 - Residential Base Revenue</t>
  </si>
  <si>
    <t>LG4 - Residential Base Revenue</t>
  </si>
  <si>
    <t>G1C Base Revenue</t>
  </si>
  <si>
    <t>LG2 Commercial Base Revenue</t>
  </si>
  <si>
    <t>Other Rate Schedules (no change)</t>
  </si>
  <si>
    <t>Increase</t>
  </si>
  <si>
    <t>Current</t>
  </si>
  <si>
    <t>Customer Charge - Up to 400,000 Mcf</t>
  </si>
  <si>
    <t>Customer Charge - Over 400,000 Mcf</t>
  </si>
  <si>
    <t>COLUMBIA GAS OF KENTUCKY, INC.</t>
  </si>
  <si>
    <t>FORECASTED PERIOD 12/31/2024 TO 12/31/2025</t>
  </si>
  <si>
    <t>Rounding</t>
  </si>
  <si>
    <t>TOTAL</t>
  </si>
  <si>
    <t>GS-RESIDENTIAL</t>
  </si>
  <si>
    <t>GS-OTHER</t>
  </si>
  <si>
    <t>DS/IS</t>
  </si>
  <si>
    <t>Scaled to Settlement Proposal</t>
  </si>
  <si>
    <t>Other Revenues</t>
  </si>
  <si>
    <t>Total Revenue at Proposed Increase</t>
  </si>
  <si>
    <t>CKY Offer (9/25/24)</t>
  </si>
  <si>
    <t>Inputs:</t>
  </si>
  <si>
    <t>Revenue Requirement</t>
  </si>
  <si>
    <t>Revenue Apportionment</t>
  </si>
  <si>
    <t>Percentage</t>
  </si>
  <si>
    <t>Rate</t>
  </si>
  <si>
    <t xml:space="preserve">Total </t>
  </si>
  <si>
    <t>As Filed Revenue Spread:</t>
  </si>
  <si>
    <t>Rate Rev. Apportionment</t>
  </si>
  <si>
    <t>Gas Purchase Revenue</t>
  </si>
  <si>
    <t>Scaled Apportionment</t>
  </si>
  <si>
    <t xml:space="preserve"> </t>
  </si>
  <si>
    <t>Outputs:</t>
  </si>
  <si>
    <t>Summary of Resulting Rates</t>
  </si>
  <si>
    <t>Deliver Charge Block 1</t>
  </si>
  <si>
    <t>Deliver Charge Block 2</t>
  </si>
  <si>
    <t>Deliver Charge Block 3</t>
  </si>
  <si>
    <t>Deliver Charge Block 4</t>
  </si>
  <si>
    <t>Current Customer Charge</t>
  </si>
  <si>
    <t>As-Filed Customer Charge</t>
  </si>
  <si>
    <t>GTS Special Rate - Industrial</t>
  </si>
  <si>
    <t>SC3</t>
  </si>
  <si>
    <t>GTS Special Agency Service</t>
  </si>
  <si>
    <t>SAS</t>
  </si>
  <si>
    <t>GTS Flex Rate - Industrial</t>
  </si>
  <si>
    <t>FX7</t>
  </si>
  <si>
    <t>FX5</t>
  </si>
  <si>
    <t>FX2</t>
  </si>
  <si>
    <t>GTS Flex Rate - Commercial</t>
  </si>
  <si>
    <t>FX1</t>
  </si>
  <si>
    <t>GTS Main Line Service - Industrial</t>
  </si>
  <si>
    <t>DS3</t>
  </si>
  <si>
    <t>GTS General Service - Industrial</t>
  </si>
  <si>
    <t>GDS</t>
  </si>
  <si>
    <t>GTS General Service - Commercial</t>
  </si>
  <si>
    <t>GTS Interruptible Service -  Industrial</t>
  </si>
  <si>
    <t>DS</t>
  </si>
  <si>
    <t>GTS Interruptible Service - Commercial</t>
  </si>
  <si>
    <t>GTS Choice - Industrial</t>
  </si>
  <si>
    <t>GTO</t>
  </si>
  <si>
    <t>GTS Choice - Commercial</t>
  </si>
  <si>
    <t xml:space="preserve">GTS Choice - Residential </t>
  </si>
  <si>
    <t>GTR</t>
  </si>
  <si>
    <t>Bill</t>
  </si>
  <si>
    <t>MCF</t>
  </si>
  <si>
    <t>Bills</t>
  </si>
  <si>
    <t>Fifth Block</t>
  </si>
  <si>
    <t>Fourth Block</t>
  </si>
  <si>
    <t>Third Block</t>
  </si>
  <si>
    <t>Second Block</t>
  </si>
  <si>
    <t>First Block</t>
  </si>
  <si>
    <t>Banking &amp; Bal.</t>
  </si>
  <si>
    <t>R&amp;D</t>
  </si>
  <si>
    <t>EAP</t>
  </si>
  <si>
    <t>EECP</t>
  </si>
  <si>
    <t>State Tax Adj Factor</t>
  </si>
  <si>
    <t>Admin Chg</t>
  </si>
  <si>
    <t>Cust Chg.</t>
  </si>
  <si>
    <t>SMRP</t>
  </si>
  <si>
    <t>Tax Act Adj 11/27/19</t>
  </si>
  <si>
    <t>Rate Schedule Name</t>
  </si>
  <si>
    <t>Rate Code</t>
  </si>
  <si>
    <t>Excl. Finals</t>
  </si>
  <si>
    <t>Transportation Service</t>
  </si>
  <si>
    <t>Average</t>
  </si>
  <si>
    <t>Test Year</t>
  </si>
  <si>
    <t>Proposed Rates - Block Size (MCF)</t>
  </si>
  <si>
    <t>Current Rates - Block Size (MCF)</t>
  </si>
  <si>
    <t>Current Rates</t>
  </si>
  <si>
    <t>Input area:</t>
  </si>
  <si>
    <t>TWELVE MONTHS ENDING DECEMBER 31, 2025</t>
  </si>
  <si>
    <t>Test year:</t>
  </si>
  <si>
    <t>Witness:</t>
  </si>
  <si>
    <t>CASE NO. 2024-xxxxx</t>
  </si>
  <si>
    <t xml:space="preserve">Case No. </t>
  </si>
  <si>
    <t>* Gas supplied by marketers.</t>
  </si>
  <si>
    <t xml:space="preserve">Average monthly bill = </t>
  </si>
  <si>
    <t>Residential</t>
  </si>
  <si>
    <t>Choice</t>
  </si>
  <si>
    <t>Applicable</t>
  </si>
  <si>
    <t>GTS</t>
  </si>
  <si>
    <t>Not</t>
  </si>
  <si>
    <t>(J)</t>
  </si>
  <si>
    <t>(I)</t>
  </si>
  <si>
    <t>(H)</t>
  </si>
  <si>
    <t>(G)</t>
  </si>
  <si>
    <t>(F)</t>
  </si>
  <si>
    <t>(E)</t>
  </si>
  <si>
    <t>(D)</t>
  </si>
  <si>
    <t>(C)</t>
  </si>
  <si>
    <t>(N)</t>
  </si>
  <si>
    <t>(M)</t>
  </si>
  <si>
    <t>(L)</t>
  </si>
  <si>
    <t>(K)</t>
  </si>
  <si>
    <t>(B)</t>
  </si>
  <si>
    <t>(A)</t>
  </si>
  <si>
    <t>(%)</t>
  </si>
  <si>
    <t>($)</t>
  </si>
  <si>
    <t>(MCF)</t>
  </si>
  <si>
    <t>Cost*</t>
  </si>
  <si>
    <t>(E/C)</t>
  </si>
  <si>
    <t>(D - C)</t>
  </si>
  <si>
    <t>(M - L)/L</t>
  </si>
  <si>
    <t>(D + H+ K)</t>
  </si>
  <si>
    <t>(C + G + K)</t>
  </si>
  <si>
    <t>(I/G)</t>
  </si>
  <si>
    <t>(H - G)</t>
  </si>
  <si>
    <t>Charge</t>
  </si>
  <si>
    <t>Volume</t>
  </si>
  <si>
    <t>Demand</t>
  </si>
  <si>
    <t>Code</t>
  </si>
  <si>
    <t>No.</t>
  </si>
  <si>
    <t>(Decrease)</t>
  </si>
  <si>
    <t>Gas</t>
  </si>
  <si>
    <t>Commodity</t>
  </si>
  <si>
    <t>Transp</t>
  </si>
  <si>
    <t>Level of</t>
  </si>
  <si>
    <t>Monthly</t>
  </si>
  <si>
    <t>Dollar</t>
  </si>
  <si>
    <t>Transportation Commodity Charge</t>
  </si>
  <si>
    <t>Monthly Customer Charge</t>
  </si>
  <si>
    <t>Work Paper Reference No(s):</t>
  </si>
  <si>
    <t>Page 15 of 25</t>
  </si>
  <si>
    <t>Schedule N</t>
  </si>
  <si>
    <t>Data: __  Base Period _X_ Forecasted Period</t>
  </si>
  <si>
    <t>TYPICAL BILL COMPARISON</t>
  </si>
  <si>
    <t>EFFECT OF PROPOSED TRANSPORTATION SERVICE RATES</t>
  </si>
  <si>
    <t>(Industrial)</t>
  </si>
  <si>
    <t>(Commercial)</t>
  </si>
  <si>
    <t>Industrial</t>
  </si>
  <si>
    <t>and</t>
  </si>
  <si>
    <t>Commercial</t>
  </si>
  <si>
    <t>Page 16 of 25</t>
  </si>
  <si>
    <t>Note:  Customers electing Standby Service pay an additional $9.9772/Mcf per contracted volumes per month.  Standby rate is as of March 1, 2024.</t>
  </si>
  <si>
    <t>Service</t>
  </si>
  <si>
    <t>Interruptible</t>
  </si>
  <si>
    <t>(Q)</t>
  </si>
  <si>
    <t>(P)</t>
  </si>
  <si>
    <t>(O)</t>
  </si>
  <si>
    <t>(P - O)/O</t>
  </si>
  <si>
    <t>(D + H + L)</t>
  </si>
  <si>
    <t>(M/K)</t>
  </si>
  <si>
    <t>(L - K)</t>
  </si>
  <si>
    <t>Monthly Administrative Charge</t>
  </si>
  <si>
    <t>Page 17 of 25</t>
  </si>
  <si>
    <t>General</t>
  </si>
  <si>
    <t>Page 18 of 25</t>
  </si>
  <si>
    <t>Main</t>
  </si>
  <si>
    <t>Page 19 of 25</t>
  </si>
  <si>
    <t>Note: There are no customers currently on this rate.</t>
  </si>
  <si>
    <t>Flex</t>
  </si>
  <si>
    <t>Page 20 of 25</t>
  </si>
  <si>
    <t>Page 21 of 25</t>
  </si>
  <si>
    <t>Page 22 of 25</t>
  </si>
  <si>
    <t>Page 23 of 25</t>
  </si>
  <si>
    <t>Special</t>
  </si>
  <si>
    <t>Page 24 of 25</t>
  </si>
  <si>
    <t>Page 25 of 25</t>
  </si>
  <si>
    <t>Intrastate Utility Service - Wholesale</t>
  </si>
  <si>
    <t>Interruptible Service - Industrial</t>
  </si>
  <si>
    <t>IS</t>
  </si>
  <si>
    <t>General Service - Industrial</t>
  </si>
  <si>
    <t>GSO</t>
  </si>
  <si>
    <t>General Service - Commercial</t>
  </si>
  <si>
    <t>LG&amp;E Residential</t>
  </si>
  <si>
    <t>LG4</t>
  </si>
  <si>
    <t>LG3</t>
  </si>
  <si>
    <t>LG&amp;E Commercial</t>
  </si>
  <si>
    <t>LG2</t>
  </si>
  <si>
    <t xml:space="preserve">LG&amp;E Residential </t>
  </si>
  <si>
    <t>Inland Gas General Service - Residential</t>
  </si>
  <si>
    <t>IN5</t>
  </si>
  <si>
    <t>IN4</t>
  </si>
  <si>
    <t>Inland Gas General Service - Commercial</t>
  </si>
  <si>
    <t>IN3</t>
  </si>
  <si>
    <t>G1R</t>
  </si>
  <si>
    <t>G1C</t>
  </si>
  <si>
    <t>General Service - Residential</t>
  </si>
  <si>
    <t>GSR</t>
  </si>
  <si>
    <t>Uncoll</t>
  </si>
  <si>
    <t>Placeholder</t>
  </si>
  <si>
    <t>EGC (32)</t>
  </si>
  <si>
    <t>R&amp;D (10)</t>
  </si>
  <si>
    <t>EAP (28)</t>
  </si>
  <si>
    <t>Admin chg</t>
  </si>
  <si>
    <t>CASE NO. 2024-00092</t>
  </si>
  <si>
    <t>and text are shown in black.  Instructions are highlighted in yellow.</t>
  </si>
  <si>
    <t xml:space="preserve">Data entry areas are shown in the color blue.  Calculations </t>
  </si>
  <si>
    <t>Synopsis:</t>
  </si>
  <si>
    <t>x:\Cky\Ratecase - 2007\Revenue\Schedule_N_Sales_Service.xls</t>
  </si>
  <si>
    <t>File Name:</t>
  </si>
  <si>
    <t>MS EXCEL ver. 8.0</t>
  </si>
  <si>
    <t>Language:</t>
  </si>
  <si>
    <t>13 January 2007</t>
  </si>
  <si>
    <t>Date Revised:</t>
  </si>
  <si>
    <t>M. P. Balmert</t>
  </si>
  <si>
    <t xml:space="preserve">Revisions By: </t>
  </si>
  <si>
    <t>28 February 2002</t>
  </si>
  <si>
    <t>Date Written:</t>
  </si>
  <si>
    <t>P. A. Strauss</t>
  </si>
  <si>
    <t>Written By:</t>
  </si>
  <si>
    <t>Bill Comparison</t>
  </si>
  <si>
    <t>Project:</t>
  </si>
  <si>
    <t>Columbia Gas of Kentucky, Inc.</t>
  </si>
  <si>
    <t>Company:</t>
  </si>
  <si>
    <t>FOR ALL CUSTOMER CLASSES</t>
  </si>
  <si>
    <t>TYPICAL BILL COMPARISON UNDER PRESENT AND PROPOSED RATES</t>
  </si>
  <si>
    <t>N</t>
  </si>
  <si>
    <t>DESCRIPTION</t>
  </si>
  <si>
    <t>SCHEDULE</t>
  </si>
  <si>
    <t>FOR THE TWELVE MONTHS ENDED DECEMBER 31, 2025</t>
  </si>
  <si>
    <t>FORECASTED PERIOD:</t>
  </si>
  <si>
    <t>FOR THE TWELVE MONTHS ENDED AUGUST 31, 2024</t>
  </si>
  <si>
    <t>BASE PERIOD :</t>
  </si>
  <si>
    <t>SCHEDULE  N</t>
  </si>
  <si>
    <t>(I - H) / H</t>
  </si>
  <si>
    <t>(D + G)</t>
  </si>
  <si>
    <t>(C + G)</t>
  </si>
  <si>
    <t>Cost</t>
  </si>
  <si>
    <t>Use</t>
  </si>
  <si>
    <t>Page 1 of 25</t>
  </si>
  <si>
    <t>Data: __ Base Period _X_ Forecasted Period</t>
  </si>
  <si>
    <t>EFFECT OF PROPOSED SALES SERVICE RATES</t>
  </si>
  <si>
    <t>Commercial &amp;</t>
  </si>
  <si>
    <t>Page 12 of 25</t>
  </si>
  <si>
    <t>LG&amp;E</t>
  </si>
  <si>
    <t>Page 2 of 25</t>
  </si>
  <si>
    <t>Page 3 of 25</t>
  </si>
  <si>
    <t>Note:  Total Current Bill does not include Gas Cost because Inland is not currently billed for Gas Cost.</t>
  </si>
  <si>
    <t xml:space="preserve">Residential </t>
  </si>
  <si>
    <t>Inland</t>
  </si>
  <si>
    <t>Page 4 of 25</t>
  </si>
  <si>
    <t>Page 5 of 25</t>
  </si>
  <si>
    <t>Page 6 of 25</t>
  </si>
  <si>
    <t>Page 7 of 25</t>
  </si>
  <si>
    <t>Note:  LG&amp;E are not billed Gas Cost.</t>
  </si>
  <si>
    <t>Page 8 of 25</t>
  </si>
  <si>
    <t>Page 9 of 25</t>
  </si>
  <si>
    <t>Page 10 of 25</t>
  </si>
  <si>
    <t>Page 11 of 25</t>
  </si>
  <si>
    <t>Data: __Base Period _X_ Forecasted Period</t>
  </si>
  <si>
    <t>Page 13 of 25</t>
  </si>
  <si>
    <t>Wholesale</t>
  </si>
  <si>
    <t>Utility</t>
  </si>
  <si>
    <t>Intrastate</t>
  </si>
  <si>
    <t>Page 14 of 25</t>
  </si>
  <si>
    <t>Rate Design</t>
  </si>
  <si>
    <t>INDEX N</t>
  </si>
  <si>
    <t>IN3R</t>
  </si>
  <si>
    <t>IN3C</t>
  </si>
  <si>
    <t>LG2R</t>
  </si>
  <si>
    <t>LG2C</t>
  </si>
  <si>
    <t>Sheet</t>
  </si>
  <si>
    <t>Link to Sheet</t>
  </si>
  <si>
    <t>Revenue Increase Check</t>
  </si>
  <si>
    <t>Revneue at Current Rates</t>
  </si>
  <si>
    <t>Type of Filing: __ Original __ Update __Revised</t>
  </si>
  <si>
    <t>of Revenue</t>
  </si>
  <si>
    <t>Class Portion</t>
  </si>
  <si>
    <t>Allocation of Revenue Increase by Rate Class</t>
  </si>
  <si>
    <t>Percentage Rate Increase</t>
  </si>
  <si>
    <t>Percentage Revenue Increase</t>
  </si>
  <si>
    <t>Rate Increase</t>
  </si>
  <si>
    <t>STIPULATION ATTACHMENT C</t>
  </si>
  <si>
    <t>Admin</t>
  </si>
  <si>
    <t>Stipulation Rate Design Calculation Inputs</t>
  </si>
  <si>
    <t>STIPULATION, Rate Design Calculations</t>
  </si>
  <si>
    <t>Input_Entry</t>
  </si>
  <si>
    <t>LESS Other Revenue</t>
  </si>
  <si>
    <t>Percentage of Total Increase</t>
  </si>
  <si>
    <t>Sales_Input</t>
  </si>
  <si>
    <t>Trans_Inputs</t>
  </si>
  <si>
    <t>Stipulation Scaled to Proposed Spread</t>
  </si>
  <si>
    <t>Stipulation Revenue Spread:</t>
  </si>
  <si>
    <t>Stipulation Customer Charge</t>
  </si>
  <si>
    <t>Stipulation Revenue Increase</t>
  </si>
  <si>
    <t>Stipulation Total Revenue</t>
  </si>
  <si>
    <t>Stipulation Rate Revenue</t>
  </si>
  <si>
    <t>Stipulation Attachment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</si>
</sst>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.00000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0.0%"/>
    <numFmt numFmtId="171" formatCode="0.0000"/>
    <numFmt numFmtId="172" formatCode="#,##0.0000"/>
    <numFmt numFmtId="173" formatCode="&quot;$&quot;#,##0.0000_);\(&quot;$&quot;#,##0.0000\)"/>
    <numFmt numFmtId="174" formatCode="#,##0.0000_);\(#,##0.0000\)"/>
    <numFmt numFmtId="175" formatCode="#,##0.0_);\(#,##0.0\)"/>
    <numFmt numFmtId="176" formatCode="_(* #,##0.0_);_(* \(#,##0.0\);_(* &quot;-&quot;??_);_(@_)"/>
    <numFmt numFmtId="177" formatCode="#,##0.0"/>
    <numFmt numFmtId="178" formatCode="0.0"/>
    <numFmt numFmtId="179" formatCode="&quot;$&quot;#,##0"/>
    <numFmt numFmtId="180" formatCode="#,##0.0000;[Red]#,##0.0000"/>
    <numFmt numFmtId="181" formatCode="0.000%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0"/>
      <color indexed="8"/>
      <name val="Arial"/>
      <family val="2"/>
    </font>
    <font>
      <b/>
      <u val="singleAccounting"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rgb="FF000000"/>
      <name val="Arial"/>
      <family val="2"/>
    </font>
    <font>
      <u val="doubleAccounting"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Helv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20"/>
      <name val="Times New Roman"/>
      <family val="1"/>
    </font>
    <font>
      <sz val="12"/>
      <color indexed="12"/>
      <name val="Times New Roman"/>
      <family val="1"/>
    </font>
    <font>
      <sz val="10"/>
      <color indexed="12"/>
      <name val="Arial"/>
      <family val="2"/>
    </font>
    <font>
      <b/>
      <u/>
      <sz val="10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9"/>
      <name val="Times New Roman"/>
      <family val="1"/>
    </font>
    <font>
      <b/>
      <sz val="12"/>
      <color indexed="12"/>
      <name val="Times New Roman"/>
      <family val="1"/>
    </font>
    <font>
      <sz val="11"/>
      <name val="Helv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2"/>
      <color indexed="20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u/>
      <sz val="10"/>
      <name val="Arial"/>
      <family val="2"/>
    </font>
    <font>
      <sz val="12"/>
      <color rgb="FF008000"/>
      <name val="Times New Roman"/>
      <family val="1"/>
    </font>
    <font>
      <sz val="10"/>
      <color rgb="FF008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7" fillId="0" borderId="0">
      <alignment vertical="top"/>
    </xf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Protection="0">
      <alignment horizontal="right"/>
    </xf>
    <xf numFmtId="43" fontId="10" fillId="0" borderId="0" applyFont="0" applyFill="0" applyBorder="0" applyAlignment="0" applyProtection="0"/>
    <xf numFmtId="0" fontId="12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2" fontId="9" fillId="3" borderId="26">
      <alignment horizontal="left"/>
    </xf>
    <xf numFmtId="42" fontId="9" fillId="3" borderId="28">
      <alignment vertical="center"/>
    </xf>
    <xf numFmtId="0" fontId="17" fillId="0" borderId="0" applyNumberFormat="0" applyFill="0" applyBorder="0" applyAlignment="0" applyProtection="0"/>
    <xf numFmtId="0" fontId="20" fillId="0" borderId="0" applyFill="0" applyBorder="0" applyAlignment="0"/>
    <xf numFmtId="0" fontId="32" fillId="0" borderId="0" applyFill="0" applyBorder="0" applyAlignment="0"/>
  </cellStyleXfs>
  <cellXfs count="315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0" fontId="4" fillId="0" borderId="15" xfId="0" applyFont="1" applyBorder="1"/>
    <xf numFmtId="10" fontId="4" fillId="0" borderId="0" xfId="3" applyNumberFormat="1" applyFont="1"/>
    <xf numFmtId="166" fontId="4" fillId="0" borderId="0" xfId="0" applyNumberFormat="1" applyFont="1"/>
    <xf numFmtId="0" fontId="8" fillId="0" borderId="8" xfId="0" applyFont="1" applyBorder="1"/>
    <xf numFmtId="165" fontId="4" fillId="0" borderId="0" xfId="0" applyNumberFormat="1" applyFont="1"/>
    <xf numFmtId="164" fontId="4" fillId="0" borderId="15" xfId="2" applyNumberFormat="1" applyFont="1" applyBorder="1"/>
    <xf numFmtId="164" fontId="4" fillId="0" borderId="0" xfId="2" applyNumberFormat="1" applyFont="1" applyBorder="1"/>
    <xf numFmtId="164" fontId="4" fillId="0" borderId="0" xfId="2" applyNumberFormat="1" applyFont="1" applyFill="1" applyBorder="1"/>
    <xf numFmtId="164" fontId="5" fillId="0" borderId="21" xfId="2" applyNumberFormat="1" applyFont="1" applyBorder="1"/>
    <xf numFmtId="164" fontId="5" fillId="0" borderId="22" xfId="2" applyNumberFormat="1" applyFont="1" applyBorder="1"/>
    <xf numFmtId="164" fontId="4" fillId="0" borderId="0" xfId="0" applyNumberFormat="1" applyFont="1"/>
    <xf numFmtId="164" fontId="4" fillId="0" borderId="4" xfId="2" applyNumberFormat="1" applyFont="1" applyBorder="1"/>
    <xf numFmtId="9" fontId="4" fillId="0" borderId="0" xfId="3" applyFont="1"/>
    <xf numFmtId="165" fontId="4" fillId="0" borderId="0" xfId="1" applyNumberFormat="1" applyFont="1" applyBorder="1"/>
    <xf numFmtId="9" fontId="11" fillId="0" borderId="0" xfId="3" applyFont="1" applyBorder="1"/>
    <xf numFmtId="44" fontId="4" fillId="0" borderId="0" xfId="2" applyFont="1"/>
    <xf numFmtId="43" fontId="4" fillId="0" borderId="0" xfId="0" applyNumberFormat="1" applyFont="1"/>
    <xf numFmtId="167" fontId="4" fillId="0" borderId="14" xfId="1" applyNumberFormat="1" applyFont="1" applyFill="1" applyBorder="1"/>
    <xf numFmtId="164" fontId="4" fillId="0" borderId="15" xfId="2" applyNumberFormat="1" applyFont="1" applyFill="1" applyBorder="1"/>
    <xf numFmtId="43" fontId="0" fillId="0" borderId="0" xfId="1" applyFont="1"/>
    <xf numFmtId="165" fontId="4" fillId="0" borderId="0" xfId="1" applyNumberFormat="1" applyFont="1" applyFill="1" applyBorder="1"/>
    <xf numFmtId="164" fontId="5" fillId="0" borderId="10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 applyAlignment="1">
      <alignment horizontal="center"/>
    </xf>
    <xf numFmtId="165" fontId="4" fillId="0" borderId="9" xfId="1" applyNumberFormat="1" applyFont="1" applyBorder="1"/>
    <xf numFmtId="0" fontId="4" fillId="0" borderId="8" xfId="0" applyFont="1" applyBorder="1" applyAlignment="1">
      <alignment horizontal="center"/>
    </xf>
    <xf numFmtId="165" fontId="4" fillId="0" borderId="9" xfId="1" applyNumberFormat="1" applyFont="1" applyFill="1" applyBorder="1"/>
    <xf numFmtId="166" fontId="4" fillId="0" borderId="0" xfId="1" applyNumberFormat="1" applyFont="1" applyFill="1" applyBorder="1"/>
    <xf numFmtId="0" fontId="5" fillId="0" borderId="12" xfId="0" applyFont="1" applyBorder="1"/>
    <xf numFmtId="0" fontId="5" fillId="0" borderId="13" xfId="0" applyFont="1" applyBorder="1"/>
    <xf numFmtId="165" fontId="4" fillId="2" borderId="16" xfId="1" applyNumberFormat="1" applyFont="1" applyFill="1" applyBorder="1"/>
    <xf numFmtId="0" fontId="4" fillId="0" borderId="16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Continuous"/>
    </xf>
    <xf numFmtId="0" fontId="5" fillId="0" borderId="17" xfId="0" applyFont="1" applyBorder="1" applyAlignment="1">
      <alignment horizontal="centerContinuous"/>
    </xf>
    <xf numFmtId="0" fontId="5" fillId="0" borderId="29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8" xfId="0" applyFont="1" applyBorder="1"/>
    <xf numFmtId="0" fontId="5" fillId="0" borderId="30" xfId="0" applyFont="1" applyBorder="1" applyAlignment="1">
      <alignment horizontal="centerContinuous"/>
    </xf>
    <xf numFmtId="0" fontId="5" fillId="0" borderId="12" xfId="0" applyFont="1" applyBorder="1" applyAlignment="1">
      <alignment horizontal="centerContinuous"/>
    </xf>
    <xf numFmtId="0" fontId="5" fillId="0" borderId="26" xfId="0" applyFont="1" applyBorder="1" applyAlignment="1">
      <alignment horizontal="center"/>
    </xf>
    <xf numFmtId="0" fontId="5" fillId="0" borderId="35" xfId="0" applyFont="1" applyBorder="1" applyAlignment="1">
      <alignment horizontal="centerContinuous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1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8" xfId="0" applyFont="1" applyBorder="1" applyAlignment="1">
      <alignment horizontal="left" indent="1"/>
    </xf>
    <xf numFmtId="166" fontId="4" fillId="0" borderId="14" xfId="1" applyNumberFormat="1" applyFont="1" applyFill="1" applyBorder="1"/>
    <xf numFmtId="167" fontId="4" fillId="0" borderId="0" xfId="1" applyNumberFormat="1" applyFont="1" applyFill="1" applyBorder="1"/>
    <xf numFmtId="168" fontId="11" fillId="0" borderId="0" xfId="2" applyNumberFormat="1" applyFont="1" applyFill="1" applyBorder="1"/>
    <xf numFmtId="164" fontId="11" fillId="0" borderId="0" xfId="2" applyNumberFormat="1" applyFont="1" applyBorder="1"/>
    <xf numFmtId="169" fontId="4" fillId="0" borderId="14" xfId="1" applyNumberFormat="1" applyFont="1" applyFill="1" applyBorder="1"/>
    <xf numFmtId="0" fontId="5" fillId="0" borderId="8" xfId="0" applyFont="1" applyBorder="1" applyAlignment="1">
      <alignment horizontal="left" indent="2"/>
    </xf>
    <xf numFmtId="164" fontId="15" fillId="0" borderId="0" xfId="2" applyNumberFormat="1" applyFont="1" applyFill="1" applyBorder="1"/>
    <xf numFmtId="164" fontId="5" fillId="0" borderId="14" xfId="2" applyNumberFormat="1" applyFont="1" applyFill="1" applyBorder="1"/>
    <xf numFmtId="164" fontId="4" fillId="2" borderId="23" xfId="2" applyNumberFormat="1" applyFont="1" applyFill="1" applyBorder="1"/>
    <xf numFmtId="0" fontId="4" fillId="0" borderId="18" xfId="0" applyFont="1" applyBorder="1"/>
    <xf numFmtId="164" fontId="13" fillId="0" borderId="0" xfId="2" applyNumberFormat="1" applyFont="1" applyFill="1" applyBorder="1"/>
    <xf numFmtId="164" fontId="13" fillId="0" borderId="0" xfId="2" applyNumberFormat="1" applyFont="1" applyBorder="1"/>
    <xf numFmtId="164" fontId="13" fillId="0" borderId="24" xfId="2" applyNumberFormat="1" applyFont="1" applyFill="1" applyBorder="1"/>
    <xf numFmtId="164" fontId="13" fillId="0" borderId="25" xfId="2" applyNumberFormat="1" applyFont="1" applyBorder="1"/>
    <xf numFmtId="0" fontId="4" fillId="0" borderId="11" xfId="0" applyFont="1" applyBorder="1"/>
    <xf numFmtId="164" fontId="4" fillId="0" borderId="6" xfId="0" applyNumberFormat="1" applyFont="1" applyBorder="1"/>
    <xf numFmtId="9" fontId="4" fillId="0" borderId="0" xfId="3" applyFont="1" applyFill="1"/>
    <xf numFmtId="43" fontId="4" fillId="0" borderId="0" xfId="1" applyFont="1" applyFill="1" applyBorder="1"/>
    <xf numFmtId="0" fontId="5" fillId="0" borderId="4" xfId="0" applyFont="1" applyBorder="1" applyAlignment="1">
      <alignment horizontal="left" indent="2"/>
    </xf>
    <xf numFmtId="164" fontId="13" fillId="0" borderId="10" xfId="2" applyNumberFormat="1" applyFont="1" applyFill="1" applyBorder="1"/>
    <xf numFmtId="164" fontId="13" fillId="0" borderId="10" xfId="2" applyNumberFormat="1" applyFont="1" applyBorder="1"/>
    <xf numFmtId="164" fontId="13" fillId="0" borderId="14" xfId="2" applyNumberFormat="1" applyFont="1" applyFill="1" applyBorder="1"/>
    <xf numFmtId="164" fontId="13" fillId="0" borderId="15" xfId="2" applyNumberFormat="1" applyFont="1" applyBorder="1"/>
    <xf numFmtId="0" fontId="5" fillId="0" borderId="1" xfId="0" applyFont="1" applyBorder="1" applyAlignment="1">
      <alignment horizontal="left" indent="2"/>
    </xf>
    <xf numFmtId="164" fontId="13" fillId="0" borderId="6" xfId="2" applyNumberFormat="1" applyFont="1" applyFill="1" applyBorder="1"/>
    <xf numFmtId="164" fontId="13" fillId="0" borderId="6" xfId="2" applyNumberFormat="1" applyFont="1" applyBorder="1"/>
    <xf numFmtId="0" fontId="4" fillId="0" borderId="8" xfId="0" applyFont="1" applyBorder="1"/>
    <xf numFmtId="164" fontId="4" fillId="0" borderId="27" xfId="0" applyNumberFormat="1" applyFont="1" applyBorder="1"/>
    <xf numFmtId="0" fontId="4" fillId="0" borderId="4" xfId="0" applyFont="1" applyBorder="1"/>
    <xf numFmtId="0" fontId="4" fillId="0" borderId="10" xfId="0" applyFont="1" applyBorder="1"/>
    <xf numFmtId="0" fontId="4" fillId="0" borderId="0" xfId="0" applyFont="1" applyAlignment="1">
      <alignment horizontal="left" indent="1"/>
    </xf>
    <xf numFmtId="165" fontId="4" fillId="0" borderId="26" xfId="1" applyNumberFormat="1" applyFont="1" applyBorder="1"/>
    <xf numFmtId="165" fontId="4" fillId="4" borderId="0" xfId="1" applyNumberFormat="1" applyFont="1" applyFill="1" applyBorder="1"/>
    <xf numFmtId="0" fontId="5" fillId="0" borderId="1" xfId="0" applyFont="1" applyBorder="1" applyAlignment="1">
      <alignment horizontal="centerContinuous"/>
    </xf>
    <xf numFmtId="0" fontId="5" fillId="0" borderId="36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9" fontId="4" fillId="0" borderId="0" xfId="3" applyFont="1" applyBorder="1"/>
    <xf numFmtId="9" fontId="4" fillId="0" borderId="9" xfId="3" applyFont="1" applyBorder="1"/>
    <xf numFmtId="37" fontId="16" fillId="0" borderId="0" xfId="0" applyNumberFormat="1" applyFont="1" applyAlignment="1">
      <alignment horizontal="center"/>
    </xf>
    <xf numFmtId="9" fontId="4" fillId="4" borderId="0" xfId="3" applyFont="1" applyFill="1" applyBorder="1"/>
    <xf numFmtId="9" fontId="4" fillId="4" borderId="9" xfId="3" applyFont="1" applyFill="1" applyBorder="1"/>
    <xf numFmtId="164" fontId="0" fillId="0" borderId="0" xfId="2" applyNumberFormat="1" applyFont="1"/>
    <xf numFmtId="0" fontId="18" fillId="0" borderId="0" xfId="0" applyFont="1"/>
    <xf numFmtId="0" fontId="3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right"/>
    </xf>
    <xf numFmtId="0" fontId="14" fillId="0" borderId="0" xfId="0" applyFont="1"/>
    <xf numFmtId="164" fontId="0" fillId="0" borderId="0" xfId="0" applyNumberFormat="1"/>
    <xf numFmtId="166" fontId="4" fillId="4" borderId="0" xfId="1" applyNumberFormat="1" applyFont="1" applyFill="1" applyBorder="1"/>
    <xf numFmtId="0" fontId="21" fillId="0" borderId="0" xfId="19" applyFont="1"/>
    <xf numFmtId="0" fontId="21" fillId="5" borderId="0" xfId="19" applyFont="1" applyFill="1"/>
    <xf numFmtId="0" fontId="21" fillId="0" borderId="0" xfId="19" applyFont="1" applyFill="1"/>
    <xf numFmtId="37" fontId="21" fillId="0" borderId="0" xfId="19" applyNumberFormat="1" applyFont="1" applyAlignment="1">
      <alignment horizontal="right"/>
    </xf>
    <xf numFmtId="37" fontId="22" fillId="0" borderId="0" xfId="19" applyNumberFormat="1" applyFont="1" applyFill="1"/>
    <xf numFmtId="37" fontId="23" fillId="0" borderId="0" xfId="19" applyNumberFormat="1" applyFont="1" applyFill="1"/>
    <xf numFmtId="0" fontId="21" fillId="6" borderId="0" xfId="19" applyFont="1" applyFill="1"/>
    <xf numFmtId="0" fontId="22" fillId="0" borderId="0" xfId="19" applyFont="1" applyFill="1"/>
    <xf numFmtId="171" fontId="22" fillId="0" borderId="0" xfId="19" applyNumberFormat="1" applyFont="1" applyFill="1"/>
    <xf numFmtId="171" fontId="21" fillId="0" borderId="0" xfId="19" applyNumberFormat="1" applyFont="1" applyFill="1"/>
    <xf numFmtId="2" fontId="22" fillId="0" borderId="0" xfId="19" applyNumberFormat="1" applyFont="1" applyFill="1"/>
    <xf numFmtId="39" fontId="22" fillId="0" borderId="0" xfId="19" applyNumberFormat="1" applyFont="1" applyFill="1"/>
    <xf numFmtId="4" fontId="22" fillId="0" borderId="0" xfId="19" applyNumberFormat="1" applyFont="1" applyFill="1"/>
    <xf numFmtId="172" fontId="22" fillId="0" borderId="0" xfId="19" applyNumberFormat="1" applyFont="1" applyFill="1"/>
    <xf numFmtId="173" fontId="22" fillId="0" borderId="0" xfId="19" applyNumberFormat="1" applyFont="1" applyFill="1"/>
    <xf numFmtId="174" fontId="22" fillId="0" borderId="0" xfId="19" applyNumberFormat="1" applyFont="1" applyFill="1"/>
    <xf numFmtId="174" fontId="24" fillId="0" borderId="0" xfId="19" applyNumberFormat="1" applyFont="1" applyFill="1"/>
    <xf numFmtId="172" fontId="9" fillId="0" borderId="0" xfId="19" applyNumberFormat="1" applyFont="1" applyFill="1"/>
    <xf numFmtId="172" fontId="25" fillId="0" borderId="0" xfId="19" applyNumberFormat="1" applyFont="1" applyFill="1"/>
    <xf numFmtId="172" fontId="25" fillId="0" borderId="0" xfId="19" applyNumberFormat="1" applyFont="1"/>
    <xf numFmtId="0" fontId="22" fillId="0" borderId="0" xfId="19" applyFont="1" applyFill="1" applyAlignment="1">
      <alignment horizontal="right"/>
    </xf>
    <xf numFmtId="0" fontId="26" fillId="0" borderId="0" xfId="19" applyFont="1" applyAlignment="1">
      <alignment horizontal="center"/>
    </xf>
    <xf numFmtId="0" fontId="26" fillId="0" borderId="0" xfId="19" applyFont="1" applyFill="1" applyAlignment="1">
      <alignment horizontal="center"/>
    </xf>
    <xf numFmtId="0" fontId="26" fillId="7" borderId="0" xfId="19" applyFont="1" applyFill="1" applyAlignment="1">
      <alignment horizontal="center"/>
    </xf>
    <xf numFmtId="0" fontId="27" fillId="0" borderId="0" xfId="19" applyFont="1" applyAlignment="1">
      <alignment horizontal="center"/>
    </xf>
    <xf numFmtId="0" fontId="28" fillId="0" borderId="0" xfId="19" applyFont="1" applyAlignment="1">
      <alignment horizontal="center"/>
    </xf>
    <xf numFmtId="0" fontId="28" fillId="0" borderId="0" xfId="19" applyFont="1" applyFill="1" applyAlignment="1">
      <alignment horizontal="center"/>
    </xf>
    <xf numFmtId="0" fontId="21" fillId="7" borderId="0" xfId="19" applyFont="1" applyFill="1" applyAlignment="1">
      <alignment horizontal="center"/>
    </xf>
    <xf numFmtId="0" fontId="21" fillId="6" borderId="0" xfId="19" applyFont="1" applyFill="1" applyAlignment="1">
      <alignment horizontal="center"/>
    </xf>
    <xf numFmtId="0" fontId="26" fillId="0" borderId="0" xfId="19" applyFont="1"/>
    <xf numFmtId="0" fontId="28" fillId="0" borderId="0" xfId="19" applyFont="1" applyFill="1"/>
    <xf numFmtId="0" fontId="28" fillId="0" borderId="0" xfId="19" applyFont="1"/>
    <xf numFmtId="0" fontId="29" fillId="0" borderId="0" xfId="19" quotePrefix="1" applyFont="1" applyFill="1"/>
    <xf numFmtId="0" fontId="30" fillId="0" borderId="0" xfId="19" applyFont="1" applyFill="1"/>
    <xf numFmtId="0" fontId="26" fillId="0" borderId="0" xfId="19" applyFont="1" applyFill="1" applyAlignment="1"/>
    <xf numFmtId="15" fontId="31" fillId="0" borderId="0" xfId="19" applyNumberFormat="1" applyFont="1" applyFill="1"/>
    <xf numFmtId="0" fontId="29" fillId="0" borderId="0" xfId="19" applyFont="1" applyFill="1"/>
    <xf numFmtId="0" fontId="21" fillId="0" borderId="0" xfId="19" applyFont="1" applyFill="1" applyAlignment="1">
      <alignment horizontal="center"/>
    </xf>
    <xf numFmtId="0" fontId="21" fillId="0" borderId="0" xfId="19" applyFont="1" applyFill="1" applyAlignment="1">
      <alignment horizontal="left"/>
    </xf>
    <xf numFmtId="175" fontId="21" fillId="0" borderId="0" xfId="19" applyNumberFormat="1" applyFont="1" applyFill="1" applyAlignment="1">
      <alignment horizontal="center"/>
    </xf>
    <xf numFmtId="170" fontId="21" fillId="0" borderId="0" xfId="19" applyNumberFormat="1" applyFont="1" applyFill="1" applyAlignment="1">
      <alignment horizontal="right"/>
    </xf>
    <xf numFmtId="166" fontId="21" fillId="0" borderId="0" xfId="19" applyNumberFormat="1" applyFont="1" applyFill="1"/>
    <xf numFmtId="166" fontId="21" fillId="0" borderId="0" xfId="19" applyNumberFormat="1" applyFont="1" applyFill="1" applyAlignment="1">
      <alignment horizontal="right"/>
    </xf>
    <xf numFmtId="9" fontId="21" fillId="0" borderId="0" xfId="19" applyNumberFormat="1" applyFont="1" applyFill="1" applyAlignment="1">
      <alignment horizontal="right"/>
    </xf>
    <xf numFmtId="175" fontId="21" fillId="0" borderId="0" xfId="19" applyNumberFormat="1" applyFont="1" applyFill="1" applyAlignment="1">
      <alignment horizontal="right"/>
    </xf>
    <xf numFmtId="0" fontId="21" fillId="0" borderId="0" xfId="19" quotePrefix="1" applyFont="1" applyFill="1" applyAlignment="1">
      <alignment horizontal="center"/>
    </xf>
    <xf numFmtId="0" fontId="21" fillId="0" borderId="0" xfId="19" applyFont="1" applyFill="1" applyBorder="1" applyAlignment="1">
      <alignment horizontal="center"/>
    </xf>
    <xf numFmtId="0" fontId="21" fillId="0" borderId="27" xfId="19" applyFont="1" applyFill="1" applyBorder="1" applyAlignment="1">
      <alignment horizontal="center"/>
    </xf>
    <xf numFmtId="0" fontId="21" fillId="0" borderId="27" xfId="19" applyFont="1" applyFill="1" applyBorder="1"/>
    <xf numFmtId="0" fontId="21" fillId="0" borderId="0" xfId="19" applyFont="1" applyFill="1" applyAlignment="1">
      <alignment horizontal="right"/>
    </xf>
    <xf numFmtId="0" fontId="21" fillId="0" borderId="0" xfId="19" applyFont="1" applyFill="1" applyAlignment="1"/>
    <xf numFmtId="0" fontId="21" fillId="0" borderId="0" xfId="19" quotePrefix="1" applyFont="1" applyFill="1"/>
    <xf numFmtId="7" fontId="21" fillId="0" borderId="0" xfId="19" applyNumberFormat="1" applyFont="1" applyFill="1" applyAlignment="1">
      <alignment horizontal="right"/>
    </xf>
    <xf numFmtId="176" fontId="21" fillId="0" borderId="0" xfId="5" applyNumberFormat="1" applyFont="1" applyFill="1" applyAlignment="1">
      <alignment horizontal="right"/>
    </xf>
    <xf numFmtId="177" fontId="21" fillId="0" borderId="0" xfId="19" applyNumberFormat="1" applyFont="1" applyFill="1" applyAlignment="1">
      <alignment horizontal="center"/>
    </xf>
    <xf numFmtId="9" fontId="21" fillId="0" borderId="0" xfId="19" applyNumberFormat="1" applyFont="1" applyFill="1" applyAlignment="1">
      <alignment horizontal="center"/>
    </xf>
    <xf numFmtId="166" fontId="21" fillId="0" borderId="0" xfId="19" applyNumberFormat="1" applyFont="1" applyFill="1" applyAlignment="1">
      <alignment horizontal="center"/>
    </xf>
    <xf numFmtId="3" fontId="21" fillId="0" borderId="0" xfId="19" applyNumberFormat="1" applyFont="1" applyFill="1" applyAlignment="1">
      <alignment horizontal="right"/>
    </xf>
    <xf numFmtId="178" fontId="21" fillId="0" borderId="0" xfId="19" applyNumberFormat="1" applyFont="1" applyFill="1" applyAlignment="1">
      <alignment horizontal="right"/>
    </xf>
    <xf numFmtId="39" fontId="21" fillId="0" borderId="0" xfId="19" applyNumberFormat="1" applyFont="1" applyFill="1" applyAlignment="1">
      <alignment horizontal="right"/>
    </xf>
    <xf numFmtId="39" fontId="21" fillId="0" borderId="0" xfId="19" applyNumberFormat="1" applyFont="1" applyFill="1" applyAlignment="1">
      <alignment horizontal="center"/>
    </xf>
    <xf numFmtId="170" fontId="21" fillId="0" borderId="0" xfId="19" applyNumberFormat="1" applyFont="1" applyFill="1" applyAlignment="1">
      <alignment horizontal="center"/>
    </xf>
    <xf numFmtId="179" fontId="21" fillId="0" borderId="0" xfId="19" applyNumberFormat="1" applyFont="1" applyFill="1" applyAlignment="1">
      <alignment horizontal="right"/>
    </xf>
    <xf numFmtId="176" fontId="21" fillId="0" borderId="0" xfId="5" applyNumberFormat="1" applyFont="1" applyFill="1" applyAlignment="1">
      <alignment horizontal="center"/>
    </xf>
    <xf numFmtId="178" fontId="21" fillId="0" borderId="0" xfId="19" applyNumberFormat="1" applyFont="1" applyFill="1" applyAlignment="1">
      <alignment horizontal="center"/>
    </xf>
    <xf numFmtId="3" fontId="21" fillId="0" borderId="0" xfId="19" applyNumberFormat="1" applyFont="1" applyFill="1" applyAlignment="1">
      <alignment horizontal="center"/>
    </xf>
    <xf numFmtId="0" fontId="33" fillId="0" borderId="0" xfId="20" applyFont="1"/>
    <xf numFmtId="0" fontId="33" fillId="0" borderId="0" xfId="20" applyFont="1" applyFill="1"/>
    <xf numFmtId="39" fontId="33" fillId="0" borderId="0" xfId="20" applyNumberFormat="1" applyFont="1" applyFill="1"/>
    <xf numFmtId="180" fontId="33" fillId="0" borderId="0" xfId="20" applyNumberFormat="1" applyFont="1" applyFill="1"/>
    <xf numFmtId="39" fontId="33" fillId="0" borderId="0" xfId="20" applyNumberFormat="1" applyFont="1" applyAlignment="1">
      <alignment horizontal="right"/>
    </xf>
    <xf numFmtId="175" fontId="34" fillId="0" borderId="0" xfId="20" applyNumberFormat="1" applyFont="1" applyFill="1" applyAlignment="1">
      <alignment horizontal="right"/>
    </xf>
    <xf numFmtId="37" fontId="34" fillId="0" borderId="0" xfId="20" applyNumberFormat="1" applyFont="1" applyFill="1" applyAlignment="1">
      <alignment horizontal="right"/>
    </xf>
    <xf numFmtId="0" fontId="33" fillId="8" borderId="0" xfId="20" applyFont="1" applyFill="1"/>
    <xf numFmtId="174" fontId="35" fillId="0" borderId="0" xfId="20" applyNumberFormat="1" applyFont="1" applyFill="1"/>
    <xf numFmtId="39" fontId="35" fillId="0" borderId="0" xfId="20" applyNumberFormat="1" applyFont="1" applyFill="1"/>
    <xf numFmtId="174" fontId="24" fillId="7" borderId="0" xfId="20" applyNumberFormat="1" applyFont="1" applyFill="1"/>
    <xf numFmtId="174" fontId="24" fillId="0" borderId="0" xfId="20" applyNumberFormat="1" applyFont="1" applyFill="1"/>
    <xf numFmtId="39" fontId="36" fillId="0" borderId="0" xfId="20" applyNumberFormat="1" applyFont="1" applyFill="1"/>
    <xf numFmtId="39" fontId="24" fillId="0" borderId="0" xfId="20" applyNumberFormat="1" applyFont="1" applyFill="1"/>
    <xf numFmtId="0" fontId="36" fillId="0" borderId="0" xfId="20" applyFont="1" applyFill="1"/>
    <xf numFmtId="172" fontId="24" fillId="0" borderId="0" xfId="20" applyNumberFormat="1" applyFont="1" applyFill="1"/>
    <xf numFmtId="0" fontId="24" fillId="0" borderId="0" xfId="20" applyFont="1"/>
    <xf numFmtId="0" fontId="34" fillId="0" borderId="0" xfId="20" applyFont="1" applyFill="1"/>
    <xf numFmtId="172" fontId="33" fillId="0" borderId="0" xfId="20" applyNumberFormat="1" applyFont="1" applyFill="1"/>
    <xf numFmtId="4" fontId="24" fillId="0" borderId="0" xfId="20" applyNumberFormat="1" applyFont="1" applyFill="1"/>
    <xf numFmtId="4" fontId="33" fillId="0" borderId="0" xfId="20" applyNumberFormat="1" applyFont="1" applyFill="1"/>
    <xf numFmtId="174" fontId="33" fillId="0" borderId="0" xfId="20" applyNumberFormat="1" applyFont="1" applyFill="1"/>
    <xf numFmtId="174" fontId="36" fillId="0" borderId="0" xfId="20" applyNumberFormat="1" applyFont="1" applyFill="1"/>
    <xf numFmtId="175" fontId="33" fillId="0" borderId="0" xfId="20" applyNumberFormat="1" applyFont="1" applyAlignment="1">
      <alignment horizontal="right"/>
    </xf>
    <xf numFmtId="0" fontId="37" fillId="0" borderId="0" xfId="20" applyFont="1" applyFill="1" applyAlignment="1">
      <alignment horizontal="center"/>
    </xf>
    <xf numFmtId="0" fontId="37" fillId="0" borderId="0" xfId="20" applyFont="1" applyAlignment="1">
      <alignment horizontal="center"/>
    </xf>
    <xf numFmtId="0" fontId="27" fillId="0" borderId="0" xfId="20" applyFont="1" applyAlignment="1">
      <alignment horizontal="center"/>
    </xf>
    <xf numFmtId="0" fontId="38" fillId="0" borderId="0" xfId="20" applyFont="1" applyFill="1" applyAlignment="1">
      <alignment horizontal="center"/>
    </xf>
    <xf numFmtId="0" fontId="38" fillId="0" borderId="0" xfId="20" applyFont="1" applyFill="1"/>
    <xf numFmtId="15" fontId="31" fillId="0" borderId="0" xfId="20" applyNumberFormat="1" applyFont="1" applyFill="1"/>
    <xf numFmtId="0" fontId="31" fillId="0" borderId="0" xfId="20" applyFont="1"/>
    <xf numFmtId="0" fontId="24" fillId="0" borderId="0" xfId="20" applyFont="1" applyFill="1"/>
    <xf numFmtId="0" fontId="31" fillId="0" borderId="0" xfId="20" quotePrefix="1" applyFont="1" applyFill="1"/>
    <xf numFmtId="0" fontId="33" fillId="5" borderId="0" xfId="20" applyFont="1" applyFill="1"/>
    <xf numFmtId="0" fontId="38" fillId="0" borderId="0" xfId="20" applyFont="1"/>
    <xf numFmtId="0" fontId="36" fillId="5" borderId="0" xfId="20" applyFont="1" applyFill="1"/>
    <xf numFmtId="0" fontId="36" fillId="0" borderId="0" xfId="20" applyFont="1"/>
    <xf numFmtId="0" fontId="34" fillId="9" borderId="0" xfId="20" applyFont="1" applyFill="1"/>
    <xf numFmtId="15" fontId="24" fillId="9" borderId="0" xfId="20" quotePrefix="1" applyNumberFormat="1" applyFont="1" applyFill="1"/>
    <xf numFmtId="0" fontId="24" fillId="9" borderId="0" xfId="20" applyFont="1" applyFill="1"/>
    <xf numFmtId="0" fontId="32" fillId="0" borderId="0" xfId="20"/>
    <xf numFmtId="0" fontId="9" fillId="0" borderId="0" xfId="20" applyFont="1"/>
    <xf numFmtId="0" fontId="9" fillId="0" borderId="0" xfId="20" applyFont="1" applyAlignment="1">
      <alignment horizontal="left"/>
    </xf>
    <xf numFmtId="0" fontId="39" fillId="0" borderId="0" xfId="20" applyFont="1" applyAlignment="1">
      <alignment horizontal="center"/>
    </xf>
    <xf numFmtId="0" fontId="39" fillId="0" borderId="0" xfId="20" applyFont="1"/>
    <xf numFmtId="0" fontId="39" fillId="0" borderId="0" xfId="20" applyFont="1" applyAlignment="1">
      <alignment horizontal="left"/>
    </xf>
    <xf numFmtId="0" fontId="21" fillId="0" borderId="0" xfId="20" applyFont="1"/>
    <xf numFmtId="175" fontId="21" fillId="0" borderId="0" xfId="20" applyNumberFormat="1" applyFont="1"/>
    <xf numFmtId="175" fontId="21" fillId="0" borderId="0" xfId="20" applyNumberFormat="1" applyFont="1" applyAlignment="1">
      <alignment horizontal="center"/>
    </xf>
    <xf numFmtId="0" fontId="21" fillId="0" borderId="0" xfId="20" applyFont="1" applyAlignment="1">
      <alignment horizontal="left"/>
    </xf>
    <xf numFmtId="0" fontId="21" fillId="0" borderId="0" xfId="20" applyFont="1" applyAlignment="1">
      <alignment horizontal="right"/>
    </xf>
    <xf numFmtId="0" fontId="21" fillId="0" borderId="0" xfId="20" applyFont="1" applyAlignment="1">
      <alignment horizontal="center"/>
    </xf>
    <xf numFmtId="170" fontId="21" fillId="0" borderId="0" xfId="20" applyNumberFormat="1" applyFont="1" applyAlignment="1">
      <alignment horizontal="right"/>
    </xf>
    <xf numFmtId="166" fontId="21" fillId="0" borderId="0" xfId="20" applyNumberFormat="1" applyFont="1" applyAlignment="1">
      <alignment horizontal="right"/>
    </xf>
    <xf numFmtId="166" fontId="21" fillId="0" borderId="0" xfId="20" applyNumberFormat="1" applyFont="1" applyFill="1" applyAlignment="1">
      <alignment horizontal="right"/>
    </xf>
    <xf numFmtId="0" fontId="21" fillId="0" borderId="0" xfId="20" applyFont="1" applyAlignment="1"/>
    <xf numFmtId="166" fontId="21" fillId="0" borderId="0" xfId="20" applyNumberFormat="1" applyFont="1" applyAlignment="1">
      <alignment horizontal="center"/>
    </xf>
    <xf numFmtId="0" fontId="21" fillId="0" borderId="0" xfId="20" quotePrefix="1" applyFont="1" applyAlignment="1">
      <alignment horizontal="center"/>
    </xf>
    <xf numFmtId="0" fontId="21" fillId="0" borderId="27" xfId="20" applyFont="1" applyBorder="1" applyAlignment="1">
      <alignment horizontal="center"/>
    </xf>
    <xf numFmtId="0" fontId="21" fillId="0" borderId="27" xfId="20" quotePrefix="1" applyFont="1" applyBorder="1" applyAlignment="1">
      <alignment horizontal="center"/>
    </xf>
    <xf numFmtId="0" fontId="21" fillId="0" borderId="27" xfId="20" applyFont="1" applyBorder="1" applyAlignment="1">
      <alignment horizontal="right"/>
    </xf>
    <xf numFmtId="0" fontId="21" fillId="0" borderId="27" xfId="20" applyFont="1" applyBorder="1"/>
    <xf numFmtId="0" fontId="21" fillId="0" borderId="0" xfId="20" applyFont="1" applyFill="1" applyAlignment="1">
      <alignment horizontal="right"/>
    </xf>
    <xf numFmtId="0" fontId="28" fillId="0" borderId="0" xfId="20" applyFont="1" applyFill="1" applyAlignment="1"/>
    <xf numFmtId="0" fontId="21" fillId="0" borderId="0" xfId="20" applyFont="1" applyFill="1"/>
    <xf numFmtId="0" fontId="21" fillId="0" borderId="0" xfId="20" quotePrefix="1" applyFont="1" applyFill="1"/>
    <xf numFmtId="175" fontId="21" fillId="0" borderId="0" xfId="20" applyNumberFormat="1" applyFont="1" applyFill="1" applyAlignment="1">
      <alignment horizontal="center"/>
    </xf>
    <xf numFmtId="0" fontId="21" fillId="0" borderId="0" xfId="20" applyFont="1" applyFill="1" applyAlignment="1">
      <alignment horizontal="left"/>
    </xf>
    <xf numFmtId="170" fontId="21" fillId="0" borderId="0" xfId="20" applyNumberFormat="1" applyFont="1" applyFill="1" applyAlignment="1">
      <alignment horizontal="right"/>
    </xf>
    <xf numFmtId="175" fontId="21" fillId="0" borderId="0" xfId="20" applyNumberFormat="1" applyFont="1" applyFill="1" applyAlignment="1">
      <alignment horizontal="right"/>
    </xf>
    <xf numFmtId="0" fontId="21" fillId="0" borderId="0" xfId="20" applyFont="1" applyFill="1" applyAlignment="1">
      <alignment horizontal="center"/>
    </xf>
    <xf numFmtId="0" fontId="21" fillId="0" borderId="0" xfId="20" applyFont="1" applyFill="1" applyAlignment="1"/>
    <xf numFmtId="0" fontId="21" fillId="0" borderId="0" xfId="20" quotePrefix="1" applyFont="1" applyFill="1" applyAlignment="1">
      <alignment horizontal="center"/>
    </xf>
    <xf numFmtId="0" fontId="21" fillId="0" borderId="27" xfId="20" applyFont="1" applyFill="1" applyBorder="1" applyAlignment="1">
      <alignment horizontal="center"/>
    </xf>
    <xf numFmtId="0" fontId="21" fillId="0" borderId="27" xfId="20" quotePrefix="1" applyFont="1" applyFill="1" applyBorder="1" applyAlignment="1">
      <alignment horizontal="center"/>
    </xf>
    <xf numFmtId="0" fontId="21" fillId="0" borderId="27" xfId="20" applyFont="1" applyFill="1" applyBorder="1" applyAlignment="1">
      <alignment horizontal="right"/>
    </xf>
    <xf numFmtId="0" fontId="21" fillId="0" borderId="27" xfId="20" applyFont="1" applyFill="1" applyBorder="1"/>
    <xf numFmtId="175" fontId="21" fillId="0" borderId="0" xfId="20" applyNumberFormat="1" applyFont="1" applyFill="1"/>
    <xf numFmtId="178" fontId="21" fillId="0" borderId="0" xfId="20" applyNumberFormat="1" applyFont="1" applyFill="1" applyAlignment="1">
      <alignment horizontal="right"/>
    </xf>
    <xf numFmtId="166" fontId="21" fillId="0" borderId="0" xfId="20" applyNumberFormat="1" applyFont="1" applyFill="1" applyAlignment="1">
      <alignment horizontal="center"/>
    </xf>
    <xf numFmtId="0" fontId="21" fillId="0" borderId="0" xfId="20" quotePrefix="1" applyFont="1"/>
    <xf numFmtId="170" fontId="21" fillId="0" borderId="0" xfId="20" applyNumberFormat="1" applyFont="1" applyAlignment="1">
      <alignment horizontal="center"/>
    </xf>
    <xf numFmtId="170" fontId="21" fillId="0" borderId="0" xfId="20" applyNumberFormat="1" applyFont="1" applyFill="1" applyAlignment="1">
      <alignment horizontal="center"/>
    </xf>
    <xf numFmtId="0" fontId="17" fillId="0" borderId="0" xfId="18"/>
    <xf numFmtId="180" fontId="40" fillId="0" borderId="0" xfId="20" applyNumberFormat="1" applyFont="1" applyFill="1"/>
    <xf numFmtId="39" fontId="40" fillId="0" borderId="0" xfId="20" applyNumberFormat="1" applyFont="1" applyFill="1"/>
    <xf numFmtId="172" fontId="34" fillId="0" borderId="0" xfId="20" applyNumberFormat="1" applyFont="1" applyFill="1"/>
    <xf numFmtId="39" fontId="34" fillId="0" borderId="0" xfId="20" applyNumberFormat="1" applyFont="1" applyFill="1"/>
    <xf numFmtId="180" fontId="34" fillId="0" borderId="0" xfId="20" applyNumberFormat="1" applyFont="1" applyFill="1"/>
    <xf numFmtId="39" fontId="41" fillId="0" borderId="0" xfId="19" applyNumberFormat="1" applyFont="1" applyFill="1"/>
    <xf numFmtId="39" fontId="21" fillId="0" borderId="0" xfId="19" applyNumberFormat="1" applyFont="1" applyFill="1"/>
    <xf numFmtId="171" fontId="41" fillId="0" borderId="0" xfId="19" applyNumberFormat="1" applyFont="1" applyFill="1"/>
    <xf numFmtId="10" fontId="0" fillId="0" borderId="0" xfId="3" applyNumberFormat="1" applyFont="1" applyAlignment="1"/>
    <xf numFmtId="164" fontId="0" fillId="0" borderId="26" xfId="0" applyNumberFormat="1" applyBorder="1"/>
    <xf numFmtId="176" fontId="21" fillId="0" borderId="12" xfId="5" applyNumberFormat="1" applyFont="1" applyFill="1" applyBorder="1" applyAlignment="1">
      <alignment horizontal="right"/>
    </xf>
    <xf numFmtId="166" fontId="21" fillId="0" borderId="39" xfId="20" applyNumberFormat="1" applyFont="1" applyBorder="1" applyAlignment="1">
      <alignment horizontal="right"/>
    </xf>
    <xf numFmtId="170" fontId="21" fillId="0" borderId="39" xfId="20" applyNumberFormat="1" applyFont="1" applyBorder="1" applyAlignment="1">
      <alignment horizontal="right"/>
    </xf>
    <xf numFmtId="166" fontId="21" fillId="0" borderId="39" xfId="20" applyNumberFormat="1" applyFont="1" applyFill="1" applyBorder="1" applyAlignment="1">
      <alignment horizontal="right"/>
    </xf>
    <xf numFmtId="170" fontId="21" fillId="0" borderId="13" xfId="20" applyNumberFormat="1" applyFont="1" applyBorder="1" applyAlignment="1">
      <alignment horizontal="right"/>
    </xf>
    <xf numFmtId="0" fontId="31" fillId="10" borderId="0" xfId="20" applyFont="1" applyFill="1"/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8" xfId="0" applyFont="1" applyBorder="1"/>
    <xf numFmtId="0" fontId="4" fillId="0" borderId="15" xfId="0" applyFont="1" applyBorder="1" applyAlignment="1">
      <alignment horizontal="center"/>
    </xf>
    <xf numFmtId="0" fontId="4" fillId="0" borderId="43" xfId="0" applyFont="1" applyBorder="1"/>
    <xf numFmtId="9" fontId="4" fillId="0" borderId="15" xfId="3" applyFont="1" applyBorder="1" applyAlignment="1">
      <alignment horizontal="center"/>
    </xf>
    <xf numFmtId="9" fontId="6" fillId="0" borderId="15" xfId="3" applyFont="1" applyBorder="1" applyAlignment="1">
      <alignment horizontal="center"/>
    </xf>
    <xf numFmtId="0" fontId="4" fillId="0" borderId="33" xfId="0" applyFont="1" applyBorder="1"/>
    <xf numFmtId="9" fontId="4" fillId="0" borderId="15" xfId="3" applyFont="1" applyFill="1" applyBorder="1" applyAlignment="1">
      <alignment horizontal="center"/>
    </xf>
    <xf numFmtId="9" fontId="4" fillId="0" borderId="25" xfId="3" applyFont="1" applyBorder="1" applyAlignment="1">
      <alignment horizontal="center"/>
    </xf>
    <xf numFmtId="164" fontId="13" fillId="0" borderId="20" xfId="2" applyNumberFormat="1" applyFont="1" applyBorder="1"/>
    <xf numFmtId="10" fontId="4" fillId="0" borderId="43" xfId="3" applyNumberFormat="1" applyFont="1" applyBorder="1" applyAlignment="1">
      <alignment horizontal="center"/>
    </xf>
    <xf numFmtId="10" fontId="5" fillId="0" borderId="33" xfId="3" applyNumberFormat="1" applyFont="1" applyBorder="1" applyAlignment="1">
      <alignment horizontal="center"/>
    </xf>
    <xf numFmtId="10" fontId="0" fillId="0" borderId="0" xfId="3" applyNumberFormat="1" applyFont="1" applyAlignment="1">
      <alignment horizontal="right"/>
    </xf>
    <xf numFmtId="165" fontId="4" fillId="0" borderId="44" xfId="1" applyNumberFormat="1" applyFont="1" applyBorder="1"/>
    <xf numFmtId="10" fontId="5" fillId="0" borderId="15" xfId="3" applyNumberFormat="1" applyFont="1" applyBorder="1" applyAlignment="1">
      <alignment horizontal="center"/>
    </xf>
    <xf numFmtId="10" fontId="5" fillId="0" borderId="25" xfId="3" applyNumberFormat="1" applyFont="1" applyBorder="1" applyAlignment="1">
      <alignment horizontal="center"/>
    </xf>
    <xf numFmtId="181" fontId="5" fillId="0" borderId="43" xfId="3" applyNumberFormat="1" applyFont="1" applyBorder="1" applyAlignment="1">
      <alignment horizontal="center"/>
    </xf>
    <xf numFmtId="164" fontId="0" fillId="4" borderId="0" xfId="2" applyNumberFormat="1" applyFont="1" applyFill="1"/>
    <xf numFmtId="0" fontId="38" fillId="0" borderId="0" xfId="20" applyFont="1" applyFill="1" applyAlignment="1">
      <alignment horizontal="center"/>
    </xf>
    <xf numFmtId="0" fontId="9" fillId="0" borderId="0" xfId="20" applyFont="1" applyAlignment="1">
      <alignment horizontal="center"/>
    </xf>
    <xf numFmtId="0" fontId="21" fillId="0" borderId="0" xfId="20" applyFont="1" applyAlignment="1">
      <alignment horizontal="center"/>
    </xf>
    <xf numFmtId="0" fontId="21" fillId="0" borderId="0" xfId="20" applyFont="1" applyAlignment="1"/>
    <xf numFmtId="15" fontId="21" fillId="0" borderId="0" xfId="20" applyNumberFormat="1" applyFont="1" applyAlignment="1">
      <alignment horizontal="center"/>
    </xf>
    <xf numFmtId="0" fontId="21" fillId="0" borderId="0" xfId="20" applyFont="1" applyFill="1" applyAlignment="1">
      <alignment horizontal="center"/>
    </xf>
    <xf numFmtId="0" fontId="21" fillId="0" borderId="0" xfId="20" applyFont="1" applyFill="1" applyAlignment="1"/>
    <xf numFmtId="15" fontId="21" fillId="0" borderId="0" xfId="20" applyNumberFormat="1" applyFont="1" applyFill="1" applyAlignment="1">
      <alignment horizontal="center"/>
    </xf>
    <xf numFmtId="0" fontId="28" fillId="0" borderId="0" xfId="19" applyFont="1" applyFill="1" applyAlignment="1">
      <alignment horizontal="center"/>
    </xf>
    <xf numFmtId="0" fontId="21" fillId="0" borderId="0" xfId="19" applyFont="1" applyFill="1" applyAlignment="1">
      <alignment horizontal="center"/>
    </xf>
    <xf numFmtId="0" fontId="21" fillId="0" borderId="0" xfId="19" applyFont="1" applyFill="1" applyAlignment="1"/>
    <xf numFmtId="0" fontId="21" fillId="0" borderId="27" xfId="19" applyFont="1" applyFill="1" applyBorder="1" applyAlignment="1">
      <alignment horizontal="center"/>
    </xf>
  </cellXfs>
  <cellStyles count="21">
    <cellStyle name="Comma" xfId="1" builtinId="3"/>
    <cellStyle name="Comma 10" xfId="12" xr:uid="{00000000-0005-0000-0000-000001000000}"/>
    <cellStyle name="Comma 2" xfId="5" xr:uid="{00000000-0005-0000-0000-000002000000}"/>
    <cellStyle name="Comma 49" xfId="10" xr:uid="{00000000-0005-0000-0000-000003000000}"/>
    <cellStyle name="Currency" xfId="2" builtinId="4"/>
    <cellStyle name="Currency 12" xfId="11" xr:uid="{00000000-0005-0000-0000-000005000000}"/>
    <cellStyle name="Currency 2" xfId="14" xr:uid="{00000000-0005-0000-0000-000006000000}"/>
    <cellStyle name="Hyperlink" xfId="18" builtinId="8"/>
    <cellStyle name="Normal" xfId="0" builtinId="0"/>
    <cellStyle name="Normal 10" xfId="13" xr:uid="{00000000-0005-0000-0000-000008000000}"/>
    <cellStyle name="Normal 10 2 2" xfId="8" xr:uid="{00000000-0005-0000-0000-000009000000}"/>
    <cellStyle name="Normal 2" xfId="6" xr:uid="{00000000-0005-0000-0000-00000A000000}"/>
    <cellStyle name="Normal 2 16" xfId="4" xr:uid="{00000000-0005-0000-0000-00000B000000}"/>
    <cellStyle name="Normal 2 3 3" xfId="7" xr:uid="{00000000-0005-0000-0000-00000C000000}"/>
    <cellStyle name="Normal 3" xfId="19" xr:uid="{F9821064-0097-4252-8B9A-545B0549F887}"/>
    <cellStyle name="Normal 4" xfId="20" xr:uid="{ED7B1E71-0AC7-4BAF-8BA3-E69361FB62AF}"/>
    <cellStyle name="Normal 92" xfId="9" xr:uid="{00000000-0005-0000-0000-00000D000000}"/>
    <cellStyle name="Percent" xfId="3" builtinId="5"/>
    <cellStyle name="Percent 2" xfId="15" xr:uid="{00000000-0005-0000-0000-000010000000}"/>
    <cellStyle name="Report Bar" xfId="17" xr:uid="{00000000-0005-0000-0000-000011000000}"/>
    <cellStyle name="Reports Total" xfId="16" xr:uid="{00000000-0005-0000-0000-000012000000}"/>
  </cellStyles>
  <dxfs count="0"/>
  <tableStyles count="0" defaultTableStyle="TableStyleMedium2" defaultPivotStyle="PivotStyleLight16"/>
  <colors>
    <mruColors>
      <color rgb="FFFFFFCC"/>
      <color rgb="FF008000"/>
      <color rgb="FF0000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570D-4AC4-4EF9-B315-C7E3C719138D}">
  <sheetPr codeName="Sheet2"/>
  <dimension ref="A1:C35"/>
  <sheetViews>
    <sheetView workbookViewId="0"/>
  </sheetViews>
  <sheetFormatPr defaultRowHeight="14.4" customHeight="1" x14ac:dyDescent="0.35"/>
  <cols>
    <col min="1" max="1" width="2.81640625" customWidth="1"/>
    <col min="2" max="2" width="18.453125" bestFit="1" customWidth="1"/>
    <col min="3" max="3" width="24.453125" bestFit="1" customWidth="1"/>
  </cols>
  <sheetData>
    <row r="1" spans="1:3" ht="14.4" customHeight="1" x14ac:dyDescent="0.35">
      <c r="A1" s="2" t="str">
        <f>'Rate Design'!A2</f>
        <v>COLUMBIA GAS OF KENTUCKY, INC.</v>
      </c>
    </row>
    <row r="2" spans="1:3" ht="14.4" customHeight="1" x14ac:dyDescent="0.35">
      <c r="A2" s="2" t="str">
        <f>'Rate Design'!A3</f>
        <v>FORECASTED PERIOD 12/31/2024 TO 12/31/2025</v>
      </c>
    </row>
    <row r="4" spans="1:3" ht="14.4" customHeight="1" x14ac:dyDescent="0.35">
      <c r="A4" s="1"/>
      <c r="B4" s="1" t="s">
        <v>318</v>
      </c>
      <c r="C4" s="1" t="s">
        <v>319</v>
      </c>
    </row>
    <row r="5" spans="1:3" ht="14.4" customHeight="1" x14ac:dyDescent="0.35">
      <c r="B5" t="s">
        <v>333</v>
      </c>
      <c r="C5" s="264" t="str">
        <f t="shared" ref="C5:C35" si="0">HYPERLINK("#'"&amp;B5&amp;"'!A1","Link to "&amp;B5)</f>
        <v>Link to Input_Entry</v>
      </c>
    </row>
    <row r="6" spans="1:3" ht="14.4" customHeight="1" x14ac:dyDescent="0.35">
      <c r="B6" t="s">
        <v>312</v>
      </c>
      <c r="C6" s="264" t="str">
        <f t="shared" si="0"/>
        <v>Link to Rate Design</v>
      </c>
    </row>
    <row r="7" spans="1:3" ht="14.4" customHeight="1" x14ac:dyDescent="0.35">
      <c r="B7" t="s">
        <v>22</v>
      </c>
      <c r="C7" s="264" t="str">
        <f t="shared" si="0"/>
        <v>Link to Revenue Spread</v>
      </c>
    </row>
    <row r="8" spans="1:3" ht="14.4" customHeight="1" x14ac:dyDescent="0.35">
      <c r="B8" t="s">
        <v>336</v>
      </c>
      <c r="C8" s="264" t="str">
        <f t="shared" si="0"/>
        <v>Link to Sales_Input</v>
      </c>
    </row>
    <row r="9" spans="1:3" ht="14.4" customHeight="1" x14ac:dyDescent="0.35">
      <c r="B9" t="s">
        <v>313</v>
      </c>
      <c r="C9" s="264" t="str">
        <f t="shared" si="0"/>
        <v>Link to INDEX N</v>
      </c>
    </row>
    <row r="10" spans="1:3" ht="14.4" customHeight="1" x14ac:dyDescent="0.35">
      <c r="B10" t="s">
        <v>244</v>
      </c>
      <c r="C10" s="264" t="str">
        <f t="shared" si="0"/>
        <v>Link to GSR</v>
      </c>
    </row>
    <row r="11" spans="1:3" ht="14.4" customHeight="1" x14ac:dyDescent="0.35">
      <c r="B11" t="s">
        <v>242</v>
      </c>
      <c r="C11" s="264" t="str">
        <f t="shared" si="0"/>
        <v>Link to G1C</v>
      </c>
    </row>
    <row r="12" spans="1:3" ht="14.4" customHeight="1" x14ac:dyDescent="0.35">
      <c r="B12" t="s">
        <v>241</v>
      </c>
      <c r="C12" s="264" t="str">
        <f t="shared" si="0"/>
        <v>Link to G1R</v>
      </c>
    </row>
    <row r="13" spans="1:3" ht="14.4" customHeight="1" x14ac:dyDescent="0.35">
      <c r="B13" t="s">
        <v>314</v>
      </c>
      <c r="C13" s="264" t="str">
        <f t="shared" si="0"/>
        <v>Link to IN3R</v>
      </c>
    </row>
    <row r="14" spans="1:3" ht="14.4" customHeight="1" x14ac:dyDescent="0.35">
      <c r="B14" t="s">
        <v>315</v>
      </c>
      <c r="C14" s="264" t="str">
        <f t="shared" si="0"/>
        <v>Link to IN3C</v>
      </c>
    </row>
    <row r="15" spans="1:3" ht="14.4" customHeight="1" x14ac:dyDescent="0.35">
      <c r="B15" t="s">
        <v>238</v>
      </c>
      <c r="C15" s="264" t="str">
        <f t="shared" si="0"/>
        <v>Link to IN4</v>
      </c>
    </row>
    <row r="16" spans="1:3" ht="14.4" customHeight="1" x14ac:dyDescent="0.35">
      <c r="B16" t="s">
        <v>237</v>
      </c>
      <c r="C16" s="264" t="str">
        <f t="shared" si="0"/>
        <v>Link to IN5</v>
      </c>
    </row>
    <row r="17" spans="2:3" ht="14.4" customHeight="1" x14ac:dyDescent="0.35">
      <c r="B17" t="s">
        <v>316</v>
      </c>
      <c r="C17" s="264" t="str">
        <f t="shared" si="0"/>
        <v>Link to LG2R</v>
      </c>
    </row>
    <row r="18" spans="2:3" ht="14.4" customHeight="1" x14ac:dyDescent="0.35">
      <c r="B18" t="s">
        <v>317</v>
      </c>
      <c r="C18" s="264" t="str">
        <f t="shared" si="0"/>
        <v>Link to LG2C</v>
      </c>
    </row>
    <row r="19" spans="2:3" ht="14.4" customHeight="1" x14ac:dyDescent="0.35">
      <c r="B19" t="s">
        <v>232</v>
      </c>
      <c r="C19" s="264" t="str">
        <f t="shared" si="0"/>
        <v>Link to LG3</v>
      </c>
    </row>
    <row r="20" spans="2:3" ht="14.4" customHeight="1" x14ac:dyDescent="0.35">
      <c r="B20" t="s">
        <v>231</v>
      </c>
      <c r="C20" s="264" t="str">
        <f t="shared" si="0"/>
        <v>Link to LG4</v>
      </c>
    </row>
    <row r="21" spans="2:3" ht="14.4" customHeight="1" x14ac:dyDescent="0.35">
      <c r="B21" t="s">
        <v>226</v>
      </c>
      <c r="C21" s="264" t="str">
        <f t="shared" si="0"/>
        <v>Link to IS</v>
      </c>
    </row>
    <row r="22" spans="2:3" ht="14.4" customHeight="1" x14ac:dyDescent="0.35">
      <c r="B22" t="s">
        <v>228</v>
      </c>
      <c r="C22" s="264" t="str">
        <f t="shared" si="0"/>
        <v>Link to GSO</v>
      </c>
    </row>
    <row r="23" spans="2:3" ht="14.4" customHeight="1" x14ac:dyDescent="0.35">
      <c r="B23" t="s">
        <v>30</v>
      </c>
      <c r="C23" s="264" t="str">
        <f t="shared" si="0"/>
        <v>Link to IUS</v>
      </c>
    </row>
    <row r="24" spans="2:3" ht="14.4" customHeight="1" x14ac:dyDescent="0.35">
      <c r="B24" t="s">
        <v>337</v>
      </c>
      <c r="C24" s="264" t="str">
        <f t="shared" si="0"/>
        <v>Link to Trans_Inputs</v>
      </c>
    </row>
    <row r="25" spans="2:3" ht="14.4" customHeight="1" x14ac:dyDescent="0.35">
      <c r="B25" t="s">
        <v>108</v>
      </c>
      <c r="C25" s="264" t="str">
        <f t="shared" si="0"/>
        <v>Link to GTR</v>
      </c>
    </row>
    <row r="26" spans="2:3" ht="14.4" customHeight="1" x14ac:dyDescent="0.35">
      <c r="B26" t="s">
        <v>105</v>
      </c>
      <c r="C26" s="264" t="str">
        <f t="shared" si="0"/>
        <v>Link to GTO</v>
      </c>
    </row>
    <row r="27" spans="2:3" ht="14.4" customHeight="1" x14ac:dyDescent="0.35">
      <c r="B27" t="s">
        <v>102</v>
      </c>
      <c r="C27" s="264" t="str">
        <f t="shared" si="0"/>
        <v>Link to DS</v>
      </c>
    </row>
    <row r="28" spans="2:3" ht="14.4" customHeight="1" x14ac:dyDescent="0.35">
      <c r="B28" t="s">
        <v>99</v>
      </c>
      <c r="C28" s="264" t="str">
        <f t="shared" si="0"/>
        <v>Link to GDS</v>
      </c>
    </row>
    <row r="29" spans="2:3" ht="14.4" customHeight="1" x14ac:dyDescent="0.35">
      <c r="B29" t="s">
        <v>97</v>
      </c>
      <c r="C29" s="264" t="str">
        <f t="shared" si="0"/>
        <v>Link to DS3</v>
      </c>
    </row>
    <row r="30" spans="2:3" ht="14.4" customHeight="1" x14ac:dyDescent="0.35">
      <c r="B30" t="s">
        <v>95</v>
      </c>
      <c r="C30" s="264" t="str">
        <f t="shared" si="0"/>
        <v>Link to FX1</v>
      </c>
    </row>
    <row r="31" spans="2:3" ht="14.4" customHeight="1" x14ac:dyDescent="0.35">
      <c r="B31" t="s">
        <v>93</v>
      </c>
      <c r="C31" s="264" t="str">
        <f t="shared" si="0"/>
        <v>Link to FX2</v>
      </c>
    </row>
    <row r="32" spans="2:3" ht="14.4" customHeight="1" x14ac:dyDescent="0.35">
      <c r="B32" t="s">
        <v>92</v>
      </c>
      <c r="C32" s="264" t="str">
        <f t="shared" si="0"/>
        <v>Link to FX5</v>
      </c>
    </row>
    <row r="33" spans="2:3" ht="14.4" customHeight="1" x14ac:dyDescent="0.35">
      <c r="B33" t="s">
        <v>91</v>
      </c>
      <c r="C33" s="264" t="str">
        <f t="shared" si="0"/>
        <v>Link to FX7</v>
      </c>
    </row>
    <row r="34" spans="2:3" ht="14.4" customHeight="1" x14ac:dyDescent="0.35">
      <c r="B34" t="s">
        <v>89</v>
      </c>
      <c r="C34" s="264" t="str">
        <f t="shared" si="0"/>
        <v>Link to SAS</v>
      </c>
    </row>
    <row r="35" spans="2:3" ht="14.5" x14ac:dyDescent="0.35">
      <c r="B35" t="s">
        <v>87</v>
      </c>
      <c r="C35" s="264" t="str">
        <f t="shared" si="0"/>
        <v>Link to SC3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C2BA-AA90-47AD-A42B-55F55E5D884A}">
  <sheetPr codeName="Sheet24">
    <tabColor theme="4" tint="0.79998168889431442"/>
    <pageSetUpPr fitToPage="1"/>
  </sheetPr>
  <dimension ref="A1:L37"/>
  <sheetViews>
    <sheetView workbookViewId="0">
      <selection sqref="A1:L1"/>
    </sheetView>
  </sheetViews>
  <sheetFormatPr defaultColWidth="10.1796875" defaultRowHeight="14.4" customHeight="1" x14ac:dyDescent="0.35"/>
  <cols>
    <col min="2" max="2" width="13.453125" customWidth="1"/>
    <col min="3" max="3" width="10.54296875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297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240</v>
      </c>
      <c r="C20" s="251" t="s">
        <v>147</v>
      </c>
      <c r="D20" s="259">
        <v>3</v>
      </c>
      <c r="E20" s="235">
        <f>Sales_Input!$H$25+ROUND(Sales_Input!$C$25*IN3R!D20,2)+ROUND(D20*Sales_Input!$N$25,2)</f>
        <v>1.24</v>
      </c>
      <c r="F20" s="235">
        <f>Sales_Input!$Y$25+ROUND(Sales_Input!$T$25*IN3R!D20,2)+ROUND(Sales_Input!$N$25*IN3R!D20,2)</f>
        <v>1.24</v>
      </c>
      <c r="G20" s="235">
        <f t="shared" ref="G20:G31" si="0">F20-E20</f>
        <v>0</v>
      </c>
      <c r="H20" s="249">
        <f t="shared" ref="H20:H31" si="1">ROUND(G20/E20,3)</f>
        <v>0</v>
      </c>
      <c r="I20" s="235">
        <f>ROUND(D20*SUM(Sales_Input!$O$25:$R$25),2)</f>
        <v>0</v>
      </c>
      <c r="J20" s="235">
        <f t="shared" ref="J20:J31" si="2">E20+I20</f>
        <v>1.24</v>
      </c>
      <c r="K20" s="235">
        <f t="shared" ref="K20:K31" si="3">F20+I20</f>
        <v>1.24</v>
      </c>
      <c r="L20" s="249">
        <f t="shared" ref="L20:L31" si="4">ROUND((K20-J20)/J20,3)</f>
        <v>0</v>
      </c>
    </row>
    <row r="21" spans="1:12" ht="14.4" customHeight="1" x14ac:dyDescent="0.35">
      <c r="A21" s="251">
        <v>2</v>
      </c>
      <c r="B21" s="251" t="s">
        <v>296</v>
      </c>
      <c r="C21" s="251" t="s">
        <v>145</v>
      </c>
      <c r="D21" s="259">
        <v>5</v>
      </c>
      <c r="E21" s="235">
        <f>Sales_Input!$H$25+ROUND(Sales_Input!$C$25*IN3R!D21,2)+ROUND(D21*Sales_Input!$N$25,2)</f>
        <v>2.06</v>
      </c>
      <c r="F21" s="235">
        <f>Sales_Input!$Y$25+ROUND(Sales_Input!$T$25*IN3R!D21,2)+ROUND(Sales_Input!$N$25*IN3R!D21,2)</f>
        <v>2.06</v>
      </c>
      <c r="G21" s="235">
        <f t="shared" si="0"/>
        <v>0</v>
      </c>
      <c r="H21" s="249">
        <f t="shared" si="1"/>
        <v>0</v>
      </c>
      <c r="I21" s="235">
        <f>ROUND(D21*SUM(Sales_Input!$O$25:$R$25),2)</f>
        <v>0</v>
      </c>
      <c r="J21" s="235">
        <f t="shared" si="2"/>
        <v>2.06</v>
      </c>
      <c r="K21" s="235">
        <f t="shared" si="3"/>
        <v>2.06</v>
      </c>
      <c r="L21" s="249">
        <f t="shared" si="4"/>
        <v>0</v>
      </c>
    </row>
    <row r="22" spans="1:12" ht="14.4" customHeight="1" x14ac:dyDescent="0.35">
      <c r="A22" s="251">
        <v>3</v>
      </c>
      <c r="B22" s="251" t="s">
        <v>179</v>
      </c>
      <c r="C22" s="245"/>
      <c r="D22" s="259">
        <v>7</v>
      </c>
      <c r="E22" s="235">
        <f>Sales_Input!$H$25+ROUND(Sales_Input!$C$25*IN3R!D22,2)+ROUND(D22*Sales_Input!$N$25,2)</f>
        <v>2.8899999999999997</v>
      </c>
      <c r="F22" s="235">
        <f>Sales_Input!$Y$25+ROUND(Sales_Input!$T$25*IN3R!D22,2)+ROUND(Sales_Input!$N$25*IN3R!D22,2)</f>
        <v>2.8899999999999997</v>
      </c>
      <c r="G22" s="235">
        <f t="shared" si="0"/>
        <v>0</v>
      </c>
      <c r="H22" s="249">
        <f t="shared" si="1"/>
        <v>0</v>
      </c>
      <c r="I22" s="235">
        <f>ROUND(D22*SUM(Sales_Input!$O$25:$R$25),2)</f>
        <v>0</v>
      </c>
      <c r="J22" s="235">
        <f t="shared" si="2"/>
        <v>2.8899999999999997</v>
      </c>
      <c r="K22" s="235">
        <f t="shared" si="3"/>
        <v>2.8899999999999997</v>
      </c>
      <c r="L22" s="249">
        <f t="shared" si="4"/>
        <v>0</v>
      </c>
    </row>
    <row r="23" spans="1:12" ht="14.4" customHeight="1" x14ac:dyDescent="0.35">
      <c r="A23" s="251">
        <v>4</v>
      </c>
      <c r="B23" s="251" t="s">
        <v>211</v>
      </c>
      <c r="C23" s="245"/>
      <c r="D23" s="259">
        <v>10</v>
      </c>
      <c r="E23" s="235">
        <f>Sales_Input!$H$25+ROUND(Sales_Input!$C$25*IN3R!D23,2)+ROUND(D23*Sales_Input!$N$25,2)</f>
        <v>4.12</v>
      </c>
      <c r="F23" s="235">
        <f>Sales_Input!$Y$25+ROUND(Sales_Input!$T$25*IN3R!D23,2)+ROUND(Sales_Input!$N$25*IN3R!D23,2)</f>
        <v>4.12</v>
      </c>
      <c r="G23" s="235">
        <f t="shared" si="0"/>
        <v>0</v>
      </c>
      <c r="H23" s="249">
        <f t="shared" si="1"/>
        <v>0</v>
      </c>
      <c r="I23" s="235">
        <f>ROUND(D23*SUM(Sales_Input!$O$25:$R$25),2)</f>
        <v>0</v>
      </c>
      <c r="J23" s="235">
        <f t="shared" si="2"/>
        <v>4.12</v>
      </c>
      <c r="K23" s="235">
        <f t="shared" si="3"/>
        <v>4.12</v>
      </c>
      <c r="L23" s="249">
        <f t="shared" si="4"/>
        <v>0</v>
      </c>
    </row>
    <row r="24" spans="1:12" ht="14.4" customHeight="1" x14ac:dyDescent="0.35">
      <c r="A24" s="251">
        <v>5</v>
      </c>
      <c r="B24" s="251" t="s">
        <v>200</v>
      </c>
      <c r="C24" s="245"/>
      <c r="D24" s="259">
        <v>11</v>
      </c>
      <c r="E24" s="235">
        <f>Sales_Input!$H$25+ROUND(Sales_Input!$C$25*IN3R!D24,2)+ROUND(D24*Sales_Input!$N$25,2)</f>
        <v>4.54</v>
      </c>
      <c r="F24" s="235">
        <f>Sales_Input!$Y$25+ROUND(Sales_Input!$T$25*IN3R!D24,2)+ROUND(Sales_Input!$N$25*IN3R!D24,2)</f>
        <v>4.54</v>
      </c>
      <c r="G24" s="235">
        <f t="shared" si="0"/>
        <v>0</v>
      </c>
      <c r="H24" s="249">
        <f t="shared" si="1"/>
        <v>0</v>
      </c>
      <c r="I24" s="235">
        <f>ROUND(D24*SUM(Sales_Input!$O$25:$R$25),2)</f>
        <v>0</v>
      </c>
      <c r="J24" s="235">
        <f t="shared" si="2"/>
        <v>4.54</v>
      </c>
      <c r="K24" s="235">
        <f t="shared" si="3"/>
        <v>4.54</v>
      </c>
      <c r="L24" s="249">
        <f t="shared" si="4"/>
        <v>0</v>
      </c>
    </row>
    <row r="25" spans="1:12" ht="14.4" customHeight="1" x14ac:dyDescent="0.35">
      <c r="A25" s="251">
        <v>6</v>
      </c>
      <c r="B25" s="251" t="s">
        <v>295</v>
      </c>
      <c r="C25" s="245"/>
      <c r="D25" s="259">
        <f>+E33</f>
        <v>11.5</v>
      </c>
      <c r="E25" s="235">
        <f>Sales_Input!$H$25+ROUND(Sales_Input!$C$25*IN3R!D25,2)+ROUND(D25*Sales_Input!$N$25,2)</f>
        <v>4.7399999999999993</v>
      </c>
      <c r="F25" s="235">
        <f>Sales_Input!$Y$25+ROUND(Sales_Input!$T$25*IN3R!D25,2)+ROUND(Sales_Input!$N$25*IN3R!D25,2)</f>
        <v>4.7399999999999993</v>
      </c>
      <c r="G25" s="235">
        <f t="shared" si="0"/>
        <v>0</v>
      </c>
      <c r="H25" s="249">
        <f t="shared" si="1"/>
        <v>0</v>
      </c>
      <c r="I25" s="235">
        <f>ROUND(D25*SUM(Sales_Input!$O$25:$R$25),2)</f>
        <v>0</v>
      </c>
      <c r="J25" s="235">
        <f t="shared" si="2"/>
        <v>4.7399999999999993</v>
      </c>
      <c r="K25" s="235">
        <f t="shared" si="3"/>
        <v>4.7399999999999993</v>
      </c>
      <c r="L25" s="249">
        <f t="shared" si="4"/>
        <v>0</v>
      </c>
    </row>
    <row r="26" spans="1:12" ht="14.4" customHeight="1" x14ac:dyDescent="0.35">
      <c r="A26" s="251">
        <v>7</v>
      </c>
      <c r="B26" s="245"/>
      <c r="C26" s="245"/>
      <c r="D26" s="259">
        <v>16</v>
      </c>
      <c r="E26" s="235">
        <f>Sales_Input!$H$25+ROUND(Sales_Input!$C$25*IN3R!D26,2)+ROUND(D26*Sales_Input!$N$25,2)</f>
        <v>6.6000000000000005</v>
      </c>
      <c r="F26" s="235">
        <f>Sales_Input!$Y$25+ROUND(Sales_Input!$T$25*IN3R!D26,2)+ROUND(Sales_Input!$N$25*IN3R!D26,2)</f>
        <v>6.6000000000000005</v>
      </c>
      <c r="G26" s="235">
        <f t="shared" si="0"/>
        <v>0</v>
      </c>
      <c r="H26" s="249">
        <f t="shared" si="1"/>
        <v>0</v>
      </c>
      <c r="I26" s="235">
        <f>ROUND(D26*SUM(Sales_Input!$O$25:$R$25),2)</f>
        <v>0</v>
      </c>
      <c r="J26" s="235">
        <f t="shared" si="2"/>
        <v>6.6000000000000005</v>
      </c>
      <c r="K26" s="235">
        <f t="shared" si="3"/>
        <v>6.6000000000000005</v>
      </c>
      <c r="L26" s="249">
        <f t="shared" si="4"/>
        <v>0</v>
      </c>
    </row>
    <row r="27" spans="1:12" ht="14.4" customHeight="1" x14ac:dyDescent="0.35">
      <c r="A27" s="251">
        <v>8</v>
      </c>
      <c r="B27" s="245"/>
      <c r="C27" s="245"/>
      <c r="D27" s="259">
        <v>20</v>
      </c>
      <c r="E27" s="235">
        <f>Sales_Input!$H$25+ROUND(Sales_Input!$C$25*IN3R!D27,2)+ROUND(D27*Sales_Input!$N$25,2)</f>
        <v>8.25</v>
      </c>
      <c r="F27" s="235">
        <f>Sales_Input!$Y$25+ROUND(Sales_Input!$T$25*IN3R!D27,2)+ROUND(Sales_Input!$N$25*IN3R!D27,2)</f>
        <v>8.25</v>
      </c>
      <c r="G27" s="235">
        <f t="shared" si="0"/>
        <v>0</v>
      </c>
      <c r="H27" s="249">
        <f t="shared" si="1"/>
        <v>0</v>
      </c>
      <c r="I27" s="235">
        <f>ROUND(D27*SUM(Sales_Input!$O$25:$R$25),2)</f>
        <v>0</v>
      </c>
      <c r="J27" s="235">
        <f t="shared" si="2"/>
        <v>8.25</v>
      </c>
      <c r="K27" s="235">
        <f t="shared" si="3"/>
        <v>8.25</v>
      </c>
      <c r="L27" s="249">
        <f t="shared" si="4"/>
        <v>0</v>
      </c>
    </row>
    <row r="28" spans="1:12" ht="14.4" customHeight="1" x14ac:dyDescent="0.35">
      <c r="A28" s="251">
        <v>9</v>
      </c>
      <c r="B28" s="245"/>
      <c r="C28" s="245"/>
      <c r="D28" s="259">
        <v>30</v>
      </c>
      <c r="E28" s="235">
        <f>Sales_Input!$H$25+ROUND(Sales_Input!$C$25*IN3R!D28,2)+ROUND(D28*Sales_Input!$N$25,2)</f>
        <v>12.37</v>
      </c>
      <c r="F28" s="235">
        <f>Sales_Input!$Y$25+ROUND(Sales_Input!$T$25*IN3R!D28,2)+ROUND(Sales_Input!$N$25*IN3R!D28,2)</f>
        <v>12.37</v>
      </c>
      <c r="G28" s="235">
        <f t="shared" si="0"/>
        <v>0</v>
      </c>
      <c r="H28" s="249">
        <f t="shared" si="1"/>
        <v>0</v>
      </c>
      <c r="I28" s="235">
        <f>ROUND(D28*SUM(Sales_Input!$O$25:$R$25),2)</f>
        <v>0</v>
      </c>
      <c r="J28" s="235">
        <f t="shared" si="2"/>
        <v>12.37</v>
      </c>
      <c r="K28" s="235">
        <f t="shared" si="3"/>
        <v>12.37</v>
      </c>
      <c r="L28" s="249">
        <f t="shared" si="4"/>
        <v>0</v>
      </c>
    </row>
    <row r="29" spans="1:12" ht="14.4" customHeight="1" x14ac:dyDescent="0.35">
      <c r="A29" s="251">
        <v>10</v>
      </c>
      <c r="B29" s="245"/>
      <c r="C29" s="245"/>
      <c r="D29" s="259">
        <v>40</v>
      </c>
      <c r="E29" s="235">
        <f>Sales_Input!$H$25+ROUND(Sales_Input!$C$25*IN3R!D29,2)+ROUND(D29*Sales_Input!$N$25,2)</f>
        <v>16.5</v>
      </c>
      <c r="F29" s="235">
        <f>Sales_Input!$Y$25+ROUND(Sales_Input!$T$25*IN3R!D29,2)+ROUND(Sales_Input!$N$25*IN3R!D29,2)</f>
        <v>16.5</v>
      </c>
      <c r="G29" s="235">
        <f t="shared" si="0"/>
        <v>0</v>
      </c>
      <c r="H29" s="249">
        <f t="shared" si="1"/>
        <v>0</v>
      </c>
      <c r="I29" s="235">
        <f>ROUND(D29*SUM(Sales_Input!$O$25:$R$25),2)</f>
        <v>0</v>
      </c>
      <c r="J29" s="235">
        <f t="shared" si="2"/>
        <v>16.5</v>
      </c>
      <c r="K29" s="235">
        <f t="shared" si="3"/>
        <v>16.5</v>
      </c>
      <c r="L29" s="249">
        <f t="shared" si="4"/>
        <v>0</v>
      </c>
    </row>
    <row r="30" spans="1:12" ht="14.4" customHeight="1" x14ac:dyDescent="0.35">
      <c r="A30" s="251">
        <v>11</v>
      </c>
      <c r="B30" s="245"/>
      <c r="C30" s="245"/>
      <c r="D30" s="259">
        <v>50</v>
      </c>
      <c r="E30" s="235">
        <f>Sales_Input!$H$25+ROUND(Sales_Input!$C$25*IN3R!D30,2)+ROUND(D30*Sales_Input!$N$25,2)</f>
        <v>20.62</v>
      </c>
      <c r="F30" s="235">
        <f>Sales_Input!$Y$25+ROUND(Sales_Input!$T$25*IN3R!D30,2)+ROUND(Sales_Input!$N$25*IN3R!D30,2)</f>
        <v>20.62</v>
      </c>
      <c r="G30" s="235">
        <f t="shared" si="0"/>
        <v>0</v>
      </c>
      <c r="H30" s="249">
        <f t="shared" si="1"/>
        <v>0</v>
      </c>
      <c r="I30" s="235">
        <f>ROUND(D30*SUM(Sales_Input!$O$25:$R$25),2)</f>
        <v>0</v>
      </c>
      <c r="J30" s="235">
        <f t="shared" si="2"/>
        <v>20.62</v>
      </c>
      <c r="K30" s="235">
        <f t="shared" si="3"/>
        <v>20.62</v>
      </c>
      <c r="L30" s="249">
        <f t="shared" si="4"/>
        <v>0</v>
      </c>
    </row>
    <row r="31" spans="1:12" ht="14.4" customHeight="1" x14ac:dyDescent="0.35">
      <c r="A31" s="251">
        <v>12</v>
      </c>
      <c r="B31" s="245"/>
      <c r="C31" s="245"/>
      <c r="D31" s="259">
        <v>70</v>
      </c>
      <c r="E31" s="235">
        <f>Sales_Input!$H$25+ROUND(Sales_Input!$C$25*IN3R!D31,2)+ROUND(D31*Sales_Input!$N$25,2)</f>
        <v>28.87</v>
      </c>
      <c r="F31" s="235">
        <f>Sales_Input!$Y$25+ROUND(Sales_Input!$T$25*IN3R!D31,2)+ROUND(Sales_Input!$N$25*IN3R!D31,2)</f>
        <v>28.87</v>
      </c>
      <c r="G31" s="235">
        <f t="shared" si="0"/>
        <v>0</v>
      </c>
      <c r="H31" s="249">
        <f t="shared" si="1"/>
        <v>0</v>
      </c>
      <c r="I31" s="235">
        <f>ROUND(D31*SUM(Sales_Input!$O$25:$R$25),2)</f>
        <v>0</v>
      </c>
      <c r="J31" s="235">
        <f t="shared" si="2"/>
        <v>28.87</v>
      </c>
      <c r="K31" s="235">
        <f t="shared" si="3"/>
        <v>28.87</v>
      </c>
      <c r="L31" s="249">
        <f t="shared" si="4"/>
        <v>0</v>
      </c>
    </row>
    <row r="32" spans="1:12" ht="14.4" customHeight="1" x14ac:dyDescent="0.35">
      <c r="A32" s="251"/>
      <c r="B32" s="245"/>
      <c r="C32" s="245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4.4" customHeight="1" x14ac:dyDescent="0.35">
      <c r="A33" s="248"/>
      <c r="B33" s="245"/>
      <c r="C33" s="245" t="s">
        <v>142</v>
      </c>
      <c r="D33" s="245"/>
      <c r="E33" s="247">
        <f>Sales_Input!AF25</f>
        <v>11.5</v>
      </c>
      <c r="F33" s="245"/>
      <c r="G33" s="245"/>
      <c r="H33" s="245"/>
      <c r="I33" s="245"/>
      <c r="J33" s="245"/>
      <c r="K33" s="245"/>
      <c r="L33" s="245"/>
    </row>
    <row r="34" spans="1:12" ht="14.4" customHeight="1" x14ac:dyDescent="0.35">
      <c r="A34" s="248"/>
      <c r="B34" s="245"/>
      <c r="C34" s="245"/>
      <c r="D34" s="245"/>
      <c r="E34" s="251"/>
      <c r="F34" s="246"/>
      <c r="G34" s="245"/>
      <c r="H34" s="245"/>
      <c r="I34" s="245"/>
      <c r="J34" s="245"/>
      <c r="K34" s="245"/>
      <c r="L34" s="245"/>
    </row>
    <row r="35" spans="1:12" ht="14.5" x14ac:dyDescent="0.3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4.5" x14ac:dyDescent="0.35">
      <c r="A36" s="245"/>
      <c r="B36" s="245"/>
      <c r="C36" s="245"/>
      <c r="D36" s="258"/>
      <c r="E36" s="245"/>
      <c r="F36" s="245"/>
      <c r="G36" s="245"/>
      <c r="H36" s="245"/>
      <c r="I36" s="245"/>
      <c r="J36" s="245"/>
      <c r="K36" s="245"/>
      <c r="L36" s="245"/>
    </row>
    <row r="37" spans="1:12" ht="14.5" x14ac:dyDescent="0.35">
      <c r="A37" s="245"/>
      <c r="B37" s="245" t="s">
        <v>294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75" right="0.75" top="1" bottom="0.75" header="0.5" footer="0.5"/>
  <pageSetup scale="9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3C06-1A60-4081-9515-A5762C234BD6}">
  <sheetPr codeName="Sheet25">
    <tabColor theme="4" tint="0.79998168889431442"/>
    <pageSetUpPr fitToPage="1"/>
  </sheetPr>
  <dimension ref="A1:L36"/>
  <sheetViews>
    <sheetView workbookViewId="0">
      <selection sqref="A1:L1"/>
    </sheetView>
  </sheetViews>
  <sheetFormatPr defaultColWidth="10.1796875" defaultRowHeight="14.4" customHeight="1" x14ac:dyDescent="0.35"/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298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240</v>
      </c>
      <c r="C20" s="251" t="s">
        <v>147</v>
      </c>
      <c r="D20" s="250">
        <f>E33</f>
        <v>0</v>
      </c>
      <c r="E20" s="235">
        <f>Sales_Input!$H$26+ROUND(Sales_Input!$C$26*IN3C!D20,2)+ROUND(D20*Sales_Input!$N$26,2)</f>
        <v>0</v>
      </c>
      <c r="F20" s="235">
        <f>Sales_Input!$Y$26+ROUND(Sales_Input!$T$26*D20,2)+ROUND(Sales_Input!$N$26*IN3C!D20,2)</f>
        <v>0</v>
      </c>
      <c r="G20" s="235">
        <f t="shared" ref="G20:G31" si="0">F20-E20</f>
        <v>0</v>
      </c>
      <c r="H20" s="249">
        <f>IF(D20=0,0,ROUND(G20/E20,3))</f>
        <v>0</v>
      </c>
      <c r="I20" s="235">
        <f>ROUND(D20*SUM(Sales_Input!$O$26:$R$26),2)</f>
        <v>0</v>
      </c>
      <c r="J20" s="235">
        <f t="shared" ref="J20:J31" si="1">E20+I20</f>
        <v>0</v>
      </c>
      <c r="K20" s="235">
        <f t="shared" ref="K20:K31" si="2">F20+I20</f>
        <v>0</v>
      </c>
      <c r="L20" s="249">
        <f>IF(J20=0,0,ROUND((K20-J20)/J20,3))</f>
        <v>0</v>
      </c>
    </row>
    <row r="21" spans="1:12" ht="14.4" customHeight="1" x14ac:dyDescent="0.35">
      <c r="A21" s="251">
        <v>2</v>
      </c>
      <c r="B21" s="251" t="s">
        <v>296</v>
      </c>
      <c r="C21" s="251" t="s">
        <v>145</v>
      </c>
      <c r="D21" s="250">
        <v>3</v>
      </c>
      <c r="E21" s="235">
        <f>Sales_Input!$H$26+ROUND(Sales_Input!$C$26*IN3C!D21,2)+ROUND(D21*Sales_Input!$N$26,2)</f>
        <v>1.24</v>
      </c>
      <c r="F21" s="235">
        <f>Sales_Input!$Y$26+ROUND(Sales_Input!$T$26*D21,2)+ROUND(Sales_Input!$N$26*IN3C!D21,2)</f>
        <v>1.24</v>
      </c>
      <c r="G21" s="235">
        <f t="shared" si="0"/>
        <v>0</v>
      </c>
      <c r="H21" s="249">
        <f t="shared" ref="H21:H31" si="3">ROUND(G21/E21,3)</f>
        <v>0</v>
      </c>
      <c r="I21" s="235">
        <f>ROUND(D21*SUM(Sales_Input!$O$26:$R$26),2)</f>
        <v>0</v>
      </c>
      <c r="J21" s="235">
        <f t="shared" si="1"/>
        <v>1.24</v>
      </c>
      <c r="K21" s="235">
        <f t="shared" si="2"/>
        <v>1.24</v>
      </c>
      <c r="L21" s="249">
        <f t="shared" ref="L21:L31" si="4">ROUND((K21-J21)/J21,3)</f>
        <v>0</v>
      </c>
    </row>
    <row r="22" spans="1:12" ht="14.4" customHeight="1" x14ac:dyDescent="0.35">
      <c r="A22" s="251">
        <v>3</v>
      </c>
      <c r="B22" s="251" t="s">
        <v>179</v>
      </c>
      <c r="C22" s="245"/>
      <c r="D22" s="250">
        <v>8</v>
      </c>
      <c r="E22" s="235">
        <f>Sales_Input!$H$26+ROUND(Sales_Input!$C$26*IN3C!D22,2)+ROUND(D22*Sales_Input!$N$26,2)</f>
        <v>3.3000000000000003</v>
      </c>
      <c r="F22" s="235">
        <f>Sales_Input!$Y$26+ROUND(Sales_Input!$T$26*D22,2)+ROUND(Sales_Input!$N$26*IN3C!D22,2)</f>
        <v>3.3000000000000003</v>
      </c>
      <c r="G22" s="235">
        <f t="shared" si="0"/>
        <v>0</v>
      </c>
      <c r="H22" s="249">
        <f t="shared" si="3"/>
        <v>0</v>
      </c>
      <c r="I22" s="235">
        <f>ROUND(D22*SUM(Sales_Input!$O$26:$R$26),2)</f>
        <v>0</v>
      </c>
      <c r="J22" s="235">
        <f t="shared" si="1"/>
        <v>3.3000000000000003</v>
      </c>
      <c r="K22" s="235">
        <f t="shared" si="2"/>
        <v>3.3000000000000003</v>
      </c>
      <c r="L22" s="249">
        <f t="shared" si="4"/>
        <v>0</v>
      </c>
    </row>
    <row r="23" spans="1:12" ht="14.4" customHeight="1" x14ac:dyDescent="0.35">
      <c r="A23" s="251">
        <v>4</v>
      </c>
      <c r="B23" s="251" t="s">
        <v>211</v>
      </c>
      <c r="C23" s="245"/>
      <c r="D23" s="250">
        <v>10</v>
      </c>
      <c r="E23" s="235">
        <f>Sales_Input!$H$26+ROUND(Sales_Input!$C$26*IN3C!D23,2)+ROUND(D23*Sales_Input!$N$26,2)</f>
        <v>4.12</v>
      </c>
      <c r="F23" s="235">
        <f>Sales_Input!$Y$26+ROUND(Sales_Input!$T$26*D23,2)+ROUND(Sales_Input!$N$26*IN3C!D23,2)</f>
        <v>4.12</v>
      </c>
      <c r="G23" s="235">
        <f t="shared" si="0"/>
        <v>0</v>
      </c>
      <c r="H23" s="249">
        <f t="shared" si="3"/>
        <v>0</v>
      </c>
      <c r="I23" s="235">
        <f>ROUND(D23*SUM(Sales_Input!$O$26:$R$26),2)</f>
        <v>0</v>
      </c>
      <c r="J23" s="235">
        <f t="shared" si="1"/>
        <v>4.12</v>
      </c>
      <c r="K23" s="235">
        <f t="shared" si="2"/>
        <v>4.12</v>
      </c>
      <c r="L23" s="249">
        <f t="shared" si="4"/>
        <v>0</v>
      </c>
    </row>
    <row r="24" spans="1:12" ht="14.4" customHeight="1" x14ac:dyDescent="0.35">
      <c r="A24" s="251">
        <v>5</v>
      </c>
      <c r="B24" s="251" t="s">
        <v>200</v>
      </c>
      <c r="C24" s="245"/>
      <c r="D24" s="250">
        <v>11</v>
      </c>
      <c r="E24" s="235">
        <f>Sales_Input!$H$26+ROUND(Sales_Input!$C$26*IN3C!D24,2)+ROUND(D24*Sales_Input!$N$26,2)</f>
        <v>4.54</v>
      </c>
      <c r="F24" s="235">
        <f>Sales_Input!$Y$26+ROUND(Sales_Input!$T$26*D24,2)+ROUND(Sales_Input!$N$26*IN3C!D24,2)</f>
        <v>4.54</v>
      </c>
      <c r="G24" s="235">
        <f t="shared" si="0"/>
        <v>0</v>
      </c>
      <c r="H24" s="249">
        <f t="shared" si="3"/>
        <v>0</v>
      </c>
      <c r="I24" s="235">
        <f>ROUND(D24*SUM(Sales_Input!$O$26:$R$26),2)</f>
        <v>0</v>
      </c>
      <c r="J24" s="235">
        <f t="shared" si="1"/>
        <v>4.54</v>
      </c>
      <c r="K24" s="235">
        <f t="shared" si="2"/>
        <v>4.54</v>
      </c>
      <c r="L24" s="249">
        <f t="shared" si="4"/>
        <v>0</v>
      </c>
    </row>
    <row r="25" spans="1:12" ht="14.4" customHeight="1" x14ac:dyDescent="0.35">
      <c r="A25" s="251">
        <v>6</v>
      </c>
      <c r="B25" s="251" t="s">
        <v>197</v>
      </c>
      <c r="C25" s="245"/>
      <c r="D25" s="250">
        <v>13</v>
      </c>
      <c r="E25" s="235">
        <f>Sales_Input!$H$26+ROUND(Sales_Input!$C$26*IN3C!D25,2)+ROUND(D25*Sales_Input!$N$26,2)</f>
        <v>5.36</v>
      </c>
      <c r="F25" s="235">
        <f>Sales_Input!$Y$26+ROUND(Sales_Input!$T$26*D25,2)+ROUND(Sales_Input!$N$26*IN3C!D25,2)</f>
        <v>5.36</v>
      </c>
      <c r="G25" s="235">
        <f t="shared" si="0"/>
        <v>0</v>
      </c>
      <c r="H25" s="249">
        <f t="shared" si="3"/>
        <v>0</v>
      </c>
      <c r="I25" s="235">
        <f>ROUND(D25*SUM(Sales_Input!$O$26:$R$26),2)</f>
        <v>0</v>
      </c>
      <c r="J25" s="235">
        <f t="shared" si="1"/>
        <v>5.36</v>
      </c>
      <c r="K25" s="235">
        <f t="shared" si="2"/>
        <v>5.36</v>
      </c>
      <c r="L25" s="249">
        <f t="shared" si="4"/>
        <v>0</v>
      </c>
    </row>
    <row r="26" spans="1:12" ht="14.4" customHeight="1" x14ac:dyDescent="0.35">
      <c r="A26" s="251">
        <v>7</v>
      </c>
      <c r="B26" s="245"/>
      <c r="C26" s="245"/>
      <c r="D26" s="250">
        <v>16</v>
      </c>
      <c r="E26" s="235">
        <f>Sales_Input!$H$26+ROUND(Sales_Input!$C$26*IN3C!D26,2)+ROUND(D26*Sales_Input!$N$26,2)</f>
        <v>6.6000000000000005</v>
      </c>
      <c r="F26" s="235">
        <f>Sales_Input!$Y$26+ROUND(Sales_Input!$T$26*D26,2)+ROUND(Sales_Input!$N$26*IN3C!D26,2)</f>
        <v>6.6000000000000005</v>
      </c>
      <c r="G26" s="235">
        <f t="shared" si="0"/>
        <v>0</v>
      </c>
      <c r="H26" s="249">
        <f t="shared" si="3"/>
        <v>0</v>
      </c>
      <c r="I26" s="235">
        <f>ROUND(D26*SUM(Sales_Input!$O$26:$R$26),2)</f>
        <v>0</v>
      </c>
      <c r="J26" s="235">
        <f t="shared" si="1"/>
        <v>6.6000000000000005</v>
      </c>
      <c r="K26" s="235">
        <f t="shared" si="2"/>
        <v>6.6000000000000005</v>
      </c>
      <c r="L26" s="249">
        <f t="shared" si="4"/>
        <v>0</v>
      </c>
    </row>
    <row r="27" spans="1:12" ht="14.4" customHeight="1" x14ac:dyDescent="0.35">
      <c r="A27" s="251">
        <v>8</v>
      </c>
      <c r="B27" s="245"/>
      <c r="C27" s="245"/>
      <c r="D27" s="250">
        <v>20</v>
      </c>
      <c r="E27" s="235">
        <f>Sales_Input!$H$26+ROUND(Sales_Input!$C$26*IN3C!D27,2)+ROUND(D27*Sales_Input!$N$26,2)</f>
        <v>8.25</v>
      </c>
      <c r="F27" s="235">
        <f>Sales_Input!$Y$26+ROUND(Sales_Input!$T$26*D27,2)+ROUND(Sales_Input!$N$26*IN3C!D27,2)</f>
        <v>8.25</v>
      </c>
      <c r="G27" s="235">
        <f t="shared" si="0"/>
        <v>0</v>
      </c>
      <c r="H27" s="249">
        <f t="shared" si="3"/>
        <v>0</v>
      </c>
      <c r="I27" s="235">
        <f>ROUND(D27*SUM(Sales_Input!$O$26:$R$26),2)</f>
        <v>0</v>
      </c>
      <c r="J27" s="235">
        <f t="shared" si="1"/>
        <v>8.25</v>
      </c>
      <c r="K27" s="235">
        <f t="shared" si="2"/>
        <v>8.25</v>
      </c>
      <c r="L27" s="249">
        <f t="shared" si="4"/>
        <v>0</v>
      </c>
    </row>
    <row r="28" spans="1:12" ht="14.4" customHeight="1" x14ac:dyDescent="0.35">
      <c r="A28" s="251">
        <v>9</v>
      </c>
      <c r="B28" s="245"/>
      <c r="C28" s="245"/>
      <c r="D28" s="250">
        <v>30</v>
      </c>
      <c r="E28" s="235">
        <f>Sales_Input!$H$26+ROUND(Sales_Input!$C$26*IN3C!D28,2)+ROUND(D28*Sales_Input!$N$26,2)</f>
        <v>12.37</v>
      </c>
      <c r="F28" s="235">
        <f>Sales_Input!$Y$26+ROUND(Sales_Input!$T$26*D28,2)+ROUND(Sales_Input!$N$26*IN3C!D28,2)</f>
        <v>12.37</v>
      </c>
      <c r="G28" s="235">
        <f t="shared" si="0"/>
        <v>0</v>
      </c>
      <c r="H28" s="249">
        <f t="shared" si="3"/>
        <v>0</v>
      </c>
      <c r="I28" s="235">
        <f>ROUND(D28*SUM(Sales_Input!$O$26:$R$26),2)</f>
        <v>0</v>
      </c>
      <c r="J28" s="235">
        <f t="shared" si="1"/>
        <v>12.37</v>
      </c>
      <c r="K28" s="235">
        <f t="shared" si="2"/>
        <v>12.37</v>
      </c>
      <c r="L28" s="249">
        <f t="shared" si="4"/>
        <v>0</v>
      </c>
    </row>
    <row r="29" spans="1:12" ht="14.4" customHeight="1" x14ac:dyDescent="0.35">
      <c r="A29" s="251">
        <v>10</v>
      </c>
      <c r="B29" s="245"/>
      <c r="C29" s="245"/>
      <c r="D29" s="250">
        <v>40</v>
      </c>
      <c r="E29" s="235">
        <f>Sales_Input!$H$26+ROUND(Sales_Input!$C$26*IN3C!D29,2)+ROUND(D29*Sales_Input!$N$26,2)</f>
        <v>16.5</v>
      </c>
      <c r="F29" s="235">
        <f>Sales_Input!$Y$26+ROUND(Sales_Input!$T$26*D29,2)+ROUND(Sales_Input!$N$26*IN3C!D29,2)</f>
        <v>16.5</v>
      </c>
      <c r="G29" s="235">
        <f t="shared" si="0"/>
        <v>0</v>
      </c>
      <c r="H29" s="249">
        <f t="shared" si="3"/>
        <v>0</v>
      </c>
      <c r="I29" s="235">
        <f>ROUND(D29*SUM(Sales_Input!$O$26:$R$26),2)</f>
        <v>0</v>
      </c>
      <c r="J29" s="235">
        <f t="shared" si="1"/>
        <v>16.5</v>
      </c>
      <c r="K29" s="235">
        <f t="shared" si="2"/>
        <v>16.5</v>
      </c>
      <c r="L29" s="249">
        <f t="shared" si="4"/>
        <v>0</v>
      </c>
    </row>
    <row r="30" spans="1:12" ht="14.4" customHeight="1" x14ac:dyDescent="0.35">
      <c r="A30" s="251">
        <v>11</v>
      </c>
      <c r="B30" s="245"/>
      <c r="C30" s="245"/>
      <c r="D30" s="250">
        <v>50</v>
      </c>
      <c r="E30" s="235">
        <f>Sales_Input!$H$26+ROUND(Sales_Input!$C$26*IN3C!D30,2)+ROUND(D30*Sales_Input!$N$26,2)</f>
        <v>20.62</v>
      </c>
      <c r="F30" s="235">
        <f>Sales_Input!$Y$26+ROUND(Sales_Input!$T$26*D30,2)+ROUND(Sales_Input!$N$26*IN3C!D30,2)</f>
        <v>20.62</v>
      </c>
      <c r="G30" s="235">
        <f t="shared" si="0"/>
        <v>0</v>
      </c>
      <c r="H30" s="249">
        <f t="shared" si="3"/>
        <v>0</v>
      </c>
      <c r="I30" s="235">
        <f>ROUND(D30*SUM(Sales_Input!$O$26:$R$26),2)</f>
        <v>0</v>
      </c>
      <c r="J30" s="235">
        <f t="shared" si="1"/>
        <v>20.62</v>
      </c>
      <c r="K30" s="235">
        <f t="shared" si="2"/>
        <v>20.62</v>
      </c>
      <c r="L30" s="249">
        <f t="shared" si="4"/>
        <v>0</v>
      </c>
    </row>
    <row r="31" spans="1:12" ht="14.4" customHeight="1" x14ac:dyDescent="0.35">
      <c r="A31" s="251">
        <v>12</v>
      </c>
      <c r="B31" s="245"/>
      <c r="C31" s="245"/>
      <c r="D31" s="250">
        <v>70</v>
      </c>
      <c r="E31" s="235">
        <f>Sales_Input!$H$26+ROUND(Sales_Input!$C$26*IN3C!D31,2)+ROUND(D31*Sales_Input!$N$26,2)</f>
        <v>28.87</v>
      </c>
      <c r="F31" s="235">
        <f>Sales_Input!$Y$26+ROUND(Sales_Input!$T$26*D31,2)+ROUND(Sales_Input!$N$26*IN3C!D31,2)</f>
        <v>28.87</v>
      </c>
      <c r="G31" s="235">
        <f t="shared" si="0"/>
        <v>0</v>
      </c>
      <c r="H31" s="249">
        <f t="shared" si="3"/>
        <v>0</v>
      </c>
      <c r="I31" s="235">
        <f>ROUND(D31*SUM(Sales_Input!$O$26:$R$26),2)</f>
        <v>0</v>
      </c>
      <c r="J31" s="235">
        <f t="shared" si="1"/>
        <v>28.87</v>
      </c>
      <c r="K31" s="235">
        <f t="shared" si="2"/>
        <v>28.87</v>
      </c>
      <c r="L31" s="249">
        <f t="shared" si="4"/>
        <v>0</v>
      </c>
    </row>
    <row r="32" spans="1:12" ht="14.4" customHeight="1" x14ac:dyDescent="0.35">
      <c r="A32" s="251"/>
      <c r="B32" s="245"/>
      <c r="C32" s="245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4.4" customHeight="1" x14ac:dyDescent="0.35">
      <c r="A33" s="248"/>
      <c r="B33" s="245"/>
      <c r="C33" s="245" t="s">
        <v>142</v>
      </c>
      <c r="D33" s="245"/>
      <c r="E33" s="247">
        <f>IF(Sales_Input!AF26=0,0,Sales_Input!AF26)</f>
        <v>0</v>
      </c>
      <c r="F33" s="245"/>
      <c r="G33" s="245"/>
      <c r="H33" s="245"/>
      <c r="I33" s="245"/>
      <c r="J33" s="245"/>
      <c r="K33" s="245"/>
      <c r="L33" s="245"/>
    </row>
    <row r="34" spans="1:12" ht="14.4" customHeight="1" x14ac:dyDescent="0.35">
      <c r="A34" s="248"/>
      <c r="B34" s="245"/>
      <c r="C34" s="245" t="s">
        <v>215</v>
      </c>
      <c r="D34" s="245"/>
      <c r="E34" s="251"/>
      <c r="F34" s="246"/>
      <c r="G34" s="245"/>
      <c r="H34" s="245"/>
      <c r="I34" s="245"/>
      <c r="J34" s="245"/>
      <c r="K34" s="245"/>
      <c r="L34" s="245"/>
    </row>
    <row r="35" spans="1:12" ht="14.5" x14ac:dyDescent="0.3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4.5" x14ac:dyDescent="0.35">
      <c r="A36" s="245"/>
      <c r="B36" s="245" t="s">
        <v>294</v>
      </c>
      <c r="C36" s="245"/>
      <c r="D36" s="258"/>
      <c r="E36" s="245"/>
      <c r="F36" s="245"/>
      <c r="G36" s="245"/>
      <c r="H36" s="245"/>
      <c r="I36" s="245"/>
      <c r="J36" s="245"/>
      <c r="K36" s="245"/>
      <c r="L36" s="245"/>
    </row>
  </sheetData>
  <mergeCells count="5">
    <mergeCell ref="A5:L5"/>
    <mergeCell ref="A1:L1"/>
    <mergeCell ref="A2:L2"/>
    <mergeCell ref="A3:L3"/>
    <mergeCell ref="A4:L4"/>
  </mergeCells>
  <pageMargins left="0.75" right="0.75" top="1" bottom="0.75" header="0.5" footer="0.5"/>
  <pageSetup scale="9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90803-5048-47B1-B57B-F477649DBED6}">
  <sheetPr codeName="Sheet26">
    <tabColor theme="4" tint="0.79998168889431442"/>
    <pageSetUpPr fitToPage="1"/>
  </sheetPr>
  <dimension ref="A1:L37"/>
  <sheetViews>
    <sheetView workbookViewId="0">
      <selection sqref="A1:L1"/>
    </sheetView>
  </sheetViews>
  <sheetFormatPr defaultColWidth="10.1796875" defaultRowHeight="14.4" customHeight="1" x14ac:dyDescent="0.35"/>
  <cols>
    <col min="2" max="2" width="11.453125" customWidth="1"/>
    <col min="3" max="3" width="10.54296875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10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299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238</v>
      </c>
      <c r="C20" s="251" t="s">
        <v>147</v>
      </c>
      <c r="D20" s="259">
        <f>E33</f>
        <v>0</v>
      </c>
      <c r="E20" s="235">
        <f>Sales_Input!$H$27+ROUND((Sales_Input!$C$27*'IN4'!D20),2)+ROUND(D20*Sales_Input!$N$27,2)</f>
        <v>0</v>
      </c>
      <c r="F20" s="235">
        <f>Sales_Input!$Y$27+ROUND((Sales_Input!$T$27*'IN4'!D20),2)+ROUND(Sales_Input!$N$27*'IN4'!D20,2)</f>
        <v>0</v>
      </c>
      <c r="G20" s="235">
        <f t="shared" ref="G20:G31" si="0">F20-E20</f>
        <v>0</v>
      </c>
      <c r="H20" s="249">
        <f t="shared" ref="H20:H31" si="1">IF(E20=0,0,ROUND(G20/E20,3))</f>
        <v>0</v>
      </c>
      <c r="I20" s="235">
        <f>ROUND(D20*SUM(Sales_Input!$O$27:$R$27),2)</f>
        <v>0</v>
      </c>
      <c r="J20" s="235">
        <f t="shared" ref="J20:J31" si="2">E20+I20</f>
        <v>0</v>
      </c>
      <c r="K20" s="235">
        <f t="shared" ref="K20:K31" si="3">F20+I20</f>
        <v>0</v>
      </c>
      <c r="L20" s="249">
        <f t="shared" ref="L20:L31" si="4">IF(J20=0,0,(K20-J20)/J20)</f>
        <v>0</v>
      </c>
    </row>
    <row r="21" spans="1:12" ht="14.4" customHeight="1" x14ac:dyDescent="0.35">
      <c r="A21" s="251">
        <v>2</v>
      </c>
      <c r="B21" s="251" t="s">
        <v>296</v>
      </c>
      <c r="C21" s="251" t="s">
        <v>145</v>
      </c>
      <c r="D21" s="259">
        <v>3</v>
      </c>
      <c r="E21" s="235">
        <f>Sales_Input!$H$27+ROUND((Sales_Input!$C$27*'IN4'!D21),2)+ROUND(D21*Sales_Input!$N$27,2)</f>
        <v>0.04</v>
      </c>
      <c r="F21" s="235">
        <f>Sales_Input!$Y$27+ROUND((Sales_Input!$T$27*'IN4'!D21),2)+ROUND(Sales_Input!$N$27*'IN4'!D21,2)</f>
        <v>0.04</v>
      </c>
      <c r="G21" s="235">
        <f t="shared" si="0"/>
        <v>0</v>
      </c>
      <c r="H21" s="249">
        <f t="shared" si="1"/>
        <v>0</v>
      </c>
      <c r="I21" s="235">
        <f>ROUND(D21*SUM(Sales_Input!$O$27:$R$27),2)</f>
        <v>0</v>
      </c>
      <c r="J21" s="235">
        <f t="shared" si="2"/>
        <v>0.04</v>
      </c>
      <c r="K21" s="235">
        <f t="shared" si="3"/>
        <v>0.04</v>
      </c>
      <c r="L21" s="249">
        <f t="shared" si="4"/>
        <v>0</v>
      </c>
    </row>
    <row r="22" spans="1:12" ht="14.4" customHeight="1" x14ac:dyDescent="0.35">
      <c r="A22" s="251">
        <v>3</v>
      </c>
      <c r="B22" s="251" t="s">
        <v>179</v>
      </c>
      <c r="C22" s="245"/>
      <c r="D22" s="259">
        <v>6</v>
      </c>
      <c r="E22" s="235">
        <f>Sales_Input!$H$27+ROUND((Sales_Input!$C$27*'IN4'!D22),2)+ROUND(D22*Sales_Input!$N$27,2)</f>
        <v>7.0000000000000007E-2</v>
      </c>
      <c r="F22" s="235">
        <f>Sales_Input!$Y$27+ROUND((Sales_Input!$T$27*'IN4'!D22),2)+ROUND(Sales_Input!$N$27*'IN4'!D22,2)</f>
        <v>7.0000000000000007E-2</v>
      </c>
      <c r="G22" s="235">
        <f t="shared" si="0"/>
        <v>0</v>
      </c>
      <c r="H22" s="249">
        <f t="shared" si="1"/>
        <v>0</v>
      </c>
      <c r="I22" s="235">
        <f>ROUND(D22*SUM(Sales_Input!$O$27:$R$27),2)</f>
        <v>0</v>
      </c>
      <c r="J22" s="235">
        <f t="shared" si="2"/>
        <v>7.0000000000000007E-2</v>
      </c>
      <c r="K22" s="235">
        <f t="shared" si="3"/>
        <v>7.0000000000000007E-2</v>
      </c>
      <c r="L22" s="249">
        <f t="shared" si="4"/>
        <v>0</v>
      </c>
    </row>
    <row r="23" spans="1:12" ht="14.4" customHeight="1" x14ac:dyDescent="0.35">
      <c r="A23" s="251">
        <v>4</v>
      </c>
      <c r="B23" s="251" t="s">
        <v>211</v>
      </c>
      <c r="C23" s="245"/>
      <c r="D23" s="259">
        <v>7</v>
      </c>
      <c r="E23" s="235">
        <f>Sales_Input!$H$27+ROUND((Sales_Input!$C$27*'IN4'!D23),2)+ROUND(D23*Sales_Input!$N$27,2)</f>
        <v>0.09</v>
      </c>
      <c r="F23" s="235">
        <f>Sales_Input!$Y$27+ROUND((Sales_Input!$T$27*'IN4'!D23),2)+ROUND(Sales_Input!$N$27*'IN4'!D23,2)</f>
        <v>0.09</v>
      </c>
      <c r="G23" s="235">
        <f t="shared" si="0"/>
        <v>0</v>
      </c>
      <c r="H23" s="249">
        <f t="shared" si="1"/>
        <v>0</v>
      </c>
      <c r="I23" s="235">
        <f>ROUND(D23*SUM(Sales_Input!$O$27:$R$27),2)</f>
        <v>0</v>
      </c>
      <c r="J23" s="235">
        <f t="shared" si="2"/>
        <v>0.09</v>
      </c>
      <c r="K23" s="235">
        <f t="shared" si="3"/>
        <v>0.09</v>
      </c>
      <c r="L23" s="249">
        <f t="shared" si="4"/>
        <v>0</v>
      </c>
    </row>
    <row r="24" spans="1:12" ht="14.4" customHeight="1" x14ac:dyDescent="0.35">
      <c r="A24" s="251">
        <v>5</v>
      </c>
      <c r="B24" s="251" t="s">
        <v>200</v>
      </c>
      <c r="C24" s="245"/>
      <c r="D24" s="259">
        <v>10</v>
      </c>
      <c r="E24" s="235">
        <f>Sales_Input!$H$27+ROUND((Sales_Input!$C$27*'IN4'!D24),2)+ROUND(D24*Sales_Input!$N$27,2)</f>
        <v>0.12</v>
      </c>
      <c r="F24" s="235">
        <f>Sales_Input!$Y$27+ROUND((Sales_Input!$T$27*'IN4'!D24),2)+ROUND(Sales_Input!$N$27*'IN4'!D24,2)</f>
        <v>0.12</v>
      </c>
      <c r="G24" s="235">
        <f t="shared" si="0"/>
        <v>0</v>
      </c>
      <c r="H24" s="249">
        <f t="shared" si="1"/>
        <v>0</v>
      </c>
      <c r="I24" s="235">
        <f>ROUND(D24*SUM(Sales_Input!$O$27:$R$27),2)</f>
        <v>0</v>
      </c>
      <c r="J24" s="235">
        <f t="shared" si="2"/>
        <v>0.12</v>
      </c>
      <c r="K24" s="235">
        <f t="shared" si="3"/>
        <v>0.12</v>
      </c>
      <c r="L24" s="249">
        <f t="shared" si="4"/>
        <v>0</v>
      </c>
    </row>
    <row r="25" spans="1:12" ht="14.4" customHeight="1" x14ac:dyDescent="0.35">
      <c r="A25" s="251">
        <v>6</v>
      </c>
      <c r="B25" s="252" t="s">
        <v>143</v>
      </c>
      <c r="C25" s="245"/>
      <c r="D25" s="259">
        <v>12</v>
      </c>
      <c r="E25" s="235">
        <f>Sales_Input!$H$27+ROUND((Sales_Input!$C$27*'IN4'!D25),2)+ROUND(D25*Sales_Input!$N$27,2)</f>
        <v>0.15</v>
      </c>
      <c r="F25" s="235">
        <f>Sales_Input!$Y$27+ROUND((Sales_Input!$T$27*'IN4'!D25),2)+ROUND(Sales_Input!$N$27*'IN4'!D25,2)</f>
        <v>0.15</v>
      </c>
      <c r="G25" s="235">
        <f t="shared" si="0"/>
        <v>0</v>
      </c>
      <c r="H25" s="249">
        <f t="shared" si="1"/>
        <v>0</v>
      </c>
      <c r="I25" s="235">
        <f>ROUND(D25*SUM(Sales_Input!$O$27:$R$27),2)</f>
        <v>0</v>
      </c>
      <c r="J25" s="235">
        <f t="shared" si="2"/>
        <v>0.15</v>
      </c>
      <c r="K25" s="235">
        <f t="shared" si="3"/>
        <v>0.15</v>
      </c>
      <c r="L25" s="249">
        <f t="shared" si="4"/>
        <v>0</v>
      </c>
    </row>
    <row r="26" spans="1:12" ht="14.4" customHeight="1" x14ac:dyDescent="0.35">
      <c r="A26" s="251">
        <v>7</v>
      </c>
      <c r="B26" s="245"/>
      <c r="C26" s="245"/>
      <c r="D26" s="259">
        <v>14</v>
      </c>
      <c r="E26" s="235">
        <f>Sales_Input!$H$27+ROUND((Sales_Input!$C$27*'IN4'!D26),2)+ROUND(D26*Sales_Input!$N$27,2)</f>
        <v>0.17</v>
      </c>
      <c r="F26" s="235">
        <f>Sales_Input!$Y$27+ROUND((Sales_Input!$T$27*'IN4'!D26),2)+ROUND(Sales_Input!$N$27*'IN4'!D26,2)</f>
        <v>0.17</v>
      </c>
      <c r="G26" s="235">
        <f t="shared" si="0"/>
        <v>0</v>
      </c>
      <c r="H26" s="249">
        <f t="shared" si="1"/>
        <v>0</v>
      </c>
      <c r="I26" s="235">
        <f>ROUND(D26*SUM(Sales_Input!$O$27:$R$27),2)</f>
        <v>0</v>
      </c>
      <c r="J26" s="235">
        <f t="shared" si="2"/>
        <v>0.17</v>
      </c>
      <c r="K26" s="235">
        <f t="shared" si="3"/>
        <v>0.17</v>
      </c>
      <c r="L26" s="249">
        <f t="shared" si="4"/>
        <v>0</v>
      </c>
    </row>
    <row r="27" spans="1:12" ht="14.4" customHeight="1" x14ac:dyDescent="0.35">
      <c r="A27" s="251">
        <v>8</v>
      </c>
      <c r="B27" s="245"/>
      <c r="C27" s="245"/>
      <c r="D27" s="259">
        <v>16</v>
      </c>
      <c r="E27" s="235">
        <f>Sales_Input!$H$27+ROUND((Sales_Input!$C$27*'IN4'!D27),2)+ROUND(D27*Sales_Input!$N$27,2)</f>
        <v>0.2</v>
      </c>
      <c r="F27" s="235">
        <f>Sales_Input!$Y$27+ROUND((Sales_Input!$T$27*'IN4'!D27),2)+ROUND(Sales_Input!$N$27*'IN4'!D27,2)</f>
        <v>0.2</v>
      </c>
      <c r="G27" s="235">
        <f t="shared" si="0"/>
        <v>0</v>
      </c>
      <c r="H27" s="249">
        <f t="shared" si="1"/>
        <v>0</v>
      </c>
      <c r="I27" s="235">
        <f>ROUND(D27*SUM(Sales_Input!$O$27:$R$27),2)</f>
        <v>0</v>
      </c>
      <c r="J27" s="235">
        <f t="shared" si="2"/>
        <v>0.2</v>
      </c>
      <c r="K27" s="235">
        <f t="shared" si="3"/>
        <v>0.2</v>
      </c>
      <c r="L27" s="249">
        <f t="shared" si="4"/>
        <v>0</v>
      </c>
    </row>
    <row r="28" spans="1:12" ht="14.4" customHeight="1" x14ac:dyDescent="0.35">
      <c r="A28" s="251">
        <v>9</v>
      </c>
      <c r="B28" s="245"/>
      <c r="C28" s="245"/>
      <c r="D28" s="259">
        <v>20</v>
      </c>
      <c r="E28" s="235">
        <f>Sales_Input!$H$27+ROUND((Sales_Input!$C$27*'IN4'!D28),2)+ROUND(D28*Sales_Input!$N$27,2)</f>
        <v>0.25</v>
      </c>
      <c r="F28" s="235">
        <f>Sales_Input!$Y$27+ROUND((Sales_Input!$T$27*'IN4'!D28),2)+ROUND(Sales_Input!$N$27*'IN4'!D28,2)</f>
        <v>0.25</v>
      </c>
      <c r="G28" s="235">
        <f t="shared" si="0"/>
        <v>0</v>
      </c>
      <c r="H28" s="249">
        <f t="shared" si="1"/>
        <v>0</v>
      </c>
      <c r="I28" s="235">
        <f>ROUND(D28*SUM(Sales_Input!$O$27:$R$27),2)</f>
        <v>0</v>
      </c>
      <c r="J28" s="235">
        <f t="shared" si="2"/>
        <v>0.25</v>
      </c>
      <c r="K28" s="235">
        <f t="shared" si="3"/>
        <v>0.25</v>
      </c>
      <c r="L28" s="249">
        <f t="shared" si="4"/>
        <v>0</v>
      </c>
    </row>
    <row r="29" spans="1:12" ht="14.4" customHeight="1" x14ac:dyDescent="0.35">
      <c r="A29" s="251">
        <v>10</v>
      </c>
      <c r="B29" s="245"/>
      <c r="C29" s="245"/>
      <c r="D29" s="259">
        <v>30</v>
      </c>
      <c r="E29" s="235">
        <f>Sales_Input!$H$27+ROUND((Sales_Input!$C$27*'IN4'!D29),2)+ROUND(D29*Sales_Input!$N$27,2)</f>
        <v>0.37</v>
      </c>
      <c r="F29" s="235">
        <f>Sales_Input!$Y$27+ROUND((Sales_Input!$T$27*'IN4'!D29),2)+ROUND(Sales_Input!$N$27*'IN4'!D29,2)</f>
        <v>0.37</v>
      </c>
      <c r="G29" s="235">
        <f t="shared" si="0"/>
        <v>0</v>
      </c>
      <c r="H29" s="249">
        <f t="shared" si="1"/>
        <v>0</v>
      </c>
      <c r="I29" s="235">
        <f>ROUND(D29*SUM(Sales_Input!$O$27:$R$27),2)</f>
        <v>0</v>
      </c>
      <c r="J29" s="235">
        <f t="shared" si="2"/>
        <v>0.37</v>
      </c>
      <c r="K29" s="235">
        <f t="shared" si="3"/>
        <v>0.37</v>
      </c>
      <c r="L29" s="249">
        <f t="shared" si="4"/>
        <v>0</v>
      </c>
    </row>
    <row r="30" spans="1:12" ht="14.4" customHeight="1" x14ac:dyDescent="0.35">
      <c r="A30" s="251">
        <v>11</v>
      </c>
      <c r="B30" s="245"/>
      <c r="C30" s="245"/>
      <c r="D30" s="259">
        <v>40</v>
      </c>
      <c r="E30" s="235">
        <f>Sales_Input!$H$27+ROUND((Sales_Input!$C$27*'IN4'!D30),2)+ROUND(D30*Sales_Input!$N$27,2)</f>
        <v>0.5</v>
      </c>
      <c r="F30" s="235">
        <f>Sales_Input!$Y$27+ROUND((Sales_Input!$T$27*'IN4'!D30),2)+ROUND(Sales_Input!$N$27*'IN4'!D30,2)</f>
        <v>0.5</v>
      </c>
      <c r="G30" s="235">
        <f t="shared" si="0"/>
        <v>0</v>
      </c>
      <c r="H30" s="249">
        <f t="shared" si="1"/>
        <v>0</v>
      </c>
      <c r="I30" s="235">
        <f>ROUND(D30*SUM(Sales_Input!$O$27:$R$27),2)</f>
        <v>0</v>
      </c>
      <c r="J30" s="235">
        <f t="shared" si="2"/>
        <v>0.5</v>
      </c>
      <c r="K30" s="235">
        <f t="shared" si="3"/>
        <v>0.5</v>
      </c>
      <c r="L30" s="249">
        <f t="shared" si="4"/>
        <v>0</v>
      </c>
    </row>
    <row r="31" spans="1:12" ht="14.4" customHeight="1" x14ac:dyDescent="0.35">
      <c r="A31" s="251">
        <v>12</v>
      </c>
      <c r="B31" s="245"/>
      <c r="C31" s="245"/>
      <c r="D31" s="259">
        <v>50</v>
      </c>
      <c r="E31" s="235">
        <f>Sales_Input!$H$27+ROUND((Sales_Input!$C$27*'IN4'!D31),2)+ROUND(D31*Sales_Input!$N$27,2)</f>
        <v>0.62</v>
      </c>
      <c r="F31" s="235">
        <f>Sales_Input!$Y$27+ROUND((Sales_Input!$T$27*'IN4'!D31),2)+ROUND(Sales_Input!$N$27*'IN4'!D31,2)</f>
        <v>0.62</v>
      </c>
      <c r="G31" s="235">
        <f t="shared" si="0"/>
        <v>0</v>
      </c>
      <c r="H31" s="249">
        <f t="shared" si="1"/>
        <v>0</v>
      </c>
      <c r="I31" s="235">
        <f>ROUND(D31*SUM(Sales_Input!$O$27:$R$27),2)</f>
        <v>0</v>
      </c>
      <c r="J31" s="235">
        <f t="shared" si="2"/>
        <v>0.62</v>
      </c>
      <c r="K31" s="235">
        <f t="shared" si="3"/>
        <v>0.62</v>
      </c>
      <c r="L31" s="249">
        <f t="shared" si="4"/>
        <v>0</v>
      </c>
    </row>
    <row r="32" spans="1:12" ht="14.4" customHeight="1" x14ac:dyDescent="0.35">
      <c r="A32" s="251"/>
      <c r="B32" s="245"/>
      <c r="C32" s="245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4.4" customHeight="1" x14ac:dyDescent="0.35">
      <c r="A33" s="248"/>
      <c r="B33" s="245"/>
      <c r="C33" s="245" t="s">
        <v>142</v>
      </c>
      <c r="D33" s="245"/>
      <c r="E33" s="247">
        <f>Sales_Input!AF27</f>
        <v>0</v>
      </c>
      <c r="F33" s="245"/>
      <c r="G33" s="245"/>
      <c r="H33" s="245"/>
      <c r="I33" s="245"/>
      <c r="J33" s="245"/>
      <c r="K33" s="245"/>
      <c r="L33" s="245"/>
    </row>
    <row r="34" spans="1:12" ht="14.4" customHeight="1" x14ac:dyDescent="0.35">
      <c r="A34" s="245"/>
      <c r="B34" s="245"/>
      <c r="C34" s="245" t="s">
        <v>215</v>
      </c>
      <c r="D34" s="245"/>
      <c r="E34" s="245"/>
      <c r="F34" s="245"/>
      <c r="G34" s="245"/>
      <c r="H34" s="245"/>
      <c r="I34" s="245"/>
      <c r="J34" s="245"/>
      <c r="K34" s="245"/>
      <c r="L34" s="245"/>
    </row>
    <row r="35" spans="1:12" ht="14.5" x14ac:dyDescent="0.3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4.5" x14ac:dyDescent="0.35">
      <c r="A36" s="245"/>
      <c r="B36" s="245"/>
      <c r="C36" s="245"/>
      <c r="D36" s="258"/>
      <c r="E36" s="245"/>
      <c r="F36" s="245"/>
      <c r="G36" s="245"/>
      <c r="H36" s="245"/>
      <c r="I36" s="245"/>
      <c r="J36" s="245"/>
      <c r="K36" s="245"/>
      <c r="L36" s="245"/>
    </row>
    <row r="37" spans="1:12" ht="14.5" x14ac:dyDescent="0.35">
      <c r="A37" s="245"/>
      <c r="B37" s="245" t="s">
        <v>294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75" right="0.75" top="1" bottom="0.75" header="0.5" footer="0.5"/>
  <pageSetup scale="9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CE74C-5E11-4B50-83F6-45B0BDE334C4}">
  <sheetPr codeName="Sheet27">
    <tabColor theme="4" tint="0.79998168889431442"/>
    <pageSetUpPr fitToPage="1"/>
  </sheetPr>
  <dimension ref="A1:L36"/>
  <sheetViews>
    <sheetView workbookViewId="0">
      <selection sqref="A1:L1"/>
    </sheetView>
  </sheetViews>
  <sheetFormatPr defaultColWidth="10.1796875" defaultRowHeight="14.4" customHeight="1" x14ac:dyDescent="0.35"/>
  <cols>
    <col min="2" max="2" width="11.453125" customWidth="1"/>
    <col min="3" max="3" width="10.54296875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300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237</v>
      </c>
      <c r="C20" s="251" t="s">
        <v>147</v>
      </c>
      <c r="D20" s="250">
        <v>1</v>
      </c>
      <c r="E20" s="235">
        <f>Sales_Input!$H$28+ROUND((Sales_Input!$C$28*'IN5'!D20),2)+(ROUND(D20*(Sales_Input!$N$28),2))</f>
        <v>0.61</v>
      </c>
      <c r="F20" s="235">
        <f>Sales_Input!$Y$28+ROUND(Sales_Input!$T$28*'IN5'!D20,2)+ROUND(Sales_Input!$N$28*'IN5'!D20,2)</f>
        <v>0.61</v>
      </c>
      <c r="G20" s="235">
        <f t="shared" ref="G20:G31" si="0">F20-E20</f>
        <v>0</v>
      </c>
      <c r="H20" s="249">
        <f t="shared" ref="H20:H31" si="1">ROUND(G20/E20,3)</f>
        <v>0</v>
      </c>
      <c r="I20" s="235">
        <f>ROUND(D20*SUM(Sales_Input!$O$28:$R$28),2)</f>
        <v>0</v>
      </c>
      <c r="J20" s="235">
        <f t="shared" ref="J20:J31" si="2">E20+I20</f>
        <v>0.61</v>
      </c>
      <c r="K20" s="235">
        <f t="shared" ref="K20:K31" si="3">F20+I20</f>
        <v>0.61</v>
      </c>
      <c r="L20" s="249">
        <f t="shared" ref="L20:L31" si="4">ROUND((K20-J20)/J20,3)</f>
        <v>0</v>
      </c>
    </row>
    <row r="21" spans="1:12" ht="14.4" customHeight="1" x14ac:dyDescent="0.35">
      <c r="A21" s="251">
        <v>2</v>
      </c>
      <c r="B21" s="251" t="s">
        <v>296</v>
      </c>
      <c r="C21" s="251" t="s">
        <v>145</v>
      </c>
      <c r="D21" s="250">
        <v>3</v>
      </c>
      <c r="E21" s="235">
        <f>Sales_Input!$H$28+ROUND((Sales_Input!$C$28*'IN5'!D21),2)+(ROUND(D21*(Sales_Input!$N$28),2))</f>
        <v>1.84</v>
      </c>
      <c r="F21" s="235">
        <f>Sales_Input!$Y$28+ROUND(Sales_Input!$T$28*'IN5'!D21,2)+ROUND(Sales_Input!$N$28*'IN5'!D21,2)</f>
        <v>1.84</v>
      </c>
      <c r="G21" s="235">
        <f t="shared" si="0"/>
        <v>0</v>
      </c>
      <c r="H21" s="249">
        <f t="shared" si="1"/>
        <v>0</v>
      </c>
      <c r="I21" s="235">
        <f>ROUND(D21*SUM(Sales_Input!$O$28:$R$28),2)</f>
        <v>0</v>
      </c>
      <c r="J21" s="235">
        <f t="shared" si="2"/>
        <v>1.84</v>
      </c>
      <c r="K21" s="235">
        <f t="shared" si="3"/>
        <v>1.84</v>
      </c>
      <c r="L21" s="249">
        <f t="shared" si="4"/>
        <v>0</v>
      </c>
    </row>
    <row r="22" spans="1:12" ht="14.4" customHeight="1" x14ac:dyDescent="0.35">
      <c r="A22" s="251">
        <v>3</v>
      </c>
      <c r="B22" s="251" t="s">
        <v>179</v>
      </c>
      <c r="C22" s="245"/>
      <c r="D22" s="250">
        <v>6</v>
      </c>
      <c r="E22" s="235">
        <f>Sales_Input!$H$28+ROUND((Sales_Input!$C$28*'IN5'!D22),2)+(ROUND(D22*(Sales_Input!$N$28),2))</f>
        <v>3.67</v>
      </c>
      <c r="F22" s="235">
        <f>Sales_Input!$Y$28+ROUND(Sales_Input!$T$28*'IN5'!D22,2)+ROUND(Sales_Input!$N$28*'IN5'!D22,2)</f>
        <v>3.67</v>
      </c>
      <c r="G22" s="235">
        <f t="shared" si="0"/>
        <v>0</v>
      </c>
      <c r="H22" s="249">
        <f t="shared" si="1"/>
        <v>0</v>
      </c>
      <c r="I22" s="235">
        <f>ROUND(D22*SUM(Sales_Input!$O$28:$R$28),2)</f>
        <v>0</v>
      </c>
      <c r="J22" s="235">
        <f t="shared" si="2"/>
        <v>3.67</v>
      </c>
      <c r="K22" s="235">
        <f t="shared" si="3"/>
        <v>3.67</v>
      </c>
      <c r="L22" s="249">
        <f t="shared" si="4"/>
        <v>0</v>
      </c>
    </row>
    <row r="23" spans="1:12" ht="14.4" customHeight="1" x14ac:dyDescent="0.35">
      <c r="A23" s="251">
        <v>4</v>
      </c>
      <c r="B23" s="251" t="s">
        <v>211</v>
      </c>
      <c r="C23" s="245"/>
      <c r="D23" s="250">
        <v>7</v>
      </c>
      <c r="E23" s="235">
        <f>Sales_Input!$H$28+ROUND((Sales_Input!$C$28*'IN5'!D23),2)+(ROUND(D23*(Sales_Input!$N$28),2))</f>
        <v>4.29</v>
      </c>
      <c r="F23" s="235">
        <f>Sales_Input!$Y$28+ROUND(Sales_Input!$T$28*'IN5'!D23,2)+ROUND(Sales_Input!$N$28*'IN5'!D23,2)</f>
        <v>4.29</v>
      </c>
      <c r="G23" s="235">
        <f t="shared" si="0"/>
        <v>0</v>
      </c>
      <c r="H23" s="249">
        <f t="shared" si="1"/>
        <v>0</v>
      </c>
      <c r="I23" s="235">
        <f>ROUND(D23*SUM(Sales_Input!$O$28:$R$28),2)</f>
        <v>0</v>
      </c>
      <c r="J23" s="235">
        <f t="shared" si="2"/>
        <v>4.29</v>
      </c>
      <c r="K23" s="235">
        <f t="shared" si="3"/>
        <v>4.29</v>
      </c>
      <c r="L23" s="249">
        <f t="shared" si="4"/>
        <v>0</v>
      </c>
    </row>
    <row r="24" spans="1:12" ht="14.4" customHeight="1" x14ac:dyDescent="0.35">
      <c r="A24" s="251">
        <v>5</v>
      </c>
      <c r="B24" s="251" t="s">
        <v>200</v>
      </c>
      <c r="C24" s="245"/>
      <c r="D24" s="250">
        <f>E33</f>
        <v>8.1999999999999993</v>
      </c>
      <c r="E24" s="235">
        <f>Sales_Input!$H$28+ROUND((Sales_Input!$C$28*'IN5'!D24),2)+(ROUND(D24*(Sales_Input!$N$28),2))</f>
        <v>5.0199999999999996</v>
      </c>
      <c r="F24" s="235">
        <f>Sales_Input!$Y$28+ROUND(Sales_Input!$T$28*'IN5'!D24,2)+ROUND(Sales_Input!$N$28*'IN5'!D24,2)</f>
        <v>5.0199999999999996</v>
      </c>
      <c r="G24" s="235">
        <f t="shared" si="0"/>
        <v>0</v>
      </c>
      <c r="H24" s="249">
        <f t="shared" si="1"/>
        <v>0</v>
      </c>
      <c r="I24" s="235">
        <f>ROUND(D24*SUM(Sales_Input!$O$28:$R$28),2)</f>
        <v>0</v>
      </c>
      <c r="J24" s="235">
        <f t="shared" si="2"/>
        <v>5.0199999999999996</v>
      </c>
      <c r="K24" s="235">
        <f t="shared" si="3"/>
        <v>5.0199999999999996</v>
      </c>
      <c r="L24" s="249">
        <f t="shared" si="4"/>
        <v>0</v>
      </c>
    </row>
    <row r="25" spans="1:12" ht="14.4" customHeight="1" x14ac:dyDescent="0.35">
      <c r="A25" s="251">
        <v>6</v>
      </c>
      <c r="B25" s="252" t="s">
        <v>143</v>
      </c>
      <c r="C25" s="245"/>
      <c r="D25" s="250">
        <v>10</v>
      </c>
      <c r="E25" s="235">
        <f>Sales_Input!$H$28+ROUND((Sales_Input!$C$28*'IN5'!D25),2)+(ROUND(D25*(Sales_Input!$N$28),2))</f>
        <v>6.12</v>
      </c>
      <c r="F25" s="235">
        <f>Sales_Input!$Y$28+ROUND(Sales_Input!$T$28*'IN5'!D25,2)+ROUND(Sales_Input!$N$28*'IN5'!D25,2)</f>
        <v>6.12</v>
      </c>
      <c r="G25" s="235">
        <f t="shared" si="0"/>
        <v>0</v>
      </c>
      <c r="H25" s="249">
        <f t="shared" si="1"/>
        <v>0</v>
      </c>
      <c r="I25" s="235">
        <f>ROUND(D25*SUM(Sales_Input!$O$28:$R$28),2)</f>
        <v>0</v>
      </c>
      <c r="J25" s="235">
        <f t="shared" si="2"/>
        <v>6.12</v>
      </c>
      <c r="K25" s="235">
        <f t="shared" si="3"/>
        <v>6.12</v>
      </c>
      <c r="L25" s="249">
        <f t="shared" si="4"/>
        <v>0</v>
      </c>
    </row>
    <row r="26" spans="1:12" ht="14.4" customHeight="1" x14ac:dyDescent="0.35">
      <c r="A26" s="251">
        <v>7</v>
      </c>
      <c r="B26" s="245"/>
      <c r="C26" s="245"/>
      <c r="D26" s="250">
        <v>15</v>
      </c>
      <c r="E26" s="235">
        <f>Sales_Input!$H$28+ROUND((Sales_Input!$C$28*'IN5'!D26),2)+(ROUND(D26*(Sales_Input!$N$28),2))</f>
        <v>9.19</v>
      </c>
      <c r="F26" s="235">
        <f>Sales_Input!$Y$28+ROUND(Sales_Input!$T$28*'IN5'!D26,2)+ROUND(Sales_Input!$N$28*'IN5'!D26,2)</f>
        <v>9.19</v>
      </c>
      <c r="G26" s="235">
        <f t="shared" si="0"/>
        <v>0</v>
      </c>
      <c r="H26" s="249">
        <f t="shared" si="1"/>
        <v>0</v>
      </c>
      <c r="I26" s="235">
        <f>ROUND(D26*SUM(Sales_Input!$O$28:$R$28),2)</f>
        <v>0</v>
      </c>
      <c r="J26" s="235">
        <f t="shared" si="2"/>
        <v>9.19</v>
      </c>
      <c r="K26" s="235">
        <f t="shared" si="3"/>
        <v>9.19</v>
      </c>
      <c r="L26" s="249">
        <f t="shared" si="4"/>
        <v>0</v>
      </c>
    </row>
    <row r="27" spans="1:12" ht="14.4" customHeight="1" x14ac:dyDescent="0.35">
      <c r="A27" s="251">
        <v>8</v>
      </c>
      <c r="B27" s="245"/>
      <c r="C27" s="245"/>
      <c r="D27" s="250">
        <v>16</v>
      </c>
      <c r="E27" s="235">
        <f>Sales_Input!$H$28+ROUND((Sales_Input!$C$28*'IN5'!D27),2)+(ROUND(D27*(Sales_Input!$N$28),2))</f>
        <v>9.7999999999999989</v>
      </c>
      <c r="F27" s="235">
        <f>Sales_Input!$Y$28+ROUND(Sales_Input!$T$28*'IN5'!D27,2)+ROUND(Sales_Input!$N$28*'IN5'!D27,2)</f>
        <v>9.7999999999999989</v>
      </c>
      <c r="G27" s="235">
        <f t="shared" si="0"/>
        <v>0</v>
      </c>
      <c r="H27" s="249">
        <f t="shared" si="1"/>
        <v>0</v>
      </c>
      <c r="I27" s="235">
        <f>ROUND(D27*SUM(Sales_Input!$O$28:$R$28),2)</f>
        <v>0</v>
      </c>
      <c r="J27" s="235">
        <f t="shared" si="2"/>
        <v>9.7999999999999989</v>
      </c>
      <c r="K27" s="235">
        <f t="shared" si="3"/>
        <v>9.7999999999999989</v>
      </c>
      <c r="L27" s="249">
        <f t="shared" si="4"/>
        <v>0</v>
      </c>
    </row>
    <row r="28" spans="1:12" ht="14.4" customHeight="1" x14ac:dyDescent="0.35">
      <c r="A28" s="251">
        <v>9</v>
      </c>
      <c r="B28" s="245"/>
      <c r="C28" s="245"/>
      <c r="D28" s="250">
        <v>20</v>
      </c>
      <c r="E28" s="235">
        <f>Sales_Input!$H$28+ROUND((Sales_Input!$C$28*'IN5'!D28),2)+(ROUND(D28*(Sales_Input!$N$28),2))</f>
        <v>12.25</v>
      </c>
      <c r="F28" s="235">
        <f>Sales_Input!$Y$28+ROUND(Sales_Input!$T$28*'IN5'!D28,2)+ROUND(Sales_Input!$N$28*'IN5'!D28,2)</f>
        <v>12.25</v>
      </c>
      <c r="G28" s="235">
        <f t="shared" si="0"/>
        <v>0</v>
      </c>
      <c r="H28" s="249">
        <f t="shared" si="1"/>
        <v>0</v>
      </c>
      <c r="I28" s="235">
        <f>ROUND(D28*SUM(Sales_Input!$O$28:$R$28),2)</f>
        <v>0</v>
      </c>
      <c r="J28" s="235">
        <f t="shared" si="2"/>
        <v>12.25</v>
      </c>
      <c r="K28" s="235">
        <f t="shared" si="3"/>
        <v>12.25</v>
      </c>
      <c r="L28" s="249">
        <f t="shared" si="4"/>
        <v>0</v>
      </c>
    </row>
    <row r="29" spans="1:12" ht="14.4" customHeight="1" x14ac:dyDescent="0.35">
      <c r="A29" s="251">
        <v>10</v>
      </c>
      <c r="B29" s="245"/>
      <c r="C29" s="245"/>
      <c r="D29" s="250">
        <v>30</v>
      </c>
      <c r="E29" s="235">
        <f>Sales_Input!$H$28+ROUND((Sales_Input!$C$28*'IN5'!D29),2)+(ROUND(D29*(Sales_Input!$N$28),2))</f>
        <v>18.37</v>
      </c>
      <c r="F29" s="235">
        <f>Sales_Input!$Y$28+ROUND(Sales_Input!$T$28*'IN5'!D29,2)+ROUND(Sales_Input!$N$28*'IN5'!D29,2)</f>
        <v>18.37</v>
      </c>
      <c r="G29" s="235">
        <f t="shared" si="0"/>
        <v>0</v>
      </c>
      <c r="H29" s="249">
        <f t="shared" si="1"/>
        <v>0</v>
      </c>
      <c r="I29" s="235">
        <f>ROUND(D29*SUM(Sales_Input!$O$28:$R$28),2)</f>
        <v>0</v>
      </c>
      <c r="J29" s="235">
        <f t="shared" si="2"/>
        <v>18.37</v>
      </c>
      <c r="K29" s="235">
        <f t="shared" si="3"/>
        <v>18.37</v>
      </c>
      <c r="L29" s="249">
        <f t="shared" si="4"/>
        <v>0</v>
      </c>
    </row>
    <row r="30" spans="1:12" ht="14.4" customHeight="1" x14ac:dyDescent="0.35">
      <c r="A30" s="251">
        <v>11</v>
      </c>
      <c r="B30" s="245"/>
      <c r="C30" s="245"/>
      <c r="D30" s="250">
        <v>40</v>
      </c>
      <c r="E30" s="235">
        <f>Sales_Input!$H$28+ROUND((Sales_Input!$C$28*'IN5'!D30),2)+(ROUND(D30*(Sales_Input!$N$28),2))</f>
        <v>24.5</v>
      </c>
      <c r="F30" s="235">
        <f>Sales_Input!$Y$28+ROUND(Sales_Input!$T$28*'IN5'!D30,2)+ROUND(Sales_Input!$N$28*'IN5'!D30,2)</f>
        <v>24.5</v>
      </c>
      <c r="G30" s="235">
        <f t="shared" si="0"/>
        <v>0</v>
      </c>
      <c r="H30" s="249">
        <f t="shared" si="1"/>
        <v>0</v>
      </c>
      <c r="I30" s="235">
        <f>ROUND(D30*SUM(Sales_Input!$O$28:$R$28),2)</f>
        <v>0</v>
      </c>
      <c r="J30" s="235">
        <f t="shared" si="2"/>
        <v>24.5</v>
      </c>
      <c r="K30" s="235">
        <f t="shared" si="3"/>
        <v>24.5</v>
      </c>
      <c r="L30" s="249">
        <f t="shared" si="4"/>
        <v>0</v>
      </c>
    </row>
    <row r="31" spans="1:12" ht="14.4" customHeight="1" x14ac:dyDescent="0.35">
      <c r="A31" s="251">
        <v>12</v>
      </c>
      <c r="B31" s="245"/>
      <c r="C31" s="245"/>
      <c r="D31" s="250">
        <v>50</v>
      </c>
      <c r="E31" s="235">
        <f>Sales_Input!$H$28+ROUND((Sales_Input!$C$28*'IN5'!D31),2)+(ROUND(D31*(Sales_Input!$N$28),2))</f>
        <v>30.62</v>
      </c>
      <c r="F31" s="235">
        <f>Sales_Input!$Y$28+ROUND(Sales_Input!$T$28*'IN5'!D31,2)+ROUND(Sales_Input!$N$28*'IN5'!D31,2)</f>
        <v>30.62</v>
      </c>
      <c r="G31" s="235">
        <f t="shared" si="0"/>
        <v>0</v>
      </c>
      <c r="H31" s="249">
        <f t="shared" si="1"/>
        <v>0</v>
      </c>
      <c r="I31" s="235">
        <f>ROUND(D31*SUM(Sales_Input!$O$28:$R$28),2)</f>
        <v>0</v>
      </c>
      <c r="J31" s="235">
        <f t="shared" si="2"/>
        <v>30.62</v>
      </c>
      <c r="K31" s="235">
        <f t="shared" si="3"/>
        <v>30.62</v>
      </c>
      <c r="L31" s="249">
        <f t="shared" si="4"/>
        <v>0</v>
      </c>
    </row>
    <row r="32" spans="1:12" ht="14.4" customHeight="1" x14ac:dyDescent="0.35">
      <c r="A32" s="251"/>
      <c r="B32" s="245"/>
      <c r="C32" s="245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4.4" customHeight="1" x14ac:dyDescent="0.35">
      <c r="A33" s="248"/>
      <c r="B33" s="245"/>
      <c r="C33" s="245" t="s">
        <v>142</v>
      </c>
      <c r="D33" s="245"/>
      <c r="E33" s="247">
        <f>Sales_Input!AF28</f>
        <v>8.1999999999999993</v>
      </c>
      <c r="F33" s="245"/>
      <c r="G33" s="245"/>
      <c r="H33" s="245"/>
      <c r="I33" s="245"/>
      <c r="J33" s="245"/>
      <c r="K33" s="245"/>
      <c r="L33" s="245"/>
    </row>
    <row r="34" spans="1:12" ht="14.4" customHeight="1" x14ac:dyDescent="0.35">
      <c r="A34" s="245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</row>
    <row r="35" spans="1:12" ht="14.5" x14ac:dyDescent="0.3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4.5" x14ac:dyDescent="0.35">
      <c r="A36" s="245"/>
      <c r="B36" s="245" t="s">
        <v>294</v>
      </c>
      <c r="C36" s="245"/>
      <c r="D36" s="258"/>
      <c r="E36" s="245"/>
      <c r="F36" s="245"/>
      <c r="G36" s="245"/>
      <c r="H36" s="245"/>
      <c r="I36" s="245"/>
      <c r="J36" s="245"/>
      <c r="K36" s="245"/>
      <c r="L36" s="245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75" right="0.75" top="1" bottom="0.75" header="0.5" footer="0.5"/>
  <pageSetup scale="9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1399-1F75-44FD-87C4-C47785C2CFB5}">
  <sheetPr codeName="Sheet28">
    <tabColor theme="4" tint="0.79998168889431442"/>
    <pageSetUpPr fitToPage="1"/>
  </sheetPr>
  <dimension ref="A1:L37"/>
  <sheetViews>
    <sheetView workbookViewId="0">
      <selection sqref="A1:L1"/>
    </sheetView>
  </sheetViews>
  <sheetFormatPr defaultColWidth="10.1796875" defaultRowHeight="14.4" customHeight="1" x14ac:dyDescent="0.35"/>
  <cols>
    <col min="2" max="2" width="13.453125" customWidth="1"/>
    <col min="3" max="3" width="10.54296875" customWidth="1"/>
    <col min="11" max="12" width="11.453125" customWidth="1"/>
  </cols>
  <sheetData>
    <row r="1" spans="1:12" ht="14.4" customHeight="1" x14ac:dyDescent="0.35">
      <c r="A1" s="305" t="s">
        <v>56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ht="14.4" customHeight="1" x14ac:dyDescent="0.35">
      <c r="A2" s="305" t="str">
        <f>Sales_Input!$B$13</f>
        <v>CASE NO. 2024-00092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14.4" customHeight="1" x14ac:dyDescent="0.35">
      <c r="A3" s="305" t="s">
        <v>288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ht="14.4" customHeight="1" x14ac:dyDescent="0.35">
      <c r="A4" s="305" t="s">
        <v>191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5" spans="1:12" ht="14.4" customHeight="1" x14ac:dyDescent="0.35">
      <c r="A5" s="305" t="str">
        <f>Sales_Input!B17</f>
        <v>TWELVE MONTHS ENDING DECEMBER 31, 2025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</row>
    <row r="6" spans="1:12" ht="14.4" customHeight="1" x14ac:dyDescent="0.35">
      <c r="A6" s="232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</row>
    <row r="7" spans="1:12" ht="14.4" customHeight="1" x14ac:dyDescent="0.35">
      <c r="A7" s="232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ht="14.4" customHeight="1" x14ac:dyDescent="0.35">
      <c r="A8" s="227" t="s">
        <v>287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31" t="s">
        <v>189</v>
      </c>
    </row>
    <row r="9" spans="1:12" ht="14.4" customHeight="1" x14ac:dyDescent="0.35">
      <c r="A9" s="227" t="s">
        <v>322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43" t="s">
        <v>302</v>
      </c>
    </row>
    <row r="10" spans="1:12" ht="14.4" customHeight="1" x14ac:dyDescent="0.35">
      <c r="A10" s="242" t="s">
        <v>187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1" t="str">
        <f>Sales_Input!B15</f>
        <v>STIPULATION ATTACHMENT C</v>
      </c>
    </row>
    <row r="11" spans="1:12" ht="14.4" customHeight="1" x14ac:dyDescent="0.3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2" ht="14.4" customHeight="1" x14ac:dyDescent="0.3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</row>
    <row r="13" spans="1:12" ht="14.4" customHeight="1" x14ac:dyDescent="0.35">
      <c r="A13" s="227"/>
      <c r="B13" s="227"/>
      <c r="C13" s="227"/>
      <c r="D13" s="232"/>
      <c r="E13" s="232"/>
      <c r="F13" s="232"/>
      <c r="G13" s="232"/>
      <c r="H13" s="232"/>
      <c r="I13" s="232"/>
      <c r="J13" s="232" t="s">
        <v>17</v>
      </c>
      <c r="K13" s="232" t="s">
        <v>17</v>
      </c>
      <c r="L13" s="232"/>
    </row>
    <row r="14" spans="1:12" ht="14.4" customHeight="1" x14ac:dyDescent="0.35">
      <c r="A14" s="232" t="s">
        <v>18</v>
      </c>
      <c r="B14" s="232" t="s">
        <v>71</v>
      </c>
      <c r="C14" s="232" t="s">
        <v>182</v>
      </c>
      <c r="D14" s="232" t="s">
        <v>182</v>
      </c>
      <c r="E14" s="232" t="s">
        <v>53</v>
      </c>
      <c r="F14" s="232" t="s">
        <v>19</v>
      </c>
      <c r="G14" s="232" t="s">
        <v>52</v>
      </c>
      <c r="H14" s="232" t="s">
        <v>52</v>
      </c>
      <c r="I14" s="232" t="s">
        <v>179</v>
      </c>
      <c r="J14" s="232" t="s">
        <v>53</v>
      </c>
      <c r="K14" s="232" t="s">
        <v>19</v>
      </c>
      <c r="L14" s="232" t="s">
        <v>21</v>
      </c>
    </row>
    <row r="15" spans="1:12" ht="14.4" customHeight="1" x14ac:dyDescent="0.35">
      <c r="A15" s="239" t="s">
        <v>177</v>
      </c>
      <c r="B15" s="239" t="s">
        <v>176</v>
      </c>
      <c r="C15" s="239" t="s">
        <v>175</v>
      </c>
      <c r="D15" s="239" t="s">
        <v>285</v>
      </c>
      <c r="E15" s="239" t="s">
        <v>109</v>
      </c>
      <c r="F15" s="239" t="s">
        <v>109</v>
      </c>
      <c r="G15" s="240" t="s">
        <v>167</v>
      </c>
      <c r="H15" s="240" t="s">
        <v>166</v>
      </c>
      <c r="I15" s="239" t="s">
        <v>284</v>
      </c>
      <c r="J15" s="239" t="s">
        <v>109</v>
      </c>
      <c r="K15" s="239" t="s">
        <v>109</v>
      </c>
      <c r="L15" s="239" t="s">
        <v>52</v>
      </c>
    </row>
    <row r="16" spans="1:12" ht="14.4" customHeight="1" x14ac:dyDescent="0.35">
      <c r="A16" s="227"/>
      <c r="B16" s="227"/>
      <c r="C16" s="227"/>
      <c r="D16" s="238" t="s">
        <v>164</v>
      </c>
      <c r="E16" s="238" t="s">
        <v>163</v>
      </c>
      <c r="F16" s="238" t="s">
        <v>163</v>
      </c>
      <c r="G16" s="238" t="s">
        <v>163</v>
      </c>
      <c r="H16" s="238" t="s">
        <v>162</v>
      </c>
      <c r="I16" s="238" t="s">
        <v>163</v>
      </c>
      <c r="J16" s="238" t="s">
        <v>163</v>
      </c>
      <c r="K16" s="238" t="s">
        <v>163</v>
      </c>
      <c r="L16" s="238" t="s">
        <v>162</v>
      </c>
    </row>
    <row r="17" spans="1:12" ht="14.4" customHeight="1" x14ac:dyDescent="0.35">
      <c r="A17" s="227"/>
      <c r="B17" s="227"/>
      <c r="C17" s="238" t="s">
        <v>161</v>
      </c>
      <c r="D17" s="238" t="s">
        <v>160</v>
      </c>
      <c r="E17" s="238" t="s">
        <v>155</v>
      </c>
      <c r="F17" s="238" t="s">
        <v>154</v>
      </c>
      <c r="G17" s="238" t="s">
        <v>153</v>
      </c>
      <c r="H17" s="238" t="s">
        <v>152</v>
      </c>
      <c r="I17" s="238" t="s">
        <v>151</v>
      </c>
      <c r="J17" s="238" t="s">
        <v>150</v>
      </c>
      <c r="K17" s="238" t="s">
        <v>149</v>
      </c>
      <c r="L17" s="238" t="s">
        <v>148</v>
      </c>
    </row>
    <row r="18" spans="1:12" ht="14.4" customHeight="1" x14ac:dyDescent="0.35">
      <c r="A18" s="227"/>
      <c r="B18" s="227"/>
      <c r="C18" s="227"/>
      <c r="D18" s="232"/>
      <c r="E18" s="232"/>
      <c r="F18" s="232"/>
      <c r="G18" s="232"/>
      <c r="H18" s="232"/>
      <c r="I18" s="232"/>
      <c r="J18" s="238" t="s">
        <v>283</v>
      </c>
      <c r="K18" s="238" t="s">
        <v>282</v>
      </c>
      <c r="L18" s="238" t="s">
        <v>281</v>
      </c>
    </row>
    <row r="19" spans="1:12" ht="14.4" customHeight="1" x14ac:dyDescent="0.35">
      <c r="A19" s="232"/>
      <c r="B19" s="227"/>
      <c r="C19" s="227"/>
      <c r="D19" s="251"/>
      <c r="E19" s="232"/>
      <c r="F19" s="232"/>
      <c r="G19" s="232"/>
      <c r="H19" s="232"/>
      <c r="I19" s="232"/>
      <c r="J19" s="232"/>
      <c r="K19" s="232"/>
      <c r="L19" s="232"/>
    </row>
    <row r="20" spans="1:12" ht="14.4" customHeight="1" x14ac:dyDescent="0.35">
      <c r="A20" s="232">
        <v>1</v>
      </c>
      <c r="B20" s="232" t="s">
        <v>234</v>
      </c>
      <c r="C20" s="232" t="s">
        <v>147</v>
      </c>
      <c r="D20" s="250">
        <v>3</v>
      </c>
      <c r="E20" s="234">
        <f>Sales_Input!$H$29+ROUND(Sales_Input!$C$29*LG2R!D20,2)</f>
        <v>1.05</v>
      </c>
      <c r="F20" s="234">
        <f>Sales_Input!$Y$29+ROUND(Sales_Input!$T$29*LG2R!D20,2)</f>
        <v>1.05</v>
      </c>
      <c r="G20" s="234">
        <f t="shared" ref="G20:G31" si="0">F20-E20</f>
        <v>0</v>
      </c>
      <c r="H20" s="233">
        <f t="shared" ref="H20:H31" si="1">ROUND(G20/E20,3)</f>
        <v>0</v>
      </c>
      <c r="I20" s="234">
        <f>ROUND(D20*SUM(Sales_Input!$O$29:$R$29),2)</f>
        <v>0</v>
      </c>
      <c r="J20" s="234">
        <f t="shared" ref="J20:J31" si="2">E20+I20</f>
        <v>1.05</v>
      </c>
      <c r="K20" s="234">
        <f t="shared" ref="K20:K31" si="3">F20+I20</f>
        <v>1.05</v>
      </c>
      <c r="L20" s="233">
        <f t="shared" ref="L20:L31" si="4">ROUND((K20-J20)/J20,3)</f>
        <v>0</v>
      </c>
    </row>
    <row r="21" spans="1:12" ht="14.4" customHeight="1" x14ac:dyDescent="0.35">
      <c r="A21" s="232">
        <v>2</v>
      </c>
      <c r="B21" s="232" t="s">
        <v>291</v>
      </c>
      <c r="C21" s="232" t="s">
        <v>145</v>
      </c>
      <c r="D21" s="250">
        <v>8</v>
      </c>
      <c r="E21" s="234">
        <f>Sales_Input!$H$29+ROUND(Sales_Input!$C$29*LG2R!D21,2)</f>
        <v>2.8</v>
      </c>
      <c r="F21" s="234">
        <f>Sales_Input!$Y$29+ROUND(Sales_Input!$T$29*LG2R!D21,2)</f>
        <v>2.8</v>
      </c>
      <c r="G21" s="234">
        <f t="shared" si="0"/>
        <v>0</v>
      </c>
      <c r="H21" s="233">
        <f t="shared" si="1"/>
        <v>0</v>
      </c>
      <c r="I21" s="234">
        <f>ROUND(D21*SUM(Sales_Input!$O$29:$R$29),2)</f>
        <v>0</v>
      </c>
      <c r="J21" s="234">
        <f t="shared" si="2"/>
        <v>2.8</v>
      </c>
      <c r="K21" s="234">
        <f t="shared" si="3"/>
        <v>2.8</v>
      </c>
      <c r="L21" s="233">
        <f t="shared" si="4"/>
        <v>0</v>
      </c>
    </row>
    <row r="22" spans="1:12" ht="14.4" customHeight="1" x14ac:dyDescent="0.35">
      <c r="A22" s="232">
        <v>3</v>
      </c>
      <c r="B22" s="236" t="s">
        <v>295</v>
      </c>
      <c r="C22" s="227"/>
      <c r="D22" s="250">
        <v>10</v>
      </c>
      <c r="E22" s="234">
        <f>Sales_Input!$H$29+ROUND(Sales_Input!$C$29*LG2R!D22,2)</f>
        <v>3.5</v>
      </c>
      <c r="F22" s="234">
        <f>Sales_Input!$Y$29+ROUND(Sales_Input!$T$29*LG2R!D22,2)</f>
        <v>3.5</v>
      </c>
      <c r="G22" s="234">
        <f t="shared" si="0"/>
        <v>0</v>
      </c>
      <c r="H22" s="233">
        <f t="shared" si="1"/>
        <v>0</v>
      </c>
      <c r="I22" s="234">
        <f>ROUND(D22*SUM(Sales_Input!$O$29:$R$29),2)</f>
        <v>0</v>
      </c>
      <c r="J22" s="234">
        <f t="shared" si="2"/>
        <v>3.5</v>
      </c>
      <c r="K22" s="234">
        <f t="shared" si="3"/>
        <v>3.5</v>
      </c>
      <c r="L22" s="233">
        <f t="shared" si="4"/>
        <v>0</v>
      </c>
    </row>
    <row r="23" spans="1:12" ht="14.4" customHeight="1" x14ac:dyDescent="0.35">
      <c r="A23" s="232">
        <v>4</v>
      </c>
      <c r="B23" s="227"/>
      <c r="C23" s="227"/>
      <c r="D23" s="250">
        <v>12</v>
      </c>
      <c r="E23" s="234">
        <f>Sales_Input!$H$29+ROUND(Sales_Input!$C$29*LG2R!D23,2)</f>
        <v>4.2</v>
      </c>
      <c r="F23" s="234">
        <f>Sales_Input!$Y$29+ROUND(Sales_Input!$T$29*LG2R!D23,2)</f>
        <v>4.2</v>
      </c>
      <c r="G23" s="234">
        <f t="shared" si="0"/>
        <v>0</v>
      </c>
      <c r="H23" s="233">
        <f t="shared" si="1"/>
        <v>0</v>
      </c>
      <c r="I23" s="234">
        <f>ROUND(D23*SUM(Sales_Input!$O$29:$R$29),2)</f>
        <v>0</v>
      </c>
      <c r="J23" s="234">
        <f t="shared" si="2"/>
        <v>4.2</v>
      </c>
      <c r="K23" s="234">
        <f t="shared" si="3"/>
        <v>4.2</v>
      </c>
      <c r="L23" s="233">
        <f t="shared" si="4"/>
        <v>0</v>
      </c>
    </row>
    <row r="24" spans="1:12" ht="14.4" customHeight="1" x14ac:dyDescent="0.35">
      <c r="A24" s="232">
        <v>5</v>
      </c>
      <c r="B24" s="232"/>
      <c r="C24" s="227"/>
      <c r="D24" s="250">
        <v>16</v>
      </c>
      <c r="E24" s="234">
        <f>Sales_Input!$H$29+ROUND(Sales_Input!$C$29*LG2R!D24,2)</f>
        <v>5.6</v>
      </c>
      <c r="F24" s="234">
        <f>Sales_Input!$Y$29+ROUND(Sales_Input!$T$29*LG2R!D24,2)</f>
        <v>5.6</v>
      </c>
      <c r="G24" s="234">
        <f t="shared" si="0"/>
        <v>0</v>
      </c>
      <c r="H24" s="233">
        <f t="shared" si="1"/>
        <v>0</v>
      </c>
      <c r="I24" s="234">
        <f>ROUND(D24*SUM(Sales_Input!$O$29:$R$29),2)</f>
        <v>0</v>
      </c>
      <c r="J24" s="234">
        <f t="shared" si="2"/>
        <v>5.6</v>
      </c>
      <c r="K24" s="234">
        <f t="shared" si="3"/>
        <v>5.6</v>
      </c>
      <c r="L24" s="233">
        <f t="shared" si="4"/>
        <v>0</v>
      </c>
    </row>
    <row r="25" spans="1:12" ht="14.4" customHeight="1" x14ac:dyDescent="0.35">
      <c r="A25" s="232">
        <v>6</v>
      </c>
      <c r="B25" s="236"/>
      <c r="C25" s="227"/>
      <c r="D25" s="250">
        <v>20</v>
      </c>
      <c r="E25" s="234">
        <f>Sales_Input!$H$29+ROUND(Sales_Input!$C$29*LG2R!D25,2)</f>
        <v>7</v>
      </c>
      <c r="F25" s="234">
        <f>Sales_Input!$Y$29+ROUND(Sales_Input!$T$29*LG2R!D25,2)</f>
        <v>7</v>
      </c>
      <c r="G25" s="234">
        <f t="shared" si="0"/>
        <v>0</v>
      </c>
      <c r="H25" s="233">
        <f t="shared" si="1"/>
        <v>0</v>
      </c>
      <c r="I25" s="234">
        <f>ROUND(D25*SUM(Sales_Input!$O$29:$R$29),2)</f>
        <v>0</v>
      </c>
      <c r="J25" s="234">
        <f t="shared" si="2"/>
        <v>7</v>
      </c>
      <c r="K25" s="234">
        <f t="shared" si="3"/>
        <v>7</v>
      </c>
      <c r="L25" s="233">
        <f t="shared" si="4"/>
        <v>0</v>
      </c>
    </row>
    <row r="26" spans="1:12" ht="14.4" customHeight="1" x14ac:dyDescent="0.35">
      <c r="A26" s="232">
        <v>7</v>
      </c>
      <c r="B26" s="227"/>
      <c r="C26" s="227"/>
      <c r="D26" s="250">
        <v>30</v>
      </c>
      <c r="E26" s="234">
        <f>Sales_Input!$H$29+ROUND(Sales_Input!$C$29*LG2R!D26,2)</f>
        <v>10.5</v>
      </c>
      <c r="F26" s="234">
        <f>Sales_Input!$Y$29+ROUND(Sales_Input!$T$29*LG2R!D26,2)</f>
        <v>10.5</v>
      </c>
      <c r="G26" s="234">
        <f t="shared" si="0"/>
        <v>0</v>
      </c>
      <c r="H26" s="233">
        <f t="shared" si="1"/>
        <v>0</v>
      </c>
      <c r="I26" s="234">
        <f>ROUND(D26*SUM(Sales_Input!$O$29:$R$29),2)</f>
        <v>0</v>
      </c>
      <c r="J26" s="234">
        <f t="shared" si="2"/>
        <v>10.5</v>
      </c>
      <c r="K26" s="234">
        <f t="shared" si="3"/>
        <v>10.5</v>
      </c>
      <c r="L26" s="233">
        <f t="shared" si="4"/>
        <v>0</v>
      </c>
    </row>
    <row r="27" spans="1:12" ht="14.4" customHeight="1" x14ac:dyDescent="0.35">
      <c r="A27" s="232">
        <v>8</v>
      </c>
      <c r="B27" s="227"/>
      <c r="C27" s="227"/>
      <c r="D27" s="250">
        <v>40</v>
      </c>
      <c r="E27" s="234">
        <f>Sales_Input!$H$29+ROUND(Sales_Input!$C$29*LG2R!D27,2)</f>
        <v>14</v>
      </c>
      <c r="F27" s="234">
        <f>Sales_Input!$Y$29+ROUND(Sales_Input!$T$29*LG2R!D27,2)</f>
        <v>14</v>
      </c>
      <c r="G27" s="234">
        <f t="shared" si="0"/>
        <v>0</v>
      </c>
      <c r="H27" s="233">
        <f t="shared" si="1"/>
        <v>0</v>
      </c>
      <c r="I27" s="234">
        <f>ROUND(D27*SUM(Sales_Input!$O$29:$R$29),2)</f>
        <v>0</v>
      </c>
      <c r="J27" s="234">
        <f t="shared" si="2"/>
        <v>14</v>
      </c>
      <c r="K27" s="234">
        <f t="shared" si="3"/>
        <v>14</v>
      </c>
      <c r="L27" s="233">
        <f t="shared" si="4"/>
        <v>0</v>
      </c>
    </row>
    <row r="28" spans="1:12" ht="14.4" customHeight="1" x14ac:dyDescent="0.35">
      <c r="A28" s="232">
        <v>9</v>
      </c>
      <c r="B28" s="227"/>
      <c r="C28" s="227"/>
      <c r="D28" s="250">
        <f>+E33</f>
        <v>45.4</v>
      </c>
      <c r="E28" s="234">
        <f>Sales_Input!$H$29+ROUND(Sales_Input!$C$29*LG2R!D28,2)</f>
        <v>15.89</v>
      </c>
      <c r="F28" s="234">
        <f>Sales_Input!$Y$29+ROUND(Sales_Input!$T$29*LG2R!D28,2)</f>
        <v>15.89</v>
      </c>
      <c r="G28" s="234">
        <f t="shared" si="0"/>
        <v>0</v>
      </c>
      <c r="H28" s="233">
        <f t="shared" si="1"/>
        <v>0</v>
      </c>
      <c r="I28" s="234">
        <f>ROUND(D28*SUM(Sales_Input!$O$29:$R$29),2)</f>
        <v>0</v>
      </c>
      <c r="J28" s="234">
        <f t="shared" si="2"/>
        <v>15.89</v>
      </c>
      <c r="K28" s="234">
        <f t="shared" si="3"/>
        <v>15.89</v>
      </c>
      <c r="L28" s="233">
        <f t="shared" si="4"/>
        <v>0</v>
      </c>
    </row>
    <row r="29" spans="1:12" ht="14.4" customHeight="1" x14ac:dyDescent="0.35">
      <c r="A29" s="232">
        <v>10</v>
      </c>
      <c r="B29" s="227"/>
      <c r="C29" s="227"/>
      <c r="D29" s="250">
        <v>50</v>
      </c>
      <c r="E29" s="234">
        <f>Sales_Input!$H$29+ROUND(Sales_Input!$C$29*LG2R!D29,2)</f>
        <v>17.5</v>
      </c>
      <c r="F29" s="234">
        <f>Sales_Input!$Y$29+ROUND(Sales_Input!$T$29*LG2R!D29,2)</f>
        <v>17.5</v>
      </c>
      <c r="G29" s="234">
        <f t="shared" si="0"/>
        <v>0</v>
      </c>
      <c r="H29" s="233">
        <f t="shared" si="1"/>
        <v>0</v>
      </c>
      <c r="I29" s="234">
        <f>ROUND(D29*SUM(Sales_Input!$O$29:$R$29),2)</f>
        <v>0</v>
      </c>
      <c r="J29" s="234">
        <f t="shared" si="2"/>
        <v>17.5</v>
      </c>
      <c r="K29" s="234">
        <f t="shared" si="3"/>
        <v>17.5</v>
      </c>
      <c r="L29" s="233">
        <f t="shared" si="4"/>
        <v>0</v>
      </c>
    </row>
    <row r="30" spans="1:12" ht="14.4" customHeight="1" x14ac:dyDescent="0.35">
      <c r="A30" s="232">
        <v>11</v>
      </c>
      <c r="B30" s="227"/>
      <c r="C30" s="227"/>
      <c r="D30" s="250">
        <v>70</v>
      </c>
      <c r="E30" s="234">
        <f>Sales_Input!$H$29+ROUND(Sales_Input!$C$29*LG2R!D30,2)</f>
        <v>24.5</v>
      </c>
      <c r="F30" s="234">
        <f>Sales_Input!$Y$29+ROUND(Sales_Input!$T$29*LG2R!D30,2)</f>
        <v>24.5</v>
      </c>
      <c r="G30" s="234">
        <f t="shared" si="0"/>
        <v>0</v>
      </c>
      <c r="H30" s="233">
        <f t="shared" si="1"/>
        <v>0</v>
      </c>
      <c r="I30" s="234">
        <f>ROUND(D30*SUM(Sales_Input!$O$29:$R$29),2)</f>
        <v>0</v>
      </c>
      <c r="J30" s="234">
        <f t="shared" si="2"/>
        <v>24.5</v>
      </c>
      <c r="K30" s="234">
        <f t="shared" si="3"/>
        <v>24.5</v>
      </c>
      <c r="L30" s="233">
        <f t="shared" si="4"/>
        <v>0</v>
      </c>
    </row>
    <row r="31" spans="1:12" ht="14.4" customHeight="1" x14ac:dyDescent="0.35">
      <c r="A31" s="232">
        <v>12</v>
      </c>
      <c r="B31" s="227"/>
      <c r="C31" s="227"/>
      <c r="D31" s="250">
        <v>90</v>
      </c>
      <c r="E31" s="234">
        <f>Sales_Input!$H$29+ROUND(Sales_Input!$C$29*LG2R!D31,2)</f>
        <v>31.5</v>
      </c>
      <c r="F31" s="234">
        <f>Sales_Input!$Y$29+ROUND(Sales_Input!$T$29*LG2R!D31,2)</f>
        <v>31.5</v>
      </c>
      <c r="G31" s="234">
        <f t="shared" si="0"/>
        <v>0</v>
      </c>
      <c r="H31" s="233">
        <f t="shared" si="1"/>
        <v>0</v>
      </c>
      <c r="I31" s="234">
        <f>ROUND(D31*SUM(Sales_Input!$O$29:$R$29),2)</f>
        <v>0</v>
      </c>
      <c r="J31" s="234">
        <f t="shared" si="2"/>
        <v>31.5</v>
      </c>
      <c r="K31" s="234">
        <f t="shared" si="3"/>
        <v>31.5</v>
      </c>
      <c r="L31" s="233">
        <f t="shared" si="4"/>
        <v>0</v>
      </c>
    </row>
    <row r="32" spans="1:12" ht="14.4" customHeight="1" x14ac:dyDescent="0.35">
      <c r="A32" s="232"/>
      <c r="B32" s="227"/>
      <c r="C32" s="227"/>
      <c r="D32" s="251"/>
      <c r="E32" s="232"/>
      <c r="F32" s="232"/>
      <c r="G32" s="232"/>
      <c r="H32" s="262"/>
      <c r="I32" s="232"/>
      <c r="J32" s="232"/>
      <c r="K32" s="232"/>
      <c r="L32" s="232"/>
    </row>
    <row r="33" spans="1:12" ht="14.4" customHeight="1" x14ac:dyDescent="0.35">
      <c r="A33" s="230"/>
      <c r="B33" s="227"/>
      <c r="C33" s="227" t="s">
        <v>142</v>
      </c>
      <c r="D33" s="227"/>
      <c r="E33" s="229">
        <f>Sales_Input!AF29</f>
        <v>45.4</v>
      </c>
      <c r="F33" s="227"/>
      <c r="G33" s="227"/>
      <c r="H33" s="227"/>
      <c r="I33" s="227"/>
      <c r="J33" s="227"/>
      <c r="K33" s="227"/>
      <c r="L33" s="227"/>
    </row>
    <row r="34" spans="1:12" ht="14.4" customHeight="1" x14ac:dyDescent="0.35">
      <c r="A34" s="230"/>
      <c r="B34" s="227"/>
      <c r="C34" s="227"/>
      <c r="D34" s="227"/>
      <c r="E34" s="232"/>
      <c r="F34" s="261"/>
      <c r="G34" s="227"/>
      <c r="H34" s="227"/>
      <c r="I34" s="227"/>
      <c r="J34" s="227"/>
      <c r="K34" s="227"/>
      <c r="L34" s="227"/>
    </row>
    <row r="35" spans="1:12" ht="14.5" x14ac:dyDescent="0.35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</row>
    <row r="36" spans="1:12" ht="14.5" x14ac:dyDescent="0.35">
      <c r="A36" s="227"/>
      <c r="B36" s="227"/>
      <c r="C36" s="227"/>
      <c r="D36" s="228"/>
      <c r="E36" s="227"/>
      <c r="F36" s="227"/>
      <c r="G36" s="227"/>
      <c r="H36" s="227"/>
      <c r="I36" s="227"/>
      <c r="J36" s="227"/>
      <c r="K36" s="227"/>
      <c r="L36" s="227"/>
    </row>
    <row r="37" spans="1:12" ht="14.5" x14ac:dyDescent="0.35">
      <c r="A37" s="227"/>
      <c r="B37" s="227" t="s">
        <v>301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5" right="0.5" top="0.75" bottom="0.75" header="0.5" footer="0.5"/>
  <pageSetup scale="9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95A8-568B-4A2D-88F5-2EF5065984AC}">
  <sheetPr codeName="Sheet29">
    <tabColor theme="4" tint="0.79998168889431442"/>
  </sheetPr>
  <dimension ref="A1:L37"/>
  <sheetViews>
    <sheetView workbookViewId="0">
      <selection sqref="A1:L1"/>
    </sheetView>
  </sheetViews>
  <sheetFormatPr defaultColWidth="10.1796875" defaultRowHeight="14.4" customHeight="1" x14ac:dyDescent="0.35"/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303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234</v>
      </c>
      <c r="C20" s="251" t="s">
        <v>147</v>
      </c>
      <c r="D20" s="250">
        <f>+E33</f>
        <v>0</v>
      </c>
      <c r="E20" s="235">
        <f>Sales_Input!$H$30+ROUND(Sales_Input!$C$30*LG2C!D20,2)</f>
        <v>0</v>
      </c>
      <c r="F20" s="235">
        <f>Sales_Input!$Y$30+ROUND(Sales_Input!$T$30*LG2C!D20,2)</f>
        <v>0</v>
      </c>
      <c r="G20" s="235">
        <f t="shared" ref="G20:G31" si="0">F20-E20</f>
        <v>0</v>
      </c>
      <c r="H20" s="249">
        <f>IF(E20=0,0,ROUND(G20/E20,3))</f>
        <v>0</v>
      </c>
      <c r="I20" s="235">
        <f>ROUND(D20*SUM(Sales_Input!$O$30:$R$30),2)</f>
        <v>0</v>
      </c>
      <c r="J20" s="235">
        <f t="shared" ref="J20:J31" si="1">E20+I20</f>
        <v>0</v>
      </c>
      <c r="K20" s="235">
        <f t="shared" ref="K20:K31" si="2">F20+I20</f>
        <v>0</v>
      </c>
      <c r="L20" s="249">
        <f>IF(J20=0,0,(K20-J20)/J20)</f>
        <v>0</v>
      </c>
    </row>
    <row r="21" spans="1:12" ht="14.4" customHeight="1" x14ac:dyDescent="0.35">
      <c r="A21" s="251">
        <v>2</v>
      </c>
      <c r="B21" s="251" t="s">
        <v>291</v>
      </c>
      <c r="C21" s="251" t="s">
        <v>145</v>
      </c>
      <c r="D21" s="250">
        <v>3</v>
      </c>
      <c r="E21" s="235">
        <f>Sales_Input!$H$30+ROUND(Sales_Input!$C$30*LG2C!D21,2)</f>
        <v>1.05</v>
      </c>
      <c r="F21" s="235">
        <f>Sales_Input!$Y$30+ROUND(Sales_Input!$T$30*LG2C!D21,2)</f>
        <v>1.05</v>
      </c>
      <c r="G21" s="235">
        <f t="shared" si="0"/>
        <v>0</v>
      </c>
      <c r="H21" s="249">
        <f t="shared" ref="H21:H31" si="3">ROUND(G21/E21,3)</f>
        <v>0</v>
      </c>
      <c r="I21" s="235">
        <f>ROUND(D21*SUM(Sales_Input!$O$30:$R$30),2)</f>
        <v>0</v>
      </c>
      <c r="J21" s="235">
        <f t="shared" si="1"/>
        <v>1.05</v>
      </c>
      <c r="K21" s="235">
        <f t="shared" si="2"/>
        <v>1.05</v>
      </c>
      <c r="L21" s="249">
        <f t="shared" ref="L21:L31" si="4">ROUND((K21-J21)/J21,3)</f>
        <v>0</v>
      </c>
    </row>
    <row r="22" spans="1:12" ht="14.4" customHeight="1" x14ac:dyDescent="0.35">
      <c r="A22" s="251">
        <v>3</v>
      </c>
      <c r="B22" s="252" t="s">
        <v>197</v>
      </c>
      <c r="C22" s="245"/>
      <c r="D22" s="250">
        <v>8</v>
      </c>
      <c r="E22" s="235">
        <f>Sales_Input!$H$30+ROUND(Sales_Input!$C$30*LG2C!D22,2)</f>
        <v>2.8</v>
      </c>
      <c r="F22" s="235">
        <f>Sales_Input!$Y$30+ROUND(Sales_Input!$T$30*LG2C!D22,2)</f>
        <v>2.8</v>
      </c>
      <c r="G22" s="235">
        <f t="shared" si="0"/>
        <v>0</v>
      </c>
      <c r="H22" s="249">
        <f t="shared" si="3"/>
        <v>0</v>
      </c>
      <c r="I22" s="235">
        <f>ROUND(D22*SUM(Sales_Input!$O$30:$R$30),2)</f>
        <v>0</v>
      </c>
      <c r="J22" s="235">
        <f t="shared" si="1"/>
        <v>2.8</v>
      </c>
      <c r="K22" s="235">
        <f t="shared" si="2"/>
        <v>2.8</v>
      </c>
      <c r="L22" s="249">
        <f t="shared" si="4"/>
        <v>0</v>
      </c>
    </row>
    <row r="23" spans="1:12" ht="14.4" customHeight="1" x14ac:dyDescent="0.35">
      <c r="A23" s="251">
        <v>4</v>
      </c>
      <c r="B23" s="245"/>
      <c r="C23" s="245"/>
      <c r="D23" s="250">
        <v>10</v>
      </c>
      <c r="E23" s="235">
        <f>Sales_Input!$H$30+ROUND(Sales_Input!$C$30*LG2C!D23,2)</f>
        <v>3.5</v>
      </c>
      <c r="F23" s="235">
        <f>Sales_Input!$Y$30+ROUND(Sales_Input!$T$30*LG2C!D23,2)</f>
        <v>3.5</v>
      </c>
      <c r="G23" s="235">
        <f t="shared" si="0"/>
        <v>0</v>
      </c>
      <c r="H23" s="249">
        <f t="shared" si="3"/>
        <v>0</v>
      </c>
      <c r="I23" s="235">
        <f>ROUND(D23*SUM(Sales_Input!$O$30:$R$30),2)</f>
        <v>0</v>
      </c>
      <c r="J23" s="235">
        <f t="shared" si="1"/>
        <v>3.5</v>
      </c>
      <c r="K23" s="235">
        <f t="shared" si="2"/>
        <v>3.5</v>
      </c>
      <c r="L23" s="249">
        <f t="shared" si="4"/>
        <v>0</v>
      </c>
    </row>
    <row r="24" spans="1:12" ht="14.4" customHeight="1" x14ac:dyDescent="0.35">
      <c r="A24" s="251">
        <v>5</v>
      </c>
      <c r="B24" s="251"/>
      <c r="C24" s="245"/>
      <c r="D24" s="250">
        <v>12</v>
      </c>
      <c r="E24" s="235">
        <f>Sales_Input!$H$30+ROUND(Sales_Input!$C$30*LG2C!D24,2)</f>
        <v>4.2</v>
      </c>
      <c r="F24" s="235">
        <f>Sales_Input!$Y$30+ROUND(Sales_Input!$T$30*LG2C!D24,2)</f>
        <v>4.2</v>
      </c>
      <c r="G24" s="235">
        <f t="shared" si="0"/>
        <v>0</v>
      </c>
      <c r="H24" s="249">
        <f t="shared" si="3"/>
        <v>0</v>
      </c>
      <c r="I24" s="235">
        <f>ROUND(D24*SUM(Sales_Input!$O$30:$R$30),2)</f>
        <v>0</v>
      </c>
      <c r="J24" s="235">
        <f t="shared" si="1"/>
        <v>4.2</v>
      </c>
      <c r="K24" s="235">
        <f t="shared" si="2"/>
        <v>4.2</v>
      </c>
      <c r="L24" s="249">
        <f t="shared" si="4"/>
        <v>0</v>
      </c>
    </row>
    <row r="25" spans="1:12" ht="14.4" customHeight="1" x14ac:dyDescent="0.35">
      <c r="A25" s="251">
        <v>6</v>
      </c>
      <c r="B25" s="252"/>
      <c r="C25" s="245"/>
      <c r="D25" s="250">
        <v>16</v>
      </c>
      <c r="E25" s="235">
        <f>Sales_Input!$H$30+ROUND(Sales_Input!$C$30*LG2C!D25,2)</f>
        <v>5.6</v>
      </c>
      <c r="F25" s="235">
        <f>Sales_Input!$Y$30+ROUND(Sales_Input!$T$30*LG2C!D25,2)</f>
        <v>5.6</v>
      </c>
      <c r="G25" s="235">
        <f t="shared" si="0"/>
        <v>0</v>
      </c>
      <c r="H25" s="249">
        <f t="shared" si="3"/>
        <v>0</v>
      </c>
      <c r="I25" s="235">
        <f>ROUND(D25*SUM(Sales_Input!$O$30:$R$30),2)</f>
        <v>0</v>
      </c>
      <c r="J25" s="235">
        <f t="shared" si="1"/>
        <v>5.6</v>
      </c>
      <c r="K25" s="235">
        <f t="shared" si="2"/>
        <v>5.6</v>
      </c>
      <c r="L25" s="249">
        <f t="shared" si="4"/>
        <v>0</v>
      </c>
    </row>
    <row r="26" spans="1:12" ht="14.4" customHeight="1" x14ac:dyDescent="0.35">
      <c r="A26" s="251">
        <v>7</v>
      </c>
      <c r="B26" s="245"/>
      <c r="C26" s="245"/>
      <c r="D26" s="250">
        <v>20</v>
      </c>
      <c r="E26" s="235">
        <f>Sales_Input!$H$30+ROUND(Sales_Input!$C$30*LG2C!D26,2)</f>
        <v>7</v>
      </c>
      <c r="F26" s="235">
        <f>Sales_Input!$Y$30+ROUND(Sales_Input!$T$30*LG2C!D26,2)</f>
        <v>7</v>
      </c>
      <c r="G26" s="235">
        <f t="shared" si="0"/>
        <v>0</v>
      </c>
      <c r="H26" s="249">
        <f t="shared" si="3"/>
        <v>0</v>
      </c>
      <c r="I26" s="235">
        <f>ROUND(D26*SUM(Sales_Input!$O$30:$R$30),2)</f>
        <v>0</v>
      </c>
      <c r="J26" s="235">
        <f t="shared" si="1"/>
        <v>7</v>
      </c>
      <c r="K26" s="235">
        <f t="shared" si="2"/>
        <v>7</v>
      </c>
      <c r="L26" s="249">
        <f t="shared" si="4"/>
        <v>0</v>
      </c>
    </row>
    <row r="27" spans="1:12" ht="14.4" customHeight="1" x14ac:dyDescent="0.35">
      <c r="A27" s="251">
        <v>8</v>
      </c>
      <c r="B27" s="245"/>
      <c r="C27" s="245"/>
      <c r="D27" s="250">
        <v>30</v>
      </c>
      <c r="E27" s="235">
        <f>Sales_Input!$H$30+ROUND(Sales_Input!$C$30*LG2C!D27,2)</f>
        <v>10.5</v>
      </c>
      <c r="F27" s="235">
        <f>Sales_Input!$Y$30+ROUND(Sales_Input!$T$30*LG2C!D27,2)</f>
        <v>10.5</v>
      </c>
      <c r="G27" s="235">
        <f t="shared" si="0"/>
        <v>0</v>
      </c>
      <c r="H27" s="249">
        <f t="shared" si="3"/>
        <v>0</v>
      </c>
      <c r="I27" s="235">
        <f>ROUND(D27*SUM(Sales_Input!$O$30:$R$30),2)</f>
        <v>0</v>
      </c>
      <c r="J27" s="235">
        <f t="shared" si="1"/>
        <v>10.5</v>
      </c>
      <c r="K27" s="235">
        <f t="shared" si="2"/>
        <v>10.5</v>
      </c>
      <c r="L27" s="249">
        <f t="shared" si="4"/>
        <v>0</v>
      </c>
    </row>
    <row r="28" spans="1:12" ht="14.4" customHeight="1" x14ac:dyDescent="0.35">
      <c r="A28" s="251">
        <v>9</v>
      </c>
      <c r="B28" s="245"/>
      <c r="C28" s="245"/>
      <c r="D28" s="250">
        <v>40</v>
      </c>
      <c r="E28" s="235">
        <f>Sales_Input!$H$30+ROUND(Sales_Input!$C$30*LG2C!D28,2)</f>
        <v>14</v>
      </c>
      <c r="F28" s="235">
        <f>Sales_Input!$Y$30+ROUND(Sales_Input!$T$30*LG2C!D28,2)</f>
        <v>14</v>
      </c>
      <c r="G28" s="235">
        <f t="shared" si="0"/>
        <v>0</v>
      </c>
      <c r="H28" s="249">
        <f t="shared" si="3"/>
        <v>0</v>
      </c>
      <c r="I28" s="235">
        <f>ROUND(D28*SUM(Sales_Input!$O$30:$R$30),2)</f>
        <v>0</v>
      </c>
      <c r="J28" s="235">
        <f t="shared" si="1"/>
        <v>14</v>
      </c>
      <c r="K28" s="235">
        <f t="shared" si="2"/>
        <v>14</v>
      </c>
      <c r="L28" s="249">
        <f t="shared" si="4"/>
        <v>0</v>
      </c>
    </row>
    <row r="29" spans="1:12" ht="14.4" customHeight="1" x14ac:dyDescent="0.35">
      <c r="A29" s="251">
        <v>10</v>
      </c>
      <c r="B29" s="245"/>
      <c r="C29" s="245"/>
      <c r="D29" s="250">
        <v>50</v>
      </c>
      <c r="E29" s="235">
        <f>Sales_Input!$H$30+ROUND(Sales_Input!$C$30*LG2C!D29,2)</f>
        <v>17.5</v>
      </c>
      <c r="F29" s="235">
        <f>Sales_Input!$Y$30+ROUND(Sales_Input!$T$30*LG2C!D29,2)</f>
        <v>17.5</v>
      </c>
      <c r="G29" s="235">
        <f t="shared" si="0"/>
        <v>0</v>
      </c>
      <c r="H29" s="249">
        <f t="shared" si="3"/>
        <v>0</v>
      </c>
      <c r="I29" s="235">
        <f>ROUND(D29*SUM(Sales_Input!$O$30:$R$30),2)</f>
        <v>0</v>
      </c>
      <c r="J29" s="235">
        <f t="shared" si="1"/>
        <v>17.5</v>
      </c>
      <c r="K29" s="235">
        <f t="shared" si="2"/>
        <v>17.5</v>
      </c>
      <c r="L29" s="249">
        <f t="shared" si="4"/>
        <v>0</v>
      </c>
    </row>
    <row r="30" spans="1:12" ht="14.4" customHeight="1" x14ac:dyDescent="0.35">
      <c r="A30" s="251">
        <v>11</v>
      </c>
      <c r="B30" s="245"/>
      <c r="C30" s="245"/>
      <c r="D30" s="250">
        <v>60</v>
      </c>
      <c r="E30" s="235">
        <f>Sales_Input!$H$30+ROUND(Sales_Input!$C$30*LG2C!D30,2)</f>
        <v>21</v>
      </c>
      <c r="F30" s="235">
        <f>Sales_Input!$Y$30+ROUND(Sales_Input!$T$30*LG2C!D30,2)</f>
        <v>21</v>
      </c>
      <c r="G30" s="235">
        <f t="shared" si="0"/>
        <v>0</v>
      </c>
      <c r="H30" s="249">
        <f t="shared" si="3"/>
        <v>0</v>
      </c>
      <c r="I30" s="235">
        <f>ROUND(D30*SUM(Sales_Input!$O$30:$R$30),2)</f>
        <v>0</v>
      </c>
      <c r="J30" s="235">
        <f t="shared" si="1"/>
        <v>21</v>
      </c>
      <c r="K30" s="235">
        <f t="shared" si="2"/>
        <v>21</v>
      </c>
      <c r="L30" s="249">
        <f t="shared" si="4"/>
        <v>0</v>
      </c>
    </row>
    <row r="31" spans="1:12" ht="14.4" customHeight="1" x14ac:dyDescent="0.35">
      <c r="A31" s="251">
        <v>12</v>
      </c>
      <c r="B31" s="245"/>
      <c r="C31" s="245"/>
      <c r="D31" s="250">
        <v>90</v>
      </c>
      <c r="E31" s="235">
        <f>Sales_Input!$H$30+ROUND(Sales_Input!$C$30*LG2C!D31,2)</f>
        <v>31.5</v>
      </c>
      <c r="F31" s="235">
        <f>Sales_Input!$Y$30+ROUND(Sales_Input!$T$30*LG2C!D31,2)</f>
        <v>31.5</v>
      </c>
      <c r="G31" s="235">
        <f t="shared" si="0"/>
        <v>0</v>
      </c>
      <c r="H31" s="249">
        <f t="shared" si="3"/>
        <v>0</v>
      </c>
      <c r="I31" s="235">
        <f>ROUND(D31*SUM(Sales_Input!$O$30:$R$30),2)</f>
        <v>0</v>
      </c>
      <c r="J31" s="235">
        <f t="shared" si="1"/>
        <v>31.5</v>
      </c>
      <c r="K31" s="235">
        <f t="shared" si="2"/>
        <v>31.5</v>
      </c>
      <c r="L31" s="249">
        <f t="shared" si="4"/>
        <v>0</v>
      </c>
    </row>
    <row r="32" spans="1:12" ht="14.4" customHeight="1" x14ac:dyDescent="0.35">
      <c r="A32" s="251"/>
      <c r="B32" s="245"/>
      <c r="C32" s="245"/>
      <c r="D32" s="251"/>
      <c r="E32" s="251"/>
      <c r="F32" s="251"/>
      <c r="G32" s="251"/>
      <c r="H32" s="263"/>
      <c r="I32" s="251"/>
      <c r="J32" s="251"/>
      <c r="K32" s="251"/>
      <c r="L32" s="251"/>
    </row>
    <row r="33" spans="1:12" ht="14.4" customHeight="1" x14ac:dyDescent="0.35">
      <c r="A33" s="248"/>
      <c r="B33" s="245"/>
      <c r="C33" s="245" t="s">
        <v>142</v>
      </c>
      <c r="D33" s="245"/>
      <c r="E33" s="247">
        <f>Sales_Input!AF30</f>
        <v>0</v>
      </c>
      <c r="F33" s="245"/>
      <c r="G33" s="245"/>
      <c r="H33" s="245"/>
      <c r="I33" s="245"/>
      <c r="J33" s="245"/>
      <c r="K33" s="245"/>
      <c r="L33" s="245"/>
    </row>
    <row r="34" spans="1:12" ht="14.4" customHeight="1" x14ac:dyDescent="0.35">
      <c r="A34" s="245"/>
      <c r="B34" s="245"/>
      <c r="C34" s="245" t="s">
        <v>215</v>
      </c>
      <c r="D34" s="245"/>
      <c r="E34" s="245"/>
      <c r="F34" s="245"/>
      <c r="G34" s="245"/>
      <c r="H34" s="245"/>
      <c r="I34" s="245"/>
      <c r="J34" s="245"/>
      <c r="K34" s="245"/>
      <c r="L34" s="245"/>
    </row>
    <row r="35" spans="1:12" ht="14.5" x14ac:dyDescent="0.3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4.5" x14ac:dyDescent="0.35">
      <c r="A36" s="245"/>
      <c r="B36" s="245"/>
      <c r="C36" s="245"/>
      <c r="D36" s="258"/>
      <c r="E36" s="245"/>
      <c r="F36" s="245"/>
      <c r="G36" s="245"/>
      <c r="H36" s="245"/>
      <c r="I36" s="245"/>
      <c r="J36" s="245"/>
      <c r="K36" s="245"/>
      <c r="L36" s="245"/>
    </row>
    <row r="37" spans="1:12" ht="14.5" x14ac:dyDescent="0.35">
      <c r="A37" s="245"/>
      <c r="B37" s="245" t="s">
        <v>301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</sheetData>
  <mergeCells count="5">
    <mergeCell ref="A5:L5"/>
    <mergeCell ref="A1:L1"/>
    <mergeCell ref="A2:L2"/>
    <mergeCell ref="A3:L3"/>
    <mergeCell ref="A4:L4"/>
  </mergeCells>
  <pageMargins left="0.75" right="0.75" top="1" bottom="0.75" header="0.5" footer="0.5"/>
  <pageSetup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40D2-FFFC-4F8E-8291-D4EC6FA01374}">
  <sheetPr codeName="Sheet30">
    <tabColor theme="4" tint="0.79998168889431442"/>
    <pageSetUpPr fitToPage="1"/>
  </sheetPr>
  <dimension ref="A1:L37"/>
  <sheetViews>
    <sheetView workbookViewId="0">
      <selection sqref="A1:L1"/>
    </sheetView>
  </sheetViews>
  <sheetFormatPr defaultColWidth="10.1796875" defaultRowHeight="14.4" customHeight="1" x14ac:dyDescent="0.35"/>
  <cols>
    <col min="2" max="2" width="11.453125" customWidth="1"/>
    <col min="3" max="3" width="10.54296875" customWidth="1"/>
    <col min="11" max="12" width="11.453125" customWidth="1"/>
  </cols>
  <sheetData>
    <row r="1" spans="1:12" ht="14.4" customHeight="1" x14ac:dyDescent="0.35">
      <c r="A1" s="305" t="s">
        <v>56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ht="14.4" customHeight="1" x14ac:dyDescent="0.35">
      <c r="A2" s="305" t="str">
        <f>Sales_Input!$B$13</f>
        <v>CASE NO. 2024-00092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14.4" customHeight="1" x14ac:dyDescent="0.35">
      <c r="A3" s="305" t="s">
        <v>288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ht="14.4" customHeight="1" x14ac:dyDescent="0.35">
      <c r="A4" s="305" t="s">
        <v>191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5" spans="1:12" ht="14.4" customHeight="1" x14ac:dyDescent="0.35">
      <c r="A5" s="305" t="str">
        <f>Sales_Input!B17</f>
        <v>TWELVE MONTHS ENDING DECEMBER 31, 2025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</row>
    <row r="6" spans="1:12" ht="14.4" customHeight="1" x14ac:dyDescent="0.35">
      <c r="A6" s="232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</row>
    <row r="7" spans="1:12" ht="14.4" customHeight="1" x14ac:dyDescent="0.35">
      <c r="A7" s="232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ht="14.4" customHeight="1" x14ac:dyDescent="0.35">
      <c r="A8" s="227" t="s">
        <v>287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31" t="s">
        <v>189</v>
      </c>
    </row>
    <row r="9" spans="1:12" ht="14.4" customHeight="1" x14ac:dyDescent="0.35">
      <c r="A9" s="227" t="s">
        <v>322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43" t="s">
        <v>304</v>
      </c>
    </row>
    <row r="10" spans="1:12" ht="14.4" customHeight="1" x14ac:dyDescent="0.35">
      <c r="A10" s="242" t="s">
        <v>187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1" t="str">
        <f>Sales_Input!B15</f>
        <v>STIPULATION ATTACHMENT C</v>
      </c>
    </row>
    <row r="11" spans="1:12" ht="14.4" customHeight="1" x14ac:dyDescent="0.3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2" ht="14.4" customHeight="1" x14ac:dyDescent="0.3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</row>
    <row r="13" spans="1:12" ht="14.4" customHeight="1" x14ac:dyDescent="0.35">
      <c r="A13" s="227"/>
      <c r="B13" s="227"/>
      <c r="C13" s="227"/>
      <c r="D13" s="232"/>
      <c r="E13" s="232"/>
      <c r="F13" s="232"/>
      <c r="G13" s="232"/>
      <c r="H13" s="232"/>
      <c r="I13" s="232"/>
      <c r="J13" s="232" t="s">
        <v>17</v>
      </c>
      <c r="K13" s="232" t="s">
        <v>17</v>
      </c>
      <c r="L13" s="232"/>
    </row>
    <row r="14" spans="1:12" ht="14.4" customHeight="1" x14ac:dyDescent="0.35">
      <c r="A14" s="232" t="s">
        <v>18</v>
      </c>
      <c r="B14" s="232" t="s">
        <v>71</v>
      </c>
      <c r="C14" s="232" t="s">
        <v>182</v>
      </c>
      <c r="D14" s="232" t="s">
        <v>182</v>
      </c>
      <c r="E14" s="232" t="s">
        <v>53</v>
      </c>
      <c r="F14" s="232" t="s">
        <v>19</v>
      </c>
      <c r="G14" s="232" t="s">
        <v>52</v>
      </c>
      <c r="H14" s="232" t="s">
        <v>52</v>
      </c>
      <c r="I14" s="232" t="s">
        <v>179</v>
      </c>
      <c r="J14" s="232" t="s">
        <v>53</v>
      </c>
      <c r="K14" s="232" t="s">
        <v>19</v>
      </c>
      <c r="L14" s="232" t="s">
        <v>21</v>
      </c>
    </row>
    <row r="15" spans="1:12" ht="14.4" customHeight="1" x14ac:dyDescent="0.35">
      <c r="A15" s="239" t="s">
        <v>177</v>
      </c>
      <c r="B15" s="239" t="s">
        <v>176</v>
      </c>
      <c r="C15" s="239" t="s">
        <v>175</v>
      </c>
      <c r="D15" s="239" t="s">
        <v>285</v>
      </c>
      <c r="E15" s="239" t="s">
        <v>109</v>
      </c>
      <c r="F15" s="239" t="s">
        <v>109</v>
      </c>
      <c r="G15" s="240" t="s">
        <v>167</v>
      </c>
      <c r="H15" s="240" t="s">
        <v>166</v>
      </c>
      <c r="I15" s="239" t="s">
        <v>284</v>
      </c>
      <c r="J15" s="239" t="s">
        <v>109</v>
      </c>
      <c r="K15" s="239" t="s">
        <v>109</v>
      </c>
      <c r="L15" s="239" t="s">
        <v>52</v>
      </c>
    </row>
    <row r="16" spans="1:12" ht="14.4" customHeight="1" x14ac:dyDescent="0.35">
      <c r="A16" s="227"/>
      <c r="B16" s="227"/>
      <c r="C16" s="227"/>
      <c r="D16" s="238" t="s">
        <v>164</v>
      </c>
      <c r="E16" s="238" t="s">
        <v>163</v>
      </c>
      <c r="F16" s="238" t="s">
        <v>163</v>
      </c>
      <c r="G16" s="238" t="s">
        <v>163</v>
      </c>
      <c r="H16" s="238" t="s">
        <v>162</v>
      </c>
      <c r="I16" s="238" t="s">
        <v>163</v>
      </c>
      <c r="J16" s="238" t="s">
        <v>163</v>
      </c>
      <c r="K16" s="238" t="s">
        <v>163</v>
      </c>
      <c r="L16" s="238" t="s">
        <v>162</v>
      </c>
    </row>
    <row r="17" spans="1:12" ht="14.4" customHeight="1" x14ac:dyDescent="0.35">
      <c r="A17" s="227"/>
      <c r="B17" s="227"/>
      <c r="C17" s="238" t="s">
        <v>161</v>
      </c>
      <c r="D17" s="238" t="s">
        <v>160</v>
      </c>
      <c r="E17" s="238" t="s">
        <v>155</v>
      </c>
      <c r="F17" s="238" t="s">
        <v>154</v>
      </c>
      <c r="G17" s="238" t="s">
        <v>153</v>
      </c>
      <c r="H17" s="238" t="s">
        <v>152</v>
      </c>
      <c r="I17" s="238" t="s">
        <v>151</v>
      </c>
      <c r="J17" s="238" t="s">
        <v>150</v>
      </c>
      <c r="K17" s="238" t="s">
        <v>149</v>
      </c>
      <c r="L17" s="238" t="s">
        <v>148</v>
      </c>
    </row>
    <row r="18" spans="1:12" ht="14.4" customHeight="1" x14ac:dyDescent="0.35">
      <c r="A18" s="227"/>
      <c r="B18" s="227"/>
      <c r="C18" s="227"/>
      <c r="D18" s="232"/>
      <c r="E18" s="232"/>
      <c r="F18" s="232"/>
      <c r="G18" s="232"/>
      <c r="H18" s="232"/>
      <c r="I18" s="232"/>
      <c r="J18" s="238" t="s">
        <v>283</v>
      </c>
      <c r="K18" s="238" t="s">
        <v>282</v>
      </c>
      <c r="L18" s="238" t="s">
        <v>281</v>
      </c>
    </row>
    <row r="19" spans="1:12" ht="14.4" customHeight="1" x14ac:dyDescent="0.35">
      <c r="A19" s="232"/>
      <c r="B19" s="227"/>
      <c r="C19" s="227"/>
      <c r="D19" s="232"/>
      <c r="E19" s="232"/>
      <c r="F19" s="232"/>
      <c r="G19" s="232"/>
      <c r="H19" s="232"/>
      <c r="I19" s="232"/>
      <c r="J19" s="232"/>
      <c r="K19" s="232"/>
      <c r="L19" s="232"/>
    </row>
    <row r="20" spans="1:12" ht="14.4" customHeight="1" x14ac:dyDescent="0.35">
      <c r="A20" s="232">
        <v>1</v>
      </c>
      <c r="B20" s="232" t="s">
        <v>232</v>
      </c>
      <c r="C20" s="232" t="s">
        <v>147</v>
      </c>
      <c r="D20" s="259">
        <v>3</v>
      </c>
      <c r="E20" s="234">
        <f>Sales_Input!$H$31+ROUND(Sales_Input!$C$31*2,2)+ROUND(Sales_Input!$D$31*('LG3'!D20-2),2)</f>
        <v>1.5499999999999998</v>
      </c>
      <c r="F20" s="234">
        <f>Sales_Input!$Y$31+ROUND(Sales_Input!$T$31*2,2)+ROUND(Sales_Input!$U$31*('LG3'!D20-2),2)</f>
        <v>1.5499999999999998</v>
      </c>
      <c r="G20" s="234">
        <f t="shared" ref="G20:G31" si="0">F20-E20</f>
        <v>0</v>
      </c>
      <c r="H20" s="233">
        <f t="shared" ref="H20:H31" si="1">ROUND(G20/E20,3)</f>
        <v>0</v>
      </c>
      <c r="I20" s="234">
        <f>ROUND(D20*SUM(Sales_Input!$O$31:$R$31),2)</f>
        <v>0</v>
      </c>
      <c r="J20" s="234">
        <f t="shared" ref="J20:J31" si="2">E20+I20</f>
        <v>1.5499999999999998</v>
      </c>
      <c r="K20" s="234">
        <f t="shared" ref="K20:K31" si="3">F20+I20</f>
        <v>1.5499999999999998</v>
      </c>
      <c r="L20" s="233">
        <f t="shared" ref="L20:L31" si="4">ROUND((K20-J20)/J20,3)</f>
        <v>0</v>
      </c>
    </row>
    <row r="21" spans="1:12" ht="14.4" customHeight="1" x14ac:dyDescent="0.35">
      <c r="A21" s="232">
        <v>2</v>
      </c>
      <c r="B21" s="232" t="s">
        <v>291</v>
      </c>
      <c r="C21" s="232" t="s">
        <v>145</v>
      </c>
      <c r="D21" s="259">
        <v>8</v>
      </c>
      <c r="E21" s="234">
        <f>Sales_Input!$H$31+ROUND(Sales_Input!$C$31*2,2)+ROUND(Sales_Input!$D$31*('LG3'!D21-2),2)</f>
        <v>3.3</v>
      </c>
      <c r="F21" s="234">
        <f>Sales_Input!$Y$31+ROUND(Sales_Input!$T$31*2,2)+ROUND(Sales_Input!$U$31*('LG3'!D21-2),2)</f>
        <v>3.3</v>
      </c>
      <c r="G21" s="234">
        <f t="shared" si="0"/>
        <v>0</v>
      </c>
      <c r="H21" s="233">
        <f t="shared" si="1"/>
        <v>0</v>
      </c>
      <c r="I21" s="234">
        <f>ROUND(D21*SUM(Sales_Input!$O$31:$R$31),2)</f>
        <v>0</v>
      </c>
      <c r="J21" s="234">
        <f t="shared" si="2"/>
        <v>3.3</v>
      </c>
      <c r="K21" s="234">
        <f t="shared" si="3"/>
        <v>3.3</v>
      </c>
      <c r="L21" s="233">
        <f t="shared" si="4"/>
        <v>0</v>
      </c>
    </row>
    <row r="22" spans="1:12" ht="14.4" customHeight="1" x14ac:dyDescent="0.35">
      <c r="A22" s="232">
        <v>3</v>
      </c>
      <c r="B22" s="232" t="s">
        <v>143</v>
      </c>
      <c r="C22" s="227"/>
      <c r="D22" s="259">
        <v>10</v>
      </c>
      <c r="E22" s="234">
        <f>Sales_Input!$H$31+ROUND(Sales_Input!$C$31*2,2)+ROUND(Sales_Input!$D$31*('LG3'!D22-2),2)</f>
        <v>4</v>
      </c>
      <c r="F22" s="234">
        <f>Sales_Input!$Y$31+ROUND(Sales_Input!$T$31*2,2)+ROUND(Sales_Input!$U$31*('LG3'!D22-2),2)</f>
        <v>4</v>
      </c>
      <c r="G22" s="234">
        <f t="shared" si="0"/>
        <v>0</v>
      </c>
      <c r="H22" s="233">
        <f t="shared" si="1"/>
        <v>0</v>
      </c>
      <c r="I22" s="234">
        <f>ROUND(D22*SUM(Sales_Input!$O$31:$R$31),2)</f>
        <v>0</v>
      </c>
      <c r="J22" s="234">
        <f t="shared" si="2"/>
        <v>4</v>
      </c>
      <c r="K22" s="234">
        <f t="shared" si="3"/>
        <v>4</v>
      </c>
      <c r="L22" s="233">
        <f t="shared" si="4"/>
        <v>0</v>
      </c>
    </row>
    <row r="23" spans="1:12" ht="14.4" customHeight="1" x14ac:dyDescent="0.35">
      <c r="A23" s="232">
        <v>4</v>
      </c>
      <c r="B23" s="232"/>
      <c r="C23" s="227"/>
      <c r="D23" s="259">
        <v>12</v>
      </c>
      <c r="E23" s="234">
        <f>Sales_Input!$H$31+ROUND(Sales_Input!$C$31*2,2)+ROUND(Sales_Input!$D$31*('LG3'!D23-2),2)</f>
        <v>4.7</v>
      </c>
      <c r="F23" s="234">
        <f>Sales_Input!$Y$31+ROUND(Sales_Input!$T$31*2,2)+ROUND(Sales_Input!$U$31*('LG3'!D23-2),2)</f>
        <v>4.7</v>
      </c>
      <c r="G23" s="234">
        <f t="shared" si="0"/>
        <v>0</v>
      </c>
      <c r="H23" s="233">
        <f t="shared" si="1"/>
        <v>0</v>
      </c>
      <c r="I23" s="234">
        <f>ROUND(D23*SUM(Sales_Input!$O$31:$R$31),2)</f>
        <v>0</v>
      </c>
      <c r="J23" s="234">
        <f t="shared" si="2"/>
        <v>4.7</v>
      </c>
      <c r="K23" s="234">
        <f t="shared" si="3"/>
        <v>4.7</v>
      </c>
      <c r="L23" s="233">
        <f t="shared" si="4"/>
        <v>0</v>
      </c>
    </row>
    <row r="24" spans="1:12" ht="14.4" customHeight="1" x14ac:dyDescent="0.35">
      <c r="A24" s="232">
        <v>5</v>
      </c>
      <c r="B24" s="232"/>
      <c r="C24" s="227"/>
      <c r="D24" s="259">
        <v>16</v>
      </c>
      <c r="E24" s="234">
        <f>Sales_Input!$H$31+ROUND(Sales_Input!$C$31*2,2)+ROUND(Sales_Input!$D$31*('LG3'!D24-2),2)</f>
        <v>6.1000000000000005</v>
      </c>
      <c r="F24" s="234">
        <f>Sales_Input!$Y$31+ROUND(Sales_Input!$T$31*2,2)+ROUND(Sales_Input!$U$31*('LG3'!D24-2),2)</f>
        <v>6.1000000000000005</v>
      </c>
      <c r="G24" s="234">
        <f t="shared" si="0"/>
        <v>0</v>
      </c>
      <c r="H24" s="233">
        <f t="shared" si="1"/>
        <v>0</v>
      </c>
      <c r="I24" s="234">
        <f>ROUND(D24*SUM(Sales_Input!$O$31:$R$31),2)</f>
        <v>0</v>
      </c>
      <c r="J24" s="234">
        <f t="shared" si="2"/>
        <v>6.1000000000000005</v>
      </c>
      <c r="K24" s="234">
        <f t="shared" si="3"/>
        <v>6.1000000000000005</v>
      </c>
      <c r="L24" s="233">
        <f t="shared" si="4"/>
        <v>0</v>
      </c>
    </row>
    <row r="25" spans="1:12" ht="14.4" customHeight="1" x14ac:dyDescent="0.35">
      <c r="A25" s="232">
        <v>6</v>
      </c>
      <c r="B25" s="236"/>
      <c r="C25" s="227"/>
      <c r="D25" s="259">
        <v>20</v>
      </c>
      <c r="E25" s="234">
        <f>Sales_Input!$H$31+ROUND(Sales_Input!$C$31*2,2)+ROUND(Sales_Input!$D$31*('LG3'!D25-2),2)</f>
        <v>7.5</v>
      </c>
      <c r="F25" s="234">
        <f>Sales_Input!$Y$31+ROUND(Sales_Input!$T$31*2,2)+ROUND(Sales_Input!$U$31*('LG3'!D25-2),2)</f>
        <v>7.5</v>
      </c>
      <c r="G25" s="234">
        <f t="shared" si="0"/>
        <v>0</v>
      </c>
      <c r="H25" s="233">
        <f t="shared" si="1"/>
        <v>0</v>
      </c>
      <c r="I25" s="234">
        <f>ROUND(D25*SUM(Sales_Input!$O$31:$R$31),2)</f>
        <v>0</v>
      </c>
      <c r="J25" s="234">
        <f t="shared" si="2"/>
        <v>7.5</v>
      </c>
      <c r="K25" s="234">
        <f t="shared" si="3"/>
        <v>7.5</v>
      </c>
      <c r="L25" s="233">
        <f t="shared" si="4"/>
        <v>0</v>
      </c>
    </row>
    <row r="26" spans="1:12" ht="14.4" customHeight="1" x14ac:dyDescent="0.35">
      <c r="A26" s="232">
        <v>7</v>
      </c>
      <c r="B26" s="227"/>
      <c r="C26" s="227"/>
      <c r="D26" s="259">
        <v>30</v>
      </c>
      <c r="E26" s="234">
        <f>Sales_Input!$H$31+ROUND(Sales_Input!$C$31*2,2)+ROUND(Sales_Input!$D$31*('LG3'!D26-2),2)</f>
        <v>11</v>
      </c>
      <c r="F26" s="234">
        <f>Sales_Input!$Y$31+ROUND(Sales_Input!$T$31*2,2)+ROUND(Sales_Input!$U$31*('LG3'!D26-2),2)</f>
        <v>11</v>
      </c>
      <c r="G26" s="234">
        <f t="shared" si="0"/>
        <v>0</v>
      </c>
      <c r="H26" s="233">
        <f t="shared" si="1"/>
        <v>0</v>
      </c>
      <c r="I26" s="234">
        <f>ROUND(D26*SUM(Sales_Input!$O$31:$R$31),2)</f>
        <v>0</v>
      </c>
      <c r="J26" s="234">
        <f t="shared" si="2"/>
        <v>11</v>
      </c>
      <c r="K26" s="234">
        <f t="shared" si="3"/>
        <v>11</v>
      </c>
      <c r="L26" s="233">
        <f t="shared" si="4"/>
        <v>0</v>
      </c>
    </row>
    <row r="27" spans="1:12" ht="14.4" customHeight="1" x14ac:dyDescent="0.35">
      <c r="A27" s="232">
        <v>8</v>
      </c>
      <c r="B27" s="227"/>
      <c r="C27" s="227"/>
      <c r="D27" s="259">
        <f>+E33</f>
        <v>31.4</v>
      </c>
      <c r="E27" s="234">
        <f>Sales_Input!$H$31+ROUND(Sales_Input!$C$31*2,2)+ROUND(Sales_Input!$D$31*('LG3'!D27-2),2)</f>
        <v>11.489999999999998</v>
      </c>
      <c r="F27" s="234">
        <f>Sales_Input!$Y$31+ROUND(Sales_Input!$T$31*2,2)+ROUND(Sales_Input!$U$31*('LG3'!D27-2),2)</f>
        <v>11.489999999999998</v>
      </c>
      <c r="G27" s="234">
        <f t="shared" si="0"/>
        <v>0</v>
      </c>
      <c r="H27" s="233">
        <f t="shared" si="1"/>
        <v>0</v>
      </c>
      <c r="I27" s="234">
        <f>ROUND(D27*SUM(Sales_Input!$O$31:$R$31),2)</f>
        <v>0</v>
      </c>
      <c r="J27" s="234">
        <f t="shared" si="2"/>
        <v>11.489999999999998</v>
      </c>
      <c r="K27" s="234">
        <f t="shared" si="3"/>
        <v>11.489999999999998</v>
      </c>
      <c r="L27" s="233">
        <f t="shared" si="4"/>
        <v>0</v>
      </c>
    </row>
    <row r="28" spans="1:12" ht="14.4" customHeight="1" x14ac:dyDescent="0.35">
      <c r="A28" s="232">
        <v>9</v>
      </c>
      <c r="B28" s="227"/>
      <c r="C28" s="227"/>
      <c r="D28" s="259">
        <v>35</v>
      </c>
      <c r="E28" s="234">
        <f>Sales_Input!$H$31+ROUND(Sales_Input!$C$31*2,2)+ROUND(Sales_Input!$D$31*('LG3'!D28-2),2)</f>
        <v>12.75</v>
      </c>
      <c r="F28" s="234">
        <f>Sales_Input!$Y$31+ROUND(Sales_Input!$T$31*2,2)+ROUND(Sales_Input!$U$31*('LG3'!D28-2),2)</f>
        <v>12.75</v>
      </c>
      <c r="G28" s="234">
        <f t="shared" si="0"/>
        <v>0</v>
      </c>
      <c r="H28" s="233">
        <f t="shared" si="1"/>
        <v>0</v>
      </c>
      <c r="I28" s="234">
        <f>ROUND(D28*SUM(Sales_Input!$O$31:$R$31),2)</f>
        <v>0</v>
      </c>
      <c r="J28" s="234">
        <f t="shared" si="2"/>
        <v>12.75</v>
      </c>
      <c r="K28" s="234">
        <f t="shared" si="3"/>
        <v>12.75</v>
      </c>
      <c r="L28" s="233">
        <f t="shared" si="4"/>
        <v>0</v>
      </c>
    </row>
    <row r="29" spans="1:12" ht="14.4" customHeight="1" x14ac:dyDescent="0.35">
      <c r="A29" s="232">
        <v>10</v>
      </c>
      <c r="B29" s="227"/>
      <c r="C29" s="227"/>
      <c r="D29" s="259">
        <v>50</v>
      </c>
      <c r="E29" s="234">
        <f>Sales_Input!$H$31+ROUND(Sales_Input!$C$31*2,2)+ROUND(Sales_Input!$D$31*('LG3'!D29-2),2)</f>
        <v>18</v>
      </c>
      <c r="F29" s="234">
        <f>Sales_Input!$Y$31+ROUND(Sales_Input!$T$31*2,2)+ROUND(Sales_Input!$U$31*('LG3'!D29-2),2)</f>
        <v>18</v>
      </c>
      <c r="G29" s="234">
        <f t="shared" si="0"/>
        <v>0</v>
      </c>
      <c r="H29" s="233">
        <f t="shared" si="1"/>
        <v>0</v>
      </c>
      <c r="I29" s="234">
        <f>ROUND(D29*SUM(Sales_Input!$O$31:$R$31),2)</f>
        <v>0</v>
      </c>
      <c r="J29" s="234">
        <f t="shared" si="2"/>
        <v>18</v>
      </c>
      <c r="K29" s="234">
        <f t="shared" si="3"/>
        <v>18</v>
      </c>
      <c r="L29" s="233">
        <f t="shared" si="4"/>
        <v>0</v>
      </c>
    </row>
    <row r="30" spans="1:12" ht="14.4" customHeight="1" x14ac:dyDescent="0.35">
      <c r="A30" s="232">
        <v>11</v>
      </c>
      <c r="B30" s="227"/>
      <c r="C30" s="227"/>
      <c r="D30" s="259">
        <v>60</v>
      </c>
      <c r="E30" s="234">
        <f>Sales_Input!$H$31+ROUND(Sales_Input!$C$31*2,2)+ROUND(Sales_Input!$D$31*('LG3'!D30-2),2)</f>
        <v>21.5</v>
      </c>
      <c r="F30" s="234">
        <f>Sales_Input!$Y$31+ROUND(Sales_Input!$T$31*2,2)+ROUND(Sales_Input!$U$31*('LG3'!D30-2),2)</f>
        <v>21.5</v>
      </c>
      <c r="G30" s="234">
        <f t="shared" si="0"/>
        <v>0</v>
      </c>
      <c r="H30" s="233">
        <f t="shared" si="1"/>
        <v>0</v>
      </c>
      <c r="I30" s="234">
        <f>ROUND(D30*SUM(Sales_Input!$O$31:$R$31),2)</f>
        <v>0</v>
      </c>
      <c r="J30" s="234">
        <f t="shared" si="2"/>
        <v>21.5</v>
      </c>
      <c r="K30" s="234">
        <f t="shared" si="3"/>
        <v>21.5</v>
      </c>
      <c r="L30" s="233">
        <f t="shared" si="4"/>
        <v>0</v>
      </c>
    </row>
    <row r="31" spans="1:12" ht="14.4" customHeight="1" x14ac:dyDescent="0.35">
      <c r="A31" s="232">
        <v>12</v>
      </c>
      <c r="B31" s="227"/>
      <c r="C31" s="227"/>
      <c r="D31" s="259">
        <v>70</v>
      </c>
      <c r="E31" s="234">
        <f>Sales_Input!$H$31+ROUND(Sales_Input!$C$31*2,2)+ROUND(Sales_Input!$D$31*('LG3'!D31-2),2)</f>
        <v>25</v>
      </c>
      <c r="F31" s="234">
        <f>Sales_Input!$Y$31+ROUND(Sales_Input!$T$31*2,2)+ROUND(Sales_Input!$U$31*('LG3'!D31-2),2)</f>
        <v>25</v>
      </c>
      <c r="G31" s="234">
        <f t="shared" si="0"/>
        <v>0</v>
      </c>
      <c r="H31" s="233">
        <f t="shared" si="1"/>
        <v>0</v>
      </c>
      <c r="I31" s="234">
        <f>ROUND(D31*SUM(Sales_Input!$O$31:$R$31),2)</f>
        <v>0</v>
      </c>
      <c r="J31" s="234">
        <f t="shared" si="2"/>
        <v>25</v>
      </c>
      <c r="K31" s="234">
        <f t="shared" si="3"/>
        <v>25</v>
      </c>
      <c r="L31" s="233">
        <f t="shared" si="4"/>
        <v>0</v>
      </c>
    </row>
    <row r="32" spans="1:12" ht="14.4" customHeight="1" x14ac:dyDescent="0.35">
      <c r="A32" s="232"/>
      <c r="B32" s="227"/>
      <c r="C32" s="227"/>
      <c r="D32" s="232"/>
      <c r="E32" s="232"/>
      <c r="F32" s="232"/>
      <c r="G32" s="232"/>
      <c r="H32" s="232"/>
      <c r="I32" s="232"/>
      <c r="J32" s="232"/>
      <c r="K32" s="232"/>
      <c r="L32" s="232"/>
    </row>
    <row r="33" spans="1:12" ht="14.4" customHeight="1" x14ac:dyDescent="0.35">
      <c r="A33" s="230"/>
      <c r="B33" s="227"/>
      <c r="C33" s="227" t="s">
        <v>142</v>
      </c>
      <c r="D33" s="227"/>
      <c r="E33" s="229">
        <f>Sales_Input!AF31</f>
        <v>31.4</v>
      </c>
      <c r="F33" s="227"/>
      <c r="G33" s="227"/>
      <c r="H33" s="227"/>
      <c r="I33" s="227"/>
      <c r="J33" s="227"/>
      <c r="K33" s="227"/>
      <c r="L33" s="227"/>
    </row>
    <row r="34" spans="1:12" ht="14.4" customHeight="1" x14ac:dyDescent="0.35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</row>
    <row r="35" spans="1:12" ht="14.5" x14ac:dyDescent="0.35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</row>
    <row r="36" spans="1:12" ht="14.5" x14ac:dyDescent="0.35">
      <c r="A36" s="227"/>
      <c r="B36" s="227"/>
      <c r="C36" s="227"/>
      <c r="D36" s="228"/>
      <c r="E36" s="227"/>
      <c r="F36" s="227"/>
      <c r="G36" s="227"/>
      <c r="H36" s="227"/>
      <c r="I36" s="227"/>
      <c r="J36" s="227"/>
      <c r="K36" s="227"/>
      <c r="L36" s="227"/>
    </row>
    <row r="37" spans="1:12" ht="14.5" x14ac:dyDescent="0.35">
      <c r="A37" s="227"/>
      <c r="B37" s="227" t="s">
        <v>301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5" right="0.5" top="0.75" bottom="0.75" header="0.5" footer="0.5"/>
  <pageSetup scale="94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5F03-9D27-494F-88FB-B59EE779D114}">
  <sheetPr codeName="Sheet31">
    <tabColor theme="4" tint="0.79998168889431442"/>
    <pageSetUpPr fitToPage="1"/>
  </sheetPr>
  <dimension ref="A1:L37"/>
  <sheetViews>
    <sheetView workbookViewId="0">
      <selection sqref="A1:L1"/>
    </sheetView>
  </sheetViews>
  <sheetFormatPr defaultColWidth="10.1796875" defaultRowHeight="14.4" customHeight="1" x14ac:dyDescent="0.35"/>
  <cols>
    <col min="2" max="2" width="11.453125" customWidth="1"/>
    <col min="3" max="3" width="10.54296875" customWidth="1"/>
    <col min="11" max="12" width="11.453125" customWidth="1"/>
  </cols>
  <sheetData>
    <row r="1" spans="1:12" ht="14.4" customHeight="1" x14ac:dyDescent="0.35">
      <c r="A1" s="305" t="s">
        <v>56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ht="14.4" customHeight="1" x14ac:dyDescent="0.35">
      <c r="A2" s="305" t="str">
        <f>Sales_Input!$B$13</f>
        <v>CASE NO. 2024-00092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14.4" customHeight="1" x14ac:dyDescent="0.35">
      <c r="A3" s="305" t="s">
        <v>288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ht="14.4" customHeight="1" x14ac:dyDescent="0.35">
      <c r="A4" s="305" t="s">
        <v>191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5" spans="1:12" ht="14.4" customHeight="1" x14ac:dyDescent="0.35">
      <c r="A5" s="305" t="str">
        <f>Sales_Input!B17</f>
        <v>TWELVE MONTHS ENDING DECEMBER 31, 2025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</row>
    <row r="6" spans="1:12" ht="14.4" customHeight="1" x14ac:dyDescent="0.35">
      <c r="A6" s="232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</row>
    <row r="7" spans="1:12" ht="14.4" customHeight="1" x14ac:dyDescent="0.35">
      <c r="A7" s="232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ht="14.4" customHeight="1" x14ac:dyDescent="0.35">
      <c r="A8" s="227" t="s">
        <v>306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31" t="s">
        <v>189</v>
      </c>
    </row>
    <row r="9" spans="1:12" ht="14.4" customHeight="1" x14ac:dyDescent="0.35">
      <c r="A9" s="227" t="s">
        <v>322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43" t="s">
        <v>305</v>
      </c>
    </row>
    <row r="10" spans="1:12" ht="14.4" customHeight="1" x14ac:dyDescent="0.35">
      <c r="A10" s="242" t="s">
        <v>187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1" t="str">
        <f>Sales_Input!B15</f>
        <v>STIPULATION ATTACHMENT C</v>
      </c>
    </row>
    <row r="11" spans="1:12" ht="14.4" customHeight="1" x14ac:dyDescent="0.3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2" ht="14.4" customHeight="1" x14ac:dyDescent="0.3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</row>
    <row r="13" spans="1:12" ht="14.4" customHeight="1" x14ac:dyDescent="0.35">
      <c r="A13" s="227"/>
      <c r="B13" s="227"/>
      <c r="C13" s="227"/>
      <c r="D13" s="232"/>
      <c r="E13" s="232"/>
      <c r="F13" s="232"/>
      <c r="G13" s="232"/>
      <c r="H13" s="232"/>
      <c r="I13" s="232"/>
      <c r="J13" s="232" t="s">
        <v>17</v>
      </c>
      <c r="K13" s="232" t="s">
        <v>17</v>
      </c>
      <c r="L13" s="232"/>
    </row>
    <row r="14" spans="1:12" ht="14.4" customHeight="1" x14ac:dyDescent="0.35">
      <c r="A14" s="232" t="s">
        <v>18</v>
      </c>
      <c r="B14" s="232" t="s">
        <v>71</v>
      </c>
      <c r="C14" s="232" t="s">
        <v>182</v>
      </c>
      <c r="D14" s="232" t="s">
        <v>182</v>
      </c>
      <c r="E14" s="232" t="s">
        <v>53</v>
      </c>
      <c r="F14" s="232" t="s">
        <v>19</v>
      </c>
      <c r="G14" s="232" t="s">
        <v>52</v>
      </c>
      <c r="H14" s="232" t="s">
        <v>52</v>
      </c>
      <c r="I14" s="232" t="s">
        <v>179</v>
      </c>
      <c r="J14" s="232" t="s">
        <v>53</v>
      </c>
      <c r="K14" s="232" t="s">
        <v>19</v>
      </c>
      <c r="L14" s="232" t="s">
        <v>21</v>
      </c>
    </row>
    <row r="15" spans="1:12" ht="14.4" customHeight="1" x14ac:dyDescent="0.35">
      <c r="A15" s="239" t="s">
        <v>177</v>
      </c>
      <c r="B15" s="239" t="s">
        <v>176</v>
      </c>
      <c r="C15" s="239" t="s">
        <v>175</v>
      </c>
      <c r="D15" s="239" t="s">
        <v>285</v>
      </c>
      <c r="E15" s="239" t="s">
        <v>109</v>
      </c>
      <c r="F15" s="239" t="s">
        <v>109</v>
      </c>
      <c r="G15" s="240" t="s">
        <v>167</v>
      </c>
      <c r="H15" s="240" t="s">
        <v>166</v>
      </c>
      <c r="I15" s="239" t="s">
        <v>284</v>
      </c>
      <c r="J15" s="239" t="s">
        <v>109</v>
      </c>
      <c r="K15" s="239" t="s">
        <v>109</v>
      </c>
      <c r="L15" s="239" t="s">
        <v>52</v>
      </c>
    </row>
    <row r="16" spans="1:12" ht="14.4" customHeight="1" x14ac:dyDescent="0.35">
      <c r="A16" s="227"/>
      <c r="B16" s="227"/>
      <c r="C16" s="227"/>
      <c r="D16" s="238" t="s">
        <v>164</v>
      </c>
      <c r="E16" s="238" t="s">
        <v>163</v>
      </c>
      <c r="F16" s="238" t="s">
        <v>163</v>
      </c>
      <c r="G16" s="238" t="s">
        <v>163</v>
      </c>
      <c r="H16" s="238" t="s">
        <v>162</v>
      </c>
      <c r="I16" s="238" t="s">
        <v>163</v>
      </c>
      <c r="J16" s="238" t="s">
        <v>163</v>
      </c>
      <c r="K16" s="238" t="s">
        <v>163</v>
      </c>
      <c r="L16" s="238" t="s">
        <v>162</v>
      </c>
    </row>
    <row r="17" spans="1:12" ht="14.4" customHeight="1" x14ac:dyDescent="0.35">
      <c r="A17" s="227"/>
      <c r="B17" s="227"/>
      <c r="C17" s="238" t="s">
        <v>161</v>
      </c>
      <c r="D17" s="238" t="s">
        <v>160</v>
      </c>
      <c r="E17" s="238" t="s">
        <v>155</v>
      </c>
      <c r="F17" s="238" t="s">
        <v>154</v>
      </c>
      <c r="G17" s="238" t="s">
        <v>153</v>
      </c>
      <c r="H17" s="238" t="s">
        <v>152</v>
      </c>
      <c r="I17" s="238" t="s">
        <v>151</v>
      </c>
      <c r="J17" s="238" t="s">
        <v>150</v>
      </c>
      <c r="K17" s="238" t="s">
        <v>149</v>
      </c>
      <c r="L17" s="238" t="s">
        <v>148</v>
      </c>
    </row>
    <row r="18" spans="1:12" ht="14.4" customHeight="1" x14ac:dyDescent="0.35">
      <c r="A18" s="227"/>
      <c r="B18" s="227"/>
      <c r="C18" s="227"/>
      <c r="D18" s="251"/>
      <c r="E18" s="232"/>
      <c r="F18" s="232"/>
      <c r="G18" s="232"/>
      <c r="H18" s="232"/>
      <c r="I18" s="232"/>
      <c r="J18" s="238" t="s">
        <v>283</v>
      </c>
      <c r="K18" s="238" t="s">
        <v>282</v>
      </c>
      <c r="L18" s="238" t="s">
        <v>281</v>
      </c>
    </row>
    <row r="19" spans="1:12" ht="14.4" customHeight="1" x14ac:dyDescent="0.35">
      <c r="A19" s="232"/>
      <c r="B19" s="227"/>
      <c r="C19" s="227"/>
      <c r="D19" s="251"/>
      <c r="E19" s="232"/>
      <c r="F19" s="232"/>
      <c r="G19" s="232"/>
      <c r="H19" s="232"/>
      <c r="I19" s="232"/>
      <c r="J19" s="232"/>
      <c r="K19" s="232"/>
      <c r="L19" s="232"/>
    </row>
    <row r="20" spans="1:12" ht="14.4" customHeight="1" x14ac:dyDescent="0.35">
      <c r="A20" s="232">
        <v>1</v>
      </c>
      <c r="B20" s="232" t="s">
        <v>231</v>
      </c>
      <c r="C20" s="232" t="s">
        <v>147</v>
      </c>
      <c r="D20" s="259">
        <f>+E33</f>
        <v>0</v>
      </c>
      <c r="E20" s="234">
        <f>Sales_Input!$H$32+ROUND(Sales_Input!$C$32*'LG4'!D20,2)</f>
        <v>0</v>
      </c>
      <c r="F20" s="234">
        <f>Sales_Input!$Y$32+ROUND(Sales_Input!$T$32*'LG4'!D20,2)</f>
        <v>0</v>
      </c>
      <c r="G20" s="234">
        <f t="shared" ref="G20:G31" si="0">F20-E20</f>
        <v>0</v>
      </c>
      <c r="H20" s="233">
        <f>IF(E20=0,0,ROUND(G20/E20,3))</f>
        <v>0</v>
      </c>
      <c r="I20" s="234">
        <f>ROUND(D20*SUM(Sales_Input!$O$32:$R$32)*'LG4'!D20,2)</f>
        <v>0</v>
      </c>
      <c r="J20" s="234">
        <f t="shared" ref="J20:J31" si="1">E20+I20</f>
        <v>0</v>
      </c>
      <c r="K20" s="234">
        <f t="shared" ref="K20:K31" si="2">F20+I20</f>
        <v>0</v>
      </c>
      <c r="L20" s="233">
        <f>IF(J20=0,0,ROUND((K20-J20)/J20,2))</f>
        <v>0</v>
      </c>
    </row>
    <row r="21" spans="1:12" ht="14.4" customHeight="1" x14ac:dyDescent="0.35">
      <c r="A21" s="232">
        <v>2</v>
      </c>
      <c r="B21" s="232" t="s">
        <v>291</v>
      </c>
      <c r="C21" s="232" t="s">
        <v>145</v>
      </c>
      <c r="D21" s="259">
        <v>1</v>
      </c>
      <c r="E21" s="234">
        <f>Sales_Input!$H$32+ROUND(Sales_Input!$C$32*'LG4'!D21,2)</f>
        <v>0.4</v>
      </c>
      <c r="F21" s="234">
        <f>Sales_Input!$Y$32+ROUND(Sales_Input!$T$32*'LG4'!D21,2)</f>
        <v>0.4</v>
      </c>
      <c r="G21" s="234">
        <f t="shared" si="0"/>
        <v>0</v>
      </c>
      <c r="H21" s="233">
        <f t="shared" ref="H21:H31" si="3">ROUND(G21/E21,3)</f>
        <v>0</v>
      </c>
      <c r="I21" s="234">
        <f>ROUND(D21*SUM(Sales_Input!$O$32:$R$32)*'LG4'!D21,2)</f>
        <v>0</v>
      </c>
      <c r="J21" s="234">
        <f t="shared" si="1"/>
        <v>0.4</v>
      </c>
      <c r="K21" s="234">
        <f t="shared" si="2"/>
        <v>0.4</v>
      </c>
      <c r="L21" s="233">
        <f t="shared" ref="L21:L31" si="4">ROUND((K21-J21)/J21,2)</f>
        <v>0</v>
      </c>
    </row>
    <row r="22" spans="1:12" ht="14.4" customHeight="1" x14ac:dyDescent="0.35">
      <c r="A22" s="232">
        <v>3</v>
      </c>
      <c r="B22" s="232" t="s">
        <v>143</v>
      </c>
      <c r="C22" s="227"/>
      <c r="D22" s="259">
        <v>3</v>
      </c>
      <c r="E22" s="234">
        <f>Sales_Input!$H$32+ROUND(Sales_Input!$C$32*'LG4'!D22,2)</f>
        <v>1.2</v>
      </c>
      <c r="F22" s="234">
        <f>Sales_Input!$Y$32+ROUND(Sales_Input!$T$32*'LG4'!D22,2)</f>
        <v>1.2</v>
      </c>
      <c r="G22" s="234">
        <f t="shared" si="0"/>
        <v>0</v>
      </c>
      <c r="H22" s="233">
        <f t="shared" si="3"/>
        <v>0</v>
      </c>
      <c r="I22" s="234">
        <f>ROUND(D22*SUM(Sales_Input!$O$32:$R$32)*'LG4'!D22,2)</f>
        <v>0</v>
      </c>
      <c r="J22" s="234">
        <f t="shared" si="1"/>
        <v>1.2</v>
      </c>
      <c r="K22" s="234">
        <f t="shared" si="2"/>
        <v>1.2</v>
      </c>
      <c r="L22" s="233">
        <f t="shared" si="4"/>
        <v>0</v>
      </c>
    </row>
    <row r="23" spans="1:12" ht="14.4" customHeight="1" x14ac:dyDescent="0.35">
      <c r="A23" s="232">
        <v>4</v>
      </c>
      <c r="B23" s="232"/>
      <c r="C23" s="227"/>
      <c r="D23" s="259">
        <v>6</v>
      </c>
      <c r="E23" s="234">
        <f>Sales_Input!$H$32+ROUND(Sales_Input!$C$32*'LG4'!D23,2)</f>
        <v>2.4</v>
      </c>
      <c r="F23" s="234">
        <f>Sales_Input!$Y$32+ROUND(Sales_Input!$T$32*'LG4'!D23,2)</f>
        <v>2.4</v>
      </c>
      <c r="G23" s="234">
        <f t="shared" si="0"/>
        <v>0</v>
      </c>
      <c r="H23" s="233">
        <f t="shared" si="3"/>
        <v>0</v>
      </c>
      <c r="I23" s="234">
        <f>ROUND(D23*SUM(Sales_Input!$O$32:$R$32)*'LG4'!D23,2)</f>
        <v>0</v>
      </c>
      <c r="J23" s="234">
        <f t="shared" si="1"/>
        <v>2.4</v>
      </c>
      <c r="K23" s="234">
        <f t="shared" si="2"/>
        <v>2.4</v>
      </c>
      <c r="L23" s="233">
        <f t="shared" si="4"/>
        <v>0</v>
      </c>
    </row>
    <row r="24" spans="1:12" ht="14.4" customHeight="1" x14ac:dyDescent="0.35">
      <c r="A24" s="232">
        <v>5</v>
      </c>
      <c r="B24" s="232"/>
      <c r="C24" s="227"/>
      <c r="D24" s="259">
        <v>8</v>
      </c>
      <c r="E24" s="234">
        <f>Sales_Input!$H$32+ROUND(Sales_Input!$C$32*'LG4'!D24,2)</f>
        <v>3.2</v>
      </c>
      <c r="F24" s="234">
        <f>Sales_Input!$Y$32+ROUND(Sales_Input!$T$32*'LG4'!D24,2)</f>
        <v>3.2</v>
      </c>
      <c r="G24" s="234">
        <f t="shared" si="0"/>
        <v>0</v>
      </c>
      <c r="H24" s="233">
        <f t="shared" si="3"/>
        <v>0</v>
      </c>
      <c r="I24" s="234">
        <f>ROUND(D24*SUM(Sales_Input!$O$32:$R$32)*'LG4'!D24,2)</f>
        <v>0</v>
      </c>
      <c r="J24" s="234">
        <f t="shared" si="1"/>
        <v>3.2</v>
      </c>
      <c r="K24" s="234">
        <f t="shared" si="2"/>
        <v>3.2</v>
      </c>
      <c r="L24" s="233">
        <f t="shared" si="4"/>
        <v>0</v>
      </c>
    </row>
    <row r="25" spans="1:12" ht="14.4" customHeight="1" x14ac:dyDescent="0.35">
      <c r="A25" s="232">
        <v>6</v>
      </c>
      <c r="B25" s="236"/>
      <c r="C25" s="227"/>
      <c r="D25" s="259">
        <v>10</v>
      </c>
      <c r="E25" s="234">
        <f>Sales_Input!$H$32+ROUND(Sales_Input!$C$32*'LG4'!D25,2)</f>
        <v>4</v>
      </c>
      <c r="F25" s="234">
        <f>Sales_Input!$Y$32+ROUND(Sales_Input!$T$32*'LG4'!D25,2)</f>
        <v>4</v>
      </c>
      <c r="G25" s="234">
        <f t="shared" si="0"/>
        <v>0</v>
      </c>
      <c r="H25" s="233">
        <f t="shared" si="3"/>
        <v>0</v>
      </c>
      <c r="I25" s="234">
        <f>ROUND(D25*SUM(Sales_Input!$O$32:$R$32)*'LG4'!D25,2)</f>
        <v>0</v>
      </c>
      <c r="J25" s="234">
        <f t="shared" si="1"/>
        <v>4</v>
      </c>
      <c r="K25" s="234">
        <f t="shared" si="2"/>
        <v>4</v>
      </c>
      <c r="L25" s="233">
        <f t="shared" si="4"/>
        <v>0</v>
      </c>
    </row>
    <row r="26" spans="1:12" ht="14.4" customHeight="1" x14ac:dyDescent="0.35">
      <c r="A26" s="232">
        <v>7</v>
      </c>
      <c r="B26" s="227"/>
      <c r="C26" s="227"/>
      <c r="D26" s="259">
        <v>12</v>
      </c>
      <c r="E26" s="234">
        <f>Sales_Input!$H$32+ROUND(Sales_Input!$C$32*'LG4'!D26,2)</f>
        <v>4.8</v>
      </c>
      <c r="F26" s="234">
        <f>Sales_Input!$Y$32+ROUND(Sales_Input!$T$32*'LG4'!D26,2)</f>
        <v>4.8</v>
      </c>
      <c r="G26" s="234">
        <f t="shared" si="0"/>
        <v>0</v>
      </c>
      <c r="H26" s="233">
        <f t="shared" si="3"/>
        <v>0</v>
      </c>
      <c r="I26" s="234">
        <f>ROUND(D26*SUM(Sales_Input!$O$32:$R$32)*'LG4'!D26,2)</f>
        <v>0</v>
      </c>
      <c r="J26" s="234">
        <f t="shared" si="1"/>
        <v>4.8</v>
      </c>
      <c r="K26" s="234">
        <f t="shared" si="2"/>
        <v>4.8</v>
      </c>
      <c r="L26" s="233">
        <f t="shared" si="4"/>
        <v>0</v>
      </c>
    </row>
    <row r="27" spans="1:12" ht="14.4" customHeight="1" x14ac:dyDescent="0.35">
      <c r="A27" s="232">
        <v>8</v>
      </c>
      <c r="B27" s="227"/>
      <c r="C27" s="227"/>
      <c r="D27" s="259">
        <v>16</v>
      </c>
      <c r="E27" s="234">
        <f>Sales_Input!$H$32+ROUND(Sales_Input!$C$32*'LG4'!D27,2)</f>
        <v>6.4</v>
      </c>
      <c r="F27" s="234">
        <f>Sales_Input!$Y$32+ROUND(Sales_Input!$T$32*'LG4'!D27,2)</f>
        <v>6.4</v>
      </c>
      <c r="G27" s="234">
        <f t="shared" si="0"/>
        <v>0</v>
      </c>
      <c r="H27" s="233">
        <f t="shared" si="3"/>
        <v>0</v>
      </c>
      <c r="I27" s="234">
        <f>ROUND(D27*SUM(Sales_Input!$O$32:$R$32)*'LG4'!D27,2)</f>
        <v>0</v>
      </c>
      <c r="J27" s="234">
        <f t="shared" si="1"/>
        <v>6.4</v>
      </c>
      <c r="K27" s="234">
        <f t="shared" si="2"/>
        <v>6.4</v>
      </c>
      <c r="L27" s="233">
        <f t="shared" si="4"/>
        <v>0</v>
      </c>
    </row>
    <row r="28" spans="1:12" ht="14.4" customHeight="1" x14ac:dyDescent="0.35">
      <c r="A28" s="232">
        <v>9</v>
      </c>
      <c r="B28" s="227"/>
      <c r="C28" s="227"/>
      <c r="D28" s="259">
        <v>20</v>
      </c>
      <c r="E28" s="234">
        <f>Sales_Input!$H$32+ROUND(Sales_Input!$C$32*'LG4'!D28,2)</f>
        <v>8</v>
      </c>
      <c r="F28" s="234">
        <f>Sales_Input!$Y$32+ROUND(Sales_Input!$T$32*'LG4'!D28,2)</f>
        <v>8</v>
      </c>
      <c r="G28" s="234">
        <f t="shared" si="0"/>
        <v>0</v>
      </c>
      <c r="H28" s="233">
        <f t="shared" si="3"/>
        <v>0</v>
      </c>
      <c r="I28" s="234">
        <f>ROUND(D28*SUM(Sales_Input!$O$32:$R$32)*'LG4'!D28,2)</f>
        <v>0</v>
      </c>
      <c r="J28" s="234">
        <f t="shared" si="1"/>
        <v>8</v>
      </c>
      <c r="K28" s="234">
        <f t="shared" si="2"/>
        <v>8</v>
      </c>
      <c r="L28" s="233">
        <f t="shared" si="4"/>
        <v>0</v>
      </c>
    </row>
    <row r="29" spans="1:12" ht="14.4" customHeight="1" x14ac:dyDescent="0.35">
      <c r="A29" s="232">
        <v>10</v>
      </c>
      <c r="B29" s="227"/>
      <c r="C29" s="227"/>
      <c r="D29" s="259">
        <v>30</v>
      </c>
      <c r="E29" s="234">
        <f>Sales_Input!$H$32+ROUND(Sales_Input!$C$32*'LG4'!D29,2)</f>
        <v>12</v>
      </c>
      <c r="F29" s="234">
        <f>Sales_Input!$Y$32+ROUND(Sales_Input!$T$32*'LG4'!D29,2)</f>
        <v>12</v>
      </c>
      <c r="G29" s="234">
        <f t="shared" si="0"/>
        <v>0</v>
      </c>
      <c r="H29" s="233">
        <f t="shared" si="3"/>
        <v>0</v>
      </c>
      <c r="I29" s="234">
        <f>ROUND(D29*SUM(Sales_Input!$O$32:$R$32)*'LG4'!D29,2)</f>
        <v>0</v>
      </c>
      <c r="J29" s="234">
        <f t="shared" si="1"/>
        <v>12</v>
      </c>
      <c r="K29" s="234">
        <f t="shared" si="2"/>
        <v>12</v>
      </c>
      <c r="L29" s="233">
        <f t="shared" si="4"/>
        <v>0</v>
      </c>
    </row>
    <row r="30" spans="1:12" ht="14.4" customHeight="1" x14ac:dyDescent="0.35">
      <c r="A30" s="232">
        <v>11</v>
      </c>
      <c r="B30" s="227"/>
      <c r="C30" s="227"/>
      <c r="D30" s="259">
        <v>40</v>
      </c>
      <c r="E30" s="234">
        <f>Sales_Input!$H$32+ROUND(Sales_Input!$C$32*'LG4'!D30,2)</f>
        <v>16</v>
      </c>
      <c r="F30" s="234">
        <f>Sales_Input!$Y$32+ROUND(Sales_Input!$T$32*'LG4'!D30,2)</f>
        <v>16</v>
      </c>
      <c r="G30" s="234">
        <f t="shared" si="0"/>
        <v>0</v>
      </c>
      <c r="H30" s="233">
        <f t="shared" si="3"/>
        <v>0</v>
      </c>
      <c r="I30" s="234">
        <f>ROUND(D30*SUM(Sales_Input!$O$32:$R$32)*'LG4'!D30,2)</f>
        <v>0</v>
      </c>
      <c r="J30" s="234">
        <f t="shared" si="1"/>
        <v>16</v>
      </c>
      <c r="K30" s="234">
        <f t="shared" si="2"/>
        <v>16</v>
      </c>
      <c r="L30" s="233">
        <f t="shared" si="4"/>
        <v>0</v>
      </c>
    </row>
    <row r="31" spans="1:12" ht="14.4" customHeight="1" x14ac:dyDescent="0.35">
      <c r="A31" s="232">
        <v>12</v>
      </c>
      <c r="B31" s="227"/>
      <c r="C31" s="227"/>
      <c r="D31" s="259">
        <v>50</v>
      </c>
      <c r="E31" s="234">
        <f>Sales_Input!$H$32+ROUND(Sales_Input!$C$32*'LG4'!D31,2)</f>
        <v>20</v>
      </c>
      <c r="F31" s="234">
        <f>Sales_Input!$Y$32+ROUND(Sales_Input!$T$32*'LG4'!D31,2)</f>
        <v>20</v>
      </c>
      <c r="G31" s="234">
        <f t="shared" si="0"/>
        <v>0</v>
      </c>
      <c r="H31" s="233">
        <f t="shared" si="3"/>
        <v>0</v>
      </c>
      <c r="I31" s="234">
        <f>ROUND(D31*SUM(Sales_Input!$O$32:$R$32)*'LG4'!D31,2)</f>
        <v>0</v>
      </c>
      <c r="J31" s="234">
        <f t="shared" si="1"/>
        <v>20</v>
      </c>
      <c r="K31" s="234">
        <f t="shared" si="2"/>
        <v>20</v>
      </c>
      <c r="L31" s="233">
        <f t="shared" si="4"/>
        <v>0</v>
      </c>
    </row>
    <row r="32" spans="1:12" ht="14.4" customHeight="1" x14ac:dyDescent="0.35">
      <c r="A32" s="232"/>
      <c r="B32" s="227"/>
      <c r="C32" s="227"/>
      <c r="D32" s="251"/>
      <c r="E32" s="232"/>
      <c r="F32" s="232"/>
      <c r="G32" s="232"/>
      <c r="H32" s="232"/>
      <c r="I32" s="232"/>
      <c r="J32" s="232"/>
      <c r="K32" s="232"/>
      <c r="L32" s="232"/>
    </row>
    <row r="33" spans="1:12" ht="14.4" customHeight="1" x14ac:dyDescent="0.35">
      <c r="A33" s="230"/>
      <c r="B33" s="227"/>
      <c r="C33" s="227" t="s">
        <v>142</v>
      </c>
      <c r="D33" s="227"/>
      <c r="E33" s="229">
        <f>Sales_Input!AF32</f>
        <v>0</v>
      </c>
      <c r="F33" s="227"/>
      <c r="G33" s="227"/>
      <c r="H33" s="227"/>
      <c r="I33" s="227"/>
      <c r="J33" s="227"/>
      <c r="K33" s="227"/>
      <c r="L33" s="227"/>
    </row>
    <row r="34" spans="1:12" ht="14.4" customHeight="1" x14ac:dyDescent="0.35">
      <c r="A34" s="227"/>
      <c r="B34" s="227"/>
      <c r="C34" s="245" t="s">
        <v>215</v>
      </c>
      <c r="D34" s="227"/>
      <c r="E34" s="227"/>
      <c r="F34" s="227"/>
      <c r="G34" s="227"/>
      <c r="H34" s="227"/>
      <c r="I34" s="227"/>
      <c r="J34" s="227"/>
      <c r="K34" s="227"/>
      <c r="L34" s="227"/>
    </row>
    <row r="35" spans="1:12" ht="14.5" x14ac:dyDescent="0.35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</row>
    <row r="36" spans="1:12" ht="14.5" x14ac:dyDescent="0.35">
      <c r="A36" s="227"/>
      <c r="B36" s="227"/>
      <c r="C36" s="227"/>
      <c r="D36" s="228"/>
      <c r="E36" s="227"/>
      <c r="F36" s="227"/>
      <c r="G36" s="227"/>
      <c r="H36" s="227"/>
      <c r="I36" s="227"/>
      <c r="J36" s="227"/>
      <c r="K36" s="227"/>
      <c r="L36" s="227"/>
    </row>
    <row r="37" spans="1:12" ht="14.5" x14ac:dyDescent="0.35">
      <c r="A37" s="227"/>
      <c r="B37" s="227" t="s">
        <v>301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5" right="0.5" top="0.75" bottom="0.75" header="0.5" footer="0.5"/>
  <pageSetup scale="9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2731-8E0B-4E0C-B9F2-B8B7AEB55674}">
  <sheetPr codeName="Sheet32">
    <tabColor theme="4" tint="0.79998168889431442"/>
    <pageSetUpPr fitToPage="1"/>
  </sheetPr>
  <dimension ref="A1:L37"/>
  <sheetViews>
    <sheetView workbookViewId="0">
      <selection sqref="A1:L1"/>
    </sheetView>
  </sheetViews>
  <sheetFormatPr defaultColWidth="10.1796875" defaultRowHeight="14.4" customHeight="1" x14ac:dyDescent="0.35"/>
  <cols>
    <col min="2" max="2" width="10.81640625" customWidth="1"/>
    <col min="3" max="3" width="10.54296875" customWidth="1"/>
    <col min="7" max="7" width="10.54296875" bestFit="1" customWidth="1"/>
    <col min="9" max="10" width="10.81640625" bestFit="1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44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307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226</v>
      </c>
      <c r="C20" s="251" t="s">
        <v>147</v>
      </c>
      <c r="D20" s="250">
        <f>D36</f>
        <v>0</v>
      </c>
      <c r="E20" s="235">
        <f>Sales_Input!$H$35+ROUND(Sales_Input!$C$35*IS!D20,2)+ROUND(Sales_Input!$N$35*IS!D20,2)+ROUND(Sales_Input!$J$35*IS!D20,2)+ROUND(Sales_Input!$K$35*IS!D20,2)</f>
        <v>3982.3</v>
      </c>
      <c r="F20" s="235">
        <f>Sales_Input!$Y$35+ROUND(Sales_Input!$T$35*IS!D20,2)+ROUND((Sales_Input!$N$35+Sales_Input!$Z$35)*IS!D20,2)</f>
        <v>5000</v>
      </c>
      <c r="G20" s="235">
        <f t="shared" ref="G20:G34" si="0">F20-E20</f>
        <v>1017.6999999999998</v>
      </c>
      <c r="H20" s="249">
        <f t="shared" ref="H20:H34" si="1">ROUND(G20/E20,3)</f>
        <v>0.25600000000000001</v>
      </c>
      <c r="I20" s="235">
        <f>ROUND(D20*SUM(Sales_Input!$O$36:$R$36),2)</f>
        <v>0</v>
      </c>
      <c r="J20" s="235">
        <f t="shared" ref="J20:J34" si="2">E20+I20</f>
        <v>3982.3</v>
      </c>
      <c r="K20" s="235">
        <f t="shared" ref="K20:K34" si="3">F20+I20</f>
        <v>5000</v>
      </c>
      <c r="L20" s="249">
        <f t="shared" ref="L20:L34" si="4">ROUND((K20-J20)/J20,3)</f>
        <v>0.25600000000000001</v>
      </c>
    </row>
    <row r="21" spans="1:12" ht="14.4" customHeight="1" x14ac:dyDescent="0.35">
      <c r="A21" s="251">
        <v>2</v>
      </c>
      <c r="B21" s="251" t="s">
        <v>201</v>
      </c>
      <c r="C21" s="251" t="s">
        <v>145</v>
      </c>
      <c r="D21" s="250">
        <v>100</v>
      </c>
      <c r="E21" s="235">
        <f>Sales_Input!$H$35+ROUND(Sales_Input!$C$35*IS!D21,2)+ROUND(Sales_Input!$N$35*IS!D21,2)+ROUND(Sales_Input!$J$35*IS!D21,2)+ROUND(Sales_Input!$K$35*IS!D21,2)</f>
        <v>4060.3399999999997</v>
      </c>
      <c r="F21" s="235">
        <f>Sales_Input!$Y$35+ROUND(Sales_Input!$T$35*IS!D21,2)+ROUND((Sales_Input!$N$35+Sales_Input!$Z$35)*IS!D21,2)</f>
        <v>5076.3499999999995</v>
      </c>
      <c r="G21" s="235">
        <f t="shared" si="0"/>
        <v>1016.0099999999998</v>
      </c>
      <c r="H21" s="249">
        <f t="shared" si="1"/>
        <v>0.25</v>
      </c>
      <c r="I21" s="235">
        <f>ROUND(D21*SUM(Sales_Input!$O$36:$R$36),2)</f>
        <v>295.36</v>
      </c>
      <c r="J21" s="235">
        <f t="shared" si="2"/>
        <v>4355.7</v>
      </c>
      <c r="K21" s="235">
        <f t="shared" si="3"/>
        <v>5371.7099999999991</v>
      </c>
      <c r="L21" s="249">
        <f t="shared" si="4"/>
        <v>0.23300000000000001</v>
      </c>
    </row>
    <row r="22" spans="1:12" ht="14.4" customHeight="1" x14ac:dyDescent="0.35">
      <c r="A22" s="251">
        <v>3</v>
      </c>
      <c r="B22" s="251" t="s">
        <v>200</v>
      </c>
      <c r="C22" s="245"/>
      <c r="D22" s="250">
        <v>300</v>
      </c>
      <c r="E22" s="235">
        <f>Sales_Input!$H$35+ROUND(Sales_Input!$C$35*IS!D22,2)+ROUND(Sales_Input!$N$35*IS!D22,2)+ROUND(Sales_Input!$J$35*IS!D22,2)+ROUND(Sales_Input!$K$35*IS!D22,2)</f>
        <v>4216.42</v>
      </c>
      <c r="F22" s="235">
        <f>Sales_Input!$Y$35+ROUND(Sales_Input!$T$35*IS!D22,2)+ROUND((Sales_Input!$N$35+Sales_Input!$Z$35)*IS!D22,2)</f>
        <v>5229.05</v>
      </c>
      <c r="G22" s="235">
        <f t="shared" si="0"/>
        <v>1012.6300000000001</v>
      </c>
      <c r="H22" s="249">
        <f t="shared" si="1"/>
        <v>0.24</v>
      </c>
      <c r="I22" s="235">
        <f>ROUND(D22*SUM(Sales_Input!$O$36:$R$36),2)</f>
        <v>886.08</v>
      </c>
      <c r="J22" s="235">
        <f t="shared" si="2"/>
        <v>5102.5</v>
      </c>
      <c r="K22" s="235">
        <f t="shared" si="3"/>
        <v>6115.13</v>
      </c>
      <c r="L22" s="249">
        <f t="shared" si="4"/>
        <v>0.19800000000000001</v>
      </c>
    </row>
    <row r="23" spans="1:12" ht="14.4" customHeight="1" x14ac:dyDescent="0.35">
      <c r="A23" s="251">
        <v>4</v>
      </c>
      <c r="B23" s="251" t="s">
        <v>195</v>
      </c>
      <c r="C23" s="245"/>
      <c r="D23" s="250">
        <v>500</v>
      </c>
      <c r="E23" s="235">
        <f>Sales_Input!$H$35+ROUND(Sales_Input!$C$35*IS!D23,2)+ROUND(Sales_Input!$N$35*IS!D23,2)+ROUND(Sales_Input!$J$35*IS!D23,2)+ROUND(Sales_Input!$K$35*IS!D23,2)</f>
        <v>4372.5</v>
      </c>
      <c r="F23" s="235">
        <f>Sales_Input!$Y$35+ROUND(Sales_Input!$T$35*IS!D23,2)+ROUND((Sales_Input!$N$35+Sales_Input!$Z$35)*IS!D23,2)</f>
        <v>5381.75</v>
      </c>
      <c r="G23" s="235">
        <f t="shared" si="0"/>
        <v>1009.25</v>
      </c>
      <c r="H23" s="249">
        <f t="shared" si="1"/>
        <v>0.23100000000000001</v>
      </c>
      <c r="I23" s="235">
        <f>ROUND(D23*SUM(Sales_Input!$O$36:$R$36),2)</f>
        <v>1476.8</v>
      </c>
      <c r="J23" s="235">
        <f t="shared" si="2"/>
        <v>5849.3</v>
      </c>
      <c r="K23" s="235">
        <f t="shared" si="3"/>
        <v>6858.55</v>
      </c>
      <c r="L23" s="249">
        <f t="shared" si="4"/>
        <v>0.17299999999999999</v>
      </c>
    </row>
    <row r="24" spans="1:12" ht="14.4" customHeight="1" x14ac:dyDescent="0.35">
      <c r="A24" s="251">
        <v>5</v>
      </c>
      <c r="B24" s="251"/>
      <c r="C24" s="245"/>
      <c r="D24" s="250">
        <v>700</v>
      </c>
      <c r="E24" s="235">
        <f>Sales_Input!$H$35+ROUND(Sales_Input!$C$35*IS!D24,2)+ROUND(Sales_Input!$N$35*IS!D24,2)+ROUND(Sales_Input!$J$35*IS!D24,2)+ROUND(Sales_Input!$K$35*IS!D24,2)</f>
        <v>4528.5800000000008</v>
      </c>
      <c r="F24" s="235">
        <f>Sales_Input!$Y$35+ROUND(Sales_Input!$T$35*IS!D24,2)+ROUND((Sales_Input!$N$35+Sales_Input!$Z$35)*IS!D24,2)</f>
        <v>5534.4500000000007</v>
      </c>
      <c r="G24" s="235">
        <f t="shared" si="0"/>
        <v>1005.8699999999999</v>
      </c>
      <c r="H24" s="249">
        <f t="shared" si="1"/>
        <v>0.222</v>
      </c>
      <c r="I24" s="235">
        <f>ROUND(D24*SUM(Sales_Input!$O$36:$R$36),2)</f>
        <v>2067.52</v>
      </c>
      <c r="J24" s="235">
        <f t="shared" si="2"/>
        <v>6596.1</v>
      </c>
      <c r="K24" s="235">
        <f t="shared" si="3"/>
        <v>7601.9700000000012</v>
      </c>
      <c r="L24" s="249">
        <f t="shared" si="4"/>
        <v>0.152</v>
      </c>
    </row>
    <row r="25" spans="1:12" ht="14.4" customHeight="1" x14ac:dyDescent="0.35">
      <c r="A25" s="251">
        <v>6</v>
      </c>
      <c r="B25" s="245"/>
      <c r="C25" s="245"/>
      <c r="D25" s="250">
        <v>900</v>
      </c>
      <c r="E25" s="235">
        <f>Sales_Input!$H$35+ROUND(Sales_Input!$C$35*IS!D25,2)+ROUND(Sales_Input!$N$35*IS!D25,2)+ROUND(Sales_Input!$J$35*IS!D25,2)+ROUND(Sales_Input!$K$35*IS!D25,2)</f>
        <v>4684.66</v>
      </c>
      <c r="F25" s="235">
        <f>Sales_Input!$Y$35+ROUND(Sales_Input!$T$35*IS!D25,2)+ROUND((Sales_Input!$N$35+Sales_Input!$Z$35)*IS!D25,2)</f>
        <v>5687.15</v>
      </c>
      <c r="G25" s="235">
        <f t="shared" si="0"/>
        <v>1002.4899999999998</v>
      </c>
      <c r="H25" s="249">
        <f t="shared" si="1"/>
        <v>0.214</v>
      </c>
      <c r="I25" s="235">
        <f>ROUND(D25*SUM(Sales_Input!$O$36:$R$36),2)</f>
        <v>2658.24</v>
      </c>
      <c r="J25" s="235">
        <f t="shared" si="2"/>
        <v>7342.9</v>
      </c>
      <c r="K25" s="235">
        <f t="shared" si="3"/>
        <v>8345.39</v>
      </c>
      <c r="L25" s="249">
        <f t="shared" si="4"/>
        <v>0.13700000000000001</v>
      </c>
    </row>
    <row r="26" spans="1:12" ht="14.4" customHeight="1" x14ac:dyDescent="0.35">
      <c r="A26" s="251">
        <v>7</v>
      </c>
      <c r="B26" s="252"/>
      <c r="C26" s="245"/>
      <c r="D26" s="250">
        <v>1100</v>
      </c>
      <c r="E26" s="235">
        <f>Sales_Input!$H$35+ROUND(Sales_Input!$C$35*IS!D26,2)+ROUND(Sales_Input!$N$35*IS!D26,2)+ROUND(Sales_Input!$J$35*IS!D26,2)+ROUND(Sales_Input!$K$35*IS!D26,2)</f>
        <v>4840.7400000000007</v>
      </c>
      <c r="F26" s="235">
        <f>Sales_Input!$Y$35+ROUND(Sales_Input!$T$35*IS!D26,2)+ROUND((Sales_Input!$N$35+Sales_Input!$Z$35)*IS!D26,2)</f>
        <v>5839.85</v>
      </c>
      <c r="G26" s="235">
        <f t="shared" si="0"/>
        <v>999.10999999999967</v>
      </c>
      <c r="H26" s="249">
        <f t="shared" si="1"/>
        <v>0.20599999999999999</v>
      </c>
      <c r="I26" s="235">
        <f>ROUND(D26*SUM(Sales_Input!$O$36:$R$36),2)</f>
        <v>3248.96</v>
      </c>
      <c r="J26" s="235">
        <f t="shared" si="2"/>
        <v>8089.7000000000007</v>
      </c>
      <c r="K26" s="235">
        <f t="shared" si="3"/>
        <v>9088.8100000000013</v>
      </c>
      <c r="L26" s="249">
        <f t="shared" si="4"/>
        <v>0.124</v>
      </c>
    </row>
    <row r="27" spans="1:12" ht="14.4" customHeight="1" x14ac:dyDescent="0.35">
      <c r="A27" s="251">
        <v>8</v>
      </c>
      <c r="B27" s="245"/>
      <c r="C27" s="245"/>
      <c r="D27" s="250">
        <v>1500</v>
      </c>
      <c r="E27" s="235">
        <f>Sales_Input!$H$35+ROUND(Sales_Input!$C$35*IS!D27,2)+ROUND(Sales_Input!$N$35*IS!D27,2)+ROUND(Sales_Input!$J$35*IS!D27,2)+ROUND(Sales_Input!$K$35*IS!D27,2)</f>
        <v>5152.9000000000005</v>
      </c>
      <c r="F27" s="235">
        <f>Sales_Input!$Y$35+ROUND(Sales_Input!$T$35*IS!D27,2)+ROUND((Sales_Input!$N$35+Sales_Input!$Z$35)*IS!D27,2)</f>
        <v>6145.25</v>
      </c>
      <c r="G27" s="235">
        <f t="shared" si="0"/>
        <v>992.34999999999945</v>
      </c>
      <c r="H27" s="249">
        <f t="shared" si="1"/>
        <v>0.193</v>
      </c>
      <c r="I27" s="235">
        <f>ROUND(D27*SUM(Sales_Input!$O$36:$R$36),2)</f>
        <v>4430.3999999999996</v>
      </c>
      <c r="J27" s="235">
        <f t="shared" si="2"/>
        <v>9583.2999999999993</v>
      </c>
      <c r="K27" s="235">
        <f t="shared" si="3"/>
        <v>10575.65</v>
      </c>
      <c r="L27" s="249">
        <f t="shared" si="4"/>
        <v>0.104</v>
      </c>
    </row>
    <row r="28" spans="1:12" ht="14.4" customHeight="1" x14ac:dyDescent="0.35">
      <c r="A28" s="251">
        <v>9</v>
      </c>
      <c r="B28" s="245"/>
      <c r="C28" s="245"/>
      <c r="D28" s="250">
        <v>2000</v>
      </c>
      <c r="E28" s="235">
        <f>Sales_Input!$H$35+ROUND(Sales_Input!$C$35*IS!D28,2)+ROUND(Sales_Input!$N$35*IS!D28,2)+ROUND(Sales_Input!$J$35*IS!D28,2)+ROUND(Sales_Input!$K$35*IS!D28,2)</f>
        <v>5543.0999999999995</v>
      </c>
      <c r="F28" s="235">
        <f>Sales_Input!$Y$35+ROUND(Sales_Input!$T$35*IS!D28,2)+ROUND((Sales_Input!$N$35+Sales_Input!$Z$35)*IS!D28,2)</f>
        <v>6527</v>
      </c>
      <c r="G28" s="235">
        <f t="shared" si="0"/>
        <v>983.90000000000055</v>
      </c>
      <c r="H28" s="249">
        <f t="shared" si="1"/>
        <v>0.17699999999999999</v>
      </c>
      <c r="I28" s="235">
        <f>ROUND(D28*SUM(Sales_Input!$O$36:$R$36),2)</f>
        <v>5907.2</v>
      </c>
      <c r="J28" s="235">
        <f t="shared" si="2"/>
        <v>11450.3</v>
      </c>
      <c r="K28" s="235">
        <f t="shared" si="3"/>
        <v>12434.2</v>
      </c>
      <c r="L28" s="249">
        <f t="shared" si="4"/>
        <v>8.5999999999999993E-2</v>
      </c>
    </row>
    <row r="29" spans="1:12" ht="14.4" customHeight="1" x14ac:dyDescent="0.35">
      <c r="A29" s="251">
        <v>10</v>
      </c>
      <c r="B29" s="245"/>
      <c r="C29" s="245"/>
      <c r="D29" s="250">
        <v>3000</v>
      </c>
      <c r="E29" s="235">
        <f>Sales_Input!$H$35+ROUND(Sales_Input!$C$35*IS!D29,2)+ROUND(Sales_Input!$N$35*IS!D29,2)+ROUND(Sales_Input!$J$35*IS!D29,2)+ROUND(Sales_Input!$K$35*IS!D29,2)</f>
        <v>6323.5000000000009</v>
      </c>
      <c r="F29" s="235">
        <f>Sales_Input!$Y$35+ROUND(Sales_Input!$T$35*IS!D29,2)+ROUND((Sales_Input!$N$35+Sales_Input!$Z$35)*IS!D29,2)</f>
        <v>7290.5</v>
      </c>
      <c r="G29" s="235">
        <f t="shared" si="0"/>
        <v>966.99999999999909</v>
      </c>
      <c r="H29" s="249">
        <f t="shared" si="1"/>
        <v>0.153</v>
      </c>
      <c r="I29" s="235">
        <f>ROUND(D29*SUM(Sales_Input!$O$36:$R$36),2)</f>
        <v>8860.7999999999993</v>
      </c>
      <c r="J29" s="235">
        <f t="shared" si="2"/>
        <v>15184.3</v>
      </c>
      <c r="K29" s="235">
        <f t="shared" si="3"/>
        <v>16151.3</v>
      </c>
      <c r="L29" s="249">
        <f t="shared" si="4"/>
        <v>6.4000000000000001E-2</v>
      </c>
    </row>
    <row r="30" spans="1:12" ht="14.4" customHeight="1" x14ac:dyDescent="0.35">
      <c r="A30" s="251">
        <v>11</v>
      </c>
      <c r="B30" s="245"/>
      <c r="C30" s="245"/>
      <c r="D30" s="250">
        <v>3500</v>
      </c>
      <c r="E30" s="235">
        <f>Sales_Input!$H$35+ROUND(Sales_Input!$C$35*IS!D30,2)+ROUND(Sales_Input!$N$35*IS!D30,2)+ROUND(Sales_Input!$J$35*IS!D30,2)+ROUND(Sales_Input!$K$35*IS!D30,2)</f>
        <v>6713.7</v>
      </c>
      <c r="F30" s="235">
        <f>Sales_Input!$Y$35+ROUND(Sales_Input!$T$35*IS!D30,2)+ROUND((Sales_Input!$N$35+Sales_Input!$Z$35)*IS!D30,2)</f>
        <v>7672.25</v>
      </c>
      <c r="G30" s="235">
        <f t="shared" si="0"/>
        <v>958.55000000000018</v>
      </c>
      <c r="H30" s="249">
        <f t="shared" si="1"/>
        <v>0.14299999999999999</v>
      </c>
      <c r="I30" s="235">
        <f>ROUND(D30*SUM(Sales_Input!$O$36:$R$36),2)</f>
        <v>10337.6</v>
      </c>
      <c r="J30" s="235">
        <f t="shared" si="2"/>
        <v>17051.3</v>
      </c>
      <c r="K30" s="235">
        <f t="shared" si="3"/>
        <v>18009.849999999999</v>
      </c>
      <c r="L30" s="249">
        <f t="shared" si="4"/>
        <v>5.6000000000000001E-2</v>
      </c>
    </row>
    <row r="31" spans="1:12" ht="14.4" customHeight="1" x14ac:dyDescent="0.35">
      <c r="A31" s="251">
        <v>12</v>
      </c>
      <c r="B31" s="245"/>
      <c r="C31" s="245"/>
      <c r="D31" s="250">
        <v>4000</v>
      </c>
      <c r="E31" s="235">
        <f>Sales_Input!$H$35+ROUND(Sales_Input!$C$35*IS!D31,2)+ROUND(Sales_Input!$N$35*IS!D31,2)+ROUND(Sales_Input!$J$35*IS!D31,2)+ROUND(Sales_Input!$K$35*IS!D31,2)</f>
        <v>7103.9000000000005</v>
      </c>
      <c r="F31" s="235">
        <f>Sales_Input!$Y$35+ROUND(Sales_Input!$T$35*IS!D31,2)+ROUND((Sales_Input!$N$35+Sales_Input!$Z$35)*IS!D31,2)</f>
        <v>8054</v>
      </c>
      <c r="G31" s="235">
        <f t="shared" si="0"/>
        <v>950.09999999999945</v>
      </c>
      <c r="H31" s="249">
        <f t="shared" si="1"/>
        <v>0.13400000000000001</v>
      </c>
      <c r="I31" s="235">
        <f>ROUND(D31*SUM(Sales_Input!$O$36:$R$36),2)</f>
        <v>11814.4</v>
      </c>
      <c r="J31" s="235">
        <f t="shared" si="2"/>
        <v>18918.3</v>
      </c>
      <c r="K31" s="235">
        <f t="shared" si="3"/>
        <v>19868.400000000001</v>
      </c>
      <c r="L31" s="249">
        <f t="shared" si="4"/>
        <v>0.05</v>
      </c>
    </row>
    <row r="32" spans="1:12" ht="14.4" customHeight="1" x14ac:dyDescent="0.35">
      <c r="A32" s="251">
        <v>13</v>
      </c>
      <c r="B32" s="245"/>
      <c r="C32" s="245"/>
      <c r="D32" s="250">
        <v>5000</v>
      </c>
      <c r="E32" s="235">
        <f>Sales_Input!$H$35+ROUND(Sales_Input!$C$35*IS!D32,2)+ROUND(Sales_Input!$N$35*IS!D32,2)+ROUND(Sales_Input!$J$35*IS!D32,2)+ROUND(Sales_Input!$K$35*IS!D32,2)</f>
        <v>7884.3</v>
      </c>
      <c r="F32" s="235">
        <f>Sales_Input!$Y$35+ROUND(Sales_Input!$T$35*IS!D32,2)+ROUND((Sales_Input!$N$35+Sales_Input!$Z$35)*IS!D32,2)</f>
        <v>8817.5</v>
      </c>
      <c r="G32" s="235">
        <f t="shared" si="0"/>
        <v>933.19999999999982</v>
      </c>
      <c r="H32" s="249">
        <f t="shared" si="1"/>
        <v>0.11799999999999999</v>
      </c>
      <c r="I32" s="235">
        <f>ROUND(D32*SUM(Sales_Input!$O$36:$R$36),2)</f>
        <v>14768</v>
      </c>
      <c r="J32" s="235">
        <f t="shared" si="2"/>
        <v>22652.3</v>
      </c>
      <c r="K32" s="235">
        <f t="shared" si="3"/>
        <v>23585.5</v>
      </c>
      <c r="L32" s="249">
        <f t="shared" si="4"/>
        <v>4.1000000000000002E-2</v>
      </c>
    </row>
    <row r="33" spans="1:12" ht="14.4" customHeight="1" x14ac:dyDescent="0.35">
      <c r="A33" s="251">
        <v>14</v>
      </c>
      <c r="B33" s="245"/>
      <c r="C33" s="245"/>
      <c r="D33" s="250">
        <v>6000</v>
      </c>
      <c r="E33" s="235">
        <f>Sales_Input!$H$35+ROUND(Sales_Input!$C$35*IS!D33,2)+ROUND(Sales_Input!$N$35*IS!D33,2)+ROUND(Sales_Input!$J$35*IS!D33,2)+ROUND(Sales_Input!$K$35*IS!D33,2)</f>
        <v>8664.7000000000007</v>
      </c>
      <c r="F33" s="235">
        <f>Sales_Input!$Y$35+ROUND(Sales_Input!$T$35*IS!D33,2)+ROUND((Sales_Input!$N$35+Sales_Input!$Z$35)*IS!D33,2)</f>
        <v>9581</v>
      </c>
      <c r="G33" s="235">
        <f t="shared" si="0"/>
        <v>916.29999999999927</v>
      </c>
      <c r="H33" s="249">
        <f t="shared" si="1"/>
        <v>0.106</v>
      </c>
      <c r="I33" s="235">
        <f>ROUND(D33*SUM(Sales_Input!$O$36:$R$36),2)</f>
        <v>17721.599999999999</v>
      </c>
      <c r="J33" s="235">
        <f t="shared" si="2"/>
        <v>26386.3</v>
      </c>
      <c r="K33" s="235">
        <f t="shared" si="3"/>
        <v>27302.6</v>
      </c>
      <c r="L33" s="249">
        <f t="shared" si="4"/>
        <v>3.5000000000000003E-2</v>
      </c>
    </row>
    <row r="34" spans="1:12" ht="14.4" customHeight="1" x14ac:dyDescent="0.35">
      <c r="A34" s="251">
        <v>15</v>
      </c>
      <c r="B34" s="245"/>
      <c r="C34" s="245"/>
      <c r="D34" s="250">
        <v>7000</v>
      </c>
      <c r="E34" s="235">
        <f>Sales_Input!$H$35+ROUND(Sales_Input!$C$35*IS!D34,2)+ROUND(Sales_Input!$N$35*IS!D34,2)+ROUND(Sales_Input!$J$35*IS!D34,2)+ROUND(Sales_Input!$K$35*IS!D34,2)</f>
        <v>9445.1</v>
      </c>
      <c r="F34" s="235">
        <f>Sales_Input!$Y$35+ROUND(Sales_Input!$T$35*IS!D34,2)+ROUND((Sales_Input!$N$35+Sales_Input!$Z$35)*IS!D34,2)</f>
        <v>10344.5</v>
      </c>
      <c r="G34" s="235">
        <f t="shared" si="0"/>
        <v>899.39999999999964</v>
      </c>
      <c r="H34" s="249">
        <f t="shared" si="1"/>
        <v>9.5000000000000001E-2</v>
      </c>
      <c r="I34" s="235">
        <f>ROUND(D34*SUM(Sales_Input!$O$36:$R$36),2)</f>
        <v>20675.2</v>
      </c>
      <c r="J34" s="235">
        <f t="shared" si="2"/>
        <v>30120.300000000003</v>
      </c>
      <c r="K34" s="235">
        <f t="shared" si="3"/>
        <v>31019.7</v>
      </c>
      <c r="L34" s="249">
        <f t="shared" si="4"/>
        <v>0.03</v>
      </c>
    </row>
    <row r="35" spans="1:12" ht="14.5" x14ac:dyDescent="0.3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4.5" x14ac:dyDescent="0.35">
      <c r="A36" s="248"/>
      <c r="B36" s="245" t="s">
        <v>142</v>
      </c>
      <c r="C36" s="245"/>
      <c r="D36" s="247">
        <f>Sales_Input!AF35</f>
        <v>0</v>
      </c>
      <c r="E36" s="245"/>
      <c r="F36" s="245"/>
      <c r="G36" s="245"/>
      <c r="H36" s="245"/>
      <c r="I36" s="245"/>
      <c r="J36" s="245"/>
      <c r="K36" s="245"/>
      <c r="L36" s="245"/>
    </row>
    <row r="37" spans="1:12" ht="14.5" x14ac:dyDescent="0.35">
      <c r="A37" s="245"/>
      <c r="B37" s="245"/>
      <c r="C37" s="245" t="s">
        <v>215</v>
      </c>
      <c r="D37" s="245"/>
      <c r="E37" s="245"/>
      <c r="F37" s="245"/>
      <c r="G37" s="245"/>
      <c r="H37" s="245"/>
      <c r="I37" s="245"/>
      <c r="J37" s="245"/>
      <c r="K37" s="245"/>
      <c r="L37" s="245"/>
    </row>
  </sheetData>
  <mergeCells count="5">
    <mergeCell ref="A1:L1"/>
    <mergeCell ref="A2:L2"/>
    <mergeCell ref="A3:L3"/>
    <mergeCell ref="A4:L4"/>
    <mergeCell ref="A5:L5"/>
  </mergeCells>
  <printOptions horizontalCentered="1"/>
  <pageMargins left="0.75" right="0.75" top="1" bottom="0.75" header="0.5" footer="0.5"/>
  <pageSetup scale="9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63BA-02BE-41F6-A992-26DD43D8BAF3}">
  <sheetPr codeName="Sheet21">
    <tabColor theme="4" tint="0.79998168889431442"/>
    <pageSetUpPr fitToPage="1"/>
  </sheetPr>
  <dimension ref="A1:L40"/>
  <sheetViews>
    <sheetView workbookViewId="0">
      <selection sqref="A1:L1"/>
    </sheetView>
  </sheetViews>
  <sheetFormatPr defaultColWidth="10.1796875" defaultRowHeight="14.4" customHeight="1" x14ac:dyDescent="0.35"/>
  <cols>
    <col min="1" max="1" width="8.54296875" customWidth="1"/>
    <col min="2" max="2" width="14.1796875" customWidth="1"/>
    <col min="3" max="3" width="10.54296875" customWidth="1"/>
    <col min="5" max="5" width="9.81640625" bestFit="1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44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290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228</v>
      </c>
      <c r="C20" s="251" t="s">
        <v>147</v>
      </c>
      <c r="D20" s="250">
        <v>10</v>
      </c>
      <c r="E20" s="235">
        <f>Sales_Input!$H$33+ROUND((Sales_Input!$C$33+Sales_Input!$J$33+Sales_Input!$K$33)*(GSO!D20),2)+ROUND(Sales_Input!$N$33*(GSO!D20),2)</f>
        <v>119.55</v>
      </c>
      <c r="F20" s="235">
        <f>Sales_Input!$Y$33+ROUND((Sales_Input!$T$33)*(GSO!D20),2)+ROUND((Sales_Input!$N$33+Sales_Input!$Z$33)*GSO!D20,2)</f>
        <v>141.71</v>
      </c>
      <c r="G20" s="235">
        <f t="shared" ref="G20:G37" si="0">F20-E20</f>
        <v>22.160000000000011</v>
      </c>
      <c r="H20" s="249">
        <f t="shared" ref="H20:H37" si="1">ROUND(G20/E20,3)</f>
        <v>0.185</v>
      </c>
      <c r="I20" s="235">
        <f>ROUND(D20*SUM(Sales_Input!$O$36:$R$36),2)</f>
        <v>29.54</v>
      </c>
      <c r="J20" s="235">
        <f t="shared" ref="J20:J37" si="2">E20+I20</f>
        <v>149.09</v>
      </c>
      <c r="K20" s="235">
        <f t="shared" ref="K20:K37" si="3">F20+I20</f>
        <v>171.25</v>
      </c>
      <c r="L20" s="249">
        <f t="shared" ref="L20:L37" si="4">ROUND((K20-J20)/J20,3)</f>
        <v>0.14899999999999999</v>
      </c>
    </row>
    <row r="21" spans="1:12" ht="14.4" customHeight="1" x14ac:dyDescent="0.35">
      <c r="A21" s="251">
        <v>2</v>
      </c>
      <c r="B21" s="251" t="s">
        <v>211</v>
      </c>
      <c r="C21" s="251" t="s">
        <v>145</v>
      </c>
      <c r="D21" s="250">
        <v>30</v>
      </c>
      <c r="E21" s="235">
        <f>Sales_Input!$H$33+ROUND((Sales_Input!$C$33+Sales_Input!$J$33+Sales_Input!$K$33)*(GSO!D21),2)+ROUND(Sales_Input!$N$33*(GSO!D21),2)</f>
        <v>191.25</v>
      </c>
      <c r="F21" s="235">
        <f>Sales_Input!$Y$33+ROUND((Sales_Input!$T$33)*(GSO!D21),2)+ROUND((Sales_Input!$N$33+Sales_Input!$Z$33)*GSO!D21,2)</f>
        <v>205.14</v>
      </c>
      <c r="G21" s="235">
        <f t="shared" si="0"/>
        <v>13.889999999999986</v>
      </c>
      <c r="H21" s="249">
        <f t="shared" si="1"/>
        <v>7.2999999999999995E-2</v>
      </c>
      <c r="I21" s="235">
        <f>ROUND(D21*SUM(Sales_Input!$O$36:$R$36),2)</f>
        <v>88.61</v>
      </c>
      <c r="J21" s="235">
        <f t="shared" si="2"/>
        <v>279.86</v>
      </c>
      <c r="K21" s="235">
        <f t="shared" si="3"/>
        <v>293.75</v>
      </c>
      <c r="L21" s="249">
        <f t="shared" si="4"/>
        <v>0.05</v>
      </c>
    </row>
    <row r="22" spans="1:12" ht="14.4" customHeight="1" x14ac:dyDescent="0.35">
      <c r="A22" s="251">
        <v>3</v>
      </c>
      <c r="B22" s="251" t="s">
        <v>200</v>
      </c>
      <c r="C22" s="251"/>
      <c r="D22" s="250">
        <f>E39</f>
        <v>30.4</v>
      </c>
      <c r="E22" s="235">
        <f>Sales_Input!$H$33+ROUND((Sales_Input!$C$33+Sales_Input!$J$33+Sales_Input!$K$33)*(GSO!D22),2)+ROUND(Sales_Input!$N$33*(GSO!D22),2)</f>
        <v>192.69</v>
      </c>
      <c r="F22" s="235">
        <f>Sales_Input!$Y$33+ROUND((Sales_Input!$T$33)*(GSO!D22),2)+ROUND((Sales_Input!$N$33+Sales_Input!$Z$33)*GSO!D22,2)</f>
        <v>206.42000000000002</v>
      </c>
      <c r="G22" s="235">
        <f t="shared" si="0"/>
        <v>13.730000000000018</v>
      </c>
      <c r="H22" s="249">
        <f t="shared" si="1"/>
        <v>7.0999999999999994E-2</v>
      </c>
      <c r="I22" s="235">
        <f>ROUND(D22*SUM(Sales_Input!$O$36:$R$36),2)</f>
        <v>89.79</v>
      </c>
      <c r="J22" s="235">
        <f t="shared" si="2"/>
        <v>282.48</v>
      </c>
      <c r="K22" s="235">
        <f t="shared" si="3"/>
        <v>296.21000000000004</v>
      </c>
      <c r="L22" s="249">
        <f t="shared" si="4"/>
        <v>4.9000000000000002E-2</v>
      </c>
    </row>
    <row r="23" spans="1:12" ht="14.4" customHeight="1" x14ac:dyDescent="0.35">
      <c r="A23" s="251">
        <v>4</v>
      </c>
      <c r="B23" s="251" t="s">
        <v>289</v>
      </c>
      <c r="C23" s="245"/>
      <c r="D23" s="250">
        <v>50</v>
      </c>
      <c r="E23" s="235">
        <f>Sales_Input!$H$33+ROUND((Sales_Input!$C$33+Sales_Input!$J$33+Sales_Input!$K$33)*(GSO!D23),2)+ROUND(Sales_Input!$N$33*(GSO!D23),2)</f>
        <v>262.95</v>
      </c>
      <c r="F23" s="235">
        <f>Sales_Input!$Y$33+ROUND((Sales_Input!$T$33)*(GSO!D23),2)+ROUND((Sales_Input!$N$33+Sales_Input!$Z$33)*GSO!D23,2)</f>
        <v>268.58000000000004</v>
      </c>
      <c r="G23" s="235">
        <f t="shared" si="0"/>
        <v>5.6300000000000523</v>
      </c>
      <c r="H23" s="249">
        <f t="shared" si="1"/>
        <v>2.1000000000000001E-2</v>
      </c>
      <c r="I23" s="235">
        <f>ROUND(D23*SUM(Sales_Input!$O$36:$R$36),2)</f>
        <v>147.68</v>
      </c>
      <c r="J23" s="235">
        <f t="shared" si="2"/>
        <v>410.63</v>
      </c>
      <c r="K23" s="235">
        <f t="shared" si="3"/>
        <v>416.26000000000005</v>
      </c>
      <c r="L23" s="249">
        <f t="shared" si="4"/>
        <v>1.4E-2</v>
      </c>
    </row>
    <row r="24" spans="1:12" ht="14.4" customHeight="1" x14ac:dyDescent="0.35">
      <c r="A24" s="251">
        <v>5</v>
      </c>
      <c r="B24" s="251" t="s">
        <v>195</v>
      </c>
      <c r="C24" s="245"/>
      <c r="D24" s="250">
        <v>70</v>
      </c>
      <c r="E24" s="235">
        <f>Sales_Input!$H$33+ROUND(Sales_Input!$C$33*50,2)+ROUND(Sales_Input!$D$33*(GSO!D24-50),2)+ROUND(Sales_Input!$N$33*GSO!D24,2)+ROUND(Sales_Input!$J$33*GSO!D24,2)+ROUND(Sales_Input!$K$33*GSO!D24,2)</f>
        <v>319.80999999999995</v>
      </c>
      <c r="F24" s="235">
        <f>Sales_Input!$Y$33+ROUND(Sales_Input!$T$33*50,2)+ROUND(Sales_Input!$U$33*(GSO!D24-50),2)+ROUND((Sales_Input!$N$33+Sales_Input!$Z$33)*GSO!D24,2)</f>
        <v>317.60000000000002</v>
      </c>
      <c r="G24" s="235">
        <f t="shared" si="0"/>
        <v>-2.2099999999999227</v>
      </c>
      <c r="H24" s="249">
        <f t="shared" si="1"/>
        <v>-7.0000000000000001E-3</v>
      </c>
      <c r="I24" s="235">
        <f>ROUND(D24*SUM(Sales_Input!$O$36:$R$36),2)</f>
        <v>206.75</v>
      </c>
      <c r="J24" s="235">
        <f t="shared" si="2"/>
        <v>526.55999999999995</v>
      </c>
      <c r="K24" s="235">
        <f t="shared" si="3"/>
        <v>524.35</v>
      </c>
      <c r="L24" s="249">
        <f t="shared" si="4"/>
        <v>-4.0000000000000001E-3</v>
      </c>
    </row>
    <row r="25" spans="1:12" ht="14.4" customHeight="1" x14ac:dyDescent="0.35">
      <c r="A25" s="251">
        <v>6</v>
      </c>
      <c r="B25" s="245"/>
      <c r="C25" s="245"/>
      <c r="D25" s="250">
        <v>100</v>
      </c>
      <c r="E25" s="235">
        <f>Sales_Input!$H$33+ROUND(Sales_Input!$C$33*50,2)+ROUND(Sales_Input!$D$33*(GSO!D25-50),2)+ROUND(Sales_Input!$N$33*GSO!D25,2)+ROUND(Sales_Input!$J$33*GSO!D25,2)+ROUND(Sales_Input!$K$33*GSO!D25,2)</f>
        <v>405.1</v>
      </c>
      <c r="F25" s="235">
        <f>Sales_Input!$Y$33+ROUND(Sales_Input!$T$33*50,2)+ROUND(Sales_Input!$U$33*(GSO!D25-50),2)+ROUND((Sales_Input!$N$33+Sales_Input!$Z$33)*GSO!D25,2)</f>
        <v>391.12000000000006</v>
      </c>
      <c r="G25" s="235">
        <f t="shared" si="0"/>
        <v>-13.979999999999961</v>
      </c>
      <c r="H25" s="249">
        <f t="shared" si="1"/>
        <v>-3.5000000000000003E-2</v>
      </c>
      <c r="I25" s="235">
        <f>ROUND(D25*SUM(Sales_Input!$O$36:$R$36),2)</f>
        <v>295.36</v>
      </c>
      <c r="J25" s="235">
        <f t="shared" si="2"/>
        <v>700.46</v>
      </c>
      <c r="K25" s="235">
        <f t="shared" si="3"/>
        <v>686.48</v>
      </c>
      <c r="L25" s="249">
        <f t="shared" si="4"/>
        <v>-0.02</v>
      </c>
    </row>
    <row r="26" spans="1:12" ht="14.4" customHeight="1" x14ac:dyDescent="0.35">
      <c r="A26" s="251">
        <v>7</v>
      </c>
      <c r="B26" s="252"/>
      <c r="C26" s="245"/>
      <c r="D26" s="250">
        <v>150</v>
      </c>
      <c r="E26" s="235">
        <f>Sales_Input!$H$33+ROUND(Sales_Input!$C$33*50,2)+ROUND(Sales_Input!$D$33*(GSO!D26-50),2)+ROUND(Sales_Input!$N$33*GSO!D26,2)+ROUND(Sales_Input!$J$33*GSO!D26,2)+ROUND(Sales_Input!$K$33*GSO!D26,2)</f>
        <v>547.25</v>
      </c>
      <c r="F26" s="235">
        <f>Sales_Input!$Y$33+ROUND(Sales_Input!$T$33*50,2)+ROUND(Sales_Input!$U$33*(GSO!D26-50),2)+ROUND((Sales_Input!$N$33+Sales_Input!$Z$33)*GSO!D26,2)</f>
        <v>513.66000000000008</v>
      </c>
      <c r="G26" s="235">
        <f t="shared" si="0"/>
        <v>-33.589999999999918</v>
      </c>
      <c r="H26" s="249">
        <f t="shared" si="1"/>
        <v>-6.0999999999999999E-2</v>
      </c>
      <c r="I26" s="235">
        <f>ROUND(D26*SUM(Sales_Input!$O$36:$R$36),2)</f>
        <v>443.04</v>
      </c>
      <c r="J26" s="235">
        <f t="shared" si="2"/>
        <v>990.29</v>
      </c>
      <c r="K26" s="235">
        <f t="shared" si="3"/>
        <v>956.7</v>
      </c>
      <c r="L26" s="249">
        <f t="shared" si="4"/>
        <v>-3.4000000000000002E-2</v>
      </c>
    </row>
    <row r="27" spans="1:12" ht="14.4" customHeight="1" x14ac:dyDescent="0.35">
      <c r="A27" s="251">
        <v>8</v>
      </c>
      <c r="B27" s="245"/>
      <c r="C27" s="245"/>
      <c r="D27" s="250">
        <v>200</v>
      </c>
      <c r="E27" s="235">
        <f>Sales_Input!$H$33+ROUND(Sales_Input!$C$33*50,2)+ROUND(Sales_Input!$D$33*(GSO!D27-50),2)+ROUND(Sales_Input!$N$33*GSO!D27,2)+ROUND(Sales_Input!$J$33*GSO!D27,2)+ROUND(Sales_Input!$K$33*GSO!D27,2)</f>
        <v>689.40000000000009</v>
      </c>
      <c r="F27" s="235">
        <f>Sales_Input!$Y$33+ROUND(Sales_Input!$T$33*50,2)+ROUND(Sales_Input!$U$33*(GSO!D27-50),2)+ROUND((Sales_Input!$N$33+Sales_Input!$Z$33)*GSO!D27,2)</f>
        <v>636.20000000000005</v>
      </c>
      <c r="G27" s="235">
        <f t="shared" si="0"/>
        <v>-53.200000000000045</v>
      </c>
      <c r="H27" s="249">
        <f t="shared" si="1"/>
        <v>-7.6999999999999999E-2</v>
      </c>
      <c r="I27" s="235">
        <f>ROUND(D27*SUM(Sales_Input!$O$36:$R$36),2)</f>
        <v>590.72</v>
      </c>
      <c r="J27" s="235">
        <f t="shared" si="2"/>
        <v>1280.1200000000001</v>
      </c>
      <c r="K27" s="235">
        <f t="shared" si="3"/>
        <v>1226.92</v>
      </c>
      <c r="L27" s="249">
        <f t="shared" si="4"/>
        <v>-4.2000000000000003E-2</v>
      </c>
    </row>
    <row r="28" spans="1:12" ht="14.4" customHeight="1" x14ac:dyDescent="0.35">
      <c r="A28" s="251">
        <v>9</v>
      </c>
      <c r="B28" s="245"/>
      <c r="C28" s="245"/>
      <c r="D28" s="250">
        <v>250</v>
      </c>
      <c r="E28" s="235">
        <f>Sales_Input!$H$33+ROUND(Sales_Input!$C$33*50,2)+ROUND(Sales_Input!$D$33*(GSO!D28-50),2)+ROUND(Sales_Input!$N$33*GSO!D28,2)+ROUND(Sales_Input!$J$33*GSO!D28,2)+ROUND(Sales_Input!$K$33*GSO!D28,2)</f>
        <v>831.55000000000007</v>
      </c>
      <c r="F28" s="235">
        <f>Sales_Input!$Y$33+ROUND(Sales_Input!$T$33*50,2)+ROUND(Sales_Input!$U$33*(GSO!D28-50),2)+ROUND((Sales_Input!$N$33+Sales_Input!$Z$33)*GSO!D28,2)</f>
        <v>758.74000000000012</v>
      </c>
      <c r="G28" s="235">
        <f t="shared" si="0"/>
        <v>-72.809999999999945</v>
      </c>
      <c r="H28" s="249">
        <f t="shared" si="1"/>
        <v>-8.7999999999999995E-2</v>
      </c>
      <c r="I28" s="235">
        <f>ROUND(D28*SUM(Sales_Input!$O$36:$R$36),2)</f>
        <v>738.4</v>
      </c>
      <c r="J28" s="235">
        <f t="shared" si="2"/>
        <v>1569.95</v>
      </c>
      <c r="K28" s="235">
        <f t="shared" si="3"/>
        <v>1497.14</v>
      </c>
      <c r="L28" s="249">
        <f t="shared" si="4"/>
        <v>-4.5999999999999999E-2</v>
      </c>
    </row>
    <row r="29" spans="1:12" ht="14.4" customHeight="1" x14ac:dyDescent="0.35">
      <c r="A29" s="251">
        <v>10</v>
      </c>
      <c r="B29" s="245"/>
      <c r="C29" s="245"/>
      <c r="D29" s="250">
        <v>300</v>
      </c>
      <c r="E29" s="235">
        <f>Sales_Input!$H$33+ROUND(Sales_Input!$C$33*50,2)+ROUND(Sales_Input!$D$33*(GSO!D29-50),2)+ROUND(Sales_Input!$N$33*GSO!D29,2)+ROUND(Sales_Input!$J$33*GSO!D29,2)+ROUND(Sales_Input!$K$33*GSO!D29,2)</f>
        <v>973.69999999999993</v>
      </c>
      <c r="F29" s="235">
        <f>Sales_Input!$Y$33+ROUND(Sales_Input!$T$33*50,2)+ROUND(Sales_Input!$U$33*(GSO!D29-50),2)+ROUND((Sales_Input!$N$33+Sales_Input!$Z$33)*GSO!D29,2)</f>
        <v>881.28000000000009</v>
      </c>
      <c r="G29" s="235">
        <f t="shared" si="0"/>
        <v>-92.419999999999845</v>
      </c>
      <c r="H29" s="249">
        <f t="shared" si="1"/>
        <v>-9.5000000000000001E-2</v>
      </c>
      <c r="I29" s="235">
        <f>ROUND(D29*SUM(Sales_Input!$O$36:$R$36),2)</f>
        <v>886.08</v>
      </c>
      <c r="J29" s="235">
        <f t="shared" si="2"/>
        <v>1859.78</v>
      </c>
      <c r="K29" s="235">
        <f t="shared" si="3"/>
        <v>1767.3600000000001</v>
      </c>
      <c r="L29" s="249">
        <f t="shared" si="4"/>
        <v>-0.05</v>
      </c>
    </row>
    <row r="30" spans="1:12" ht="14.4" customHeight="1" x14ac:dyDescent="0.35">
      <c r="A30" s="251">
        <v>11</v>
      </c>
      <c r="B30" s="245"/>
      <c r="C30" s="245"/>
      <c r="D30" s="250">
        <f>+E40</f>
        <v>337.20000000000005</v>
      </c>
      <c r="E30" s="235">
        <f>Sales_Input!$H$33+ROUND(Sales_Input!$C$33*50,2)+ROUND(Sales_Input!$D$33*(GSO!D30-50),2)+ROUND(Sales_Input!$N$33*GSO!D30,2)+ROUND(Sales_Input!$J$33*GSO!D30,2)+ROUND(Sales_Input!$K$33*GSO!D30,2)</f>
        <v>1079.4599999999998</v>
      </c>
      <c r="F30" s="235">
        <f>Sales_Input!$Y$33+ROUND(Sales_Input!$T$33*50,2)+ROUND(Sales_Input!$U$33*(GSO!D30-50),2)+ROUND((Sales_Input!$N$33+Sales_Input!$Z$33)*GSO!D30,2)</f>
        <v>972.44999999999993</v>
      </c>
      <c r="G30" s="235">
        <f t="shared" si="0"/>
        <v>-107.00999999999988</v>
      </c>
      <c r="H30" s="249">
        <f t="shared" si="1"/>
        <v>-9.9000000000000005E-2</v>
      </c>
      <c r="I30" s="235">
        <f>ROUND(D30*SUM(Sales_Input!$O$36:$R$36),2)</f>
        <v>995.95</v>
      </c>
      <c r="J30" s="235">
        <f t="shared" si="2"/>
        <v>2075.41</v>
      </c>
      <c r="K30" s="235">
        <f t="shared" si="3"/>
        <v>1968.4</v>
      </c>
      <c r="L30" s="249">
        <f t="shared" si="4"/>
        <v>-5.1999999999999998E-2</v>
      </c>
    </row>
    <row r="31" spans="1:12" ht="14.4" customHeight="1" x14ac:dyDescent="0.35">
      <c r="A31" s="251">
        <v>12</v>
      </c>
      <c r="B31" s="245"/>
      <c r="C31" s="245"/>
      <c r="D31" s="250">
        <v>350</v>
      </c>
      <c r="E31" s="235">
        <f>Sales_Input!$H$33+ROUND(Sales_Input!$C$33*50,2)+ROUND(Sales_Input!$D$33*(GSO!D31-50),2)+ROUND(Sales_Input!$N$33*GSO!D31,2)+ROUND(Sales_Input!$J$33*GSO!D31,2)+ROUND(Sales_Input!$K$33*GSO!D31,2)</f>
        <v>1115.8499999999999</v>
      </c>
      <c r="F31" s="235">
        <f>Sales_Input!$Y$33+ROUND(Sales_Input!$T$33*50,2)+ROUND(Sales_Input!$U$33*(GSO!D31-50),2)+ROUND((Sales_Input!$N$33+Sales_Input!$Z$33)*GSO!D31,2)</f>
        <v>1003.82</v>
      </c>
      <c r="G31" s="235">
        <f t="shared" si="0"/>
        <v>-112.02999999999986</v>
      </c>
      <c r="H31" s="249">
        <f t="shared" si="1"/>
        <v>-0.1</v>
      </c>
      <c r="I31" s="235">
        <f>ROUND(D31*SUM(Sales_Input!$O$36:$R$36),2)</f>
        <v>1033.76</v>
      </c>
      <c r="J31" s="235">
        <f t="shared" si="2"/>
        <v>2149.6099999999997</v>
      </c>
      <c r="K31" s="235">
        <f t="shared" si="3"/>
        <v>2037.58</v>
      </c>
      <c r="L31" s="249">
        <f t="shared" si="4"/>
        <v>-5.1999999999999998E-2</v>
      </c>
    </row>
    <row r="32" spans="1:12" ht="14.4" customHeight="1" x14ac:dyDescent="0.35">
      <c r="A32" s="251">
        <v>13</v>
      </c>
      <c r="B32" s="245"/>
      <c r="C32" s="245"/>
      <c r="D32" s="250">
        <v>400</v>
      </c>
      <c r="E32" s="235">
        <f>Sales_Input!$H$33+ROUND(Sales_Input!$C$33*50,2)+ROUND(Sales_Input!$D$33*(350),2)+ROUND(Sales_Input!$E$33*(D32-400),2)+ROUND(Sales_Input!$N$33*GSO!D32,2)+ROUND(Sales_Input!$J$33*GSO!D32,2)+ROUND(Sales_Input!$K$33*GSO!D32,2)</f>
        <v>1258</v>
      </c>
      <c r="F32" s="235">
        <f>Sales_Input!$Y$33+ROUND(Sales_Input!$T$33*50,2)+ROUND(Sales_Input!$U$33*(350),2)+ROUND(Sales_Input!$V$33*(GSO!D32-400),2)+ROUND((Sales_Input!$N$33+Sales_Input!$Z$33)*GSO!D32,2)</f>
        <v>1126.3600000000001</v>
      </c>
      <c r="G32" s="235">
        <f t="shared" si="0"/>
        <v>-131.63999999999987</v>
      </c>
      <c r="H32" s="249">
        <f t="shared" si="1"/>
        <v>-0.105</v>
      </c>
      <c r="I32" s="235">
        <f>ROUND(D32*SUM(Sales_Input!$O$36:$R$36),2)</f>
        <v>1181.44</v>
      </c>
      <c r="J32" s="235">
        <f t="shared" si="2"/>
        <v>2439.44</v>
      </c>
      <c r="K32" s="235">
        <f t="shared" si="3"/>
        <v>2307.8000000000002</v>
      </c>
      <c r="L32" s="249">
        <f t="shared" si="4"/>
        <v>-5.3999999999999999E-2</v>
      </c>
    </row>
    <row r="33" spans="1:12" ht="14.4" customHeight="1" x14ac:dyDescent="0.35">
      <c r="A33" s="251">
        <v>14</v>
      </c>
      <c r="B33" s="245"/>
      <c r="C33" s="245"/>
      <c r="D33" s="250">
        <v>450</v>
      </c>
      <c r="E33" s="235">
        <f>Sales_Input!$H$33+ROUND(Sales_Input!$C$33*50,2)+ROUND(Sales_Input!$D$33*350,2)+ROUND(Sales_Input!$E$33*(GSO!D33-400),2)+ROUND(Sales_Input!$N$33*GSO!D33,2)+ROUND(Sales_Input!$J$34*GSO!D33,2)+ROUND(Sales_Input!$K$34*GSO!D33,2)</f>
        <v>1393.9499999999998</v>
      </c>
      <c r="F33" s="235">
        <f>Sales_Input!$Y$33+ROUND(Sales_Input!$T$33*50,2)+ROUND(Sales_Input!$U$33*350,2)+ROUND((Sales_Input!$V$33*(GSO!D33-400)),2)+ROUND((Sales_Input!$N$33+Sales_Input!$Z$33)*(GSO!D33),2)</f>
        <v>1242.8800000000001</v>
      </c>
      <c r="G33" s="235">
        <f t="shared" si="0"/>
        <v>-151.06999999999971</v>
      </c>
      <c r="H33" s="249">
        <f t="shared" si="1"/>
        <v>-0.108</v>
      </c>
      <c r="I33" s="235">
        <f>ROUND(D33*SUM(Sales_Input!$O$36:$R$36),2)</f>
        <v>1329.12</v>
      </c>
      <c r="J33" s="235">
        <f t="shared" si="2"/>
        <v>2723.0699999999997</v>
      </c>
      <c r="K33" s="235">
        <f t="shared" si="3"/>
        <v>2572</v>
      </c>
      <c r="L33" s="249">
        <f t="shared" si="4"/>
        <v>-5.5E-2</v>
      </c>
    </row>
    <row r="34" spans="1:12" ht="14.4" customHeight="1" x14ac:dyDescent="0.35">
      <c r="A34" s="251">
        <v>15</v>
      </c>
      <c r="B34" s="245"/>
      <c r="C34" s="245"/>
      <c r="D34" s="250">
        <v>500</v>
      </c>
      <c r="E34" s="235">
        <f>Sales_Input!$H$33+ROUND(Sales_Input!$C$33*50,2)+ROUND(Sales_Input!$D$33*350,2)+ROUND(Sales_Input!$E$33*(GSO!D34-400),2)+ROUND(Sales_Input!$N$33*GSO!D34,2)+ROUND(Sales_Input!$J$34*GSO!D34,2)+ROUND(Sales_Input!$K$34*GSO!D34,2)</f>
        <v>1529.8899999999999</v>
      </c>
      <c r="F34" s="235">
        <f>Sales_Input!$Y$33+ROUND(Sales_Input!$T$33*50,2)+ROUND(Sales_Input!$U$33*350,2)+ROUND((Sales_Input!$V$33*(GSO!D34-400)),2)+ROUND((Sales_Input!$N$33+Sales_Input!$Z$33)*(GSO!D34),2)</f>
        <v>1359.39</v>
      </c>
      <c r="G34" s="235">
        <f t="shared" si="0"/>
        <v>-170.49999999999977</v>
      </c>
      <c r="H34" s="249">
        <f t="shared" si="1"/>
        <v>-0.111</v>
      </c>
      <c r="I34" s="235">
        <f>ROUND(D34*SUM(Sales_Input!$O$36:$R$36),2)</f>
        <v>1476.8</v>
      </c>
      <c r="J34" s="235">
        <f t="shared" si="2"/>
        <v>3006.6899999999996</v>
      </c>
      <c r="K34" s="235">
        <f t="shared" si="3"/>
        <v>2836.19</v>
      </c>
      <c r="L34" s="249">
        <f t="shared" si="4"/>
        <v>-5.7000000000000002E-2</v>
      </c>
    </row>
    <row r="35" spans="1:12" ht="14.5" x14ac:dyDescent="0.35">
      <c r="A35" s="251">
        <v>16</v>
      </c>
      <c r="B35" s="245"/>
      <c r="C35" s="245"/>
      <c r="D35" s="250">
        <v>700</v>
      </c>
      <c r="E35" s="235">
        <f>Sales_Input!$H$33+ROUND(Sales_Input!$C$33*50,2)+ROUND(Sales_Input!$D$33*350,2)+ROUND(Sales_Input!$E$33*(GSO!D35-400),2)+ROUND(Sales_Input!$N$33*GSO!D35,2)+ROUND(Sales_Input!$J$34*GSO!D35,2)+ROUND(Sales_Input!$K$34*GSO!D35,2)</f>
        <v>2073.67</v>
      </c>
      <c r="F35" s="235">
        <f>Sales_Input!$Y$33+ROUND(Sales_Input!$T$33*50,2)+ROUND(Sales_Input!$U$33*350,2)+ROUND((Sales_Input!$V$33*(GSO!D35-400)),2)+ROUND((Sales_Input!$N$33+Sales_Input!$Z$33)*(GSO!D35),2)</f>
        <v>1825.45</v>
      </c>
      <c r="G35" s="235">
        <f t="shared" si="0"/>
        <v>-248.22000000000003</v>
      </c>
      <c r="H35" s="249">
        <f t="shared" si="1"/>
        <v>-0.12</v>
      </c>
      <c r="I35" s="235">
        <f>ROUND(D35*SUM(Sales_Input!$O$36:$R$36),2)</f>
        <v>2067.52</v>
      </c>
      <c r="J35" s="235">
        <f t="shared" si="2"/>
        <v>4141.1900000000005</v>
      </c>
      <c r="K35" s="235">
        <f t="shared" si="3"/>
        <v>3892.9700000000003</v>
      </c>
      <c r="L35" s="249">
        <f t="shared" si="4"/>
        <v>-0.06</v>
      </c>
    </row>
    <row r="36" spans="1:12" ht="14.5" x14ac:dyDescent="0.35">
      <c r="A36" s="251">
        <v>17</v>
      </c>
      <c r="B36" s="245"/>
      <c r="C36" s="245"/>
      <c r="D36" s="250">
        <v>1000</v>
      </c>
      <c r="E36" s="235">
        <f>Sales_Input!$H$33+ROUND(Sales_Input!$C$33*50,2)+ROUND(Sales_Input!$D$33*350,2)+ROUND(Sales_Input!$E$33*(GSO!D36-400),2)+ROUND(Sales_Input!$N$33*GSO!D36,2)+ROUND(Sales_Input!$J$34*GSO!D36,2)+ROUND(Sales_Input!$K$34*GSO!D36,2)</f>
        <v>2889.3399999999997</v>
      </c>
      <c r="F36" s="235">
        <f>Sales_Input!$Y$33+ROUND(Sales_Input!$T$33*50,2)+ROUND(Sales_Input!$U$33*350,2)+ROUND((Sales_Input!$V$33*(GSO!D36-400)),2)+ROUND((Sales_Input!$N$33+Sales_Input!$Z$33)*(GSO!D36),2)</f>
        <v>2524.5400000000004</v>
      </c>
      <c r="G36" s="235">
        <f t="shared" si="0"/>
        <v>-364.79999999999927</v>
      </c>
      <c r="H36" s="249">
        <f t="shared" si="1"/>
        <v>-0.126</v>
      </c>
      <c r="I36" s="235">
        <f>ROUND(D36*SUM(Sales_Input!$O$36:$R$36),2)</f>
        <v>2953.6</v>
      </c>
      <c r="J36" s="235">
        <f t="shared" si="2"/>
        <v>5842.94</v>
      </c>
      <c r="K36" s="235">
        <f t="shared" si="3"/>
        <v>5478.14</v>
      </c>
      <c r="L36" s="249">
        <f t="shared" si="4"/>
        <v>-6.2E-2</v>
      </c>
    </row>
    <row r="37" spans="1:12" ht="14.5" x14ac:dyDescent="0.35">
      <c r="A37" s="251">
        <v>18</v>
      </c>
      <c r="B37" s="245"/>
      <c r="C37" s="245"/>
      <c r="D37" s="250">
        <v>1200</v>
      </c>
      <c r="E37" s="235">
        <f>Sales_Input!$H$33+ROUND(Sales_Input!$C$33*50,2)+ROUND(Sales_Input!$D$33*350,2)+ROUND(Sales_Input!$E$33*600,2)+ROUND(Sales_Input!$F$33*(GSO!D37-1000),2)+ROUND(Sales_Input!$N$33*GSO!D37,2)+ROUND(Sales_Input!$J$33*GSO!D37,2)+ROUND(Sales_Input!$K$33*GSO!D37,2)</f>
        <v>3390.0199999999995</v>
      </c>
      <c r="F37" s="235">
        <f>Sales_Input!$Y$33+ROUND(Sales_Input!$T$33*50,2)+ROUND(Sales_Input!$U$33*350,2)+ROUND(Sales_Input!$V$33*600,2)+ROUND(Sales_Input!$W$33*(GSO!D37-1000),2)+ROUND((Sales_Input!$N$33+Sales_Input!$Z$33)*GSO!D37,2)</f>
        <v>2948.7200000000003</v>
      </c>
      <c r="G37" s="235">
        <f t="shared" si="0"/>
        <v>-441.29999999999927</v>
      </c>
      <c r="H37" s="249">
        <f t="shared" si="1"/>
        <v>-0.13</v>
      </c>
      <c r="I37" s="235">
        <f>ROUND(D37*SUM(Sales_Input!$O$36:$R$36),2)</f>
        <v>3544.32</v>
      </c>
      <c r="J37" s="235">
        <f t="shared" si="2"/>
        <v>6934.34</v>
      </c>
      <c r="K37" s="235">
        <f t="shared" si="3"/>
        <v>6493.0400000000009</v>
      </c>
      <c r="L37" s="249">
        <f t="shared" si="4"/>
        <v>-6.4000000000000001E-2</v>
      </c>
    </row>
    <row r="38" spans="1:12" ht="14.5" x14ac:dyDescent="0.35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9"/>
    </row>
    <row r="39" spans="1:12" ht="14.5" x14ac:dyDescent="0.35">
      <c r="A39" s="248"/>
      <c r="B39" s="245"/>
      <c r="C39" s="245" t="s">
        <v>142</v>
      </c>
      <c r="D39" s="245"/>
      <c r="E39" s="247">
        <f>Sales_Input!AF33</f>
        <v>30.4</v>
      </c>
      <c r="F39" s="246" t="s">
        <v>194</v>
      </c>
      <c r="G39" s="245"/>
      <c r="H39" s="245"/>
      <c r="I39" s="245"/>
      <c r="J39" s="245"/>
      <c r="K39" s="245"/>
      <c r="L39" s="245"/>
    </row>
    <row r="40" spans="1:12" ht="14.5" x14ac:dyDescent="0.35">
      <c r="A40" s="248"/>
      <c r="B40" s="245"/>
      <c r="C40" s="245" t="s">
        <v>142</v>
      </c>
      <c r="D40" s="245"/>
      <c r="E40" s="247">
        <f>Sales_Input!AF34</f>
        <v>337.20000000000005</v>
      </c>
      <c r="F40" s="246" t="s">
        <v>193</v>
      </c>
      <c r="G40" s="245"/>
      <c r="H40" s="245"/>
      <c r="I40" s="245"/>
      <c r="J40" s="245"/>
      <c r="K40" s="245"/>
      <c r="L40" s="245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5" right="0.5" top="0.75" bottom="0.75" header="0.5" footer="0.5"/>
  <pageSetup scale="8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2D0A-47EB-4B1C-B367-9D12DF8BB31E}">
  <sheetPr codeName="Sheet3">
    <tabColor rgb="FFFFFF00"/>
  </sheetPr>
  <dimension ref="A1:J48"/>
  <sheetViews>
    <sheetView workbookViewId="0"/>
  </sheetViews>
  <sheetFormatPr defaultRowHeight="14.4" customHeight="1" x14ac:dyDescent="0.35"/>
  <cols>
    <col min="1" max="1" width="1.1796875" customWidth="1"/>
    <col min="2" max="2" width="8.453125" bestFit="1" customWidth="1"/>
    <col min="3" max="3" width="25.1796875" bestFit="1" customWidth="1"/>
    <col min="4" max="4" width="14.54296875" customWidth="1"/>
    <col min="5" max="5" width="14.54296875" bestFit="1" customWidth="1"/>
    <col min="6" max="9" width="14.54296875" customWidth="1"/>
  </cols>
  <sheetData>
    <row r="1" spans="1:4" ht="14.5" x14ac:dyDescent="0.35">
      <c r="A1" s="2" t="str">
        <f>'Rate Design'!A2</f>
        <v>COLUMBIA GAS OF KENTUCKY, INC.</v>
      </c>
    </row>
    <row r="2" spans="1:4" ht="14.5" x14ac:dyDescent="0.35">
      <c r="A2" s="2" t="str">
        <f>'Rate Design'!A3</f>
        <v>FORECASTED PERIOD 12/31/2024 TO 12/31/2025</v>
      </c>
    </row>
    <row r="3" spans="1:4" ht="14.5" x14ac:dyDescent="0.35"/>
    <row r="4" spans="1:4" ht="14.5" x14ac:dyDescent="0.35">
      <c r="A4" s="1" t="s">
        <v>331</v>
      </c>
    </row>
    <row r="5" spans="1:4" ht="14.5" x14ac:dyDescent="0.35"/>
    <row r="6" spans="1:4" ht="14.5" x14ac:dyDescent="0.35">
      <c r="B6" s="1" t="s">
        <v>67</v>
      </c>
      <c r="C6" s="1" t="s">
        <v>68</v>
      </c>
    </row>
    <row r="7" spans="1:4" ht="14.5" x14ac:dyDescent="0.35"/>
    <row r="8" spans="1:4" ht="14.5" x14ac:dyDescent="0.35">
      <c r="C8" t="s">
        <v>321</v>
      </c>
      <c r="D8" s="107">
        <f>SUM('Revenue Spread'!D7,'Revenue Spread'!D10:D11)</f>
        <v>150357677.59999999</v>
      </c>
    </row>
    <row r="9" spans="1:4" ht="14.5" x14ac:dyDescent="0.35">
      <c r="C9" t="s">
        <v>341</v>
      </c>
      <c r="D9" s="302">
        <v>14313000</v>
      </c>
    </row>
    <row r="10" spans="1:4" ht="14.5" x14ac:dyDescent="0.35">
      <c r="C10" t="s">
        <v>342</v>
      </c>
      <c r="D10" s="274">
        <f>SUM(D8:D9)</f>
        <v>164670677.59999999</v>
      </c>
    </row>
    <row r="11" spans="1:4" ht="14.5" x14ac:dyDescent="0.35">
      <c r="C11" t="s">
        <v>334</v>
      </c>
      <c r="D11" s="113">
        <f>'Revenue Spread'!D10+'Revenue Spread'!D11</f>
        <v>36612362.459999993</v>
      </c>
    </row>
    <row r="12" spans="1:4" ht="14.5" x14ac:dyDescent="0.35">
      <c r="C12" t="s">
        <v>343</v>
      </c>
      <c r="D12" s="274">
        <f>D10-D11</f>
        <v>128058315.14</v>
      </c>
    </row>
    <row r="13" spans="1:4" ht="14.5" x14ac:dyDescent="0.35"/>
    <row r="14" spans="1:4" ht="14.5" x14ac:dyDescent="0.35">
      <c r="C14" s="1" t="s">
        <v>69</v>
      </c>
    </row>
    <row r="15" spans="1:4" ht="14.5" x14ac:dyDescent="0.35"/>
    <row r="16" spans="1:4" ht="14.5" x14ac:dyDescent="0.35">
      <c r="C16" s="112" t="s">
        <v>73</v>
      </c>
    </row>
    <row r="17" spans="3:10" ht="16" x14ac:dyDescent="0.5">
      <c r="C17" s="111"/>
      <c r="D17" s="109" t="s">
        <v>72</v>
      </c>
      <c r="E17" s="109" t="s">
        <v>60</v>
      </c>
      <c r="F17" s="109" t="s">
        <v>61</v>
      </c>
      <c r="G17" s="109" t="s">
        <v>30</v>
      </c>
      <c r="H17" s="109" t="s">
        <v>31</v>
      </c>
      <c r="I17" s="109" t="s">
        <v>62</v>
      </c>
    </row>
    <row r="18" spans="3:10" ht="14.5" x14ac:dyDescent="0.35">
      <c r="C18" s="111" t="s">
        <v>74</v>
      </c>
      <c r="D18" s="113">
        <f>SUM(E18:I18)</f>
        <v>137518334.84807333</v>
      </c>
      <c r="E18" s="107">
        <f>'Revenue Spread'!E9</f>
        <v>88616441.755114332</v>
      </c>
      <c r="F18" s="107">
        <f>'Revenue Spread'!F9</f>
        <v>37861641.701684915</v>
      </c>
      <c r="G18" s="107">
        <f>'Revenue Spread'!G9</f>
        <v>39541.7516075327</v>
      </c>
      <c r="H18" s="107">
        <f>'Revenue Spread'!H9</f>
        <v>752194.74950168375</v>
      </c>
      <c r="I18" s="107">
        <f>'Revenue Spread'!I9</f>
        <v>10248514.890164869</v>
      </c>
    </row>
    <row r="19" spans="3:10" ht="14.5" x14ac:dyDescent="0.35">
      <c r="C19" s="111" t="s">
        <v>70</v>
      </c>
      <c r="D19" s="110">
        <f>SUM(E19:I19)</f>
        <v>1</v>
      </c>
      <c r="E19" s="273">
        <f>E18/SUM($E18:$I18)</f>
        <v>0.64439728602746293</v>
      </c>
      <c r="F19" s="273">
        <f>F18/SUM($E18:$I18)</f>
        <v>0.27532068173682783</v>
      </c>
      <c r="G19" s="273">
        <f>G18/SUM($E18:$I18)</f>
        <v>2.8753803375540721E-4</v>
      </c>
      <c r="H19" s="273">
        <f>H18/SUM($E18:$I18)</f>
        <v>5.4697779051258062E-3</v>
      </c>
      <c r="I19" s="273">
        <f>I18/SUM($E18:$I18)</f>
        <v>7.4524716296828067E-2</v>
      </c>
      <c r="J19" s="26">
        <f>SUM(E19:I19)-1</f>
        <v>0</v>
      </c>
    </row>
    <row r="20" spans="3:10" ht="14.5" x14ac:dyDescent="0.35">
      <c r="J20" s="26"/>
    </row>
    <row r="21" spans="3:10" ht="14.5" x14ac:dyDescent="0.35">
      <c r="C21" s="112" t="s">
        <v>339</v>
      </c>
      <c r="J21" s="26"/>
    </row>
    <row r="22" spans="3:10" ht="16" x14ac:dyDescent="0.5">
      <c r="D22" s="109" t="s">
        <v>72</v>
      </c>
      <c r="E22" s="109" t="s">
        <v>60</v>
      </c>
      <c r="F22" s="109" t="s">
        <v>61</v>
      </c>
      <c r="G22" s="109" t="s">
        <v>30</v>
      </c>
      <c r="H22" s="109" t="s">
        <v>31</v>
      </c>
      <c r="I22" s="109" t="s">
        <v>62</v>
      </c>
      <c r="J22" s="26"/>
    </row>
    <row r="23" spans="3:10" ht="14.5" x14ac:dyDescent="0.35">
      <c r="C23" s="111" t="s">
        <v>76</v>
      </c>
      <c r="D23" s="113">
        <f>D10-D11</f>
        <v>128058315.14</v>
      </c>
      <c r="E23" s="113">
        <f>E19*$D23</f>
        <v>82520430.729465574</v>
      </c>
      <c r="F23" s="113">
        <f>F19*$D23</f>
        <v>35257102.626414344</v>
      </c>
      <c r="G23" s="113">
        <f>G19*$D23</f>
        <v>36821.636141385898</v>
      </c>
      <c r="H23" s="113">
        <f>H19*$D23</f>
        <v>700450.54272040958</v>
      </c>
      <c r="I23" s="113">
        <f>I19*$D23</f>
        <v>9543509.6052583028</v>
      </c>
      <c r="J23" s="26">
        <f>SUM(E23:I23)-D23</f>
        <v>0</v>
      </c>
    </row>
    <row r="24" spans="3:10" ht="14.5" x14ac:dyDescent="0.35">
      <c r="C24" s="111"/>
      <c r="D24" s="113"/>
      <c r="E24" s="113"/>
      <c r="F24" s="113"/>
      <c r="G24" s="113"/>
      <c r="H24" s="113"/>
      <c r="I24" s="113"/>
      <c r="J24" s="113"/>
    </row>
    <row r="25" spans="3:10" ht="14.5" x14ac:dyDescent="0.35"/>
    <row r="26" spans="3:10" ht="14.5" x14ac:dyDescent="0.35">
      <c r="C26" s="1" t="s">
        <v>40</v>
      </c>
    </row>
    <row r="27" spans="3:10" ht="16" x14ac:dyDescent="0.5">
      <c r="E27" s="109" t="s">
        <v>60</v>
      </c>
      <c r="F27" s="109" t="s">
        <v>61</v>
      </c>
      <c r="G27" s="109" t="s">
        <v>30</v>
      </c>
      <c r="H27" s="109" t="s">
        <v>31</v>
      </c>
      <c r="I27" s="109" t="s">
        <v>62</v>
      </c>
    </row>
    <row r="28" spans="3:10" ht="14.5" x14ac:dyDescent="0.35">
      <c r="C28" t="s">
        <v>84</v>
      </c>
      <c r="D28" s="111"/>
      <c r="E28" s="36">
        <f>'Rate Design'!D12</f>
        <v>19.75</v>
      </c>
      <c r="F28" s="36">
        <f>'Rate Design'!D26</f>
        <v>83.71</v>
      </c>
      <c r="G28" s="36">
        <f>'Rate Design'!D38</f>
        <v>945.24</v>
      </c>
      <c r="H28" s="36">
        <f>'Rate Design'!D45</f>
        <v>260.11</v>
      </c>
      <c r="I28" s="36">
        <f>'Rate Design'!D53</f>
        <v>3982.3</v>
      </c>
    </row>
    <row r="29" spans="3:10" ht="14.5" x14ac:dyDescent="0.35">
      <c r="C29" t="s">
        <v>85</v>
      </c>
      <c r="D29" s="111"/>
      <c r="E29" s="36">
        <v>27</v>
      </c>
      <c r="F29" s="36">
        <v>110</v>
      </c>
      <c r="G29" s="36">
        <v>1135</v>
      </c>
      <c r="H29" s="36">
        <v>300</v>
      </c>
      <c r="I29" s="36">
        <v>5000</v>
      </c>
    </row>
    <row r="30" spans="3:10" ht="14.5" x14ac:dyDescent="0.35">
      <c r="D30" s="111"/>
      <c r="E30" s="36"/>
      <c r="F30" s="36"/>
      <c r="G30" s="36"/>
      <c r="H30" s="36">
        <v>600</v>
      </c>
      <c r="I30" s="36"/>
    </row>
    <row r="31" spans="3:10" ht="14.5" x14ac:dyDescent="0.35">
      <c r="C31" t="s">
        <v>340</v>
      </c>
      <c r="D31" s="111"/>
      <c r="E31" s="114">
        <v>21.25</v>
      </c>
      <c r="F31" s="114">
        <f>F29</f>
        <v>110</v>
      </c>
      <c r="G31" s="114">
        <f>G29</f>
        <v>1135</v>
      </c>
      <c r="H31" s="114">
        <f>H29</f>
        <v>300</v>
      </c>
      <c r="I31" s="114">
        <f>I29</f>
        <v>5000</v>
      </c>
      <c r="J31" s="108"/>
    </row>
    <row r="32" spans="3:10" ht="14.5" x14ac:dyDescent="0.35">
      <c r="H32" s="114">
        <f>H30</f>
        <v>600</v>
      </c>
    </row>
    <row r="33" spans="2:10" ht="14.5" x14ac:dyDescent="0.35"/>
    <row r="34" spans="2:10" ht="14.5" x14ac:dyDescent="0.35"/>
    <row r="35" spans="2:10" ht="14.5" x14ac:dyDescent="0.35">
      <c r="B35" s="1" t="s">
        <v>78</v>
      </c>
      <c r="C35" s="1" t="s">
        <v>79</v>
      </c>
    </row>
    <row r="36" spans="2:10" ht="16" x14ac:dyDescent="0.5">
      <c r="E36" s="109" t="s">
        <v>60</v>
      </c>
      <c r="F36" s="109" t="s">
        <v>61</v>
      </c>
      <c r="G36" s="109" t="s">
        <v>30</v>
      </c>
      <c r="H36" s="109" t="s">
        <v>31</v>
      </c>
      <c r="I36" s="109" t="s">
        <v>62</v>
      </c>
      <c r="J36" s="108"/>
    </row>
    <row r="37" spans="2:10" ht="14.5" x14ac:dyDescent="0.35">
      <c r="C37" t="s">
        <v>40</v>
      </c>
      <c r="E37" s="36">
        <f>'Rate Design'!F12</f>
        <v>21.25</v>
      </c>
      <c r="F37" s="36">
        <f>'Rate Design'!F26</f>
        <v>110</v>
      </c>
      <c r="G37" s="36">
        <f>'Rate Design'!F38</f>
        <v>1135</v>
      </c>
      <c r="H37" s="36" t="str">
        <f>TEXT('Rate Design'!F45,"$#.00")&amp;"/"&amp;TEXT('Rate Design'!F46,"$#.00")</f>
        <v>$300.00/$600.00</v>
      </c>
      <c r="I37" s="36">
        <f>'Rate Design'!F53</f>
        <v>5000</v>
      </c>
    </row>
    <row r="38" spans="2:10" ht="14.5" x14ac:dyDescent="0.35">
      <c r="C38" t="s">
        <v>80</v>
      </c>
      <c r="E38" s="65">
        <f>'Rate Design'!F13</f>
        <v>6.0972999999999997</v>
      </c>
      <c r="F38" s="65">
        <f>'Rate Design'!F27</f>
        <v>3.1591</v>
      </c>
      <c r="G38" s="65">
        <f>'Rate Design'!F39</f>
        <v>0.9204</v>
      </c>
      <c r="H38" s="65">
        <f>'Rate Design'!F47</f>
        <v>8.9200000000000002E-2</v>
      </c>
      <c r="I38" s="65">
        <f>'Rate Design'!F54</f>
        <v>0.75109999999999999</v>
      </c>
    </row>
    <row r="39" spans="2:10" ht="14.5" x14ac:dyDescent="0.35">
      <c r="C39" t="s">
        <v>81</v>
      </c>
      <c r="E39" s="65"/>
      <c r="F39" s="65">
        <f>'Rate Design'!F28</f>
        <v>2.4384000000000001</v>
      </c>
      <c r="G39" s="65"/>
      <c r="I39" s="65">
        <f>'Rate Design'!F55</f>
        <v>0.4637</v>
      </c>
    </row>
    <row r="40" spans="2:10" ht="14.5" x14ac:dyDescent="0.35">
      <c r="C40" t="s">
        <v>82</v>
      </c>
      <c r="E40" s="65"/>
      <c r="F40" s="65">
        <f>'Rate Design'!F29</f>
        <v>2.3178999999999998</v>
      </c>
      <c r="G40" s="65"/>
      <c r="H40" s="65"/>
      <c r="I40" s="65">
        <f>'Rate Design'!F56</f>
        <v>0.24229999999999999</v>
      </c>
    </row>
    <row r="41" spans="2:10" ht="14.5" x14ac:dyDescent="0.35">
      <c r="C41" t="s">
        <v>83</v>
      </c>
      <c r="E41" s="65"/>
      <c r="F41" s="65">
        <f>'Rate Design'!F30</f>
        <v>2.1084999999999998</v>
      </c>
      <c r="G41" s="65"/>
      <c r="H41" s="65"/>
      <c r="I41" s="65"/>
    </row>
    <row r="42" spans="2:10" ht="14.5" x14ac:dyDescent="0.35"/>
    <row r="43" spans="2:10" ht="14.5" x14ac:dyDescent="0.35">
      <c r="E43" s="113"/>
      <c r="F43" s="113"/>
      <c r="G43" s="113"/>
      <c r="H43" s="113"/>
      <c r="I43" s="113"/>
    </row>
    <row r="44" spans="2:10" ht="14.5" x14ac:dyDescent="0.35">
      <c r="C44" s="1" t="s">
        <v>325</v>
      </c>
      <c r="E44" s="113"/>
      <c r="F44" s="113"/>
      <c r="G44" s="113"/>
      <c r="H44" s="113"/>
      <c r="I44" s="113"/>
    </row>
    <row r="45" spans="2:10" ht="16" x14ac:dyDescent="0.5">
      <c r="D45" s="109" t="s">
        <v>72</v>
      </c>
      <c r="E45" s="109" t="s">
        <v>60</v>
      </c>
      <c r="F45" s="109" t="s">
        <v>61</v>
      </c>
      <c r="G45" s="109" t="s">
        <v>30</v>
      </c>
      <c r="H45" s="109" t="s">
        <v>31</v>
      </c>
      <c r="I45" s="109" t="s">
        <v>62</v>
      </c>
    </row>
    <row r="46" spans="2:10" ht="14.5" x14ac:dyDescent="0.35">
      <c r="C46" t="s">
        <v>335</v>
      </c>
      <c r="D46" s="110">
        <f>SUM(E46:I46)</f>
        <v>0.99999995808006736</v>
      </c>
      <c r="E46" s="284">
        <f>'Rate Design'!$J$22</f>
        <v>0.64660013805225891</v>
      </c>
      <c r="F46" s="284">
        <f>'Rate Design'!$J$34</f>
        <v>0.27626185733850056</v>
      </c>
      <c r="G46" s="284">
        <f>'Rate Design'!$J$41</f>
        <v>1.1779501045809045E-4</v>
      </c>
      <c r="H46" s="284">
        <f>'Rate Design'!$J$49</f>
        <v>2.2406902612108061E-3</v>
      </c>
      <c r="I46" s="284">
        <f>'Rate Design'!$J$58</f>
        <v>7.4779477417639059E-2</v>
      </c>
    </row>
    <row r="47" spans="2:10" ht="14.5" x14ac:dyDescent="0.35">
      <c r="C47" t="s">
        <v>326</v>
      </c>
      <c r="D47" s="297">
        <f>'Rate Design'!$I$66</f>
        <v>0.12583375510792047</v>
      </c>
      <c r="E47" s="284">
        <f>'Rate Design'!$I$22</f>
        <v>0.12631825092180482</v>
      </c>
      <c r="F47" s="284">
        <f>'Rate Design'!$I$34</f>
        <v>0.12631825161799975</v>
      </c>
      <c r="G47" s="284">
        <f>'Rate Design'!$I$41</f>
        <v>4.7985409703184913E-2</v>
      </c>
      <c r="H47" s="284">
        <f>'Rate Design'!$I$49</f>
        <v>4.7983244958841771E-2</v>
      </c>
      <c r="I47" s="284">
        <f>'Rate Design'!$I$58</f>
        <v>0.12631825218847245</v>
      </c>
    </row>
    <row r="48" spans="2:10" ht="14.5" x14ac:dyDescent="0.35">
      <c r="C48" t="s">
        <v>327</v>
      </c>
      <c r="D48" s="297">
        <f>'Revenue Spread'!D28</f>
        <v>9.5193010616173551E-2</v>
      </c>
      <c r="E48" s="284">
        <f>'Revenue Spread'!E28</f>
        <v>9.6166140534867967E-2</v>
      </c>
      <c r="F48" s="284">
        <f>'Revenue Spread'!F28</f>
        <v>8.8068648999234084E-2</v>
      </c>
      <c r="G48" s="284">
        <f>'Revenue Spread'!G28</f>
        <v>2.5561011582797569E-2</v>
      </c>
      <c r="H48" s="284">
        <f>'Revenue Spread'!H28</f>
        <v>4.7961492134128217E-2</v>
      </c>
      <c r="I48" s="284">
        <f>'Revenue Spread'!I28</f>
        <v>0.12610974227297744</v>
      </c>
    </row>
  </sheetData>
  <phoneticPr fontId="19" type="noConversion"/>
  <pageMargins left="0.7" right="0.7" top="0.75" bottom="0.75" header="0.3" footer="0.3"/>
  <pageSetup scale="7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99F2-F390-4874-846D-CCAC4611BAC1}">
  <sheetPr codeName="Sheet33">
    <tabColor theme="4" tint="0.79998168889431442"/>
    <pageSetUpPr fitToPage="1"/>
  </sheetPr>
  <dimension ref="A1:L36"/>
  <sheetViews>
    <sheetView workbookViewId="0">
      <selection sqref="A1:L1"/>
    </sheetView>
  </sheetViews>
  <sheetFormatPr defaultColWidth="10.1796875" defaultRowHeight="14.4" customHeight="1" x14ac:dyDescent="0.35"/>
  <cols>
    <col min="2" max="2" width="10.81640625" customWidth="1"/>
    <col min="3" max="3" width="10.54296875" customWidth="1"/>
    <col min="9" max="10" width="10.81640625" bestFit="1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44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311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30</v>
      </c>
      <c r="C20" s="251" t="s">
        <v>147</v>
      </c>
      <c r="D20" s="250">
        <v>250</v>
      </c>
      <c r="E20" s="235">
        <f>Sales_Input!$H$36+ROUND(Sales_Input!$C$36*IUS!D20,2)+ROUND(Sales_Input!$N$36*IUS!D20,2)+ROUND(Sales_Input!$J$36*IUS!D20,2)+ROUND(Sales_Input!$K$36*IUS!D20,2)</f>
        <v>1297.5999999999999</v>
      </c>
      <c r="F20" s="235">
        <f>Sales_Input!$Y$36+ROUND(Sales_Input!$T$36*IUS!D20,2)+ROUND((Sales_Input!$N$36+Sales_Input!$Z$36)*IUS!D20,2)</f>
        <v>1368.1999999999998</v>
      </c>
      <c r="G20" s="235">
        <f t="shared" ref="G20:G34" si="0">F20-E20</f>
        <v>70.599999999999909</v>
      </c>
      <c r="H20" s="249">
        <f t="shared" ref="H20:H34" si="1">ROUND(G20/E20,3)</f>
        <v>5.3999999999999999E-2</v>
      </c>
      <c r="I20" s="235">
        <f>ROUND(D20*SUM(Sales_Input!$O$36:$R$36),2)</f>
        <v>738.4</v>
      </c>
      <c r="J20" s="235">
        <f t="shared" ref="J20:J34" si="2">E20+I20</f>
        <v>2036</v>
      </c>
      <c r="K20" s="235">
        <f t="shared" ref="K20:K34" si="3">F20+I20</f>
        <v>2106.6</v>
      </c>
      <c r="L20" s="249">
        <f t="shared" ref="L20:L34" si="4">ROUND((K20-J20)/J20,3)</f>
        <v>3.5000000000000003E-2</v>
      </c>
    </row>
    <row r="21" spans="1:12" ht="14.4" customHeight="1" x14ac:dyDescent="0.35">
      <c r="A21" s="251">
        <v>2</v>
      </c>
      <c r="B21" s="251" t="s">
        <v>310</v>
      </c>
      <c r="C21" s="251" t="s">
        <v>145</v>
      </c>
      <c r="D21" s="250">
        <f>D36</f>
        <v>433.8</v>
      </c>
      <c r="E21" s="235">
        <f>Sales_Input!$H$36+ROUND(Sales_Input!$C$36*IUS!D21,2)+ROUND(Sales_Input!$N$36*IUS!D21,2)+ROUND(Sales_Input!$J$36*IUS!D21,2)+ROUND(Sales_Input!$K$36*IUS!D21,2)</f>
        <v>1556.64</v>
      </c>
      <c r="F21" s="235">
        <f>Sales_Input!$Y$36+ROUND(Sales_Input!$T$36*IUS!D21,2)+ROUND((Sales_Input!$N$36+Sales_Input!$Z$36)*IUS!D21,2)</f>
        <v>1539.65</v>
      </c>
      <c r="G21" s="235">
        <f t="shared" si="0"/>
        <v>-16.990000000000009</v>
      </c>
      <c r="H21" s="249">
        <f t="shared" si="1"/>
        <v>-1.0999999999999999E-2</v>
      </c>
      <c r="I21" s="235">
        <f>ROUND(D21*SUM(Sales_Input!$O$36:$R$36),2)</f>
        <v>1281.27</v>
      </c>
      <c r="J21" s="235">
        <f t="shared" si="2"/>
        <v>2837.91</v>
      </c>
      <c r="K21" s="235">
        <f t="shared" si="3"/>
        <v>2820.92</v>
      </c>
      <c r="L21" s="249">
        <f t="shared" si="4"/>
        <v>-6.0000000000000001E-3</v>
      </c>
    </row>
    <row r="22" spans="1:12" ht="14.4" customHeight="1" x14ac:dyDescent="0.35">
      <c r="A22" s="251">
        <v>3</v>
      </c>
      <c r="B22" s="251" t="s">
        <v>309</v>
      </c>
      <c r="C22" s="245"/>
      <c r="D22" s="250">
        <v>500</v>
      </c>
      <c r="E22" s="235">
        <f>Sales_Input!$H$36+ROUND(Sales_Input!$C$36*IUS!D22,2)+ROUND(Sales_Input!$N$36*IUS!D22,2)+ROUND(Sales_Input!$J$36*IUS!D22,2)+ROUND(Sales_Input!$K$36*IUS!D22,2)</f>
        <v>1649.94</v>
      </c>
      <c r="F22" s="235">
        <f>Sales_Input!$Y$36+ROUND(Sales_Input!$T$36*IUS!D22,2)+ROUND((Sales_Input!$N$36+Sales_Input!$Z$36)*IUS!D22,2)</f>
        <v>1601.4</v>
      </c>
      <c r="G22" s="235">
        <f t="shared" si="0"/>
        <v>-48.539999999999964</v>
      </c>
      <c r="H22" s="249">
        <f t="shared" si="1"/>
        <v>-2.9000000000000001E-2</v>
      </c>
      <c r="I22" s="235">
        <f>ROUND(D22*SUM(Sales_Input!$O$36:$R$36),2)</f>
        <v>1476.8</v>
      </c>
      <c r="J22" s="235">
        <f t="shared" si="2"/>
        <v>3126.74</v>
      </c>
      <c r="K22" s="235">
        <f t="shared" si="3"/>
        <v>3078.2</v>
      </c>
      <c r="L22" s="249">
        <f t="shared" si="4"/>
        <v>-1.6E-2</v>
      </c>
    </row>
    <row r="23" spans="1:12" ht="14.4" customHeight="1" x14ac:dyDescent="0.35">
      <c r="A23" s="251">
        <v>4</v>
      </c>
      <c r="B23" s="251" t="s">
        <v>200</v>
      </c>
      <c r="C23" s="245"/>
      <c r="D23" s="250">
        <v>600</v>
      </c>
      <c r="E23" s="235">
        <f>Sales_Input!$H$36+ROUND(Sales_Input!$C$36*IUS!D23,2)+ROUND(Sales_Input!$N$36*IUS!D23,2)+ROUND(Sales_Input!$J$36*IUS!D23,2)+ROUND(Sales_Input!$K$36*IUS!D23,2)</f>
        <v>1790.88</v>
      </c>
      <c r="F23" s="235">
        <f>Sales_Input!$Y$36+ROUND(Sales_Input!$T$36*IUS!D23,2)+ROUND((Sales_Input!$N$36+Sales_Input!$Z$36)*IUS!D23,2)</f>
        <v>1694.68</v>
      </c>
      <c r="G23" s="235">
        <f t="shared" si="0"/>
        <v>-96.200000000000045</v>
      </c>
      <c r="H23" s="249">
        <f t="shared" si="1"/>
        <v>-5.3999999999999999E-2</v>
      </c>
      <c r="I23" s="235">
        <f>ROUND(D23*SUM(Sales_Input!$O$36:$R$36),2)</f>
        <v>1772.16</v>
      </c>
      <c r="J23" s="235">
        <f t="shared" si="2"/>
        <v>3563.04</v>
      </c>
      <c r="K23" s="235">
        <f t="shared" si="3"/>
        <v>3466.84</v>
      </c>
      <c r="L23" s="249">
        <f t="shared" si="4"/>
        <v>-2.7E-2</v>
      </c>
    </row>
    <row r="24" spans="1:12" ht="14.4" customHeight="1" x14ac:dyDescent="0.35">
      <c r="A24" s="251">
        <v>5</v>
      </c>
      <c r="B24" s="251" t="s">
        <v>308</v>
      </c>
      <c r="C24" s="245"/>
      <c r="D24" s="250">
        <v>650</v>
      </c>
      <c r="E24" s="235">
        <f>Sales_Input!$H$36+ROUND(Sales_Input!$C$36*IUS!D24,2)+ROUND(Sales_Input!$N$36*IUS!D24,2)+ROUND(Sales_Input!$J$36*IUS!D24,2)+ROUND(Sales_Input!$K$36*IUS!D24,2)</f>
        <v>1861.36</v>
      </c>
      <c r="F24" s="235">
        <f>Sales_Input!$Y$36+ROUND(Sales_Input!$T$36*IUS!D24,2)+ROUND((Sales_Input!$N$36+Sales_Input!$Z$36)*IUS!D24,2)</f>
        <v>1741.32</v>
      </c>
      <c r="G24" s="235">
        <f t="shared" si="0"/>
        <v>-120.03999999999996</v>
      </c>
      <c r="H24" s="249">
        <f t="shared" si="1"/>
        <v>-6.4000000000000001E-2</v>
      </c>
      <c r="I24" s="235">
        <f>ROUND(D24*SUM(Sales_Input!$O$36:$R$36),2)</f>
        <v>1919.84</v>
      </c>
      <c r="J24" s="235">
        <f t="shared" si="2"/>
        <v>3781.2</v>
      </c>
      <c r="K24" s="235">
        <f t="shared" si="3"/>
        <v>3661.16</v>
      </c>
      <c r="L24" s="249">
        <f t="shared" si="4"/>
        <v>-3.2000000000000001E-2</v>
      </c>
    </row>
    <row r="25" spans="1:12" ht="14.4" customHeight="1" x14ac:dyDescent="0.35">
      <c r="A25" s="251">
        <v>6</v>
      </c>
      <c r="B25" s="245"/>
      <c r="C25" s="245"/>
      <c r="D25" s="250">
        <v>700</v>
      </c>
      <c r="E25" s="235">
        <f>Sales_Input!$H$36+ROUND(Sales_Input!$C$36*IUS!D25,2)+ROUND(Sales_Input!$N$36*IUS!D25,2)+ROUND(Sales_Input!$J$36*IUS!D25,2)+ROUND(Sales_Input!$K$36*IUS!D25,2)</f>
        <v>1931.82</v>
      </c>
      <c r="F25" s="235">
        <f>Sales_Input!$Y$36+ROUND(Sales_Input!$T$36*IUS!D25,2)+ROUND((Sales_Input!$N$36+Sales_Input!$Z$36)*IUS!D25,2)</f>
        <v>1787.96</v>
      </c>
      <c r="G25" s="235">
        <f t="shared" si="0"/>
        <v>-143.8599999999999</v>
      </c>
      <c r="H25" s="249">
        <f t="shared" si="1"/>
        <v>-7.3999999999999996E-2</v>
      </c>
      <c r="I25" s="235">
        <f>ROUND(D25*SUM(Sales_Input!$O$36:$R$36),2)</f>
        <v>2067.52</v>
      </c>
      <c r="J25" s="235">
        <f t="shared" si="2"/>
        <v>3999.34</v>
      </c>
      <c r="K25" s="235">
        <f t="shared" si="3"/>
        <v>3855.48</v>
      </c>
      <c r="L25" s="249">
        <f t="shared" si="4"/>
        <v>-3.5999999999999997E-2</v>
      </c>
    </row>
    <row r="26" spans="1:12" ht="14.4" customHeight="1" x14ac:dyDescent="0.35">
      <c r="A26" s="251">
        <v>7</v>
      </c>
      <c r="B26" s="252"/>
      <c r="C26" s="245"/>
      <c r="D26" s="250">
        <v>750</v>
      </c>
      <c r="E26" s="235">
        <f>Sales_Input!$H$36+ROUND(Sales_Input!$C$36*IUS!D26,2)+ROUND(Sales_Input!$N$36*IUS!D26,2)+ROUND(Sales_Input!$J$36*IUS!D26,2)+ROUND(Sales_Input!$K$36*IUS!D26,2)</f>
        <v>2002.3</v>
      </c>
      <c r="F26" s="235">
        <f>Sales_Input!$Y$36+ROUND(Sales_Input!$T$36*IUS!D26,2)+ROUND((Sales_Input!$N$36+Sales_Input!$Z$36)*IUS!D26,2)</f>
        <v>1834.6</v>
      </c>
      <c r="G26" s="235">
        <f t="shared" si="0"/>
        <v>-167.70000000000005</v>
      </c>
      <c r="H26" s="249">
        <f t="shared" si="1"/>
        <v>-8.4000000000000005E-2</v>
      </c>
      <c r="I26" s="235">
        <f>ROUND(D26*SUM(Sales_Input!$O$36:$R$36),2)</f>
        <v>2215.1999999999998</v>
      </c>
      <c r="J26" s="235">
        <f t="shared" si="2"/>
        <v>4217.5</v>
      </c>
      <c r="K26" s="235">
        <f t="shared" si="3"/>
        <v>4049.7999999999997</v>
      </c>
      <c r="L26" s="249">
        <f t="shared" si="4"/>
        <v>-0.04</v>
      </c>
    </row>
    <row r="27" spans="1:12" ht="14.4" customHeight="1" x14ac:dyDescent="0.35">
      <c r="A27" s="251">
        <v>8</v>
      </c>
      <c r="B27" s="245"/>
      <c r="C27" s="245"/>
      <c r="D27" s="250">
        <v>800</v>
      </c>
      <c r="E27" s="235">
        <f>Sales_Input!$H$36+ROUND(Sales_Input!$C$36*IUS!D27,2)+ROUND(Sales_Input!$N$36*IUS!D27,2)+ROUND(Sales_Input!$J$36*IUS!D27,2)+ROUND(Sales_Input!$K$36*IUS!D27,2)</f>
        <v>2072.7600000000002</v>
      </c>
      <c r="F27" s="235">
        <f>Sales_Input!$Y$36+ROUND(Sales_Input!$T$36*IUS!D27,2)+ROUND((Sales_Input!$N$36+Sales_Input!$Z$36)*IUS!D27,2)</f>
        <v>1881.2400000000002</v>
      </c>
      <c r="G27" s="235">
        <f t="shared" si="0"/>
        <v>-191.51999999999998</v>
      </c>
      <c r="H27" s="249">
        <f t="shared" si="1"/>
        <v>-9.1999999999999998E-2</v>
      </c>
      <c r="I27" s="235">
        <f>ROUND(D27*SUM(Sales_Input!$O$36:$R$36),2)</f>
        <v>2362.88</v>
      </c>
      <c r="J27" s="235">
        <f t="shared" si="2"/>
        <v>4435.6400000000003</v>
      </c>
      <c r="K27" s="235">
        <f t="shared" si="3"/>
        <v>4244.1200000000008</v>
      </c>
      <c r="L27" s="249">
        <f t="shared" si="4"/>
        <v>-4.2999999999999997E-2</v>
      </c>
    </row>
    <row r="28" spans="1:12" ht="14.4" customHeight="1" x14ac:dyDescent="0.35">
      <c r="A28" s="251">
        <v>9</v>
      </c>
      <c r="B28" s="245"/>
      <c r="C28" s="245"/>
      <c r="D28" s="250">
        <v>900</v>
      </c>
      <c r="E28" s="235">
        <f>Sales_Input!$H$36+ROUND(Sales_Input!$C$36*IUS!D28,2)+ROUND(Sales_Input!$N$36*IUS!D28,2)+ROUND(Sales_Input!$J$36*IUS!D28,2)+ROUND(Sales_Input!$K$36*IUS!D28,2)</f>
        <v>2213.6999999999998</v>
      </c>
      <c r="F28" s="235">
        <f>Sales_Input!$Y$36+ROUND(Sales_Input!$T$36*IUS!D28,2)+ROUND((Sales_Input!$N$36+Sales_Input!$Z$36)*IUS!D28,2)</f>
        <v>1974.5200000000002</v>
      </c>
      <c r="G28" s="235">
        <f t="shared" si="0"/>
        <v>-239.17999999999961</v>
      </c>
      <c r="H28" s="249">
        <f t="shared" si="1"/>
        <v>-0.108</v>
      </c>
      <c r="I28" s="235">
        <f>ROUND(D28*SUM(Sales_Input!$O$36:$R$36),2)</f>
        <v>2658.24</v>
      </c>
      <c r="J28" s="235">
        <f t="shared" si="2"/>
        <v>4871.9399999999996</v>
      </c>
      <c r="K28" s="235">
        <f t="shared" si="3"/>
        <v>4632.76</v>
      </c>
      <c r="L28" s="249">
        <f t="shared" si="4"/>
        <v>-4.9000000000000002E-2</v>
      </c>
    </row>
    <row r="29" spans="1:12" ht="14.4" customHeight="1" x14ac:dyDescent="0.35">
      <c r="A29" s="251">
        <v>10</v>
      </c>
      <c r="B29" s="245"/>
      <c r="C29" s="245"/>
      <c r="D29" s="250">
        <v>1000</v>
      </c>
      <c r="E29" s="235">
        <f>Sales_Input!$H$36+ROUND(Sales_Input!$C$36*IUS!D29,2)+ROUND(Sales_Input!$N$36*IUS!D29,2)+ROUND(Sales_Input!$J$36*IUS!D29,2)+ROUND(Sales_Input!$K$36*IUS!D29,2)</f>
        <v>2354.6400000000003</v>
      </c>
      <c r="F29" s="235">
        <f>Sales_Input!$Y$36+ROUND(Sales_Input!$T$36*IUS!D29,2)+ROUND((Sales_Input!$N$36+Sales_Input!$Z$36)*IUS!D29,2)</f>
        <v>2067.8000000000002</v>
      </c>
      <c r="G29" s="235">
        <f t="shared" si="0"/>
        <v>-286.84000000000015</v>
      </c>
      <c r="H29" s="249">
        <f t="shared" si="1"/>
        <v>-0.122</v>
      </c>
      <c r="I29" s="235">
        <f>ROUND(D29*SUM(Sales_Input!$O$36:$R$36),2)</f>
        <v>2953.6</v>
      </c>
      <c r="J29" s="235">
        <f t="shared" si="2"/>
        <v>5308.24</v>
      </c>
      <c r="K29" s="235">
        <f t="shared" si="3"/>
        <v>5021.3999999999996</v>
      </c>
      <c r="L29" s="249">
        <f t="shared" si="4"/>
        <v>-5.3999999999999999E-2</v>
      </c>
    </row>
    <row r="30" spans="1:12" ht="14.4" customHeight="1" x14ac:dyDescent="0.35">
      <c r="A30" s="251">
        <v>11</v>
      </c>
      <c r="B30" s="245"/>
      <c r="C30" s="245"/>
      <c r="D30" s="250">
        <v>2000</v>
      </c>
      <c r="E30" s="235">
        <f>Sales_Input!$H$36+ROUND(Sales_Input!$C$36*IUS!D30,2)+ROUND(Sales_Input!$N$36*IUS!D30,2)+ROUND(Sales_Input!$J$36*IUS!D30,2)+ROUND(Sales_Input!$K$36*IUS!D30,2)</f>
        <v>3764.04</v>
      </c>
      <c r="F30" s="235">
        <f>Sales_Input!$Y$36+ROUND(Sales_Input!$T$36*IUS!D30,2)+ROUND((Sales_Input!$N$36+Sales_Input!$Z$36)*IUS!D30,2)</f>
        <v>3000.6000000000004</v>
      </c>
      <c r="G30" s="235">
        <f t="shared" si="0"/>
        <v>-763.4399999999996</v>
      </c>
      <c r="H30" s="249">
        <f t="shared" si="1"/>
        <v>-0.20300000000000001</v>
      </c>
      <c r="I30" s="235">
        <f>ROUND(D30*SUM(Sales_Input!$O$36:$R$36),2)</f>
        <v>5907.2</v>
      </c>
      <c r="J30" s="235">
        <f t="shared" si="2"/>
        <v>9671.24</v>
      </c>
      <c r="K30" s="235">
        <f t="shared" si="3"/>
        <v>8907.7999999999993</v>
      </c>
      <c r="L30" s="249">
        <f t="shared" si="4"/>
        <v>-7.9000000000000001E-2</v>
      </c>
    </row>
    <row r="31" spans="1:12" ht="14.4" customHeight="1" x14ac:dyDescent="0.35">
      <c r="A31" s="251">
        <v>12</v>
      </c>
      <c r="B31" s="245"/>
      <c r="C31" s="245"/>
      <c r="D31" s="250">
        <v>3000</v>
      </c>
      <c r="E31" s="235">
        <f>Sales_Input!$H$36+ROUND(Sales_Input!$C$36*IUS!D31,2)+ROUND(Sales_Input!$N$36*IUS!D31,2)+ROUND(Sales_Input!$J$36*IUS!D31,2)+ROUND(Sales_Input!$K$36*IUS!D31,2)</f>
        <v>5173.4399999999996</v>
      </c>
      <c r="F31" s="235">
        <f>Sales_Input!$Y$36+ROUND(Sales_Input!$T$36*IUS!D31,2)+ROUND((Sales_Input!$N$36+Sales_Input!$Z$36)*IUS!D31,2)</f>
        <v>3933.3999999999996</v>
      </c>
      <c r="G31" s="235">
        <f t="shared" si="0"/>
        <v>-1240.04</v>
      </c>
      <c r="H31" s="249">
        <f t="shared" si="1"/>
        <v>-0.24</v>
      </c>
      <c r="I31" s="235">
        <f>ROUND(D31*SUM(Sales_Input!$O$36:$R$36),2)</f>
        <v>8860.7999999999993</v>
      </c>
      <c r="J31" s="235">
        <f t="shared" si="2"/>
        <v>14034.239999999998</v>
      </c>
      <c r="K31" s="235">
        <f t="shared" si="3"/>
        <v>12794.199999999999</v>
      </c>
      <c r="L31" s="249">
        <f t="shared" si="4"/>
        <v>-8.7999999999999995E-2</v>
      </c>
    </row>
    <row r="32" spans="1:12" ht="14.4" customHeight="1" x14ac:dyDescent="0.35">
      <c r="A32" s="251">
        <v>13</v>
      </c>
      <c r="B32" s="245"/>
      <c r="C32" s="245"/>
      <c r="D32" s="250">
        <v>4000</v>
      </c>
      <c r="E32" s="235">
        <f>Sales_Input!$H$36+ROUND(Sales_Input!$C$36*IUS!D32,2)+ROUND(Sales_Input!$N$36*IUS!D32,2)+ROUND(Sales_Input!$J$36*IUS!D32,2)+ROUND(Sales_Input!$K$36*IUS!D32,2)</f>
        <v>6582.84</v>
      </c>
      <c r="F32" s="235">
        <f>Sales_Input!$Y$36+ROUND(Sales_Input!$T$36*IUS!D32,2)+ROUND((Sales_Input!$N$36+Sales_Input!$Z$36)*IUS!D32,2)</f>
        <v>4866.2000000000007</v>
      </c>
      <c r="G32" s="235">
        <f t="shared" si="0"/>
        <v>-1716.6399999999994</v>
      </c>
      <c r="H32" s="249">
        <f t="shared" si="1"/>
        <v>-0.26100000000000001</v>
      </c>
      <c r="I32" s="235">
        <f>ROUND(D32*SUM(Sales_Input!$O$36:$R$36),2)</f>
        <v>11814.4</v>
      </c>
      <c r="J32" s="235">
        <f t="shared" si="2"/>
        <v>18397.239999999998</v>
      </c>
      <c r="K32" s="235">
        <f t="shared" si="3"/>
        <v>16680.599999999999</v>
      </c>
      <c r="L32" s="249">
        <f t="shared" si="4"/>
        <v>-9.2999999999999999E-2</v>
      </c>
    </row>
    <row r="33" spans="1:12" ht="14.4" customHeight="1" x14ac:dyDescent="0.35">
      <c r="A33" s="251">
        <v>14</v>
      </c>
      <c r="B33" s="245"/>
      <c r="C33" s="245"/>
      <c r="D33" s="250">
        <v>5000</v>
      </c>
      <c r="E33" s="235">
        <f>Sales_Input!$H$36+ROUND(Sales_Input!$C$36*IUS!D33,2)+ROUND(Sales_Input!$N$36*IUS!D33,2)+ROUND(Sales_Input!$J$36*IUS!D33,2)+ROUND(Sales_Input!$K$36*IUS!D33,2)</f>
        <v>7992.24</v>
      </c>
      <c r="F33" s="235">
        <f>Sales_Input!$Y$36+ROUND(Sales_Input!$T$36*IUS!D33,2)+ROUND((Sales_Input!$N$36+Sales_Input!$Z$36)*IUS!D33,2)</f>
        <v>5799</v>
      </c>
      <c r="G33" s="235">
        <f t="shared" si="0"/>
        <v>-2193.2399999999998</v>
      </c>
      <c r="H33" s="249">
        <f t="shared" si="1"/>
        <v>-0.27400000000000002</v>
      </c>
      <c r="I33" s="235">
        <f>ROUND(D33*SUM(Sales_Input!$O$36:$R$36),2)</f>
        <v>14768</v>
      </c>
      <c r="J33" s="235">
        <f t="shared" si="2"/>
        <v>22760.239999999998</v>
      </c>
      <c r="K33" s="235">
        <f t="shared" si="3"/>
        <v>20567</v>
      </c>
      <c r="L33" s="249">
        <f t="shared" si="4"/>
        <v>-9.6000000000000002E-2</v>
      </c>
    </row>
    <row r="34" spans="1:12" ht="14.4" customHeight="1" x14ac:dyDescent="0.35">
      <c r="A34" s="251">
        <v>15</v>
      </c>
      <c r="B34" s="245"/>
      <c r="C34" s="245"/>
      <c r="D34" s="250">
        <v>6000</v>
      </c>
      <c r="E34" s="235">
        <f>Sales_Input!$H$36+ROUND(Sales_Input!$C$36*IUS!D34,2)+ROUND(Sales_Input!$N$36*IUS!D34,2)+ROUND(Sales_Input!$J$36*IUS!D34,2)+ROUND(Sales_Input!$K$36*IUS!D34,2)</f>
        <v>9401.64</v>
      </c>
      <c r="F34" s="235">
        <f>Sales_Input!$Y$36+ROUND(Sales_Input!$T$36*IUS!D34,2)+ROUND((Sales_Input!$N$36+Sales_Input!$Z$36)*IUS!D34,2)</f>
        <v>6731.7999999999993</v>
      </c>
      <c r="G34" s="235">
        <f t="shared" si="0"/>
        <v>-2669.84</v>
      </c>
      <c r="H34" s="249">
        <f t="shared" si="1"/>
        <v>-0.28399999999999997</v>
      </c>
      <c r="I34" s="235">
        <f>ROUND(D34*SUM(Sales_Input!$O$36:$R$36),2)</f>
        <v>17721.599999999999</v>
      </c>
      <c r="J34" s="235">
        <f t="shared" si="2"/>
        <v>27123.239999999998</v>
      </c>
      <c r="K34" s="235">
        <f t="shared" si="3"/>
        <v>24453.399999999998</v>
      </c>
      <c r="L34" s="249">
        <f t="shared" si="4"/>
        <v>-9.8000000000000004E-2</v>
      </c>
    </row>
    <row r="35" spans="1:12" ht="14.5" x14ac:dyDescent="0.3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ht="14.5" x14ac:dyDescent="0.35">
      <c r="A36" s="248"/>
      <c r="B36" s="245" t="s">
        <v>142</v>
      </c>
      <c r="C36" s="245"/>
      <c r="D36" s="247">
        <f>Sales_Input!AF36</f>
        <v>433.8</v>
      </c>
      <c r="E36" s="245"/>
      <c r="F36" s="245"/>
      <c r="G36" s="245"/>
      <c r="H36" s="245"/>
      <c r="I36" s="245"/>
      <c r="J36" s="245"/>
      <c r="K36" s="245"/>
      <c r="L36" s="245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75" right="0.75" top="1" bottom="0.75" header="0.5" footer="0.5"/>
  <pageSetup scale="94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B3C0-6FFE-4E37-9319-10D951A36CE0}">
  <sheetPr codeName="Sheet4">
    <tabColor theme="5"/>
  </sheetPr>
  <dimension ref="A1:AT27"/>
  <sheetViews>
    <sheetView workbookViewId="0"/>
  </sheetViews>
  <sheetFormatPr defaultColWidth="5.54296875" defaultRowHeight="14.4" customHeight="1" x14ac:dyDescent="0.35"/>
  <cols>
    <col min="1" max="1" width="10" customWidth="1"/>
    <col min="2" max="2" width="28.1796875" customWidth="1"/>
    <col min="3" max="3" width="10" customWidth="1"/>
    <col min="4" max="4" width="14.54296875" bestFit="1" customWidth="1"/>
    <col min="5" max="5" width="12.1796875" bestFit="1" customWidth="1"/>
    <col min="6" max="6" width="13.1796875" bestFit="1" customWidth="1"/>
    <col min="7" max="7" width="11.1796875" bestFit="1" customWidth="1"/>
    <col min="8" max="8" width="10.1796875" bestFit="1" customWidth="1"/>
    <col min="9" max="9" width="11.453125" bestFit="1" customWidth="1"/>
    <col min="10" max="12" width="11.453125" customWidth="1"/>
    <col min="13" max="14" width="8" customWidth="1"/>
    <col min="15" max="15" width="14.54296875" bestFit="1" customWidth="1"/>
    <col min="16" max="16" width="1.1796875" customWidth="1"/>
    <col min="17" max="17" width="11.1796875" customWidth="1"/>
    <col min="18" max="18" width="14.54296875" customWidth="1"/>
    <col min="19" max="19" width="12.1796875" customWidth="1"/>
    <col min="20" max="20" width="13.1796875" customWidth="1"/>
    <col min="21" max="21" width="11.1796875" customWidth="1"/>
    <col min="22" max="22" width="10.1796875" customWidth="1"/>
    <col min="23" max="25" width="11.453125" customWidth="1"/>
    <col min="26" max="27" width="8" customWidth="1"/>
    <col min="28" max="28" width="14.81640625" bestFit="1" customWidth="1"/>
    <col min="29" max="29" width="2.1796875" customWidth="1"/>
    <col min="30" max="30" width="11.1796875" bestFit="1" customWidth="1"/>
    <col min="31" max="31" width="14.54296875" bestFit="1" customWidth="1"/>
    <col min="32" max="32" width="12.1796875" bestFit="1" customWidth="1"/>
    <col min="33" max="33" width="13.1796875" bestFit="1" customWidth="1"/>
    <col min="34" max="34" width="11.1796875" bestFit="1" customWidth="1"/>
    <col min="35" max="35" width="7.54296875" customWidth="1"/>
    <col min="36" max="36" width="2.453125" customWidth="1"/>
    <col min="37" max="37" width="11.1796875" bestFit="1" customWidth="1"/>
    <col min="38" max="38" width="14.54296875" bestFit="1" customWidth="1"/>
    <col min="39" max="39" width="12.1796875" bestFit="1" customWidth="1"/>
    <col min="40" max="40" width="13.1796875" bestFit="1" customWidth="1"/>
    <col min="41" max="41" width="11.1796875" bestFit="1" customWidth="1"/>
    <col min="42" max="42" width="7.54296875" customWidth="1"/>
    <col min="43" max="43" width="1.453125" customWidth="1"/>
    <col min="44" max="45" width="10.453125" bestFit="1" customWidth="1"/>
    <col min="46" max="46" width="9.453125" bestFit="1" customWidth="1"/>
  </cols>
  <sheetData>
    <row r="1" spans="1:46" ht="14.5" x14ac:dyDescent="0.35">
      <c r="A1" s="145" t="s">
        <v>140</v>
      </c>
      <c r="B1" s="147" t="s">
        <v>139</v>
      </c>
      <c r="C1" s="146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</row>
    <row r="2" spans="1:46" ht="14.5" x14ac:dyDescent="0.35">
      <c r="A2" s="145"/>
      <c r="B2" s="151"/>
      <c r="C2" s="14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</row>
    <row r="3" spans="1:46" ht="14.5" x14ac:dyDescent="0.35">
      <c r="A3" s="145" t="s">
        <v>138</v>
      </c>
      <c r="B3" s="151" t="str">
        <f>Sales_Input!B15</f>
        <v>STIPULATION ATTACHMENT C</v>
      </c>
      <c r="C3" s="146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</row>
    <row r="4" spans="1:46" ht="14.5" x14ac:dyDescent="0.35">
      <c r="A4" s="145"/>
      <c r="B4" s="151"/>
      <c r="C4" s="146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</row>
    <row r="5" spans="1:46" ht="15.5" x14ac:dyDescent="0.35">
      <c r="A5" s="145" t="s">
        <v>137</v>
      </c>
      <c r="B5" s="150" t="s">
        <v>136</v>
      </c>
      <c r="C5" s="146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</row>
    <row r="6" spans="1:46" ht="14.5" x14ac:dyDescent="0.35">
      <c r="A6" s="145"/>
      <c r="B6" s="145"/>
      <c r="C6" s="14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</row>
    <row r="7" spans="1:46" ht="12" customHeight="1" x14ac:dyDescent="0.35">
      <c r="A7" s="149"/>
      <c r="B7" s="117"/>
      <c r="C7" s="148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</row>
    <row r="8" spans="1:46" ht="14.5" x14ac:dyDescent="0.35">
      <c r="A8" s="145"/>
      <c r="B8" s="145"/>
      <c r="C8" s="147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</row>
    <row r="9" spans="1:46" ht="14.5" x14ac:dyDescent="0.35">
      <c r="A9" s="117"/>
      <c r="B9" s="117"/>
      <c r="C9" s="117"/>
      <c r="D9" s="117"/>
      <c r="E9" s="117"/>
      <c r="F9" s="117"/>
      <c r="G9" s="117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</row>
    <row r="10" spans="1:46" ht="13" customHeight="1" x14ac:dyDescent="0.35">
      <c r="A10" s="145" t="s">
        <v>135</v>
      </c>
      <c r="B10" s="145"/>
      <c r="C10" s="145"/>
      <c r="D10" s="145"/>
      <c r="E10" s="145"/>
      <c r="F10" s="145"/>
      <c r="G10" s="145"/>
      <c r="H10" s="146"/>
      <c r="I10" s="146"/>
      <c r="J10" s="146"/>
      <c r="K10" s="146"/>
      <c r="L10" s="146"/>
      <c r="M10" s="146"/>
      <c r="N10" s="146"/>
      <c r="O10" s="146"/>
      <c r="P10" s="143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21"/>
      <c r="AD10" s="115"/>
      <c r="AE10" s="115"/>
      <c r="AF10" s="115"/>
      <c r="AG10" s="115"/>
      <c r="AH10" s="115"/>
      <c r="AI10" s="115"/>
      <c r="AJ10" s="116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</row>
    <row r="11" spans="1:46" ht="13" customHeight="1" x14ac:dyDescent="0.35">
      <c r="A11" s="145"/>
      <c r="B11" s="115"/>
      <c r="C11" s="311" t="s">
        <v>134</v>
      </c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143"/>
      <c r="Q11" s="311" t="s">
        <v>5</v>
      </c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121"/>
      <c r="AD11" s="311" t="s">
        <v>133</v>
      </c>
      <c r="AE11" s="311"/>
      <c r="AF11" s="311"/>
      <c r="AG11" s="311"/>
      <c r="AH11" s="311"/>
      <c r="AI11" s="311"/>
      <c r="AJ11" s="142"/>
      <c r="AK11" s="311" t="s">
        <v>132</v>
      </c>
      <c r="AL11" s="311"/>
      <c r="AM11" s="311"/>
      <c r="AN11" s="311"/>
      <c r="AO11" s="311"/>
      <c r="AP11" s="311"/>
      <c r="AQ11" s="116"/>
      <c r="AR11" s="140" t="s">
        <v>131</v>
      </c>
      <c r="AS11" s="140" t="s">
        <v>131</v>
      </c>
      <c r="AT11" s="140" t="s">
        <v>130</v>
      </c>
    </row>
    <row r="12" spans="1:46" ht="13" customHeight="1" x14ac:dyDescent="0.35">
      <c r="A12" s="145"/>
      <c r="B12" s="144" t="s">
        <v>129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3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21"/>
      <c r="AD12" s="141"/>
      <c r="AE12" s="141"/>
      <c r="AF12" s="141"/>
      <c r="AG12" s="141"/>
      <c r="AH12" s="141"/>
      <c r="AI12" s="141"/>
      <c r="AJ12" s="142"/>
      <c r="AK12" s="141"/>
      <c r="AL12" s="141"/>
      <c r="AM12" s="141"/>
      <c r="AN12" s="141"/>
      <c r="AO12" s="141"/>
      <c r="AP12" s="141"/>
      <c r="AQ12" s="116"/>
      <c r="AR12" s="140" t="s">
        <v>128</v>
      </c>
      <c r="AS12" s="140"/>
      <c r="AT12" s="140"/>
    </row>
    <row r="13" spans="1:46" ht="14.5" x14ac:dyDescent="0.35">
      <c r="A13" s="137" t="s">
        <v>127</v>
      </c>
      <c r="B13" s="137" t="s">
        <v>126</v>
      </c>
      <c r="C13" s="137" t="s">
        <v>116</v>
      </c>
      <c r="D13" s="137" t="s">
        <v>115</v>
      </c>
      <c r="E13" s="137" t="s">
        <v>114</v>
      </c>
      <c r="F13" s="137" t="s">
        <v>113</v>
      </c>
      <c r="G13" s="137" t="s">
        <v>112</v>
      </c>
      <c r="H13" s="136" t="s">
        <v>123</v>
      </c>
      <c r="I13" s="136" t="s">
        <v>122</v>
      </c>
      <c r="J13" s="139" t="s">
        <v>125</v>
      </c>
      <c r="K13" s="138" t="s">
        <v>124</v>
      </c>
      <c r="L13" s="136" t="s">
        <v>120</v>
      </c>
      <c r="M13" s="136" t="s">
        <v>119</v>
      </c>
      <c r="N13" s="136" t="s">
        <v>118</v>
      </c>
      <c r="O13" s="136" t="s">
        <v>117</v>
      </c>
      <c r="P13" s="121"/>
      <c r="Q13" s="136" t="s">
        <v>116</v>
      </c>
      <c r="R13" s="136" t="s">
        <v>115</v>
      </c>
      <c r="S13" s="136" t="s">
        <v>114</v>
      </c>
      <c r="T13" s="136" t="s">
        <v>113</v>
      </c>
      <c r="U13" s="136" t="s">
        <v>112</v>
      </c>
      <c r="V13" s="136" t="s">
        <v>123</v>
      </c>
      <c r="W13" s="136" t="s">
        <v>122</v>
      </c>
      <c r="X13" s="136" t="s">
        <v>121</v>
      </c>
      <c r="Y13" s="136" t="s">
        <v>120</v>
      </c>
      <c r="Z13" s="136" t="s">
        <v>119</v>
      </c>
      <c r="AA13" s="136" t="s">
        <v>118</v>
      </c>
      <c r="AB13" s="136" t="s">
        <v>117</v>
      </c>
      <c r="AC13" s="121"/>
      <c r="AD13" s="136" t="s">
        <v>116</v>
      </c>
      <c r="AE13" s="136" t="s">
        <v>115</v>
      </c>
      <c r="AF13" s="136" t="s">
        <v>114</v>
      </c>
      <c r="AG13" s="136" t="s">
        <v>113</v>
      </c>
      <c r="AH13" s="136" t="s">
        <v>112</v>
      </c>
      <c r="AI13" s="115"/>
      <c r="AJ13" s="116"/>
      <c r="AK13" s="136" t="s">
        <v>116</v>
      </c>
      <c r="AL13" s="136" t="s">
        <v>115</v>
      </c>
      <c r="AM13" s="136" t="s">
        <v>114</v>
      </c>
      <c r="AN13" s="136" t="s">
        <v>113</v>
      </c>
      <c r="AO13" s="136" t="s">
        <v>112</v>
      </c>
      <c r="AP13" s="115"/>
      <c r="AQ13" s="116"/>
      <c r="AR13" s="136" t="s">
        <v>111</v>
      </c>
      <c r="AS13" s="137" t="s">
        <v>110</v>
      </c>
      <c r="AT13" s="136" t="s">
        <v>109</v>
      </c>
    </row>
    <row r="14" spans="1:46" ht="14.5" x14ac:dyDescent="0.35">
      <c r="A14" s="115" t="s">
        <v>108</v>
      </c>
      <c r="B14" s="115" t="s">
        <v>107</v>
      </c>
      <c r="C14" s="123">
        <v>5.2527999999999997</v>
      </c>
      <c r="D14" s="123"/>
      <c r="E14" s="122"/>
      <c r="F14" s="122"/>
      <c r="G14" s="135"/>
      <c r="H14" s="127">
        <v>19.75</v>
      </c>
      <c r="I14" s="127"/>
      <c r="J14" s="134">
        <v>0</v>
      </c>
      <c r="K14" s="128">
        <v>0.53010000000000002</v>
      </c>
      <c r="L14" s="127">
        <v>0.08</v>
      </c>
      <c r="M14" s="125">
        <v>0.3</v>
      </c>
      <c r="N14" s="122">
        <v>1.24E-2</v>
      </c>
      <c r="O14" s="122"/>
      <c r="P14" s="121"/>
      <c r="Q14" s="272">
        <f>Input_Entry!E38</f>
        <v>6.0972999999999997</v>
      </c>
      <c r="R14" s="272"/>
      <c r="S14" s="272"/>
      <c r="T14" s="272"/>
      <c r="U14" s="123"/>
      <c r="V14" s="270">
        <f>Input_Entry!E37</f>
        <v>21.25</v>
      </c>
      <c r="W14" s="126"/>
      <c r="X14" s="130">
        <v>0</v>
      </c>
      <c r="Y14" s="125">
        <v>0.08</v>
      </c>
      <c r="Z14" s="125">
        <v>0.3</v>
      </c>
      <c r="AA14" s="122">
        <v>1.24E-2</v>
      </c>
      <c r="AB14" s="129"/>
      <c r="AC14" s="121"/>
      <c r="AD14" s="119" t="s">
        <v>77</v>
      </c>
      <c r="AE14" s="119"/>
      <c r="AF14" s="119"/>
      <c r="AG14" s="119"/>
      <c r="AH14" s="119"/>
      <c r="AI14" s="120"/>
      <c r="AJ14" s="116"/>
      <c r="AK14" s="119"/>
      <c r="AL14" s="119"/>
      <c r="AM14" s="119"/>
      <c r="AN14" s="119"/>
      <c r="AO14" s="119"/>
      <c r="AP14" s="119"/>
      <c r="AQ14" s="116"/>
      <c r="AR14" s="119">
        <v>137364</v>
      </c>
      <c r="AS14" s="119">
        <v>836474.69999999984</v>
      </c>
      <c r="AT14" s="118">
        <f t="shared" ref="AT14:AT21" si="0">+ROUND(AS14/AR14,1)</f>
        <v>6.1</v>
      </c>
    </row>
    <row r="15" spans="1:46" ht="14.5" x14ac:dyDescent="0.35">
      <c r="A15" s="115" t="s">
        <v>105</v>
      </c>
      <c r="B15" s="115" t="s">
        <v>106</v>
      </c>
      <c r="C15" s="123">
        <v>3.2513000000000001</v>
      </c>
      <c r="D15" s="123">
        <v>2.5095999999999998</v>
      </c>
      <c r="E15" s="122">
        <v>2.3855</v>
      </c>
      <c r="F15" s="122">
        <v>2.17</v>
      </c>
      <c r="G15" s="122"/>
      <c r="H15" s="127">
        <v>83.71</v>
      </c>
      <c r="I15" s="127"/>
      <c r="J15" s="133">
        <v>0</v>
      </c>
      <c r="K15" s="128">
        <v>0.32100000000000001</v>
      </c>
      <c r="L15" s="127"/>
      <c r="M15" s="122"/>
      <c r="N15" s="122">
        <v>1.24E-2</v>
      </c>
      <c r="O15" s="122"/>
      <c r="P15" s="121"/>
      <c r="Q15" s="272">
        <f>Input_Entry!$F$38</f>
        <v>3.1591</v>
      </c>
      <c r="R15" s="272">
        <f>Input_Entry!$F$39</f>
        <v>2.4384000000000001</v>
      </c>
      <c r="S15" s="272">
        <f>Input_Entry!$F$40</f>
        <v>2.3178999999999998</v>
      </c>
      <c r="T15" s="272">
        <f>Input_Entry!$F$41</f>
        <v>2.1084999999999998</v>
      </c>
      <c r="U15" s="123"/>
      <c r="V15" s="270">
        <f>Input_Entry!F37</f>
        <v>110</v>
      </c>
      <c r="W15" s="126"/>
      <c r="X15" s="130">
        <v>0</v>
      </c>
      <c r="Y15" s="125"/>
      <c r="Z15" s="122"/>
      <c r="AA15" s="122">
        <v>1.24E-2</v>
      </c>
      <c r="AB15" s="129"/>
      <c r="AC15" s="121"/>
      <c r="AD15" s="119">
        <v>50</v>
      </c>
      <c r="AE15" s="119">
        <v>350</v>
      </c>
      <c r="AF15" s="119">
        <v>600</v>
      </c>
      <c r="AG15" s="119">
        <v>1000</v>
      </c>
      <c r="AH15" s="119" t="s">
        <v>77</v>
      </c>
      <c r="AI15" s="120"/>
      <c r="AJ15" s="116"/>
      <c r="AK15" s="119">
        <v>50</v>
      </c>
      <c r="AL15" s="119">
        <v>350</v>
      </c>
      <c r="AM15" s="119">
        <v>600</v>
      </c>
      <c r="AN15" s="119">
        <v>1000</v>
      </c>
      <c r="AO15" s="119"/>
      <c r="AP15" s="119"/>
      <c r="AQ15" s="116"/>
      <c r="AR15" s="119">
        <v>22746</v>
      </c>
      <c r="AS15" s="119">
        <v>1068356.6999999997</v>
      </c>
      <c r="AT15" s="118">
        <f t="shared" si="0"/>
        <v>47</v>
      </c>
    </row>
    <row r="16" spans="1:46" ht="14.5" x14ac:dyDescent="0.35">
      <c r="A16" s="115" t="s">
        <v>105</v>
      </c>
      <c r="B16" s="115" t="s">
        <v>104</v>
      </c>
      <c r="C16" s="123">
        <v>3.2513000000000001</v>
      </c>
      <c r="D16" s="123">
        <v>2.5095999999999998</v>
      </c>
      <c r="E16" s="122">
        <v>2.3855</v>
      </c>
      <c r="F16" s="122">
        <v>2.17</v>
      </c>
      <c r="G16" s="122"/>
      <c r="H16" s="127">
        <v>83.71</v>
      </c>
      <c r="I16" s="127"/>
      <c r="J16" s="132">
        <f>J15</f>
        <v>0</v>
      </c>
      <c r="K16" s="128">
        <v>0.32100000000000001</v>
      </c>
      <c r="L16" s="127"/>
      <c r="M16" s="122"/>
      <c r="N16" s="122">
        <v>1.24E-2</v>
      </c>
      <c r="O16" s="122"/>
      <c r="P16" s="121"/>
      <c r="Q16" s="124">
        <f>Q15</f>
        <v>3.1591</v>
      </c>
      <c r="R16" s="124">
        <f t="shared" ref="R16:T16" si="1">R15</f>
        <v>2.4384000000000001</v>
      </c>
      <c r="S16" s="124">
        <f t="shared" si="1"/>
        <v>2.3178999999999998</v>
      </c>
      <c r="T16" s="124">
        <f t="shared" si="1"/>
        <v>2.1084999999999998</v>
      </c>
      <c r="U16" s="123"/>
      <c r="V16" s="271">
        <f>V15</f>
        <v>110</v>
      </c>
      <c r="W16" s="126"/>
      <c r="X16" s="130">
        <v>0</v>
      </c>
      <c r="Y16" s="125"/>
      <c r="Z16" s="122"/>
      <c r="AA16" s="122">
        <v>1.24E-2</v>
      </c>
      <c r="AB16" s="129"/>
      <c r="AC16" s="121"/>
      <c r="AD16" s="119">
        <v>50</v>
      </c>
      <c r="AE16" s="119">
        <v>350</v>
      </c>
      <c r="AF16" s="119">
        <v>600</v>
      </c>
      <c r="AG16" s="119">
        <v>1000</v>
      </c>
      <c r="AH16" s="119" t="s">
        <v>77</v>
      </c>
      <c r="AI16" s="120"/>
      <c r="AJ16" s="116"/>
      <c r="AK16" s="119">
        <v>50</v>
      </c>
      <c r="AL16" s="119">
        <v>350</v>
      </c>
      <c r="AM16" s="119">
        <v>600</v>
      </c>
      <c r="AN16" s="119">
        <v>1000</v>
      </c>
      <c r="AO16" s="119"/>
      <c r="AP16" s="119"/>
      <c r="AQ16" s="116"/>
      <c r="AR16" s="119">
        <v>150</v>
      </c>
      <c r="AS16" s="119">
        <v>65623.7</v>
      </c>
      <c r="AT16" s="118">
        <f t="shared" si="0"/>
        <v>437.5</v>
      </c>
    </row>
    <row r="17" spans="1:46" ht="15.5" x14ac:dyDescent="0.35">
      <c r="A17" s="115" t="s">
        <v>102</v>
      </c>
      <c r="B17" s="115" t="s">
        <v>103</v>
      </c>
      <c r="C17" s="123">
        <v>0.70930000000000004</v>
      </c>
      <c r="D17" s="123">
        <v>0.43780000000000002</v>
      </c>
      <c r="E17" s="122">
        <v>0.24229999999999999</v>
      </c>
      <c r="F17" s="122"/>
      <c r="G17" s="122"/>
      <c r="H17" s="127">
        <v>3982.3</v>
      </c>
      <c r="I17" s="127">
        <v>0</v>
      </c>
      <c r="J17" s="131">
        <v>0</v>
      </c>
      <c r="K17" s="128">
        <v>5.8700000000000002E-2</v>
      </c>
      <c r="L17" s="127"/>
      <c r="M17" s="122"/>
      <c r="N17" s="122">
        <v>1.24E-2</v>
      </c>
      <c r="O17" s="122"/>
      <c r="P17" s="121"/>
      <c r="Q17" s="272">
        <f>Input_Entry!$I$38</f>
        <v>0.75109999999999999</v>
      </c>
      <c r="R17" s="272">
        <f>Input_Entry!$I$39</f>
        <v>0.4637</v>
      </c>
      <c r="S17" s="272">
        <f>Input_Entry!$I$40</f>
        <v>0.24229999999999999</v>
      </c>
      <c r="T17" s="123"/>
      <c r="U17" s="123"/>
      <c r="V17" s="270">
        <f>Input_Entry!I37</f>
        <v>5000</v>
      </c>
      <c r="W17" s="126">
        <v>0</v>
      </c>
      <c r="X17" s="130">
        <v>0</v>
      </c>
      <c r="Y17" s="125"/>
      <c r="Z17" s="122"/>
      <c r="AA17" s="122">
        <v>1.24E-2</v>
      </c>
      <c r="AB17" s="122"/>
      <c r="AC17" s="121"/>
      <c r="AD17" s="119">
        <v>30000</v>
      </c>
      <c r="AE17" s="119">
        <v>70000</v>
      </c>
      <c r="AF17" s="119">
        <v>100000</v>
      </c>
      <c r="AG17" s="119"/>
      <c r="AH17" s="119"/>
      <c r="AI17" s="120"/>
      <c r="AJ17" s="116"/>
      <c r="AK17" s="119">
        <v>30000</v>
      </c>
      <c r="AL17" s="119">
        <v>70000</v>
      </c>
      <c r="AM17" s="119">
        <v>100000</v>
      </c>
      <c r="AN17" s="119"/>
      <c r="AO17" s="119"/>
      <c r="AP17" s="119"/>
      <c r="AQ17" s="116"/>
      <c r="AR17" s="119">
        <v>264</v>
      </c>
      <c r="AS17" s="119">
        <v>2863466.4000000004</v>
      </c>
      <c r="AT17" s="118">
        <f t="shared" si="0"/>
        <v>10846.5</v>
      </c>
    </row>
    <row r="18" spans="1:46" ht="15.5" x14ac:dyDescent="0.35">
      <c r="A18" s="115" t="s">
        <v>102</v>
      </c>
      <c r="B18" s="115" t="s">
        <v>101</v>
      </c>
      <c r="C18" s="123">
        <v>0.70930000000000004</v>
      </c>
      <c r="D18" s="123">
        <v>0.43780000000000002</v>
      </c>
      <c r="E18" s="122">
        <v>0.24229999999999999</v>
      </c>
      <c r="F18" s="122"/>
      <c r="G18" s="122"/>
      <c r="H18" s="127">
        <v>3982.3</v>
      </c>
      <c r="I18" s="127">
        <v>0</v>
      </c>
      <c r="J18" s="131">
        <v>0</v>
      </c>
      <c r="K18" s="128">
        <v>5.8700000000000002E-2</v>
      </c>
      <c r="L18" s="127"/>
      <c r="M18" s="122"/>
      <c r="N18" s="122">
        <v>1.24E-2</v>
      </c>
      <c r="O18" s="122"/>
      <c r="P18" s="121"/>
      <c r="Q18" s="124">
        <f>Q17</f>
        <v>0.75109999999999999</v>
      </c>
      <c r="R18" s="124">
        <f t="shared" ref="R18:S18" si="2">R17</f>
        <v>0.4637</v>
      </c>
      <c r="S18" s="124">
        <f t="shared" si="2"/>
        <v>0.24229999999999999</v>
      </c>
      <c r="T18" s="123"/>
      <c r="U18" s="123"/>
      <c r="V18" s="271">
        <f>V17</f>
        <v>5000</v>
      </c>
      <c r="W18" s="126">
        <v>0</v>
      </c>
      <c r="X18" s="130">
        <v>0</v>
      </c>
      <c r="Y18" s="125"/>
      <c r="Z18" s="122"/>
      <c r="AA18" s="122">
        <v>1.24E-2</v>
      </c>
      <c r="AB18" s="122"/>
      <c r="AC18" s="121"/>
      <c r="AD18" s="119">
        <v>30000</v>
      </c>
      <c r="AE18" s="119">
        <v>70000</v>
      </c>
      <c r="AF18" s="119">
        <v>100000</v>
      </c>
      <c r="AG18" s="119"/>
      <c r="AH18" s="119"/>
      <c r="AI18" s="120"/>
      <c r="AJ18" s="116"/>
      <c r="AK18" s="119">
        <v>30000</v>
      </c>
      <c r="AL18" s="119">
        <v>70000</v>
      </c>
      <c r="AM18" s="119">
        <v>100000</v>
      </c>
      <c r="AN18" s="119"/>
      <c r="AO18" s="119"/>
      <c r="AP18" s="119"/>
      <c r="AQ18" s="116"/>
      <c r="AR18" s="119">
        <v>480</v>
      </c>
      <c r="AS18" s="119">
        <v>6258888.5</v>
      </c>
      <c r="AT18" s="118">
        <f t="shared" si="0"/>
        <v>13039.4</v>
      </c>
    </row>
    <row r="19" spans="1:46" ht="14.5" x14ac:dyDescent="0.35">
      <c r="A19" s="115" t="s">
        <v>99</v>
      </c>
      <c r="B19" s="115" t="s">
        <v>100</v>
      </c>
      <c r="C19" s="123">
        <v>3.2513000000000001</v>
      </c>
      <c r="D19" s="123">
        <v>2.5095999999999998</v>
      </c>
      <c r="E19" s="122">
        <v>2.3855</v>
      </c>
      <c r="F19" s="122">
        <v>2.17</v>
      </c>
      <c r="G19" s="122"/>
      <c r="H19" s="127">
        <v>83.71</v>
      </c>
      <c r="I19" s="127">
        <v>0</v>
      </c>
      <c r="J19" s="130">
        <v>0</v>
      </c>
      <c r="K19" s="128">
        <v>0.32100000000000001</v>
      </c>
      <c r="L19" s="127"/>
      <c r="M19" s="122"/>
      <c r="N19" s="122">
        <v>1.24E-2</v>
      </c>
      <c r="O19" s="122"/>
      <c r="P19" s="121"/>
      <c r="Q19" s="124">
        <f>Q15</f>
        <v>3.1591</v>
      </c>
      <c r="R19" s="124">
        <f t="shared" ref="R19:S19" si="3">R15</f>
        <v>2.4384000000000001</v>
      </c>
      <c r="S19" s="124">
        <f t="shared" si="3"/>
        <v>2.3178999999999998</v>
      </c>
      <c r="T19" s="124">
        <f t="shared" ref="T19" si="4">T15</f>
        <v>2.1084999999999998</v>
      </c>
      <c r="U19" s="123"/>
      <c r="V19" s="271">
        <f>V15</f>
        <v>110</v>
      </c>
      <c r="W19" s="126">
        <v>0</v>
      </c>
      <c r="X19" s="130">
        <v>0</v>
      </c>
      <c r="Y19" s="125"/>
      <c r="Z19" s="122"/>
      <c r="AA19" s="122">
        <v>1.24E-2</v>
      </c>
      <c r="AB19" s="122"/>
      <c r="AC19" s="121"/>
      <c r="AD19" s="119">
        <v>50</v>
      </c>
      <c r="AE19" s="119">
        <v>350</v>
      </c>
      <c r="AF19" s="119">
        <v>600</v>
      </c>
      <c r="AG19" s="119">
        <v>1000</v>
      </c>
      <c r="AH19" s="119"/>
      <c r="AI19" s="120"/>
      <c r="AJ19" s="116"/>
      <c r="AK19" s="119">
        <v>50</v>
      </c>
      <c r="AL19" s="119">
        <v>350</v>
      </c>
      <c r="AM19" s="119">
        <v>600</v>
      </c>
      <c r="AN19" s="119">
        <v>1000</v>
      </c>
      <c r="AO19" s="119"/>
      <c r="AP19" s="119"/>
      <c r="AQ19" s="116"/>
      <c r="AR19" s="119">
        <v>192</v>
      </c>
      <c r="AS19" s="119">
        <v>451533.1999999999</v>
      </c>
      <c r="AT19" s="118">
        <f t="shared" si="0"/>
        <v>2351.6999999999998</v>
      </c>
    </row>
    <row r="20" spans="1:46" ht="14.5" x14ac:dyDescent="0.35">
      <c r="A20" s="115" t="s">
        <v>99</v>
      </c>
      <c r="B20" s="115" t="s">
        <v>98</v>
      </c>
      <c r="C20" s="123">
        <v>3.2513000000000001</v>
      </c>
      <c r="D20" s="123">
        <v>2.5095999999999998</v>
      </c>
      <c r="E20" s="122">
        <v>2.3855</v>
      </c>
      <c r="F20" s="122">
        <v>2.17</v>
      </c>
      <c r="G20" s="122"/>
      <c r="H20" s="127">
        <v>83.71</v>
      </c>
      <c r="I20" s="127">
        <v>0</v>
      </c>
      <c r="J20" s="130">
        <v>0</v>
      </c>
      <c r="K20" s="128">
        <v>0.32100000000000001</v>
      </c>
      <c r="L20" s="127"/>
      <c r="M20" s="122"/>
      <c r="N20" s="122">
        <v>1.24E-2</v>
      </c>
      <c r="O20" s="122"/>
      <c r="P20" s="121"/>
      <c r="Q20" s="124">
        <f>Q15</f>
        <v>3.1591</v>
      </c>
      <c r="R20" s="124">
        <f t="shared" ref="R20:S20" si="5">R15</f>
        <v>2.4384000000000001</v>
      </c>
      <c r="S20" s="124">
        <f t="shared" si="5"/>
        <v>2.3178999999999998</v>
      </c>
      <c r="T20" s="124">
        <f t="shared" ref="T20" si="6">T15</f>
        <v>2.1084999999999998</v>
      </c>
      <c r="U20" s="123"/>
      <c r="V20" s="271">
        <f>V15</f>
        <v>110</v>
      </c>
      <c r="W20" s="126">
        <v>0</v>
      </c>
      <c r="X20" s="130">
        <v>0</v>
      </c>
      <c r="Y20" s="125"/>
      <c r="Z20" s="122"/>
      <c r="AA20" s="122">
        <v>1.24E-2</v>
      </c>
      <c r="AB20" s="122"/>
      <c r="AC20" s="121"/>
      <c r="AD20" s="119">
        <v>50</v>
      </c>
      <c r="AE20" s="119">
        <v>350</v>
      </c>
      <c r="AF20" s="119">
        <v>600</v>
      </c>
      <c r="AG20" s="119">
        <v>1000</v>
      </c>
      <c r="AH20" s="119"/>
      <c r="AI20" s="120"/>
      <c r="AJ20" s="116"/>
      <c r="AK20" s="119">
        <v>50</v>
      </c>
      <c r="AL20" s="119">
        <v>350</v>
      </c>
      <c r="AM20" s="119">
        <v>600</v>
      </c>
      <c r="AN20" s="119">
        <v>1000</v>
      </c>
      <c r="AO20" s="119"/>
      <c r="AP20" s="119"/>
      <c r="AQ20" s="116"/>
      <c r="AR20" s="119">
        <v>37</v>
      </c>
      <c r="AS20" s="119">
        <v>78432.900000000009</v>
      </c>
      <c r="AT20" s="118">
        <f t="shared" si="0"/>
        <v>2119.8000000000002</v>
      </c>
    </row>
    <row r="21" spans="1:46" ht="14.5" x14ac:dyDescent="0.35">
      <c r="A21" s="115" t="s">
        <v>97</v>
      </c>
      <c r="B21" s="115" t="s">
        <v>96</v>
      </c>
      <c r="C21" s="123">
        <v>8.6699999999999999E-2</v>
      </c>
      <c r="D21" s="123"/>
      <c r="E21" s="122"/>
      <c r="F21" s="122"/>
      <c r="G21" s="122"/>
      <c r="H21" s="127">
        <v>260.11</v>
      </c>
      <c r="I21" s="127">
        <v>0</v>
      </c>
      <c r="J21" s="127"/>
      <c r="K21" s="128"/>
      <c r="L21" s="127"/>
      <c r="M21" s="122"/>
      <c r="N21" s="122">
        <v>1.24E-2</v>
      </c>
      <c r="O21" s="122"/>
      <c r="P21" s="121"/>
      <c r="Q21" s="272">
        <f>Input_Entry!H38</f>
        <v>8.9200000000000002E-2</v>
      </c>
      <c r="R21" s="124"/>
      <c r="S21" s="124"/>
      <c r="T21" s="123"/>
      <c r="U21" s="123"/>
      <c r="V21" s="270">
        <f>'Rate Design'!F45</f>
        <v>300</v>
      </c>
      <c r="W21" s="126">
        <v>0</v>
      </c>
      <c r="X21" s="126"/>
      <c r="Y21" s="125"/>
      <c r="Z21" s="122"/>
      <c r="AA21" s="122">
        <v>1.24E-2</v>
      </c>
      <c r="AB21" s="122"/>
      <c r="AC21" s="121"/>
      <c r="AD21" s="119"/>
      <c r="AE21" s="119"/>
      <c r="AF21" s="119"/>
      <c r="AG21" s="119"/>
      <c r="AH21" s="119"/>
      <c r="AI21" s="120"/>
      <c r="AJ21" s="116"/>
      <c r="AK21" s="119"/>
      <c r="AL21" s="119"/>
      <c r="AM21" s="119"/>
      <c r="AN21" s="119"/>
      <c r="AO21" s="119"/>
      <c r="AP21" s="119"/>
      <c r="AQ21" s="116"/>
      <c r="AR21" s="119">
        <v>36</v>
      </c>
      <c r="AS21" s="119">
        <v>522400</v>
      </c>
      <c r="AT21" s="118">
        <f t="shared" si="0"/>
        <v>14511.1</v>
      </c>
    </row>
    <row r="22" spans="1:46" ht="14.5" x14ac:dyDescent="0.35">
      <c r="A22" s="115" t="s">
        <v>95</v>
      </c>
      <c r="B22" s="115" t="s">
        <v>94</v>
      </c>
      <c r="C22" s="123">
        <v>0</v>
      </c>
      <c r="D22" s="123"/>
      <c r="E22" s="122"/>
      <c r="F22" s="122"/>
      <c r="G22" s="122"/>
      <c r="H22" s="127">
        <v>0</v>
      </c>
      <c r="I22" s="127">
        <v>0</v>
      </c>
      <c r="J22" s="127"/>
      <c r="K22" s="128"/>
      <c r="L22" s="127"/>
      <c r="M22" s="122"/>
      <c r="N22" s="122"/>
      <c r="O22" s="122"/>
      <c r="P22" s="121"/>
      <c r="Q22" s="123">
        <v>0</v>
      </c>
      <c r="R22" s="123"/>
      <c r="S22" s="123"/>
      <c r="T22" s="123"/>
      <c r="U22" s="123"/>
      <c r="V22" s="126">
        <v>0</v>
      </c>
      <c r="W22" s="126">
        <v>0</v>
      </c>
      <c r="X22" s="126"/>
      <c r="Y22" s="125"/>
      <c r="Z22" s="124"/>
      <c r="AA22" s="122"/>
      <c r="AB22" s="122"/>
      <c r="AC22" s="121"/>
      <c r="AD22" s="119"/>
      <c r="AE22" s="119"/>
      <c r="AF22" s="119"/>
      <c r="AG22" s="119"/>
      <c r="AH22" s="119"/>
      <c r="AI22" s="120"/>
      <c r="AJ22" s="116"/>
      <c r="AK22" s="119"/>
      <c r="AL22" s="119"/>
      <c r="AM22" s="119"/>
      <c r="AN22" s="119"/>
      <c r="AO22" s="119"/>
      <c r="AP22" s="119"/>
      <c r="AQ22" s="116"/>
      <c r="AR22" s="119">
        <v>0</v>
      </c>
      <c r="AS22" s="119">
        <v>0</v>
      </c>
      <c r="AT22" s="118">
        <f>+IF(AR22=0,0,ROUND(AS22/AR22,2))</f>
        <v>0</v>
      </c>
    </row>
    <row r="23" spans="1:46" ht="14.5" x14ac:dyDescent="0.35">
      <c r="A23" s="115" t="s">
        <v>93</v>
      </c>
      <c r="B23" s="115" t="s">
        <v>90</v>
      </c>
      <c r="C23" s="123">
        <v>0</v>
      </c>
      <c r="D23" s="123"/>
      <c r="E23" s="122"/>
      <c r="F23" s="122"/>
      <c r="G23" s="122"/>
      <c r="H23" s="127">
        <v>0</v>
      </c>
      <c r="I23" s="127">
        <v>0</v>
      </c>
      <c r="J23" s="127"/>
      <c r="K23" s="128"/>
      <c r="L23" s="127"/>
      <c r="M23" s="122"/>
      <c r="N23" s="122"/>
      <c r="O23" s="122"/>
      <c r="P23" s="121"/>
      <c r="Q23" s="123">
        <v>0</v>
      </c>
      <c r="R23" s="123"/>
      <c r="S23" s="123"/>
      <c r="T23" s="123"/>
      <c r="U23" s="123"/>
      <c r="V23" s="126">
        <v>0</v>
      </c>
      <c r="W23" s="126">
        <v>0</v>
      </c>
      <c r="X23" s="126"/>
      <c r="Y23" s="125"/>
      <c r="Z23" s="124"/>
      <c r="AA23" s="122"/>
      <c r="AB23" s="122"/>
      <c r="AC23" s="121"/>
      <c r="AD23" s="119"/>
      <c r="AE23" s="119"/>
      <c r="AF23" s="119"/>
      <c r="AG23" s="119"/>
      <c r="AH23" s="119"/>
      <c r="AI23" s="120"/>
      <c r="AJ23" s="116"/>
      <c r="AK23" s="119"/>
      <c r="AL23" s="119"/>
      <c r="AM23" s="119"/>
      <c r="AN23" s="119"/>
      <c r="AO23" s="119"/>
      <c r="AP23" s="119"/>
      <c r="AQ23" s="116"/>
      <c r="AR23" s="119">
        <v>0</v>
      </c>
      <c r="AS23" s="119">
        <v>0</v>
      </c>
      <c r="AT23" s="118">
        <f>+IF(AR23=0,0,ROUND(AS23/AR23,2))</f>
        <v>0</v>
      </c>
    </row>
    <row r="24" spans="1:46" ht="14.5" x14ac:dyDescent="0.35">
      <c r="A24" s="115" t="s">
        <v>92</v>
      </c>
      <c r="B24" s="115" t="s">
        <v>90</v>
      </c>
      <c r="C24" s="123">
        <v>8.6699999999999999E-2</v>
      </c>
      <c r="D24" s="123"/>
      <c r="E24" s="122"/>
      <c r="F24" s="122"/>
      <c r="G24" s="122"/>
      <c r="H24" s="127">
        <v>260.11</v>
      </c>
      <c r="I24" s="127">
        <v>0</v>
      </c>
      <c r="J24" s="127"/>
      <c r="K24" s="128"/>
      <c r="L24" s="127"/>
      <c r="M24" s="122"/>
      <c r="N24" s="122"/>
      <c r="O24" s="122"/>
      <c r="P24" s="121"/>
      <c r="Q24" s="124">
        <f>Q21</f>
        <v>8.9200000000000002E-2</v>
      </c>
      <c r="R24" s="123"/>
      <c r="S24" s="123"/>
      <c r="T24" s="123"/>
      <c r="U24" s="123"/>
      <c r="V24" s="270">
        <f>'Rate Design'!F46</f>
        <v>600</v>
      </c>
      <c r="W24" s="126">
        <v>0</v>
      </c>
      <c r="X24" s="126"/>
      <c r="Y24" s="125"/>
      <c r="Z24" s="124"/>
      <c r="AA24" s="122"/>
      <c r="AB24" s="122"/>
      <c r="AC24" s="121"/>
      <c r="AD24" s="119"/>
      <c r="AE24" s="119"/>
      <c r="AF24" s="119"/>
      <c r="AG24" s="119"/>
      <c r="AH24" s="119"/>
      <c r="AI24" s="120"/>
      <c r="AJ24" s="116"/>
      <c r="AK24" s="119"/>
      <c r="AL24" s="119"/>
      <c r="AM24" s="119"/>
      <c r="AN24" s="119"/>
      <c r="AO24" s="119"/>
      <c r="AP24" s="119"/>
      <c r="AQ24" s="116"/>
      <c r="AR24" s="119">
        <v>36</v>
      </c>
      <c r="AS24" s="119">
        <v>6970693.5999999996</v>
      </c>
      <c r="AT24" s="118">
        <f>+ROUND(AS24/AR24,1)</f>
        <v>193630.4</v>
      </c>
    </row>
    <row r="25" spans="1:46" ht="12" customHeight="1" x14ac:dyDescent="0.35">
      <c r="A25" s="115" t="s">
        <v>91</v>
      </c>
      <c r="B25" s="115" t="s">
        <v>90</v>
      </c>
      <c r="C25" s="123">
        <v>0</v>
      </c>
      <c r="D25" s="123">
        <v>0</v>
      </c>
      <c r="E25" s="122"/>
      <c r="F25" s="122"/>
      <c r="G25" s="122"/>
      <c r="H25" s="127">
        <v>0</v>
      </c>
      <c r="I25" s="127">
        <v>0</v>
      </c>
      <c r="J25" s="127"/>
      <c r="K25" s="128"/>
      <c r="L25" s="127"/>
      <c r="M25" s="122"/>
      <c r="N25" s="122"/>
      <c r="O25" s="122"/>
      <c r="P25" s="121"/>
      <c r="Q25" s="123">
        <v>0</v>
      </c>
      <c r="R25" s="123">
        <v>0</v>
      </c>
      <c r="S25" s="123"/>
      <c r="T25" s="123"/>
      <c r="U25" s="123"/>
      <c r="V25" s="126">
        <v>0</v>
      </c>
      <c r="W25" s="126">
        <v>0</v>
      </c>
      <c r="X25" s="126"/>
      <c r="Y25" s="125"/>
      <c r="Z25" s="123"/>
      <c r="AA25" s="122"/>
      <c r="AB25" s="129"/>
      <c r="AC25" s="121"/>
      <c r="AD25" s="119">
        <v>25000</v>
      </c>
      <c r="AE25" s="119"/>
      <c r="AF25" s="119"/>
      <c r="AG25" s="119"/>
      <c r="AH25" s="119"/>
      <c r="AI25" s="120"/>
      <c r="AJ25" s="116"/>
      <c r="AK25" s="119">
        <v>25000</v>
      </c>
      <c r="AL25" s="119"/>
      <c r="AM25" s="119"/>
      <c r="AN25" s="119"/>
      <c r="AO25" s="119"/>
      <c r="AP25" s="119"/>
      <c r="AQ25" s="116"/>
      <c r="AR25" s="119">
        <v>0</v>
      </c>
      <c r="AS25" s="119">
        <v>0</v>
      </c>
      <c r="AT25" s="118">
        <f>+IF(AR25=0,0,ROUND(AS25/AR25,2))</f>
        <v>0</v>
      </c>
    </row>
    <row r="26" spans="1:46" ht="14.5" x14ac:dyDescent="0.35">
      <c r="A26" s="115" t="s">
        <v>89</v>
      </c>
      <c r="B26" s="115" t="s">
        <v>88</v>
      </c>
      <c r="C26" s="123">
        <v>0.70930000000000004</v>
      </c>
      <c r="D26" s="123">
        <v>0.43780000000000002</v>
      </c>
      <c r="E26" s="122">
        <v>0.24229999999999999</v>
      </c>
      <c r="F26" s="122"/>
      <c r="G26" s="122"/>
      <c r="H26" s="127">
        <v>3982.3</v>
      </c>
      <c r="I26" s="127">
        <v>0</v>
      </c>
      <c r="J26" s="127"/>
      <c r="K26" s="128">
        <v>5.8700000000000002E-2</v>
      </c>
      <c r="L26" s="127"/>
      <c r="M26" s="122"/>
      <c r="N26" s="122">
        <v>1.24E-2</v>
      </c>
      <c r="O26" s="122"/>
      <c r="P26" s="121"/>
      <c r="Q26" s="124">
        <f>Q17</f>
        <v>0.75109999999999999</v>
      </c>
      <c r="R26" s="124">
        <f t="shared" ref="R26" si="7">R17</f>
        <v>0.4637</v>
      </c>
      <c r="S26" s="124">
        <f>S17</f>
        <v>0.24229999999999999</v>
      </c>
      <c r="T26" s="123"/>
      <c r="U26" s="123"/>
      <c r="V26" s="271">
        <f>V17</f>
        <v>5000</v>
      </c>
      <c r="W26" s="126">
        <v>0</v>
      </c>
      <c r="X26" s="126"/>
      <c r="Y26" s="125"/>
      <c r="Z26" s="124"/>
      <c r="AA26" s="122">
        <v>1.24E-2</v>
      </c>
      <c r="AB26" s="129"/>
      <c r="AC26" s="121"/>
      <c r="AD26" s="119">
        <v>30000</v>
      </c>
      <c r="AE26" s="119"/>
      <c r="AF26" s="119"/>
      <c r="AG26" s="119"/>
      <c r="AH26" s="119"/>
      <c r="AI26" s="120"/>
      <c r="AJ26" s="116"/>
      <c r="AK26" s="119">
        <v>30000</v>
      </c>
      <c r="AL26" s="119"/>
      <c r="AM26" s="119"/>
      <c r="AN26" s="119"/>
      <c r="AO26" s="119"/>
      <c r="AP26" s="119"/>
      <c r="AQ26" s="116"/>
      <c r="AR26" s="119">
        <v>0</v>
      </c>
      <c r="AS26" s="119">
        <v>0</v>
      </c>
      <c r="AT26" s="118">
        <f>+IF(AR26=0,0,ROUND(AS26/AR26,2))</f>
        <v>0</v>
      </c>
    </row>
    <row r="27" spans="1:46" ht="14.5" x14ac:dyDescent="0.35">
      <c r="A27" s="115" t="s">
        <v>87</v>
      </c>
      <c r="B27" s="115" t="s">
        <v>86</v>
      </c>
      <c r="C27" s="123">
        <v>0</v>
      </c>
      <c r="D27" s="123">
        <v>0</v>
      </c>
      <c r="E27" s="122"/>
      <c r="F27" s="122"/>
      <c r="G27" s="122"/>
      <c r="H27" s="127">
        <v>0</v>
      </c>
      <c r="I27" s="127">
        <v>0</v>
      </c>
      <c r="J27" s="127"/>
      <c r="K27" s="128"/>
      <c r="L27" s="127"/>
      <c r="M27" s="122"/>
      <c r="N27" s="122"/>
      <c r="O27" s="122"/>
      <c r="P27" s="121"/>
      <c r="Q27" s="123">
        <v>0</v>
      </c>
      <c r="R27" s="123">
        <v>0</v>
      </c>
      <c r="S27" s="123"/>
      <c r="T27" s="123"/>
      <c r="U27" s="123"/>
      <c r="V27" s="126">
        <v>0</v>
      </c>
      <c r="W27" s="126">
        <v>0</v>
      </c>
      <c r="X27" s="126"/>
      <c r="Y27" s="125"/>
      <c r="Z27" s="124"/>
      <c r="AA27" s="123"/>
      <c r="AB27" s="122"/>
      <c r="AC27" s="121"/>
      <c r="AD27" s="119">
        <v>150000</v>
      </c>
      <c r="AE27" s="120"/>
      <c r="AF27" s="120"/>
      <c r="AG27" s="120"/>
      <c r="AH27" s="120"/>
      <c r="AI27" s="120"/>
      <c r="AJ27" s="116"/>
      <c r="AK27" s="119">
        <v>150000</v>
      </c>
      <c r="AL27" s="120"/>
      <c r="AM27" s="120"/>
      <c r="AN27" s="120"/>
      <c r="AO27" s="120"/>
      <c r="AP27" s="120"/>
      <c r="AQ27" s="116"/>
      <c r="AR27" s="119">
        <v>0</v>
      </c>
      <c r="AS27" s="119">
        <v>0</v>
      </c>
      <c r="AT27" s="118">
        <f>+IF(AR27=0,0,ROUND(AS27/AR27,2))</f>
        <v>0</v>
      </c>
    </row>
  </sheetData>
  <mergeCells count="4">
    <mergeCell ref="C11:O11"/>
    <mergeCell ref="Q11:AB11"/>
    <mergeCell ref="AD11:AI11"/>
    <mergeCell ref="AK11:AP11"/>
  </mergeCells>
  <pageMargins left="0.75" right="0.75" top="1" bottom="1" header="0.5" footer="0.5"/>
  <pageSetup scale="60" orientation="landscape" r:id="rId1"/>
  <headerFooter alignWithMargins="0"/>
  <rowBreaks count="1" manualBreakCount="1">
    <brk id="51" max="16383" man="1"/>
  </rowBreaks>
  <colBreaks count="1" manualBreakCount="1">
    <brk id="2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68AB5-CD56-4AB2-BE2C-5DCC3EEBD027}">
  <sheetPr codeName="Sheet7">
    <tabColor theme="5" tint="0.79998168889431442"/>
    <pageSetUpPr fitToPage="1"/>
  </sheetPr>
  <dimension ref="A1:T36"/>
  <sheetViews>
    <sheetView workbookViewId="0">
      <selection sqref="A1:Q1"/>
    </sheetView>
  </sheetViews>
  <sheetFormatPr defaultColWidth="7.1796875" defaultRowHeight="14.4" customHeight="1" x14ac:dyDescent="0.35"/>
  <cols>
    <col min="1" max="1" width="3.453125" customWidth="1"/>
    <col min="2" max="2" width="9.54296875" customWidth="1"/>
    <col min="3" max="3" width="9.1796875" customWidth="1"/>
    <col min="4" max="4" width="7.453125" bestFit="1" customWidth="1"/>
    <col min="5" max="6" width="8.453125" bestFit="1" customWidth="1"/>
    <col min="7" max="8" width="9.453125" bestFit="1" customWidth="1"/>
    <col min="9" max="9" width="1.453125" customWidth="1"/>
    <col min="10" max="11" width="10" bestFit="1" customWidth="1"/>
    <col min="12" max="13" width="9.453125" bestFit="1" customWidth="1"/>
    <col min="14" max="14" width="8" customWidth="1"/>
    <col min="15" max="15" width="10.1796875" bestFit="1" customWidth="1"/>
    <col min="16" max="16" width="11.1796875" customWidth="1"/>
    <col min="17" max="17" width="9.54296875" customWidth="1"/>
    <col min="18" max="18" width="10" customWidth="1"/>
    <col min="19" max="19" width="13.54296875" bestFit="1" customWidth="1"/>
    <col min="20" max="20" width="8" customWidth="1"/>
    <col min="21" max="22" width="8.453125" customWidth="1"/>
    <col min="23" max="23" width="6.81640625" customWidth="1"/>
    <col min="24" max="24" width="7.1796875" customWidth="1"/>
    <col min="25" max="25" width="7.54296875" customWidth="1"/>
    <col min="26" max="26" width="8.453125" customWidth="1"/>
  </cols>
  <sheetData>
    <row r="1" spans="1:20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117"/>
      <c r="S1" s="117"/>
      <c r="T1" s="117"/>
    </row>
    <row r="2" spans="1:20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117"/>
      <c r="S2" s="117"/>
      <c r="T2" s="117"/>
    </row>
    <row r="3" spans="1:20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117"/>
      <c r="S3" s="117"/>
      <c r="T3" s="117"/>
    </row>
    <row r="4" spans="1:20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117"/>
      <c r="S4" s="117"/>
      <c r="T4" s="117"/>
    </row>
    <row r="5" spans="1:20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117"/>
      <c r="S5" s="117"/>
      <c r="T5" s="117"/>
    </row>
    <row r="6" spans="1:20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52"/>
      <c r="P6" s="152"/>
      <c r="Q6" s="152"/>
      <c r="R6" s="117"/>
      <c r="S6" s="117"/>
      <c r="T6" s="117"/>
    </row>
    <row r="7" spans="1:20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52"/>
      <c r="P7" s="152"/>
      <c r="Q7" s="152"/>
      <c r="R7" s="117"/>
      <c r="S7" s="117"/>
      <c r="T7" s="117"/>
    </row>
    <row r="8" spans="1:20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52"/>
      <c r="P8" s="152"/>
      <c r="Q8" s="164" t="s">
        <v>189</v>
      </c>
      <c r="R8" s="117"/>
      <c r="S8" s="117"/>
      <c r="T8" s="117"/>
    </row>
    <row r="9" spans="1:20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52"/>
      <c r="P9" s="152"/>
      <c r="Q9" s="164" t="s">
        <v>188</v>
      </c>
      <c r="R9" s="117"/>
      <c r="S9" s="117"/>
      <c r="T9" s="117"/>
    </row>
    <row r="10" spans="1:20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52"/>
      <c r="P10" s="152"/>
      <c r="Q10" s="164" t="str">
        <f>Trans_Inputs!$B$3</f>
        <v>STIPULATION ATTACHMENT C</v>
      </c>
      <c r="R10" s="117"/>
      <c r="S10" s="117"/>
      <c r="T10" s="117"/>
    </row>
    <row r="11" spans="1:20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52"/>
      <c r="P11" s="152"/>
      <c r="Q11" s="152"/>
      <c r="R11" s="117"/>
      <c r="S11" s="117"/>
      <c r="T11" s="117"/>
    </row>
    <row r="12" spans="1:20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2"/>
      <c r="P12" s="162"/>
      <c r="Q12" s="162"/>
      <c r="R12" s="117"/>
      <c r="S12" s="117"/>
      <c r="T12" s="117"/>
    </row>
    <row r="13" spans="1:20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185</v>
      </c>
      <c r="K13" s="314"/>
      <c r="L13" s="314"/>
      <c r="M13" s="314"/>
      <c r="N13" s="161"/>
      <c r="O13" s="152"/>
      <c r="P13" s="152"/>
      <c r="Q13" s="152"/>
      <c r="R13" s="117"/>
      <c r="S13" s="145"/>
      <c r="T13" s="117"/>
    </row>
    <row r="14" spans="1:20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17"/>
      <c r="J14" s="117"/>
      <c r="K14" s="117"/>
      <c r="L14" s="152" t="s">
        <v>184</v>
      </c>
      <c r="M14" s="152" t="s">
        <v>21</v>
      </c>
      <c r="N14" s="152"/>
      <c r="O14" s="152" t="s">
        <v>17</v>
      </c>
      <c r="P14" s="152" t="s">
        <v>17</v>
      </c>
      <c r="Q14" s="152" t="s">
        <v>21</v>
      </c>
      <c r="R14" s="117"/>
      <c r="S14" s="117"/>
      <c r="T14" s="117"/>
    </row>
    <row r="15" spans="1:20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53</v>
      </c>
      <c r="K15" s="152" t="s">
        <v>19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17"/>
      <c r="S15" s="117"/>
      <c r="T15" s="117"/>
    </row>
    <row r="16" spans="1:20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180</v>
      </c>
      <c r="K16" s="152" t="s">
        <v>180</v>
      </c>
      <c r="L16" s="152" t="s">
        <v>178</v>
      </c>
      <c r="M16" s="152" t="s">
        <v>178</v>
      </c>
      <c r="N16" s="152" t="s">
        <v>179</v>
      </c>
      <c r="O16" s="152" t="s">
        <v>109</v>
      </c>
      <c r="P16" s="152" t="s">
        <v>109</v>
      </c>
      <c r="Q16" s="152" t="s">
        <v>178</v>
      </c>
      <c r="R16" s="117"/>
      <c r="S16" s="152" t="s">
        <v>53</v>
      </c>
      <c r="T16" s="152" t="s">
        <v>19</v>
      </c>
    </row>
    <row r="17" spans="1:20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 t="s">
        <v>165</v>
      </c>
      <c r="O17" s="160" t="s">
        <v>170</v>
      </c>
      <c r="P17" s="160" t="s">
        <v>169</v>
      </c>
      <c r="Q17" s="160" t="s">
        <v>168</v>
      </c>
      <c r="R17" s="117"/>
      <c r="S17" s="152" t="s">
        <v>109</v>
      </c>
      <c r="T17" s="152" t="s">
        <v>109</v>
      </c>
    </row>
    <row r="18" spans="1:20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 t="s">
        <v>163</v>
      </c>
      <c r="O18" s="160" t="s">
        <v>163</v>
      </c>
      <c r="P18" s="160" t="s">
        <v>163</v>
      </c>
      <c r="Q18" s="160" t="s">
        <v>162</v>
      </c>
      <c r="R18" s="117"/>
      <c r="S18" s="160" t="s">
        <v>163</v>
      </c>
      <c r="T18" s="160" t="s">
        <v>163</v>
      </c>
    </row>
    <row r="19" spans="1:20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 t="s">
        <v>159</v>
      </c>
      <c r="O19" s="160" t="s">
        <v>158</v>
      </c>
      <c r="P19" s="160" t="s">
        <v>157</v>
      </c>
      <c r="Q19" s="160" t="s">
        <v>156</v>
      </c>
      <c r="R19" s="117"/>
      <c r="S19" s="160" t="s">
        <v>155</v>
      </c>
      <c r="T19" s="160" t="s">
        <v>154</v>
      </c>
    </row>
    <row r="20" spans="1:20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60"/>
      <c r="L20" s="160"/>
      <c r="M20" s="160"/>
      <c r="N20" s="160"/>
      <c r="O20" s="152"/>
      <c r="P20" s="152"/>
      <c r="Q20" s="152"/>
      <c r="R20" s="117"/>
      <c r="S20" s="117"/>
      <c r="T20" s="117"/>
    </row>
    <row r="21" spans="1:20" ht="14.4" customHeight="1" x14ac:dyDescent="0.35">
      <c r="A21" s="152">
        <v>1</v>
      </c>
      <c r="B21" s="152" t="s">
        <v>108</v>
      </c>
      <c r="C21" s="152" t="s">
        <v>147</v>
      </c>
      <c r="D21" s="159">
        <v>1</v>
      </c>
      <c r="E21" s="157">
        <f>Trans_Inputs!$H$14+Trans_Inputs!$L$14+Trans_Inputs!$M$14</f>
        <v>20.13</v>
      </c>
      <c r="F21" s="157">
        <f>Trans_Inputs!$V$14+Trans_Inputs!$Y$14+Trans_Inputs!$Z$14</f>
        <v>21.63</v>
      </c>
      <c r="G21" s="157">
        <f t="shared" ref="G21:G32" si="0">F21-E21</f>
        <v>1.5</v>
      </c>
      <c r="H21" s="155">
        <f t="shared" ref="H21:H32" si="1">ROUND(G21/E21,3)</f>
        <v>7.4999999999999997E-2</v>
      </c>
      <c r="I21" s="158"/>
      <c r="J21" s="157">
        <f>ROUND((D21*Trans_Inputs!$C$14),2)+ROUND((Trans_Inputs!$N$14*D21),2)+ROUND((D21*Trans_Inputs!$J$14),2)+ROUND((D21*Trans_Inputs!$K$14),2)</f>
        <v>5.79</v>
      </c>
      <c r="K21" s="157">
        <f>ROUND((D21*Trans_Inputs!$Q$14),2)+ROUND((Trans_Inputs!$AA$14*D21),2)+ROUND((Trans_Inputs!$X$14*D21),2)</f>
        <v>6.1099999999999994</v>
      </c>
      <c r="L21" s="157">
        <f t="shared" ref="L21:L32" si="2">K21-J21</f>
        <v>0.3199999999999994</v>
      </c>
      <c r="M21" s="155">
        <f t="shared" ref="M21:M32" si="3">ROUND(L21/J21,3)</f>
        <v>5.5E-2</v>
      </c>
      <c r="N21" s="157">
        <v>0</v>
      </c>
      <c r="O21" s="157">
        <f t="shared" ref="O21:O32" si="4">E21+J21+N21</f>
        <v>25.919999999999998</v>
      </c>
      <c r="P21" s="157">
        <f t="shared" ref="P21:P32" si="5">F21+K21+N21</f>
        <v>27.74</v>
      </c>
      <c r="Q21" s="155">
        <f t="shared" ref="Q21:Q32" si="6">ROUND((P21-O21)/O21,3)</f>
        <v>7.0000000000000007E-2</v>
      </c>
      <c r="R21" s="117"/>
      <c r="S21" s="156">
        <f t="shared" ref="S21:S32" si="7">E21+J21</f>
        <v>25.919999999999998</v>
      </c>
      <c r="T21" s="156">
        <f t="shared" ref="T21:T32" si="8">F21+K21</f>
        <v>27.74</v>
      </c>
    </row>
    <row r="22" spans="1:20" ht="14.4" customHeight="1" x14ac:dyDescent="0.35">
      <c r="A22" s="152">
        <v>2</v>
      </c>
      <c r="B22" s="152" t="s">
        <v>146</v>
      </c>
      <c r="C22" s="152" t="s">
        <v>145</v>
      </c>
      <c r="D22" s="159">
        <v>2</v>
      </c>
      <c r="E22" s="157">
        <f>Trans_Inputs!$H$14+Trans_Inputs!$L$14+Trans_Inputs!$M$14</f>
        <v>20.13</v>
      </c>
      <c r="F22" s="157">
        <f>Trans_Inputs!$V$14+Trans_Inputs!$Y$14+Trans_Inputs!$Z$14</f>
        <v>21.63</v>
      </c>
      <c r="G22" s="157">
        <f t="shared" si="0"/>
        <v>1.5</v>
      </c>
      <c r="H22" s="155">
        <f t="shared" si="1"/>
        <v>7.4999999999999997E-2</v>
      </c>
      <c r="I22" s="158"/>
      <c r="J22" s="157">
        <f>ROUND((D22*Trans_Inputs!$C$14),2)+ROUND((Trans_Inputs!$N$14*D22),2)+ROUND((D22*Trans_Inputs!$J$14),2)+ROUND((D22*Trans_Inputs!$K$14),2)</f>
        <v>11.59</v>
      </c>
      <c r="K22" s="157">
        <f>ROUND((D22*Trans_Inputs!$Q$14),2)+ROUND((Trans_Inputs!$AA$14*D22),2)+ROUND((Trans_Inputs!$X$14*D22),2)</f>
        <v>12.209999999999999</v>
      </c>
      <c r="L22" s="157">
        <f t="shared" si="2"/>
        <v>0.61999999999999922</v>
      </c>
      <c r="M22" s="155">
        <f t="shared" si="3"/>
        <v>5.2999999999999999E-2</v>
      </c>
      <c r="N22" s="157">
        <v>0</v>
      </c>
      <c r="O22" s="157">
        <f t="shared" si="4"/>
        <v>31.72</v>
      </c>
      <c r="P22" s="157">
        <f t="shared" si="5"/>
        <v>33.839999999999996</v>
      </c>
      <c r="Q22" s="155">
        <f t="shared" si="6"/>
        <v>6.7000000000000004E-2</v>
      </c>
      <c r="R22" s="117"/>
      <c r="S22" s="156">
        <f t="shared" si="7"/>
        <v>31.72</v>
      </c>
      <c r="T22" s="156">
        <f t="shared" si="8"/>
        <v>33.839999999999996</v>
      </c>
    </row>
    <row r="23" spans="1:20" ht="14.4" customHeight="1" x14ac:dyDescent="0.35">
      <c r="A23" s="152">
        <v>3</v>
      </c>
      <c r="B23" s="152" t="s">
        <v>144</v>
      </c>
      <c r="C23" s="117"/>
      <c r="D23" s="159">
        <v>4</v>
      </c>
      <c r="E23" s="157">
        <f>Trans_Inputs!$H$14+Trans_Inputs!$L$14+Trans_Inputs!$M$14</f>
        <v>20.13</v>
      </c>
      <c r="F23" s="157">
        <f>Trans_Inputs!$V$14+Trans_Inputs!$Y$14+Trans_Inputs!$Z$14</f>
        <v>21.63</v>
      </c>
      <c r="G23" s="157">
        <f t="shared" si="0"/>
        <v>1.5</v>
      </c>
      <c r="H23" s="155">
        <f t="shared" si="1"/>
        <v>7.4999999999999997E-2</v>
      </c>
      <c r="I23" s="158"/>
      <c r="J23" s="157">
        <f>ROUND((D23*Trans_Inputs!$C$14),2)+ROUND((Trans_Inputs!$N$14*D23),2)+ROUND((D23*Trans_Inputs!$J$14),2)+ROUND((D23*Trans_Inputs!$K$14),2)</f>
        <v>23.180000000000003</v>
      </c>
      <c r="K23" s="157">
        <f>ROUND((D23*Trans_Inputs!$Q$14),2)+ROUND((Trans_Inputs!$AA$14*D23),2)+ROUND((Trans_Inputs!$X$14*D23),2)</f>
        <v>24.44</v>
      </c>
      <c r="L23" s="157">
        <f t="shared" si="2"/>
        <v>1.259999999999998</v>
      </c>
      <c r="M23" s="155">
        <f t="shared" si="3"/>
        <v>5.3999999999999999E-2</v>
      </c>
      <c r="N23" s="157">
        <v>0</v>
      </c>
      <c r="O23" s="157">
        <f t="shared" si="4"/>
        <v>43.31</v>
      </c>
      <c r="P23" s="157">
        <f t="shared" si="5"/>
        <v>46.07</v>
      </c>
      <c r="Q23" s="155">
        <f t="shared" si="6"/>
        <v>6.4000000000000001E-2</v>
      </c>
      <c r="R23" s="117"/>
      <c r="S23" s="156">
        <f t="shared" si="7"/>
        <v>43.31</v>
      </c>
      <c r="T23" s="156">
        <f t="shared" si="8"/>
        <v>46.07</v>
      </c>
    </row>
    <row r="24" spans="1:20" ht="14.4" customHeight="1" x14ac:dyDescent="0.35">
      <c r="A24" s="152">
        <v>4</v>
      </c>
      <c r="B24" s="152" t="s">
        <v>143</v>
      </c>
      <c r="C24" s="117"/>
      <c r="D24" s="159">
        <v>5</v>
      </c>
      <c r="E24" s="157">
        <f>Trans_Inputs!$H$14+Trans_Inputs!$L$14+Trans_Inputs!$M$14</f>
        <v>20.13</v>
      </c>
      <c r="F24" s="157">
        <f>Trans_Inputs!$V$14+Trans_Inputs!$Y$14+Trans_Inputs!$Z$14</f>
        <v>21.63</v>
      </c>
      <c r="G24" s="157">
        <f t="shared" si="0"/>
        <v>1.5</v>
      </c>
      <c r="H24" s="155">
        <f t="shared" si="1"/>
        <v>7.4999999999999997E-2</v>
      </c>
      <c r="I24" s="158"/>
      <c r="J24" s="157">
        <f>ROUND((D24*Trans_Inputs!$C$14),2)+ROUND((Trans_Inputs!$N$14*D24),2)+ROUND((D24*Trans_Inputs!$J$14),2)+ROUND((D24*Trans_Inputs!$K$14),2)</f>
        <v>28.97</v>
      </c>
      <c r="K24" s="157">
        <f>ROUND((D24*Trans_Inputs!$Q$14),2)+ROUND((Trans_Inputs!$AA$14*D24),2)+ROUND((Trans_Inputs!$X$14*D24),2)</f>
        <v>30.549999999999997</v>
      </c>
      <c r="L24" s="157">
        <f t="shared" si="2"/>
        <v>1.5799999999999983</v>
      </c>
      <c r="M24" s="155">
        <f t="shared" si="3"/>
        <v>5.5E-2</v>
      </c>
      <c r="N24" s="157">
        <v>0</v>
      </c>
      <c r="O24" s="157">
        <f t="shared" si="4"/>
        <v>49.099999999999994</v>
      </c>
      <c r="P24" s="157">
        <f t="shared" si="5"/>
        <v>52.179999999999993</v>
      </c>
      <c r="Q24" s="155">
        <f t="shared" si="6"/>
        <v>6.3E-2</v>
      </c>
      <c r="R24" s="117"/>
      <c r="S24" s="156">
        <f t="shared" si="7"/>
        <v>49.099999999999994</v>
      </c>
      <c r="T24" s="156">
        <f t="shared" si="8"/>
        <v>52.179999999999993</v>
      </c>
    </row>
    <row r="25" spans="1:20" ht="14.4" customHeight="1" x14ac:dyDescent="0.35">
      <c r="A25" s="152">
        <v>5</v>
      </c>
      <c r="B25" s="152"/>
      <c r="C25" s="117"/>
      <c r="D25" s="159">
        <f>Trans_Inputs!AT14</f>
        <v>6.1</v>
      </c>
      <c r="E25" s="157">
        <f>Trans_Inputs!$H$14+Trans_Inputs!$L$14+Trans_Inputs!$M$14</f>
        <v>20.13</v>
      </c>
      <c r="F25" s="157">
        <f>Trans_Inputs!$V$14+Trans_Inputs!$Y$14+Trans_Inputs!$Z$14</f>
        <v>21.63</v>
      </c>
      <c r="G25" s="157">
        <f t="shared" si="0"/>
        <v>1.5</v>
      </c>
      <c r="H25" s="155">
        <f t="shared" si="1"/>
        <v>7.4999999999999997E-2</v>
      </c>
      <c r="I25" s="158"/>
      <c r="J25" s="157">
        <f>ROUND((D25*Trans_Inputs!$C$14),2)+ROUND((Trans_Inputs!$N$14*D25),2)+ROUND((D25*Trans_Inputs!$J$14),2)+ROUND((D25*Trans_Inputs!$K$14),2)</f>
        <v>35.349999999999994</v>
      </c>
      <c r="K25" s="157">
        <f>ROUND((D25*Trans_Inputs!$Q$14),2)+ROUND((Trans_Inputs!$AA$14*D25),2)+ROUND((Trans_Inputs!$X$14*D25),2)</f>
        <v>37.269999999999996</v>
      </c>
      <c r="L25" s="157">
        <f t="shared" si="2"/>
        <v>1.9200000000000017</v>
      </c>
      <c r="M25" s="155">
        <f t="shared" si="3"/>
        <v>5.3999999999999999E-2</v>
      </c>
      <c r="N25" s="157">
        <v>0</v>
      </c>
      <c r="O25" s="157">
        <f t="shared" si="4"/>
        <v>55.47999999999999</v>
      </c>
      <c r="P25" s="157">
        <f t="shared" si="5"/>
        <v>58.899999999999991</v>
      </c>
      <c r="Q25" s="155">
        <f t="shared" si="6"/>
        <v>6.2E-2</v>
      </c>
      <c r="R25" s="117"/>
      <c r="S25" s="156">
        <f t="shared" si="7"/>
        <v>55.47999999999999</v>
      </c>
      <c r="T25" s="156">
        <f t="shared" si="8"/>
        <v>58.899999999999991</v>
      </c>
    </row>
    <row r="26" spans="1:20" ht="14.4" customHeight="1" x14ac:dyDescent="0.35">
      <c r="A26" s="152">
        <v>6</v>
      </c>
      <c r="B26" s="152"/>
      <c r="C26" s="117"/>
      <c r="D26" s="159">
        <v>8</v>
      </c>
      <c r="E26" s="157">
        <f>Trans_Inputs!$H$14+Trans_Inputs!$L$14+Trans_Inputs!$M$14</f>
        <v>20.13</v>
      </c>
      <c r="F26" s="157">
        <f>Trans_Inputs!$V$14+Trans_Inputs!$Y$14+Trans_Inputs!$Z$14</f>
        <v>21.63</v>
      </c>
      <c r="G26" s="157">
        <f t="shared" si="0"/>
        <v>1.5</v>
      </c>
      <c r="H26" s="155">
        <f t="shared" si="1"/>
        <v>7.4999999999999997E-2</v>
      </c>
      <c r="I26" s="158"/>
      <c r="J26" s="157">
        <f>ROUND((D26*Trans_Inputs!$C$14),2)+ROUND((Trans_Inputs!$N$14*D26),2)+ROUND((D26*Trans_Inputs!$J$14),2)+ROUND((D26*Trans_Inputs!$K$14),2)</f>
        <v>46.360000000000007</v>
      </c>
      <c r="K26" s="157">
        <f>ROUND((D26*Trans_Inputs!$Q$14),2)+ROUND((Trans_Inputs!$AA$14*D26),2)+ROUND((Trans_Inputs!$X$14*D26),2)</f>
        <v>48.88</v>
      </c>
      <c r="L26" s="157">
        <f t="shared" si="2"/>
        <v>2.519999999999996</v>
      </c>
      <c r="M26" s="155">
        <f t="shared" si="3"/>
        <v>5.3999999999999999E-2</v>
      </c>
      <c r="N26" s="157">
        <v>0</v>
      </c>
      <c r="O26" s="157">
        <f t="shared" si="4"/>
        <v>66.490000000000009</v>
      </c>
      <c r="P26" s="157">
        <f t="shared" si="5"/>
        <v>70.510000000000005</v>
      </c>
      <c r="Q26" s="155">
        <f t="shared" si="6"/>
        <v>0.06</v>
      </c>
      <c r="R26" s="117"/>
      <c r="S26" s="156">
        <f t="shared" si="7"/>
        <v>66.490000000000009</v>
      </c>
      <c r="T26" s="156">
        <f t="shared" si="8"/>
        <v>70.510000000000005</v>
      </c>
    </row>
    <row r="27" spans="1:20" ht="14.4" customHeight="1" x14ac:dyDescent="0.35">
      <c r="A27" s="152">
        <v>7</v>
      </c>
      <c r="B27" s="152"/>
      <c r="C27" s="117"/>
      <c r="D27" s="159">
        <v>10</v>
      </c>
      <c r="E27" s="157">
        <f>Trans_Inputs!$H$14+Trans_Inputs!$L$14+Trans_Inputs!$M$14</f>
        <v>20.13</v>
      </c>
      <c r="F27" s="157">
        <f>Trans_Inputs!$V$14+Trans_Inputs!$Y$14+Trans_Inputs!$Z$14</f>
        <v>21.63</v>
      </c>
      <c r="G27" s="157">
        <f t="shared" si="0"/>
        <v>1.5</v>
      </c>
      <c r="H27" s="155">
        <f t="shared" si="1"/>
        <v>7.4999999999999997E-2</v>
      </c>
      <c r="I27" s="158"/>
      <c r="J27" s="157">
        <f>ROUND((D27*Trans_Inputs!$C$14),2)+ROUND((Trans_Inputs!$N$14*D27),2)+ROUND((D27*Trans_Inputs!$J$14),2)+ROUND((D27*Trans_Inputs!$K$14),2)</f>
        <v>57.949999999999996</v>
      </c>
      <c r="K27" s="157">
        <f>ROUND((D27*Trans_Inputs!$Q$14),2)+ROUND((Trans_Inputs!$AA$14*D27),2)+ROUND((Trans_Inputs!$X$14*D27),2)</f>
        <v>61.089999999999996</v>
      </c>
      <c r="L27" s="157">
        <f t="shared" si="2"/>
        <v>3.1400000000000006</v>
      </c>
      <c r="M27" s="155">
        <f t="shared" si="3"/>
        <v>5.3999999999999999E-2</v>
      </c>
      <c r="N27" s="157">
        <v>0</v>
      </c>
      <c r="O27" s="157">
        <f t="shared" si="4"/>
        <v>78.08</v>
      </c>
      <c r="P27" s="157">
        <f t="shared" si="5"/>
        <v>82.72</v>
      </c>
      <c r="Q27" s="155">
        <f t="shared" si="6"/>
        <v>5.8999999999999997E-2</v>
      </c>
      <c r="R27" s="117"/>
      <c r="S27" s="156">
        <f t="shared" si="7"/>
        <v>78.08</v>
      </c>
      <c r="T27" s="156">
        <f t="shared" si="8"/>
        <v>82.72</v>
      </c>
    </row>
    <row r="28" spans="1:20" ht="14.4" customHeight="1" x14ac:dyDescent="0.35">
      <c r="A28" s="152">
        <v>8</v>
      </c>
      <c r="B28" s="152"/>
      <c r="C28" s="117"/>
      <c r="D28" s="159">
        <v>12</v>
      </c>
      <c r="E28" s="157">
        <f>Trans_Inputs!$H$14+Trans_Inputs!$L$14+Trans_Inputs!$M$14</f>
        <v>20.13</v>
      </c>
      <c r="F28" s="157">
        <f>Trans_Inputs!$V$14+Trans_Inputs!$Y$14+Trans_Inputs!$Z$14</f>
        <v>21.63</v>
      </c>
      <c r="G28" s="157">
        <f t="shared" si="0"/>
        <v>1.5</v>
      </c>
      <c r="H28" s="155">
        <f t="shared" si="1"/>
        <v>7.4999999999999997E-2</v>
      </c>
      <c r="I28" s="158"/>
      <c r="J28" s="157">
        <f>ROUND((D28*Trans_Inputs!$C$14),2)+ROUND((Trans_Inputs!$N$14*D28),2)+ROUND((D28*Trans_Inputs!$J$14),2)+ROUND((D28*Trans_Inputs!$K$14),2)</f>
        <v>69.540000000000006</v>
      </c>
      <c r="K28" s="157">
        <f>ROUND((D28*Trans_Inputs!$Q$14),2)+ROUND((Trans_Inputs!$AA$14*D28),2)+ROUND((Trans_Inputs!$X$14*D28),2)</f>
        <v>73.320000000000007</v>
      </c>
      <c r="L28" s="157">
        <f t="shared" si="2"/>
        <v>3.7800000000000011</v>
      </c>
      <c r="M28" s="155">
        <f t="shared" si="3"/>
        <v>5.3999999999999999E-2</v>
      </c>
      <c r="N28" s="157">
        <v>0</v>
      </c>
      <c r="O28" s="157">
        <f t="shared" si="4"/>
        <v>89.67</v>
      </c>
      <c r="P28" s="157">
        <f t="shared" si="5"/>
        <v>94.95</v>
      </c>
      <c r="Q28" s="155">
        <f t="shared" si="6"/>
        <v>5.8999999999999997E-2</v>
      </c>
      <c r="R28" s="117"/>
      <c r="S28" s="156">
        <f t="shared" si="7"/>
        <v>89.67</v>
      </c>
      <c r="T28" s="156">
        <f t="shared" si="8"/>
        <v>94.95</v>
      </c>
    </row>
    <row r="29" spans="1:20" ht="14.4" customHeight="1" x14ac:dyDescent="0.35">
      <c r="A29" s="152">
        <v>9</v>
      </c>
      <c r="B29" s="152"/>
      <c r="C29" s="117"/>
      <c r="D29" s="159">
        <v>16</v>
      </c>
      <c r="E29" s="157">
        <f>Trans_Inputs!$H$14+Trans_Inputs!$L$14+Trans_Inputs!$M$14</f>
        <v>20.13</v>
      </c>
      <c r="F29" s="157">
        <f>Trans_Inputs!$V$14+Trans_Inputs!$Y$14+Trans_Inputs!$Z$14</f>
        <v>21.63</v>
      </c>
      <c r="G29" s="157">
        <f t="shared" si="0"/>
        <v>1.5</v>
      </c>
      <c r="H29" s="155">
        <f t="shared" si="1"/>
        <v>7.4999999999999997E-2</v>
      </c>
      <c r="I29" s="158"/>
      <c r="J29" s="157">
        <f>ROUND((D29*Trans_Inputs!$C$14),2)+ROUND((Trans_Inputs!$N$14*D29),2)+ROUND((D29*Trans_Inputs!$J$14),2)+ROUND((D29*Trans_Inputs!$K$14),2)</f>
        <v>92.720000000000013</v>
      </c>
      <c r="K29" s="157">
        <f>ROUND((D29*Trans_Inputs!$Q$14),2)+ROUND((Trans_Inputs!$AA$14*D29),2)+ROUND((Trans_Inputs!$X$14*D29),2)</f>
        <v>97.76</v>
      </c>
      <c r="L29" s="157">
        <f t="shared" si="2"/>
        <v>5.039999999999992</v>
      </c>
      <c r="M29" s="155">
        <f t="shared" si="3"/>
        <v>5.3999999999999999E-2</v>
      </c>
      <c r="N29" s="157">
        <v>0</v>
      </c>
      <c r="O29" s="157">
        <f t="shared" si="4"/>
        <v>112.85000000000001</v>
      </c>
      <c r="P29" s="157">
        <f t="shared" si="5"/>
        <v>119.39</v>
      </c>
      <c r="Q29" s="155">
        <f t="shared" si="6"/>
        <v>5.8000000000000003E-2</v>
      </c>
      <c r="R29" s="117"/>
      <c r="S29" s="156">
        <f t="shared" si="7"/>
        <v>112.85000000000001</v>
      </c>
      <c r="T29" s="156">
        <f t="shared" si="8"/>
        <v>119.39</v>
      </c>
    </row>
    <row r="30" spans="1:20" ht="14.4" customHeight="1" x14ac:dyDescent="0.35">
      <c r="A30" s="152">
        <v>10</v>
      </c>
      <c r="B30" s="117"/>
      <c r="C30" s="117"/>
      <c r="D30" s="159">
        <v>18</v>
      </c>
      <c r="E30" s="157">
        <f>Trans_Inputs!$H$14+Trans_Inputs!$L$14+Trans_Inputs!$M$14</f>
        <v>20.13</v>
      </c>
      <c r="F30" s="157">
        <f>Trans_Inputs!$V$14+Trans_Inputs!$Y$14+Trans_Inputs!$Z$14</f>
        <v>21.63</v>
      </c>
      <c r="G30" s="157">
        <f t="shared" si="0"/>
        <v>1.5</v>
      </c>
      <c r="H30" s="155">
        <f t="shared" si="1"/>
        <v>7.4999999999999997E-2</v>
      </c>
      <c r="I30" s="158"/>
      <c r="J30" s="157">
        <f>ROUND((D30*Trans_Inputs!$C$14),2)+ROUND((Trans_Inputs!$N$14*D30),2)+ROUND((D30*Trans_Inputs!$J$14),2)+ROUND((D30*Trans_Inputs!$K$14),2)</f>
        <v>104.31</v>
      </c>
      <c r="K30" s="157">
        <f>ROUND((D30*Trans_Inputs!$Q$14),2)+ROUND((Trans_Inputs!$AA$14*D30),2)+ROUND((Trans_Inputs!$X$14*D30),2)</f>
        <v>109.97</v>
      </c>
      <c r="L30" s="157">
        <f t="shared" si="2"/>
        <v>5.6599999999999966</v>
      </c>
      <c r="M30" s="155">
        <f t="shared" si="3"/>
        <v>5.3999999999999999E-2</v>
      </c>
      <c r="N30" s="157">
        <v>0</v>
      </c>
      <c r="O30" s="157">
        <f t="shared" si="4"/>
        <v>124.44</v>
      </c>
      <c r="P30" s="157">
        <f t="shared" si="5"/>
        <v>131.6</v>
      </c>
      <c r="Q30" s="155">
        <f t="shared" si="6"/>
        <v>5.8000000000000003E-2</v>
      </c>
      <c r="R30" s="117"/>
      <c r="S30" s="156">
        <f t="shared" si="7"/>
        <v>124.44</v>
      </c>
      <c r="T30" s="156">
        <f t="shared" si="8"/>
        <v>131.6</v>
      </c>
    </row>
    <row r="31" spans="1:20" ht="14.4" customHeight="1" x14ac:dyDescent="0.35">
      <c r="A31" s="152">
        <v>11</v>
      </c>
      <c r="B31" s="117"/>
      <c r="C31" s="117"/>
      <c r="D31" s="159">
        <v>22</v>
      </c>
      <c r="E31" s="157">
        <f>Trans_Inputs!$H$14+Trans_Inputs!$L$14+Trans_Inputs!$M$14</f>
        <v>20.13</v>
      </c>
      <c r="F31" s="157">
        <f>Trans_Inputs!$V$14+Trans_Inputs!$Y$14+Trans_Inputs!$Z$14</f>
        <v>21.63</v>
      </c>
      <c r="G31" s="157">
        <f t="shared" si="0"/>
        <v>1.5</v>
      </c>
      <c r="H31" s="155">
        <f t="shared" si="1"/>
        <v>7.4999999999999997E-2</v>
      </c>
      <c r="I31" s="158"/>
      <c r="J31" s="157">
        <f>ROUND((D31*Trans_Inputs!$C$14),2)+ROUND((Trans_Inputs!$N$14*D31),2)+ROUND((D31*Trans_Inputs!$J$14),2)+ROUND((D31*Trans_Inputs!$K$14),2)</f>
        <v>127.49</v>
      </c>
      <c r="K31" s="157">
        <f>ROUND((D31*Trans_Inputs!$Q$14),2)+ROUND((Trans_Inputs!$AA$14*D31),2)+ROUND((Trans_Inputs!$X$14*D31),2)</f>
        <v>134.41</v>
      </c>
      <c r="L31" s="157">
        <f t="shared" si="2"/>
        <v>6.9200000000000017</v>
      </c>
      <c r="M31" s="155">
        <f t="shared" si="3"/>
        <v>5.3999999999999999E-2</v>
      </c>
      <c r="N31" s="157">
        <v>0</v>
      </c>
      <c r="O31" s="157">
        <f t="shared" si="4"/>
        <v>147.62</v>
      </c>
      <c r="P31" s="157">
        <f t="shared" si="5"/>
        <v>156.04</v>
      </c>
      <c r="Q31" s="155">
        <f t="shared" si="6"/>
        <v>5.7000000000000002E-2</v>
      </c>
      <c r="R31" s="117"/>
      <c r="S31" s="156">
        <f t="shared" si="7"/>
        <v>147.62</v>
      </c>
      <c r="T31" s="156">
        <f t="shared" si="8"/>
        <v>156.04</v>
      </c>
    </row>
    <row r="32" spans="1:20" ht="14.4" customHeight="1" x14ac:dyDescent="0.35">
      <c r="A32" s="152">
        <v>11</v>
      </c>
      <c r="B32" s="117"/>
      <c r="C32" s="117"/>
      <c r="D32" s="159">
        <v>25</v>
      </c>
      <c r="E32" s="157">
        <f>Trans_Inputs!$H$14+Trans_Inputs!$L$14+Trans_Inputs!$M$14</f>
        <v>20.13</v>
      </c>
      <c r="F32" s="157">
        <f>Trans_Inputs!$V$14+Trans_Inputs!$Y$14+Trans_Inputs!$Z$14</f>
        <v>21.63</v>
      </c>
      <c r="G32" s="157">
        <f t="shared" si="0"/>
        <v>1.5</v>
      </c>
      <c r="H32" s="155">
        <f t="shared" si="1"/>
        <v>7.4999999999999997E-2</v>
      </c>
      <c r="I32" s="158"/>
      <c r="J32" s="157">
        <f>ROUND((D32*Trans_Inputs!$C$14),2)+ROUND((Trans_Inputs!$N$14*D32),2)+ROUND((D32*Trans_Inputs!$J$14),2)+ROUND((D32*Trans_Inputs!$K$14),2)</f>
        <v>144.88</v>
      </c>
      <c r="K32" s="157">
        <f>ROUND((D32*Trans_Inputs!$Q$14),2)+ROUND((Trans_Inputs!$AA$14*D32),2)+ROUND((Trans_Inputs!$X$14*D32),2)</f>
        <v>152.74</v>
      </c>
      <c r="L32" s="157">
        <f t="shared" si="2"/>
        <v>7.8600000000000136</v>
      </c>
      <c r="M32" s="155">
        <f t="shared" si="3"/>
        <v>5.3999999999999999E-2</v>
      </c>
      <c r="N32" s="157">
        <v>0</v>
      </c>
      <c r="O32" s="157">
        <f t="shared" si="4"/>
        <v>165.01</v>
      </c>
      <c r="P32" s="157">
        <f t="shared" si="5"/>
        <v>174.37</v>
      </c>
      <c r="Q32" s="155">
        <f t="shared" si="6"/>
        <v>5.7000000000000002E-2</v>
      </c>
      <c r="R32" s="117"/>
      <c r="S32" s="156">
        <f t="shared" si="7"/>
        <v>165.01</v>
      </c>
      <c r="T32" s="156">
        <f t="shared" si="8"/>
        <v>174.37</v>
      </c>
    </row>
    <row r="33" spans="1:20" ht="14.4" customHeight="1" x14ac:dyDescent="0.35">
      <c r="A33" s="152"/>
      <c r="B33" s="117"/>
      <c r="C33" s="117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17"/>
      <c r="S33" s="117"/>
      <c r="T33" s="117"/>
    </row>
    <row r="34" spans="1:20" ht="14.4" customHeight="1" x14ac:dyDescent="0.35">
      <c r="A34" s="152"/>
      <c r="B34" s="117" t="s">
        <v>142</v>
      </c>
      <c r="C34" s="117"/>
      <c r="D34" s="154">
        <f>Trans_Inputs!AT14</f>
        <v>6.1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17"/>
      <c r="S34" s="117"/>
      <c r="T34" s="117"/>
    </row>
    <row r="35" spans="1:20" ht="14.5" x14ac:dyDescent="0.35">
      <c r="A35" s="152"/>
      <c r="B35" s="117"/>
      <c r="C35" s="117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17"/>
      <c r="S35" s="117"/>
      <c r="T35" s="117"/>
    </row>
    <row r="36" spans="1:20" ht="14.5" x14ac:dyDescent="0.35">
      <c r="A36" s="153" t="s">
        <v>141</v>
      </c>
      <c r="B36" s="117"/>
      <c r="C36" s="117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17"/>
      <c r="S36" s="117"/>
      <c r="T36" s="117"/>
    </row>
  </sheetData>
  <mergeCells count="7">
    <mergeCell ref="A5:Q5"/>
    <mergeCell ref="E13:H13"/>
    <mergeCell ref="J13:M13"/>
    <mergeCell ref="A1:Q1"/>
    <mergeCell ref="A2:Q2"/>
    <mergeCell ref="A3:Q3"/>
    <mergeCell ref="A4:Q4"/>
  </mergeCells>
  <printOptions horizontalCentered="1"/>
  <pageMargins left="0.25" right="0.25" top="0.75" bottom="0.75" header="0.5" footer="0.5"/>
  <pageSetup scale="94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5A17-190E-4E2D-9433-88B6ED649A59}">
  <sheetPr codeName="Sheet8">
    <tabColor theme="5" tint="0.79998168889431442"/>
    <pageSetUpPr fitToPage="1"/>
  </sheetPr>
  <dimension ref="A1:V43"/>
  <sheetViews>
    <sheetView workbookViewId="0">
      <selection activeCell="V8" sqref="V8"/>
    </sheetView>
  </sheetViews>
  <sheetFormatPr defaultColWidth="7.1796875" defaultRowHeight="14.4" customHeight="1" x14ac:dyDescent="0.35"/>
  <cols>
    <col min="1" max="1" width="3.453125" customWidth="1"/>
    <col min="2" max="2" width="10.453125" customWidth="1"/>
    <col min="3" max="3" width="9.1796875" bestFit="1" customWidth="1"/>
    <col min="4" max="4" width="8.1796875" bestFit="1" customWidth="1"/>
    <col min="5" max="5" width="11.81640625" bestFit="1" customWidth="1"/>
    <col min="6" max="6" width="8.453125" bestFit="1" customWidth="1"/>
    <col min="7" max="8" width="9.453125" bestFit="1" customWidth="1"/>
    <col min="9" max="9" width="1.453125" customWidth="1"/>
    <col min="10" max="11" width="10" bestFit="1" customWidth="1"/>
    <col min="12" max="13" width="9.453125" bestFit="1" customWidth="1"/>
    <col min="14" max="14" width="8" customWidth="1"/>
    <col min="15" max="15" width="10.1796875" bestFit="1" customWidth="1"/>
    <col min="16" max="16" width="9.81640625" bestFit="1" customWidth="1"/>
    <col min="17" max="17" width="10.54296875" customWidth="1"/>
    <col min="18" max="18" width="6.54296875" customWidth="1"/>
    <col min="19" max="19" width="13.54296875" bestFit="1" customWidth="1"/>
    <col min="20" max="20" width="8.81640625" bestFit="1" customWidth="1"/>
    <col min="21" max="24" width="7.1796875" customWidth="1"/>
    <col min="25" max="25" width="8.81640625" bestFit="1" customWidth="1"/>
    <col min="26" max="26" width="9.453125" bestFit="1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117"/>
      <c r="S1" s="117"/>
      <c r="T1" s="117"/>
      <c r="U1" s="117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117"/>
      <c r="S2" s="117"/>
      <c r="T2" s="117"/>
      <c r="U2" s="117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117"/>
      <c r="S3" s="117"/>
      <c r="T3" s="117"/>
      <c r="U3" s="117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117"/>
      <c r="S4" s="117"/>
      <c r="T4" s="117"/>
      <c r="U4" s="117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117"/>
      <c r="S5" s="117"/>
      <c r="T5" s="117"/>
      <c r="U5" s="117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52"/>
      <c r="P6" s="152"/>
      <c r="Q6" s="152"/>
      <c r="R6" s="117"/>
      <c r="S6" s="117"/>
      <c r="T6" s="117"/>
      <c r="U6" s="117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52"/>
      <c r="P7" s="152"/>
      <c r="Q7" s="152"/>
      <c r="R7" s="117"/>
      <c r="S7" s="117"/>
      <c r="T7" s="117"/>
      <c r="U7" s="117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52"/>
      <c r="P8" s="152"/>
      <c r="Q8" s="164" t="s">
        <v>189</v>
      </c>
      <c r="R8" s="117"/>
      <c r="S8" s="117"/>
      <c r="T8" s="117"/>
      <c r="U8" s="117"/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52"/>
      <c r="P9" s="152"/>
      <c r="Q9" s="164" t="s">
        <v>198</v>
      </c>
      <c r="R9" s="117"/>
      <c r="S9" s="117"/>
      <c r="T9" s="117"/>
      <c r="U9" s="117"/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52"/>
      <c r="P10" s="152"/>
      <c r="Q10" s="164" t="str">
        <f>Trans_Inputs!$B$3</f>
        <v>STIPULATION ATTACHMENT C</v>
      </c>
      <c r="R10" s="117"/>
      <c r="S10" s="117"/>
      <c r="T10" s="117"/>
      <c r="U10" s="117"/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52"/>
      <c r="P11" s="152"/>
      <c r="Q11" s="152"/>
      <c r="R11" s="117"/>
      <c r="S11" s="117"/>
      <c r="T11" s="117"/>
      <c r="U11" s="117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2"/>
      <c r="P12" s="162"/>
      <c r="Q12" s="162"/>
      <c r="R12" s="117"/>
      <c r="S12" s="117"/>
      <c r="T12" s="117"/>
      <c r="U12" s="117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185</v>
      </c>
      <c r="K13" s="314"/>
      <c r="L13" s="314"/>
      <c r="M13" s="314"/>
      <c r="N13" s="161"/>
      <c r="O13" s="152"/>
      <c r="P13" s="152"/>
      <c r="Q13" s="152"/>
      <c r="R13" s="117"/>
      <c r="S13" s="145"/>
      <c r="T13" s="117"/>
      <c r="U13" s="117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17"/>
      <c r="J14" s="117"/>
      <c r="K14" s="117"/>
      <c r="L14" s="152" t="s">
        <v>184</v>
      </c>
      <c r="M14" s="152" t="s">
        <v>21</v>
      </c>
      <c r="N14" s="152"/>
      <c r="O14" s="152" t="s">
        <v>17</v>
      </c>
      <c r="P14" s="152" t="s">
        <v>17</v>
      </c>
      <c r="Q14" s="152" t="s">
        <v>21</v>
      </c>
      <c r="R14" s="117"/>
      <c r="S14" s="117"/>
      <c r="T14" s="117"/>
      <c r="U14" s="117"/>
      <c r="V14" s="152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53</v>
      </c>
      <c r="K15" s="152" t="s">
        <v>19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17"/>
      <c r="S15" s="117"/>
      <c r="T15" s="117"/>
      <c r="U15" s="152"/>
      <c r="V15" s="152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180</v>
      </c>
      <c r="K16" s="152" t="s">
        <v>180</v>
      </c>
      <c r="L16" s="152" t="s">
        <v>178</v>
      </c>
      <c r="M16" s="152" t="s">
        <v>178</v>
      </c>
      <c r="N16" s="152" t="s">
        <v>179</v>
      </c>
      <c r="O16" s="152" t="s">
        <v>109</v>
      </c>
      <c r="P16" s="152" t="s">
        <v>109</v>
      </c>
      <c r="Q16" s="152" t="s">
        <v>178</v>
      </c>
      <c r="R16" s="117"/>
      <c r="S16" s="152"/>
      <c r="T16" s="152"/>
      <c r="U16" s="152"/>
      <c r="V16" s="152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 t="s">
        <v>165</v>
      </c>
      <c r="O17" s="160" t="s">
        <v>170</v>
      </c>
      <c r="P17" s="160" t="s">
        <v>169</v>
      </c>
      <c r="Q17" s="160" t="s">
        <v>168</v>
      </c>
      <c r="R17" s="117"/>
      <c r="S17" s="152"/>
      <c r="T17" s="152"/>
      <c r="U17" s="152"/>
      <c r="V17" s="160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 t="s">
        <v>163</v>
      </c>
      <c r="O18" s="160" t="s">
        <v>163</v>
      </c>
      <c r="P18" s="160" t="s">
        <v>163</v>
      </c>
      <c r="Q18" s="160" t="s">
        <v>162</v>
      </c>
      <c r="R18" s="117"/>
      <c r="S18" s="160"/>
      <c r="T18" s="160"/>
      <c r="U18" s="160"/>
      <c r="V18" s="160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 t="s">
        <v>159</v>
      </c>
      <c r="O19" s="160" t="s">
        <v>158</v>
      </c>
      <c r="P19" s="160" t="s">
        <v>157</v>
      </c>
      <c r="Q19" s="160" t="s">
        <v>156</v>
      </c>
      <c r="R19" s="117"/>
      <c r="S19" s="160"/>
      <c r="T19" s="160"/>
      <c r="U19" s="160"/>
      <c r="V19" s="160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60"/>
      <c r="L20" s="160"/>
      <c r="M20" s="160"/>
      <c r="N20" s="160"/>
      <c r="O20" s="152"/>
      <c r="P20" s="152"/>
      <c r="Q20" s="152"/>
      <c r="R20" s="117"/>
      <c r="S20" s="117"/>
      <c r="T20" s="117"/>
      <c r="U20" s="117"/>
      <c r="V20" s="117"/>
    </row>
    <row r="21" spans="1:22" ht="14.4" customHeight="1" x14ac:dyDescent="0.35">
      <c r="A21" s="152">
        <v>1</v>
      </c>
      <c r="B21" s="152" t="s">
        <v>105</v>
      </c>
      <c r="C21" s="152" t="s">
        <v>147</v>
      </c>
      <c r="D21" s="168">
        <v>10</v>
      </c>
      <c r="E21" s="157">
        <f>Trans_Inputs!$H$15</f>
        <v>83.71</v>
      </c>
      <c r="F21" s="157">
        <f>Trans_Inputs!$V$15</f>
        <v>110</v>
      </c>
      <c r="G21" s="167">
        <f t="shared" ref="G21:G38" si="0">F21-E21</f>
        <v>26.290000000000006</v>
      </c>
      <c r="H21" s="155">
        <f t="shared" ref="H21:H38" si="1">ROUND(G21/E21,3)</f>
        <v>0.314</v>
      </c>
      <c r="I21" s="158"/>
      <c r="J21" s="157">
        <f>ROUND((D21*Trans_Inputs!$M$15),2)+ROUND((D21*Trans_Inputs!$C$15),2)+ROUND((D21*Trans_Inputs!$J$15),2)+ROUND((D21*Trans_Inputs!$K$15),2)+ROUND((D21*Trans_Inputs!$N$15),2)</f>
        <v>35.839999999999996</v>
      </c>
      <c r="K21" s="157">
        <f>ROUND((D21*Trans_Inputs!$AA$15),2)+ROUND((D21*Trans_Inputs!$Q$15),2)+ROUND((Trans_Inputs!$X$15*D21),2)</f>
        <v>31.71</v>
      </c>
      <c r="L21" s="157">
        <f t="shared" ref="L21:L38" si="2">K21-J21</f>
        <v>-4.1299999999999955</v>
      </c>
      <c r="M21" s="155">
        <f t="shared" ref="M21:M38" si="3">ROUND(L21/J21,3)</f>
        <v>-0.115</v>
      </c>
      <c r="N21" s="157">
        <v>0</v>
      </c>
      <c r="O21" s="157">
        <f t="shared" ref="O21:O38" si="4">E21+J21+N21</f>
        <v>119.54999999999998</v>
      </c>
      <c r="P21" s="157">
        <f t="shared" ref="P21:P38" si="5">F21+K21+N21</f>
        <v>141.71</v>
      </c>
      <c r="Q21" s="155">
        <f t="shared" ref="Q21:Q38" si="6">ROUND((P21-O21)/O21,3)</f>
        <v>0.185</v>
      </c>
      <c r="R21" s="117"/>
      <c r="S21" s="156"/>
      <c r="T21" s="156"/>
      <c r="U21" s="156"/>
      <c r="V21" s="155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30</v>
      </c>
      <c r="E22" s="157">
        <f>Trans_Inputs!$H$15</f>
        <v>83.71</v>
      </c>
      <c r="F22" s="157">
        <f>Trans_Inputs!$V$15</f>
        <v>110</v>
      </c>
      <c r="G22" s="167">
        <f t="shared" si="0"/>
        <v>26.290000000000006</v>
      </c>
      <c r="H22" s="155">
        <f t="shared" si="1"/>
        <v>0.314</v>
      </c>
      <c r="I22" s="158"/>
      <c r="J22" s="157">
        <f>ROUND((D22*Trans_Inputs!$M$15),2)+ROUND((D22*Trans_Inputs!$C$15),2)+ROUND((D22*Trans_Inputs!$J$15),2)+ROUND((D22*Trans_Inputs!$K$15),2)+ROUND((D22*Trans_Inputs!$N$15),2)</f>
        <v>107.54</v>
      </c>
      <c r="K22" s="157">
        <f>ROUND((D22*Trans_Inputs!$AA$15),2)+ROUND((D22*Trans_Inputs!$Q$15),2)+ROUND((Trans_Inputs!$X$15*D22),2)</f>
        <v>95.14</v>
      </c>
      <c r="L22" s="157">
        <f t="shared" si="2"/>
        <v>-12.400000000000006</v>
      </c>
      <c r="M22" s="155">
        <f t="shared" si="3"/>
        <v>-0.115</v>
      </c>
      <c r="N22" s="157">
        <v>0</v>
      </c>
      <c r="O22" s="157">
        <f t="shared" si="4"/>
        <v>191.25</v>
      </c>
      <c r="P22" s="157">
        <f t="shared" si="5"/>
        <v>205.14</v>
      </c>
      <c r="Q22" s="155">
        <f t="shared" si="6"/>
        <v>7.2999999999999995E-2</v>
      </c>
      <c r="R22" s="117"/>
      <c r="S22" s="156"/>
      <c r="T22" s="156"/>
      <c r="U22" s="156"/>
      <c r="V22" s="155"/>
    </row>
    <row r="23" spans="1:22" ht="14.4" customHeight="1" x14ac:dyDescent="0.35">
      <c r="A23" s="152">
        <v>3</v>
      </c>
      <c r="B23" s="152" t="s">
        <v>144</v>
      </c>
      <c r="C23" s="152"/>
      <c r="D23" s="168">
        <f>D40</f>
        <v>47</v>
      </c>
      <c r="E23" s="157">
        <f>Trans_Inputs!$H$15</f>
        <v>83.71</v>
      </c>
      <c r="F23" s="157">
        <f>Trans_Inputs!$V$15</f>
        <v>110</v>
      </c>
      <c r="G23" s="167">
        <f t="shared" si="0"/>
        <v>26.290000000000006</v>
      </c>
      <c r="H23" s="155">
        <f t="shared" si="1"/>
        <v>0.314</v>
      </c>
      <c r="I23" s="158"/>
      <c r="J23" s="157">
        <f>ROUND((D23*Trans_Inputs!$M$15),2)+ROUND((D23*Trans_Inputs!$C$15),2)+ROUND((D23*Trans_Inputs!$J$15),2)+ROUND((D23*Trans_Inputs!$K$15),2)+ROUND((D23*Trans_Inputs!$N$15),2)</f>
        <v>168.48000000000002</v>
      </c>
      <c r="K23" s="157">
        <f>ROUND((D23*Trans_Inputs!$AA$15),2)+ROUND((D23*Trans_Inputs!$Q$15),2)+ROUND((Trans_Inputs!$X$15*D23),2)</f>
        <v>149.06</v>
      </c>
      <c r="L23" s="157">
        <f t="shared" si="2"/>
        <v>-19.420000000000016</v>
      </c>
      <c r="M23" s="155">
        <f t="shared" si="3"/>
        <v>-0.115</v>
      </c>
      <c r="N23" s="157">
        <v>0</v>
      </c>
      <c r="O23" s="157">
        <f t="shared" si="4"/>
        <v>252.19</v>
      </c>
      <c r="P23" s="157">
        <f t="shared" si="5"/>
        <v>259.06</v>
      </c>
      <c r="Q23" s="155">
        <f t="shared" si="6"/>
        <v>2.7E-2</v>
      </c>
      <c r="R23" s="117"/>
      <c r="S23" s="156"/>
      <c r="T23" s="156"/>
      <c r="U23" s="156"/>
      <c r="V23" s="155"/>
    </row>
    <row r="24" spans="1:22" ht="14.4" customHeight="1" x14ac:dyDescent="0.35">
      <c r="A24" s="152">
        <v>4</v>
      </c>
      <c r="B24" s="152" t="s">
        <v>197</v>
      </c>
      <c r="C24" s="117"/>
      <c r="D24" s="168">
        <v>50</v>
      </c>
      <c r="E24" s="157">
        <f>Trans_Inputs!$H$15</f>
        <v>83.71</v>
      </c>
      <c r="F24" s="157">
        <f>Trans_Inputs!$V$15</f>
        <v>110</v>
      </c>
      <c r="G24" s="167">
        <f t="shared" si="0"/>
        <v>26.290000000000006</v>
      </c>
      <c r="H24" s="155">
        <f t="shared" si="1"/>
        <v>0.314</v>
      </c>
      <c r="I24" s="158"/>
      <c r="J24" s="157">
        <f>ROUND((D24*Trans_Inputs!$M$15),2)+ROUND((D24*Trans_Inputs!$C$15),2)+ROUND((D24*Trans_Inputs!$J$15),2)+ROUND((D24*Trans_Inputs!$K$15),2)+ROUND((D24*Trans_Inputs!$N$15),2)</f>
        <v>179.24</v>
      </c>
      <c r="K24" s="157">
        <f>ROUND((D24*Trans_Inputs!$AA$15),2)+ROUND((D24*Trans_Inputs!$Q$15),2)+ROUND((Trans_Inputs!$X$15*D24),2)</f>
        <v>158.58000000000001</v>
      </c>
      <c r="L24" s="157">
        <f t="shared" si="2"/>
        <v>-20.659999999999997</v>
      </c>
      <c r="M24" s="155">
        <f t="shared" si="3"/>
        <v>-0.115</v>
      </c>
      <c r="N24" s="157">
        <v>0</v>
      </c>
      <c r="O24" s="157">
        <f t="shared" si="4"/>
        <v>262.95</v>
      </c>
      <c r="P24" s="157">
        <f t="shared" si="5"/>
        <v>268.58000000000004</v>
      </c>
      <c r="Q24" s="155">
        <f t="shared" si="6"/>
        <v>2.1000000000000001E-2</v>
      </c>
      <c r="R24" s="117"/>
      <c r="S24" s="156"/>
      <c r="T24" s="156"/>
      <c r="U24" s="156"/>
      <c r="V24" s="155"/>
    </row>
    <row r="25" spans="1:22" ht="14.4" customHeight="1" x14ac:dyDescent="0.35">
      <c r="A25" s="152">
        <v>5</v>
      </c>
      <c r="B25" s="152" t="s">
        <v>196</v>
      </c>
      <c r="C25" s="117"/>
      <c r="D25" s="168">
        <v>70</v>
      </c>
      <c r="E25" s="157">
        <f>Trans_Inputs!$H$15</f>
        <v>83.71</v>
      </c>
      <c r="F25" s="157">
        <f>Trans_Inputs!$V$15</f>
        <v>110</v>
      </c>
      <c r="G25" s="167">
        <f t="shared" si="0"/>
        <v>26.290000000000006</v>
      </c>
      <c r="H25" s="155">
        <f t="shared" si="1"/>
        <v>0.314</v>
      </c>
      <c r="I25" s="158"/>
      <c r="J25" s="157">
        <f>ROUND((D25*Trans_Inputs!$M$15),2)+ROUND((Trans_Inputs!$AD$15*Trans_Inputs!$C$15),2)+ROUND(((D25-Trans_Inputs!$AD$15)*Trans_Inputs!$D$15),2)+ROUND((D25*Trans_Inputs!$J$15),2)+ROUND((D25*Trans_Inputs!$K$15),2)+ROUND((D25*Trans_Inputs!$N$15),2)</f>
        <v>236.1</v>
      </c>
      <c r="K25" s="157">
        <f>ROUND((D25*Trans_Inputs!$AA$15),2)+ROUND((Trans_Inputs!$AK$15*Trans_Inputs!$Q$15),2)+ROUND(((D25-Trans_Inputs!$AK$15)*Trans_Inputs!$R$15),2)+ROUND((Trans_Inputs!$X$15*D25),2)</f>
        <v>207.60000000000002</v>
      </c>
      <c r="L25" s="157">
        <f t="shared" si="2"/>
        <v>-28.499999999999972</v>
      </c>
      <c r="M25" s="155">
        <f t="shared" si="3"/>
        <v>-0.121</v>
      </c>
      <c r="N25" s="157">
        <v>0</v>
      </c>
      <c r="O25" s="157">
        <f t="shared" si="4"/>
        <v>319.81</v>
      </c>
      <c r="P25" s="157">
        <f t="shared" si="5"/>
        <v>317.60000000000002</v>
      </c>
      <c r="Q25" s="155">
        <f t="shared" si="6"/>
        <v>-7.0000000000000001E-3</v>
      </c>
      <c r="R25" s="117"/>
      <c r="S25" s="156"/>
      <c r="T25" s="156"/>
      <c r="U25" s="156"/>
      <c r="V25" s="155"/>
    </row>
    <row r="26" spans="1:22" ht="14.4" customHeight="1" x14ac:dyDescent="0.35">
      <c r="A26" s="152">
        <v>6</v>
      </c>
      <c r="B26" s="152" t="s">
        <v>195</v>
      </c>
      <c r="C26" s="117"/>
      <c r="D26" s="168">
        <v>100</v>
      </c>
      <c r="E26" s="157">
        <f>Trans_Inputs!$H$15</f>
        <v>83.71</v>
      </c>
      <c r="F26" s="157">
        <f>Trans_Inputs!$V$15</f>
        <v>110</v>
      </c>
      <c r="G26" s="167">
        <f t="shared" si="0"/>
        <v>26.290000000000006</v>
      </c>
      <c r="H26" s="155">
        <f t="shared" si="1"/>
        <v>0.314</v>
      </c>
      <c r="I26" s="158"/>
      <c r="J26" s="157">
        <f>ROUND((D26*Trans_Inputs!$M$15),2)+ROUND((Trans_Inputs!$AD$15*Trans_Inputs!$C$15),2)+ROUND(((D26-Trans_Inputs!$AD$15)*Trans_Inputs!$D$15),2)+ROUND((D26*Trans_Inputs!$J$15),2)+ROUND((D26*Trans_Inputs!$K$15),2)+ROUND((D26*Trans_Inputs!$N$15),2)</f>
        <v>321.39000000000004</v>
      </c>
      <c r="K26" s="157">
        <f>ROUND((D26*Trans_Inputs!$AA$15),2)+ROUND((Trans_Inputs!$AK$15*Trans_Inputs!$Q$15),2)+ROUND(((D26-Trans_Inputs!$AK$15)*Trans_Inputs!$R$15),2)+ROUND((Trans_Inputs!$X$15*D26),2)</f>
        <v>281.12</v>
      </c>
      <c r="L26" s="157">
        <f t="shared" si="2"/>
        <v>-40.270000000000039</v>
      </c>
      <c r="M26" s="155">
        <f t="shared" si="3"/>
        <v>-0.125</v>
      </c>
      <c r="N26" s="157">
        <v>0</v>
      </c>
      <c r="O26" s="157">
        <f t="shared" si="4"/>
        <v>405.1</v>
      </c>
      <c r="P26" s="157">
        <f t="shared" si="5"/>
        <v>391.12</v>
      </c>
      <c r="Q26" s="155">
        <f t="shared" si="6"/>
        <v>-3.5000000000000003E-2</v>
      </c>
      <c r="R26" s="117"/>
      <c r="S26" s="156"/>
      <c r="T26" s="156"/>
      <c r="U26" s="156"/>
      <c r="V26" s="155"/>
    </row>
    <row r="27" spans="1:22" ht="14.4" customHeight="1" x14ac:dyDescent="0.35">
      <c r="A27" s="152">
        <v>7</v>
      </c>
      <c r="B27" s="117"/>
      <c r="C27" s="117"/>
      <c r="D27" s="168">
        <v>150</v>
      </c>
      <c r="E27" s="157">
        <f>Trans_Inputs!$H$15</f>
        <v>83.71</v>
      </c>
      <c r="F27" s="157">
        <f>Trans_Inputs!$V$15</f>
        <v>110</v>
      </c>
      <c r="G27" s="167">
        <f t="shared" si="0"/>
        <v>26.290000000000006</v>
      </c>
      <c r="H27" s="155">
        <f t="shared" si="1"/>
        <v>0.314</v>
      </c>
      <c r="I27" s="158"/>
      <c r="J27" s="157">
        <f>ROUND((D27*Trans_Inputs!$M$15),2)+ROUND((Trans_Inputs!$AD$15*Trans_Inputs!$C$15),2)+ROUND(((D27-Trans_Inputs!$AD$15)*Trans_Inputs!$D$15),2)+ROUND((D27*Trans_Inputs!$J$15),2)+ROUND((D27*Trans_Inputs!$K$15),2)+ROUND((D27*Trans_Inputs!$N$15),2)</f>
        <v>463.53999999999996</v>
      </c>
      <c r="K27" s="157">
        <f>ROUND((D27*Trans_Inputs!$AA$15),2)+ROUND((Trans_Inputs!$AK$15*Trans_Inputs!$Q$15),2)+ROUND(((D27-Trans_Inputs!$AK$15)*Trans_Inputs!$R$15),2)+ROUND((Trans_Inputs!$X$15*D27),2)</f>
        <v>403.66</v>
      </c>
      <c r="L27" s="157">
        <f t="shared" si="2"/>
        <v>-59.879999999999939</v>
      </c>
      <c r="M27" s="155">
        <f t="shared" si="3"/>
        <v>-0.129</v>
      </c>
      <c r="N27" s="157">
        <v>0</v>
      </c>
      <c r="O27" s="157">
        <f t="shared" si="4"/>
        <v>547.25</v>
      </c>
      <c r="P27" s="157">
        <f t="shared" si="5"/>
        <v>513.66000000000008</v>
      </c>
      <c r="Q27" s="155">
        <f t="shared" si="6"/>
        <v>-6.0999999999999999E-2</v>
      </c>
      <c r="R27" s="117"/>
      <c r="S27" s="156"/>
      <c r="T27" s="156"/>
      <c r="U27" s="156"/>
      <c r="V27" s="155"/>
    </row>
    <row r="28" spans="1:22" ht="14.4" customHeight="1" x14ac:dyDescent="0.35">
      <c r="A28" s="152">
        <v>8</v>
      </c>
      <c r="B28" s="152"/>
      <c r="C28" s="117"/>
      <c r="D28" s="168">
        <v>200</v>
      </c>
      <c r="E28" s="157">
        <f>Trans_Inputs!$H$15</f>
        <v>83.71</v>
      </c>
      <c r="F28" s="157">
        <f>Trans_Inputs!$V$15</f>
        <v>110</v>
      </c>
      <c r="G28" s="167">
        <f t="shared" si="0"/>
        <v>26.290000000000006</v>
      </c>
      <c r="H28" s="155">
        <f t="shared" si="1"/>
        <v>0.314</v>
      </c>
      <c r="I28" s="158"/>
      <c r="J28" s="157">
        <f>ROUND((D28*Trans_Inputs!$M$15),2)+ROUND((Trans_Inputs!$AD$15*Trans_Inputs!$C$15),2)+ROUND(((D28-Trans_Inputs!$AD$15)*Trans_Inputs!$D$15),2)+ROUND((D28*Trans_Inputs!$J$15),2)+ROUND((D28*Trans_Inputs!$K$15),2)+ROUND((D28*Trans_Inputs!$N$15),2)</f>
        <v>605.69000000000005</v>
      </c>
      <c r="K28" s="157">
        <f>ROUND((D28*Trans_Inputs!$AA$15),2)+ROUND((Trans_Inputs!$AK$15*Trans_Inputs!$Q$15),2)+ROUND(((D28-Trans_Inputs!$AK$15)*Trans_Inputs!$R$15),2)+ROUND((Trans_Inputs!$X$15*D28),2)</f>
        <v>526.20000000000005</v>
      </c>
      <c r="L28" s="157">
        <f t="shared" si="2"/>
        <v>-79.490000000000009</v>
      </c>
      <c r="M28" s="155">
        <f t="shared" si="3"/>
        <v>-0.13100000000000001</v>
      </c>
      <c r="N28" s="157">
        <v>0</v>
      </c>
      <c r="O28" s="157">
        <f t="shared" si="4"/>
        <v>689.40000000000009</v>
      </c>
      <c r="P28" s="157">
        <f t="shared" si="5"/>
        <v>636.20000000000005</v>
      </c>
      <c r="Q28" s="155">
        <f t="shared" si="6"/>
        <v>-7.6999999999999999E-2</v>
      </c>
      <c r="R28" s="117"/>
      <c r="S28" s="156"/>
      <c r="T28" s="156"/>
      <c r="U28" s="156"/>
      <c r="V28" s="155"/>
    </row>
    <row r="29" spans="1:22" ht="14.4" customHeight="1" x14ac:dyDescent="0.35">
      <c r="A29" s="152">
        <v>9</v>
      </c>
      <c r="B29" s="152"/>
      <c r="C29" s="117"/>
      <c r="D29" s="168">
        <v>250</v>
      </c>
      <c r="E29" s="157">
        <f>Trans_Inputs!$H$15</f>
        <v>83.71</v>
      </c>
      <c r="F29" s="157">
        <f>Trans_Inputs!$V$15</f>
        <v>110</v>
      </c>
      <c r="G29" s="167">
        <f t="shared" si="0"/>
        <v>26.290000000000006</v>
      </c>
      <c r="H29" s="155">
        <f t="shared" si="1"/>
        <v>0.314</v>
      </c>
      <c r="I29" s="158"/>
      <c r="J29" s="157">
        <f>ROUND((D29*Trans_Inputs!$M$15),2)+ROUND((Trans_Inputs!$AD$15*Trans_Inputs!$C$15),2)+ROUND(((D29-Trans_Inputs!$AD$15)*Trans_Inputs!$D$15),2)+ROUND((D29*Trans_Inputs!$J$15),2)+ROUND((D29*Trans_Inputs!$K$15),2)+ROUND((D29*Trans_Inputs!$N$15),2)</f>
        <v>747.84</v>
      </c>
      <c r="K29" s="157">
        <f>ROUND((D29*Trans_Inputs!$AA$15),2)+ROUND((Trans_Inputs!$AK$15*Trans_Inputs!$Q$15),2)+ROUND(((D29-Trans_Inputs!$AK$15)*Trans_Inputs!$R$15),2)+ROUND((Trans_Inputs!$X$15*D29),2)</f>
        <v>648.74</v>
      </c>
      <c r="L29" s="157">
        <f t="shared" si="2"/>
        <v>-99.100000000000023</v>
      </c>
      <c r="M29" s="155">
        <f t="shared" si="3"/>
        <v>-0.13300000000000001</v>
      </c>
      <c r="N29" s="157">
        <v>0</v>
      </c>
      <c r="O29" s="157">
        <f t="shared" si="4"/>
        <v>831.55000000000007</v>
      </c>
      <c r="P29" s="157">
        <f t="shared" si="5"/>
        <v>758.74</v>
      </c>
      <c r="Q29" s="155">
        <f t="shared" si="6"/>
        <v>-8.7999999999999995E-2</v>
      </c>
      <c r="R29" s="117"/>
      <c r="S29" s="156"/>
      <c r="T29" s="156"/>
      <c r="U29" s="156"/>
      <c r="V29" s="155"/>
    </row>
    <row r="30" spans="1:22" ht="14.4" customHeight="1" x14ac:dyDescent="0.35">
      <c r="A30" s="152">
        <v>10</v>
      </c>
      <c r="B30" s="152"/>
      <c r="C30" s="117"/>
      <c r="D30" s="168">
        <v>300</v>
      </c>
      <c r="E30" s="157">
        <f>Trans_Inputs!$H$15</f>
        <v>83.71</v>
      </c>
      <c r="F30" s="157">
        <f>Trans_Inputs!$V$15</f>
        <v>110</v>
      </c>
      <c r="G30" s="167">
        <f t="shared" si="0"/>
        <v>26.290000000000006</v>
      </c>
      <c r="H30" s="155">
        <f t="shared" si="1"/>
        <v>0.314</v>
      </c>
      <c r="I30" s="158"/>
      <c r="J30" s="157">
        <f>ROUND((D30*Trans_Inputs!$M$15),2)+ROUND((Trans_Inputs!$AD$15*Trans_Inputs!$C$15),2)+ROUND(((D30-Trans_Inputs!$AD$15)*Trans_Inputs!$D$15),2)+ROUND((D30*Trans_Inputs!$J$15),2)+ROUND((D30*Trans_Inputs!$K$15),2)+ROUND((D30*Trans_Inputs!$N$15),2)</f>
        <v>889.99</v>
      </c>
      <c r="K30" s="157">
        <f>ROUND((D30*Trans_Inputs!$AA$15),2)+ROUND((Trans_Inputs!$AK$15*Trans_Inputs!$Q$15),2)+ROUND(((D30-Trans_Inputs!$AK$15)*Trans_Inputs!$R$15),2)+ROUND((Trans_Inputs!$X$15*D30),2)</f>
        <v>771.28</v>
      </c>
      <c r="L30" s="157">
        <f t="shared" si="2"/>
        <v>-118.71000000000004</v>
      </c>
      <c r="M30" s="155">
        <f t="shared" si="3"/>
        <v>-0.13300000000000001</v>
      </c>
      <c r="N30" s="157">
        <v>0</v>
      </c>
      <c r="O30" s="157">
        <f t="shared" si="4"/>
        <v>973.7</v>
      </c>
      <c r="P30" s="157">
        <f t="shared" si="5"/>
        <v>881.28</v>
      </c>
      <c r="Q30" s="155">
        <f t="shared" si="6"/>
        <v>-9.5000000000000001E-2</v>
      </c>
      <c r="R30" s="117"/>
      <c r="S30" s="156"/>
      <c r="T30" s="156"/>
      <c r="U30" s="156"/>
      <c r="V30" s="155"/>
    </row>
    <row r="31" spans="1:22" ht="14.4" customHeight="1" x14ac:dyDescent="0.35">
      <c r="A31" s="152">
        <v>11</v>
      </c>
      <c r="B31" s="117"/>
      <c r="C31" s="117"/>
      <c r="D31" s="168">
        <v>350</v>
      </c>
      <c r="E31" s="157">
        <f>Trans_Inputs!$H$15</f>
        <v>83.71</v>
      </c>
      <c r="F31" s="157">
        <f>Trans_Inputs!$V$15</f>
        <v>110</v>
      </c>
      <c r="G31" s="167">
        <f t="shared" si="0"/>
        <v>26.290000000000006</v>
      </c>
      <c r="H31" s="155">
        <f t="shared" si="1"/>
        <v>0.314</v>
      </c>
      <c r="I31" s="158"/>
      <c r="J31" s="157">
        <f>+ROUND((Trans_Inputs!$AD$15*Trans_Inputs!$C$15),2)+ROUND(((D31-Trans_Inputs!$AD$15)*Trans_Inputs!$D$15),2)+ROUND((D31*Trans_Inputs!$J$15),2)+ROUND((D31*Trans_Inputs!$K$15),2)+ROUND((D31*Trans_Inputs!$N$15),2)</f>
        <v>1032.1399999999999</v>
      </c>
      <c r="K31" s="157">
        <f>ROUND((D31*Trans_Inputs!$AA$15),2)+ROUND((Trans_Inputs!$AK$15*Trans_Inputs!$Q$15),2)+ROUND(((D31-Trans_Inputs!$AK$15)*Trans_Inputs!$R$15),2)+ROUND((Trans_Inputs!$X$15*D31),2)</f>
        <v>893.81999999999994</v>
      </c>
      <c r="L31" s="157">
        <f t="shared" si="2"/>
        <v>-138.31999999999994</v>
      </c>
      <c r="M31" s="155">
        <f t="shared" si="3"/>
        <v>-0.13400000000000001</v>
      </c>
      <c r="N31" s="157">
        <v>0</v>
      </c>
      <c r="O31" s="157">
        <f t="shared" si="4"/>
        <v>1115.8499999999999</v>
      </c>
      <c r="P31" s="157">
        <f t="shared" si="5"/>
        <v>1003.8199999999999</v>
      </c>
      <c r="Q31" s="155">
        <f t="shared" si="6"/>
        <v>-0.1</v>
      </c>
      <c r="R31" s="117"/>
      <c r="S31" s="156"/>
      <c r="T31" s="156"/>
      <c r="U31" s="156"/>
      <c r="V31" s="155"/>
    </row>
    <row r="32" spans="1:22" ht="14.4" customHeight="1" x14ac:dyDescent="0.35">
      <c r="A32" s="152">
        <v>12</v>
      </c>
      <c r="B32" s="117"/>
      <c r="C32" s="117"/>
      <c r="D32" s="168">
        <v>400</v>
      </c>
      <c r="E32" s="157">
        <f>Trans_Inputs!$H$15</f>
        <v>83.71</v>
      </c>
      <c r="F32" s="157">
        <f>Trans_Inputs!$V$15</f>
        <v>110</v>
      </c>
      <c r="G32" s="167">
        <f t="shared" si="0"/>
        <v>26.290000000000006</v>
      </c>
      <c r="H32" s="155">
        <f t="shared" si="1"/>
        <v>0.314</v>
      </c>
      <c r="I32" s="158"/>
      <c r="J32" s="157">
        <f>+ROUND((Trans_Inputs!$AD$15*Trans_Inputs!$C$15),2)+ROUND(((D32-Trans_Inputs!$AD$15)*Trans_Inputs!$D$15),2)+ROUND((D32*Trans_Inputs!$J$15),2)+ROUND((D32*Trans_Inputs!$K$15),2)+ROUND((D32*Trans_Inputs!$N$15),2)</f>
        <v>1174.2900000000002</v>
      </c>
      <c r="K32" s="157">
        <f>ROUND((D32*Trans_Inputs!$AA$15),2)+ROUND((Trans_Inputs!$AK$15*Trans_Inputs!$Q$15),2)+ROUND(((D32-Trans_Inputs!$AK$15)*Trans_Inputs!$R$15),2)+ROUND((Trans_Inputs!$X$15*D32),2)</f>
        <v>1016.3600000000001</v>
      </c>
      <c r="L32" s="157">
        <f t="shared" si="2"/>
        <v>-157.93000000000006</v>
      </c>
      <c r="M32" s="155">
        <f t="shared" si="3"/>
        <v>-0.13400000000000001</v>
      </c>
      <c r="N32" s="157">
        <v>0</v>
      </c>
      <c r="O32" s="157">
        <f t="shared" si="4"/>
        <v>1258.0000000000002</v>
      </c>
      <c r="P32" s="157">
        <f t="shared" si="5"/>
        <v>1126.3600000000001</v>
      </c>
      <c r="Q32" s="155">
        <f t="shared" si="6"/>
        <v>-0.105</v>
      </c>
      <c r="R32" s="117"/>
      <c r="S32" s="156"/>
      <c r="T32" s="156"/>
      <c r="U32" s="156"/>
      <c r="V32" s="155"/>
    </row>
    <row r="33" spans="1:22" ht="14.4" customHeight="1" x14ac:dyDescent="0.35">
      <c r="A33" s="152">
        <v>13</v>
      </c>
      <c r="B33" s="117"/>
      <c r="C33" s="117"/>
      <c r="D33" s="168">
        <f>D41</f>
        <v>437.5</v>
      </c>
      <c r="E33" s="157">
        <f>Trans_Inputs!$H$15</f>
        <v>83.71</v>
      </c>
      <c r="F33" s="157">
        <f>Trans_Inputs!$V$15</f>
        <v>110</v>
      </c>
      <c r="G33" s="167">
        <f t="shared" si="0"/>
        <v>26.290000000000006</v>
      </c>
      <c r="H33" s="155">
        <f t="shared" si="1"/>
        <v>0.314</v>
      </c>
      <c r="I33" s="164"/>
      <c r="J33" s="157">
        <f>ROUND((D33*Trans_Inputs!$M$15),2)+ROUND((Trans_Inputs!$AD$15*Trans_Inputs!$C$15),2)+ROUND((Trans_Inputs!$AE$15*Trans_Inputs!$D$15),2)+ROUND(((D33-Trans_Inputs!$AE$15-Trans_Inputs!$AD$15)*Trans_Inputs!$E$15),2)+ROUND((D33*Trans_Inputs!$J$15),2)+ROUND((D33*Trans_Inputs!$K$15),2)+ROUND((D33*Trans_Inputs!$N$15),2)</f>
        <v>1276.2600000000002</v>
      </c>
      <c r="K33" s="157">
        <f>ROUND((D33*Trans_Inputs!$AA$15),2)+ROUND((Trans_Inputs!$AK$15*Trans_Inputs!$Q$15),2)+ROUND((Trans_Inputs!$AL$15*Trans_Inputs!$R$15),2)+ROUND(((D33-Trans_Inputs!$AK$15-Trans_Inputs!$AL$15)*Trans_Inputs!$S$15),2)+ROUND((Trans_Inputs!$X$15*D33),2)</f>
        <v>1103.75</v>
      </c>
      <c r="L33" s="157">
        <f t="shared" si="2"/>
        <v>-172.51000000000022</v>
      </c>
      <c r="M33" s="155">
        <f t="shared" si="3"/>
        <v>-0.13500000000000001</v>
      </c>
      <c r="N33" s="157">
        <v>0</v>
      </c>
      <c r="O33" s="157">
        <f t="shared" si="4"/>
        <v>1359.9700000000003</v>
      </c>
      <c r="P33" s="157">
        <f t="shared" si="5"/>
        <v>1213.75</v>
      </c>
      <c r="Q33" s="155">
        <f t="shared" si="6"/>
        <v>-0.108</v>
      </c>
      <c r="R33" s="117"/>
      <c r="S33" s="156"/>
      <c r="T33" s="156"/>
      <c r="U33" s="156"/>
      <c r="V33" s="155"/>
    </row>
    <row r="34" spans="1:22" ht="14.4" customHeight="1" x14ac:dyDescent="0.35">
      <c r="A34" s="152">
        <v>14</v>
      </c>
      <c r="B34" s="117"/>
      <c r="C34" s="117"/>
      <c r="D34" s="168">
        <v>450</v>
      </c>
      <c r="E34" s="157">
        <f>Trans_Inputs!$H$15</f>
        <v>83.71</v>
      </c>
      <c r="F34" s="157">
        <f>Trans_Inputs!$V$15</f>
        <v>110</v>
      </c>
      <c r="G34" s="167">
        <f t="shared" si="0"/>
        <v>26.290000000000006</v>
      </c>
      <c r="H34" s="155">
        <f t="shared" si="1"/>
        <v>0.314</v>
      </c>
      <c r="I34" s="164"/>
      <c r="J34" s="157">
        <f>ROUND((D34*Trans_Inputs!$M$15),2)+ROUND((Trans_Inputs!$AD$15*Trans_Inputs!$C$15),2)+ROUND((Trans_Inputs!$AE$15*Trans_Inputs!$D$15),2)+ROUND(((D34-Trans_Inputs!$AE$15-Trans_Inputs!$AD$15)*Trans_Inputs!$E$15),2)+ROUND((D34*Trans_Inputs!$J$15),2)+ROUND((D34*Trans_Inputs!$K$15),2)+ROUND((D34*Trans_Inputs!$N$15),2)</f>
        <v>1310.24</v>
      </c>
      <c r="K34" s="157">
        <f>ROUND((D34*Trans_Inputs!$AA$15),2)+ROUND((Trans_Inputs!$AK$15*Trans_Inputs!$Q$15),2)+ROUND((Trans_Inputs!$AL$15*Trans_Inputs!$R$15),2)+ROUND(((D34-Trans_Inputs!$AK$15-Trans_Inputs!$AL$15)*Trans_Inputs!$S$15),2)+ROUND((Trans_Inputs!$X$15*D34),2)</f>
        <v>1132.8800000000001</v>
      </c>
      <c r="L34" s="157">
        <f t="shared" si="2"/>
        <v>-177.3599999999999</v>
      </c>
      <c r="M34" s="155">
        <f t="shared" si="3"/>
        <v>-0.13500000000000001</v>
      </c>
      <c r="N34" s="157">
        <v>0</v>
      </c>
      <c r="O34" s="157">
        <f t="shared" si="4"/>
        <v>1393.95</v>
      </c>
      <c r="P34" s="157">
        <f t="shared" si="5"/>
        <v>1242.8800000000001</v>
      </c>
      <c r="Q34" s="155">
        <f t="shared" si="6"/>
        <v>-0.108</v>
      </c>
      <c r="R34" s="117"/>
      <c r="S34" s="156"/>
      <c r="T34" s="156"/>
      <c r="U34" s="156"/>
      <c r="V34" s="155"/>
    </row>
    <row r="35" spans="1:22" ht="14.5" x14ac:dyDescent="0.35">
      <c r="A35" s="152">
        <v>15</v>
      </c>
      <c r="B35" s="117"/>
      <c r="C35" s="117"/>
      <c r="D35" s="168">
        <v>500</v>
      </c>
      <c r="E35" s="157">
        <f>Trans_Inputs!$H$15</f>
        <v>83.71</v>
      </c>
      <c r="F35" s="157">
        <f>Trans_Inputs!$V$15</f>
        <v>110</v>
      </c>
      <c r="G35" s="167">
        <f t="shared" si="0"/>
        <v>26.290000000000006</v>
      </c>
      <c r="H35" s="155">
        <f t="shared" si="1"/>
        <v>0.314</v>
      </c>
      <c r="I35" s="164"/>
      <c r="J35" s="157">
        <f>ROUND((D35*Trans_Inputs!$M$15),2)+ROUND((Trans_Inputs!$AD$15*Trans_Inputs!$C$15),2)+ROUND((Trans_Inputs!$AE$15*Trans_Inputs!$D$15),2)+ROUND(((D35-Trans_Inputs!$AE$15-Trans_Inputs!$AD$15)*Trans_Inputs!$E$15),2)+ROUND((D35*Trans_Inputs!$J$15),2)+ROUND((D35*Trans_Inputs!$K$15),2)+ROUND((D35*Trans_Inputs!$N$15),2)</f>
        <v>1446.18</v>
      </c>
      <c r="K35" s="157">
        <f>ROUND((D35*Trans_Inputs!$AA$15),2)+ROUND((Trans_Inputs!$AK$15*Trans_Inputs!$Q$15),2)+ROUND((Trans_Inputs!$AL$15*Trans_Inputs!$R$15),2)+ROUND(((D35-Trans_Inputs!$AK$15-Trans_Inputs!$AL$15)*Trans_Inputs!$S$15),2)+ROUND((Trans_Inputs!$X$15*D35),2)</f>
        <v>1249.3900000000001</v>
      </c>
      <c r="L35" s="157">
        <f t="shared" si="2"/>
        <v>-196.78999999999996</v>
      </c>
      <c r="M35" s="155">
        <f t="shared" si="3"/>
        <v>-0.13600000000000001</v>
      </c>
      <c r="N35" s="157">
        <v>0</v>
      </c>
      <c r="O35" s="157">
        <f t="shared" si="4"/>
        <v>1529.89</v>
      </c>
      <c r="P35" s="157">
        <f t="shared" si="5"/>
        <v>1359.39</v>
      </c>
      <c r="Q35" s="155">
        <f t="shared" si="6"/>
        <v>-0.111</v>
      </c>
      <c r="R35" s="117"/>
      <c r="S35" s="156"/>
      <c r="T35" s="156"/>
      <c r="U35" s="156"/>
      <c r="V35" s="155"/>
    </row>
    <row r="36" spans="1:22" ht="14.5" x14ac:dyDescent="0.35">
      <c r="A36" s="152">
        <v>16</v>
      </c>
      <c r="B36" s="117"/>
      <c r="C36" s="117"/>
      <c r="D36" s="168">
        <v>700</v>
      </c>
      <c r="E36" s="157">
        <f>Trans_Inputs!$H$15</f>
        <v>83.71</v>
      </c>
      <c r="F36" s="157">
        <f>Trans_Inputs!$V$15</f>
        <v>110</v>
      </c>
      <c r="G36" s="167">
        <f t="shared" si="0"/>
        <v>26.290000000000006</v>
      </c>
      <c r="H36" s="155">
        <f t="shared" si="1"/>
        <v>0.314</v>
      </c>
      <c r="I36" s="164"/>
      <c r="J36" s="157">
        <f>ROUND((D36*Trans_Inputs!$M$15),2)+ROUND((Trans_Inputs!$AD$15*Trans_Inputs!$C$15),2)+ROUND((Trans_Inputs!$AE$15*Trans_Inputs!$D$15),2)+ROUND(((D36-Trans_Inputs!$AE$15-Trans_Inputs!$AD$15)*Trans_Inputs!$E$15),2)+ROUND((D36*Trans_Inputs!$J$15),2)+ROUND((D36*Trans_Inputs!$K$15),2)+ROUND((D36*Trans_Inputs!$N$15),2)</f>
        <v>1989.96</v>
      </c>
      <c r="K36" s="157">
        <f>ROUND((D36*Trans_Inputs!$AA$15),2)+ROUND((Trans_Inputs!$AK$15*Trans_Inputs!$Q$15),2)+ROUND((Trans_Inputs!$AL$15*Trans_Inputs!$R$15),2)+ROUND(((D36-Trans_Inputs!$AK$15-Trans_Inputs!$AL$15)*Trans_Inputs!$S$15),2)+ROUND((Trans_Inputs!$X$15*D36),2)</f>
        <v>1715.45</v>
      </c>
      <c r="L36" s="157">
        <f t="shared" si="2"/>
        <v>-274.51</v>
      </c>
      <c r="M36" s="155">
        <f t="shared" si="3"/>
        <v>-0.13800000000000001</v>
      </c>
      <c r="N36" s="157">
        <v>0</v>
      </c>
      <c r="O36" s="157">
        <f t="shared" si="4"/>
        <v>2073.67</v>
      </c>
      <c r="P36" s="157">
        <f t="shared" si="5"/>
        <v>1825.45</v>
      </c>
      <c r="Q36" s="155">
        <f t="shared" si="6"/>
        <v>-0.12</v>
      </c>
      <c r="R36" s="117"/>
      <c r="S36" s="156"/>
      <c r="T36" s="156"/>
      <c r="U36" s="156"/>
      <c r="V36" s="155"/>
    </row>
    <row r="37" spans="1:22" ht="14.5" x14ac:dyDescent="0.35">
      <c r="A37" s="152">
        <v>17</v>
      </c>
      <c r="B37" s="117"/>
      <c r="C37" s="117"/>
      <c r="D37" s="168">
        <v>1000</v>
      </c>
      <c r="E37" s="157">
        <f>Trans_Inputs!$H$15</f>
        <v>83.71</v>
      </c>
      <c r="F37" s="157">
        <f>Trans_Inputs!$V$15</f>
        <v>110</v>
      </c>
      <c r="G37" s="167">
        <f t="shared" si="0"/>
        <v>26.290000000000006</v>
      </c>
      <c r="H37" s="155">
        <f t="shared" si="1"/>
        <v>0.314</v>
      </c>
      <c r="I37" s="164"/>
      <c r="J37" s="157">
        <f>ROUND((D37*Trans_Inputs!$M$15),2)+ROUND((Trans_Inputs!$AD$15*Trans_Inputs!$C$15),2)+ROUND((Trans_Inputs!$AE$15*Trans_Inputs!$D$15),2)+ROUND(((D37-Trans_Inputs!$AE$15-Trans_Inputs!$AD$15)*Trans_Inputs!$E$15),2)+ROUND((D37*Trans_Inputs!$J$15),2)+ROUND((D37*Trans_Inputs!$K$15),2)+ROUND((D37*Trans_Inputs!$N$15),2)</f>
        <v>2805.63</v>
      </c>
      <c r="K37" s="157">
        <f>ROUND((D37*Trans_Inputs!$AA$15),2)+ROUND((Trans_Inputs!$AK$15*Trans_Inputs!$Q$15),2)+ROUND((Trans_Inputs!$AL$15*Trans_Inputs!$R$15),2)+ROUND(((D37-Trans_Inputs!$AK$15-Trans_Inputs!$AL$15)*Trans_Inputs!$S$15),2)+ROUND((Trans_Inputs!$X$15*D37),2)</f>
        <v>2414.54</v>
      </c>
      <c r="L37" s="157">
        <f t="shared" si="2"/>
        <v>-391.09000000000015</v>
      </c>
      <c r="M37" s="155">
        <f t="shared" si="3"/>
        <v>-0.13900000000000001</v>
      </c>
      <c r="N37" s="157">
        <v>0</v>
      </c>
      <c r="O37" s="157">
        <f t="shared" si="4"/>
        <v>2889.34</v>
      </c>
      <c r="P37" s="157">
        <f t="shared" si="5"/>
        <v>2524.54</v>
      </c>
      <c r="Q37" s="155">
        <f t="shared" si="6"/>
        <v>-0.126</v>
      </c>
      <c r="R37" s="117"/>
      <c r="S37" s="156"/>
      <c r="T37" s="156"/>
      <c r="U37" s="156"/>
      <c r="V37" s="155"/>
    </row>
    <row r="38" spans="1:22" ht="14.5" x14ac:dyDescent="0.35">
      <c r="A38" s="152">
        <v>18</v>
      </c>
      <c r="B38" s="117"/>
      <c r="C38" s="117"/>
      <c r="D38" s="168">
        <v>1200</v>
      </c>
      <c r="E38" s="157">
        <f>Trans_Inputs!$H$15</f>
        <v>83.71</v>
      </c>
      <c r="F38" s="157">
        <f>Trans_Inputs!$V$15</f>
        <v>110</v>
      </c>
      <c r="G38" s="167">
        <f t="shared" si="0"/>
        <v>26.290000000000006</v>
      </c>
      <c r="H38" s="155">
        <f t="shared" si="1"/>
        <v>0.314</v>
      </c>
      <c r="I38" s="164"/>
      <c r="J38" s="157">
        <f>ROUND((D38*Trans_Inputs!$M$15),2)+ROUND((Trans_Inputs!$AD$15*Trans_Inputs!$C$15),2)+ROUND((Trans_Inputs!$AE$15*Trans_Inputs!$D$15),2)+ROUND((Trans_Inputs!$AF$15*Trans_Inputs!$E$15),2)+ROUND(((D38-Trans_Inputs!$AD$15-Trans_Inputs!$AE$15-Trans_Inputs!$AF$15)*Trans_Inputs!$F$15),2)+ROUND((D38*Trans_Inputs!$J$15),2)+ROUND((D38*Trans_Inputs!$K$15),2)+ROUND((D38*Trans_Inputs!$N$15),2)</f>
        <v>3306.31</v>
      </c>
      <c r="K38" s="157">
        <f>ROUND((D38*Trans_Inputs!$AA$15),2)+ROUND((Trans_Inputs!$AK$15*Trans_Inputs!$Q$15),2)+ROUND((Trans_Inputs!$AL$15*Trans_Inputs!$R$15),2)+ROUND((Trans_Inputs!$AM$15*Trans_Inputs!$S$15),2)+ROUND(((D38-Trans_Inputs!$AK$15-Trans_Inputs!$AL$15-Trans_Inputs!$AM$15)*Trans_Inputs!$T$15),2)+ROUND((Trans_Inputs!$X$15*D38),2)</f>
        <v>2838.72</v>
      </c>
      <c r="L38" s="157">
        <f t="shared" si="2"/>
        <v>-467.59000000000015</v>
      </c>
      <c r="M38" s="155">
        <f t="shared" si="3"/>
        <v>-0.14099999999999999</v>
      </c>
      <c r="N38" s="157">
        <v>0</v>
      </c>
      <c r="O38" s="157">
        <f t="shared" si="4"/>
        <v>3390.02</v>
      </c>
      <c r="P38" s="157">
        <f t="shared" si="5"/>
        <v>2948.72</v>
      </c>
      <c r="Q38" s="155">
        <f t="shared" si="6"/>
        <v>-0.13</v>
      </c>
      <c r="R38" s="117"/>
      <c r="S38" s="156"/>
      <c r="T38" s="156"/>
      <c r="U38" s="156"/>
      <c r="V38" s="155"/>
    </row>
    <row r="39" spans="1:22" ht="14.5" x14ac:dyDescent="0.35">
      <c r="A39" s="152"/>
      <c r="B39" s="117"/>
      <c r="C39" s="117"/>
      <c r="D39" s="117"/>
      <c r="E39" s="117"/>
      <c r="F39" s="117"/>
      <c r="G39" s="152"/>
      <c r="H39" s="117"/>
      <c r="I39" s="117"/>
      <c r="J39" s="117"/>
      <c r="K39" s="117"/>
      <c r="L39" s="117"/>
      <c r="M39" s="117"/>
      <c r="N39" s="117"/>
      <c r="O39" s="152"/>
      <c r="P39" s="152"/>
      <c r="Q39" s="152"/>
      <c r="R39" s="117"/>
      <c r="S39" s="117"/>
      <c r="T39" s="117"/>
      <c r="U39" s="117"/>
      <c r="V39" s="117"/>
    </row>
    <row r="40" spans="1:22" ht="14.5" x14ac:dyDescent="0.35">
      <c r="A40" s="152"/>
      <c r="B40" s="117" t="s">
        <v>142</v>
      </c>
      <c r="C40" s="117"/>
      <c r="D40" s="154">
        <f>ROUND(Trans_Inputs!AT15,2)</f>
        <v>47</v>
      </c>
      <c r="E40" s="166" t="s">
        <v>194</v>
      </c>
      <c r="F40" s="117"/>
      <c r="G40" s="152"/>
      <c r="H40" s="117"/>
      <c r="I40" s="117"/>
      <c r="J40" s="117"/>
      <c r="K40" s="117"/>
      <c r="L40" s="117"/>
      <c r="M40" s="117"/>
      <c r="N40" s="117"/>
      <c r="O40" s="152"/>
      <c r="P40" s="152"/>
      <c r="Q40" s="152"/>
      <c r="R40" s="117"/>
      <c r="S40" s="117"/>
      <c r="T40" s="117"/>
      <c r="U40" s="117"/>
      <c r="V40" s="117"/>
    </row>
    <row r="41" spans="1:22" ht="14.5" x14ac:dyDescent="0.35">
      <c r="A41" s="152"/>
      <c r="B41" s="117" t="s">
        <v>142</v>
      </c>
      <c r="C41" s="117"/>
      <c r="D41" s="154">
        <f>ROUND(Trans_Inputs!AT16,2)</f>
        <v>437.5</v>
      </c>
      <c r="E41" s="166" t="s">
        <v>193</v>
      </c>
      <c r="F41" s="117"/>
      <c r="G41" s="152"/>
      <c r="H41" s="117"/>
      <c r="I41" s="117"/>
      <c r="J41" s="117"/>
      <c r="K41" s="117"/>
      <c r="L41" s="117"/>
      <c r="M41" s="117"/>
      <c r="N41" s="117"/>
      <c r="O41" s="152"/>
      <c r="P41" s="152"/>
      <c r="Q41" s="152"/>
      <c r="R41" s="117"/>
      <c r="S41" s="117"/>
      <c r="T41" s="117"/>
      <c r="U41" s="117"/>
      <c r="V41" s="117"/>
    </row>
    <row r="42" spans="1:22" ht="14.5" x14ac:dyDescent="0.35">
      <c r="A42" s="152"/>
      <c r="B42" s="117"/>
      <c r="C42" s="117"/>
      <c r="D42" s="117"/>
      <c r="E42" s="117"/>
      <c r="F42" s="117"/>
      <c r="G42" s="152"/>
      <c r="H42" s="117"/>
      <c r="I42" s="117"/>
      <c r="J42" s="117"/>
      <c r="K42" s="117"/>
      <c r="L42" s="117"/>
      <c r="M42" s="117"/>
      <c r="N42" s="117"/>
      <c r="O42" s="152"/>
      <c r="P42" s="152"/>
      <c r="Q42" s="152"/>
      <c r="R42" s="117"/>
      <c r="S42" s="117"/>
      <c r="T42" s="117"/>
      <c r="U42" s="117"/>
      <c r="V42" s="117"/>
    </row>
    <row r="43" spans="1:22" ht="14.5" x14ac:dyDescent="0.35">
      <c r="A43" s="153" t="s">
        <v>141</v>
      </c>
      <c r="B43" s="117"/>
      <c r="C43" s="117"/>
      <c r="D43" s="117"/>
      <c r="E43" s="117"/>
      <c r="F43" s="117"/>
      <c r="G43" s="152"/>
      <c r="H43" s="117"/>
      <c r="I43" s="117"/>
      <c r="J43" s="117"/>
      <c r="K43" s="117"/>
      <c r="L43" s="117"/>
      <c r="M43" s="117"/>
      <c r="N43" s="117"/>
      <c r="O43" s="152"/>
      <c r="P43" s="152"/>
      <c r="Q43" s="152"/>
      <c r="R43" s="117"/>
      <c r="S43" s="117"/>
      <c r="T43" s="117"/>
      <c r="U43" s="117"/>
      <c r="V43" s="117"/>
    </row>
  </sheetData>
  <mergeCells count="7">
    <mergeCell ref="A5:Q5"/>
    <mergeCell ref="E13:H13"/>
    <mergeCell ref="J13:M13"/>
    <mergeCell ref="A1:Q1"/>
    <mergeCell ref="A2:Q2"/>
    <mergeCell ref="A3:Q3"/>
    <mergeCell ref="A4:Q4"/>
  </mergeCells>
  <printOptions horizontalCentered="1"/>
  <pageMargins left="0.25" right="0.25" top="0.75" bottom="0.75" header="0.5" footer="0.5"/>
  <pageSetup scale="8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DFB2-4C35-448D-8BEA-90B6EC45221E}">
  <sheetPr codeName="Sheet9">
    <tabColor theme="5" tint="0.79998168889431442"/>
    <pageSetUpPr fitToPage="1"/>
  </sheetPr>
  <dimension ref="A1:V46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11.54296875" customWidth="1"/>
    <col min="3" max="3" width="9.1796875" bestFit="1" customWidth="1"/>
    <col min="4" max="4" width="10.1796875" bestFit="1" customWidth="1"/>
    <col min="5" max="5" width="11.81640625" bestFit="1" customWidth="1"/>
    <col min="6" max="6" width="9.453125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7" width="9.81640625" bestFit="1" customWidth="1"/>
    <col min="18" max="18" width="9.453125" bestFit="1" customWidth="1"/>
    <col min="19" max="20" width="10.1796875" bestFit="1" customWidth="1"/>
    <col min="21" max="21" width="10.1796875" customWidth="1"/>
    <col min="23" max="23" width="11.54296875" customWidth="1"/>
    <col min="24" max="24" width="7.81640625" customWidth="1"/>
    <col min="25" max="27" width="7.1796875" customWidth="1"/>
    <col min="28" max="29" width="7.81640625" customWidth="1"/>
    <col min="30" max="34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52"/>
      <c r="U9" s="164" t="s">
        <v>210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2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102</v>
      </c>
      <c r="C21" s="152" t="s">
        <v>147</v>
      </c>
      <c r="D21" s="168">
        <v>100</v>
      </c>
      <c r="E21" s="157">
        <f>Trans_Inputs!$H$17</f>
        <v>3982.3</v>
      </c>
      <c r="F21" s="157">
        <f>Trans_Inputs!$V$17</f>
        <v>5000</v>
      </c>
      <c r="G21" s="167">
        <f t="shared" ref="G21:G40" si="0">F21-E21</f>
        <v>1017.6999999999998</v>
      </c>
      <c r="H21" s="155">
        <f t="shared" ref="H21:H40" si="1">ROUND(G21/E21,3)</f>
        <v>0.25600000000000001</v>
      </c>
      <c r="I21" s="155"/>
      <c r="J21" s="157">
        <f>Trans_Inputs!$I$17</f>
        <v>0</v>
      </c>
      <c r="K21" s="157">
        <f>Trans_Inputs!$W$17</f>
        <v>0</v>
      </c>
      <c r="L21" s="157">
        <f t="shared" ref="L21:L40" si="2">K21-J21</f>
        <v>0</v>
      </c>
      <c r="M21" s="155">
        <f t="shared" ref="M21:M40" si="3">IF(J21=0,0,ROUND(L21/J21,3))</f>
        <v>0</v>
      </c>
      <c r="N21" s="158"/>
      <c r="O21" s="157">
        <f>ROUND((D21*Trans_Inputs!$C$17),2)+ROUND((D21*Trans_Inputs!$N$17),2)+ROUND((D21*Trans_Inputs!$O$17),2)+ROUND(+(D21*Trans_Inputs!$J$17),2)+ROUND(+(D21*Trans_Inputs!$K$17),2)</f>
        <v>78.040000000000006</v>
      </c>
      <c r="P21" s="157">
        <f>ROUND((D21*Trans_Inputs!$Q$17),2)+ROUND((D21*Trans_Inputs!$AA$17),2)+ROUND((D21*Trans_Inputs!$AB$17),2)+ROUND((Trans_Inputs!$X$17*D21),2)</f>
        <v>76.349999999999994</v>
      </c>
      <c r="Q21" s="157">
        <f t="shared" ref="Q21:Q40" si="4">P21-O21</f>
        <v>-1.6900000000000119</v>
      </c>
      <c r="R21" s="155">
        <f t="shared" ref="R21:R40" si="5">ROUND(Q21/O21,3)</f>
        <v>-2.1999999999999999E-2</v>
      </c>
      <c r="S21" s="157">
        <f t="shared" ref="S21:S40" si="6">E21+J21+O21</f>
        <v>4060.34</v>
      </c>
      <c r="T21" s="157">
        <f t="shared" ref="T21:T40" si="7">F21+P21+K21</f>
        <v>5076.3500000000004</v>
      </c>
      <c r="U21" s="155">
        <f t="shared" ref="U21:U40" si="8">ROUND((T21-S21)/S21,3)</f>
        <v>0.25</v>
      </c>
      <c r="V21" s="164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150</v>
      </c>
      <c r="E22" s="157">
        <f>Trans_Inputs!$H$17</f>
        <v>3982.3</v>
      </c>
      <c r="F22" s="157">
        <f>Trans_Inputs!$V$17</f>
        <v>5000</v>
      </c>
      <c r="G22" s="167">
        <f t="shared" si="0"/>
        <v>1017.6999999999998</v>
      </c>
      <c r="H22" s="155">
        <f t="shared" si="1"/>
        <v>0.25600000000000001</v>
      </c>
      <c r="I22" s="155"/>
      <c r="J22" s="157">
        <f>Trans_Inputs!$I$17</f>
        <v>0</v>
      </c>
      <c r="K22" s="157">
        <f>Trans_Inputs!$W$17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ROUND((D22*Trans_Inputs!$C$17),2)+ROUND((D22*Trans_Inputs!$N$17),2)+ROUND((D22*Trans_Inputs!$O$17),2)+ROUND((D22*Trans_Inputs!$J$17),2)+ROUND((D22*Trans_Inputs!$K$17),2)</f>
        <v>117.07000000000001</v>
      </c>
      <c r="P22" s="157">
        <f>ROUND((D22*Trans_Inputs!$Q$17),2)+ROUND((D22*Trans_Inputs!$AA$17),2)+ROUND((D22*Trans_Inputs!$AB$17),2)+ROUND((Trans_Inputs!$X$17*D22),2)</f>
        <v>114.53</v>
      </c>
      <c r="Q22" s="157">
        <f t="shared" si="4"/>
        <v>-2.5400000000000063</v>
      </c>
      <c r="R22" s="155">
        <f t="shared" si="5"/>
        <v>-2.1999999999999999E-2</v>
      </c>
      <c r="S22" s="157">
        <f t="shared" si="6"/>
        <v>4099.37</v>
      </c>
      <c r="T22" s="157">
        <f t="shared" si="7"/>
        <v>5114.53</v>
      </c>
      <c r="U22" s="155">
        <f t="shared" si="8"/>
        <v>0.248</v>
      </c>
      <c r="V22" s="164"/>
    </row>
    <row r="23" spans="1:22" ht="14.4" customHeight="1" x14ac:dyDescent="0.35">
      <c r="A23" s="152">
        <v>3</v>
      </c>
      <c r="B23" s="152" t="s">
        <v>201</v>
      </c>
      <c r="C23" s="117"/>
      <c r="D23" s="168">
        <v>300</v>
      </c>
      <c r="E23" s="157">
        <f>Trans_Inputs!$H$17</f>
        <v>3982.3</v>
      </c>
      <c r="F23" s="157">
        <f>Trans_Inputs!$V$17</f>
        <v>5000</v>
      </c>
      <c r="G23" s="167">
        <f t="shared" si="0"/>
        <v>1017.6999999999998</v>
      </c>
      <c r="H23" s="155">
        <f t="shared" si="1"/>
        <v>0.25600000000000001</v>
      </c>
      <c r="I23" s="155"/>
      <c r="J23" s="157">
        <f>Trans_Inputs!$I$17</f>
        <v>0</v>
      </c>
      <c r="K23" s="157">
        <f>Trans_Inputs!$W$17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ROUND((D23*Trans_Inputs!$C$17),2)+ROUND((D23*Trans_Inputs!$N$17),2)+ROUND((D23*Trans_Inputs!$O$17),2)+ROUND((D23*Trans_Inputs!$J$17),2)+ROUND((D23*Trans_Inputs!$K$17),2)</f>
        <v>234.12</v>
      </c>
      <c r="P23" s="157">
        <f>ROUND((D23*Trans_Inputs!$Q$17),2)+ROUND((D23*Trans_Inputs!$AA$17),2)+ROUND((D23*Trans_Inputs!$AB$17),2)+ROUND((Trans_Inputs!$X$17*D23),2)</f>
        <v>229.05</v>
      </c>
      <c r="Q23" s="157">
        <f t="shared" si="4"/>
        <v>-5.0699999999999932</v>
      </c>
      <c r="R23" s="155">
        <f t="shared" si="5"/>
        <v>-2.1999999999999999E-2</v>
      </c>
      <c r="S23" s="157">
        <f t="shared" si="6"/>
        <v>4216.42</v>
      </c>
      <c r="T23" s="157">
        <f t="shared" si="7"/>
        <v>5229.05</v>
      </c>
      <c r="U23" s="155">
        <f t="shared" si="8"/>
        <v>0.24</v>
      </c>
      <c r="V23" s="164"/>
    </row>
    <row r="24" spans="1:22" ht="14.4" customHeight="1" x14ac:dyDescent="0.35">
      <c r="A24" s="152">
        <v>4</v>
      </c>
      <c r="B24" s="152" t="s">
        <v>200</v>
      </c>
      <c r="C24" s="117"/>
      <c r="D24" s="168">
        <v>500</v>
      </c>
      <c r="E24" s="157">
        <f>Trans_Inputs!$H$17</f>
        <v>3982.3</v>
      </c>
      <c r="F24" s="157">
        <f>Trans_Inputs!$V$17</f>
        <v>5000</v>
      </c>
      <c r="G24" s="167">
        <f t="shared" si="0"/>
        <v>1017.6999999999998</v>
      </c>
      <c r="H24" s="155">
        <f t="shared" si="1"/>
        <v>0.25600000000000001</v>
      </c>
      <c r="I24" s="155"/>
      <c r="J24" s="157">
        <f>Trans_Inputs!$I$17</f>
        <v>0</v>
      </c>
      <c r="K24" s="157">
        <f>Trans_Inputs!$W$17</f>
        <v>0</v>
      </c>
      <c r="L24" s="157">
        <f t="shared" si="2"/>
        <v>0</v>
      </c>
      <c r="M24" s="155">
        <f t="shared" si="3"/>
        <v>0</v>
      </c>
      <c r="N24" s="158"/>
      <c r="O24" s="157">
        <f>ROUND((D24*Trans_Inputs!$C$17),2)+ROUND((D24*Trans_Inputs!$N$17),2)+ROUND((D24*Trans_Inputs!$O$17),2)+ROUND((D24*Trans_Inputs!$J$17),2)+ROUND((D24*Trans_Inputs!$K$17),2)</f>
        <v>390.2</v>
      </c>
      <c r="P24" s="157">
        <f>ROUND((D24*Trans_Inputs!$Q$17),2)+ROUND((D24*Trans_Inputs!$AA$17),2)+ROUND((D24*Trans_Inputs!$AB$17),2)+ROUND((Trans_Inputs!$X$17*D24),2)</f>
        <v>381.75</v>
      </c>
      <c r="Q24" s="157">
        <f t="shared" si="4"/>
        <v>-8.4499999999999886</v>
      </c>
      <c r="R24" s="155">
        <f t="shared" si="5"/>
        <v>-2.1999999999999999E-2</v>
      </c>
      <c r="S24" s="157">
        <f t="shared" si="6"/>
        <v>4372.5</v>
      </c>
      <c r="T24" s="157">
        <f t="shared" si="7"/>
        <v>5381.75</v>
      </c>
      <c r="U24" s="155">
        <f t="shared" si="8"/>
        <v>0.23100000000000001</v>
      </c>
      <c r="V24" s="164"/>
    </row>
    <row r="25" spans="1:22" ht="14.4" customHeight="1" x14ac:dyDescent="0.35">
      <c r="A25" s="152">
        <v>5</v>
      </c>
      <c r="B25" s="152" t="s">
        <v>197</v>
      </c>
      <c r="C25" s="117"/>
      <c r="D25" s="168">
        <v>1000</v>
      </c>
      <c r="E25" s="157">
        <f>Trans_Inputs!$H$17</f>
        <v>3982.3</v>
      </c>
      <c r="F25" s="157">
        <f>Trans_Inputs!$V$17</f>
        <v>5000</v>
      </c>
      <c r="G25" s="167">
        <f t="shared" si="0"/>
        <v>1017.6999999999998</v>
      </c>
      <c r="H25" s="155">
        <f t="shared" si="1"/>
        <v>0.25600000000000001</v>
      </c>
      <c r="I25" s="155"/>
      <c r="J25" s="157">
        <f>Trans_Inputs!$I$17</f>
        <v>0</v>
      </c>
      <c r="K25" s="157">
        <f>Trans_Inputs!$W$17</f>
        <v>0</v>
      </c>
      <c r="L25" s="157">
        <f t="shared" si="2"/>
        <v>0</v>
      </c>
      <c r="M25" s="155">
        <f t="shared" si="3"/>
        <v>0</v>
      </c>
      <c r="N25" s="158"/>
      <c r="O25" s="157">
        <f>ROUND((D25*Trans_Inputs!$C$17),2)+ROUND((D25*Trans_Inputs!$N$17),2)+ROUND((D25*Trans_Inputs!$O$17),2)+ROUND((D25*Trans_Inputs!$J$17),2)+ROUND((D25*Trans_Inputs!$K$17),2)</f>
        <v>780.4</v>
      </c>
      <c r="P25" s="157">
        <f>ROUND((D25*Trans_Inputs!$Q$17),2)+ROUND((D25*Trans_Inputs!$AA$17),2)+ROUND((D25*Trans_Inputs!$AB$17),2)+ROUND((Trans_Inputs!$X$17*D25),2)</f>
        <v>763.5</v>
      </c>
      <c r="Q25" s="157">
        <f t="shared" si="4"/>
        <v>-16.899999999999977</v>
      </c>
      <c r="R25" s="155">
        <f t="shared" si="5"/>
        <v>-2.1999999999999999E-2</v>
      </c>
      <c r="S25" s="157">
        <f t="shared" si="6"/>
        <v>4762.7</v>
      </c>
      <c r="T25" s="157">
        <f t="shared" si="7"/>
        <v>5763.5</v>
      </c>
      <c r="U25" s="155">
        <f t="shared" si="8"/>
        <v>0.21</v>
      </c>
      <c r="V25" s="164"/>
    </row>
    <row r="26" spans="1:22" ht="14.4" customHeight="1" x14ac:dyDescent="0.35">
      <c r="A26" s="152">
        <v>6</v>
      </c>
      <c r="B26" s="152" t="s">
        <v>196</v>
      </c>
      <c r="C26" s="117"/>
      <c r="D26" s="168">
        <v>3000</v>
      </c>
      <c r="E26" s="157">
        <f>Trans_Inputs!$H$17</f>
        <v>3982.3</v>
      </c>
      <c r="F26" s="157">
        <f>Trans_Inputs!$V$17</f>
        <v>5000</v>
      </c>
      <c r="G26" s="167">
        <f t="shared" si="0"/>
        <v>1017.6999999999998</v>
      </c>
      <c r="H26" s="155">
        <f t="shared" si="1"/>
        <v>0.25600000000000001</v>
      </c>
      <c r="I26" s="155"/>
      <c r="J26" s="157">
        <f>Trans_Inputs!$I$17</f>
        <v>0</v>
      </c>
      <c r="K26" s="157">
        <f>Trans_Inputs!$W$17</f>
        <v>0</v>
      </c>
      <c r="L26" s="157">
        <f t="shared" si="2"/>
        <v>0</v>
      </c>
      <c r="M26" s="155">
        <f t="shared" si="3"/>
        <v>0</v>
      </c>
      <c r="N26" s="158"/>
      <c r="O26" s="157">
        <f>ROUND((D26*Trans_Inputs!$C$17),2)+ROUND((D26*Trans_Inputs!$N$17),2)+ROUND((D26*Trans_Inputs!$O$17),2)+ROUND((D26*Trans_Inputs!$J$17),2)+ROUND((D26*Trans_Inputs!$K$17),2)</f>
        <v>2341.1999999999998</v>
      </c>
      <c r="P26" s="157">
        <f>ROUND((D26*Trans_Inputs!$Q$17),2)+ROUND((D26*Trans_Inputs!$AA$17),2)+ROUND((D26*Trans_Inputs!$AB$17),2)+ROUND((Trans_Inputs!$X$15*D26),2)</f>
        <v>2290.5</v>
      </c>
      <c r="Q26" s="157">
        <f t="shared" si="4"/>
        <v>-50.699999999999818</v>
      </c>
      <c r="R26" s="155">
        <f t="shared" si="5"/>
        <v>-2.1999999999999999E-2</v>
      </c>
      <c r="S26" s="157">
        <f t="shared" si="6"/>
        <v>6323.5</v>
      </c>
      <c r="T26" s="157">
        <f t="shared" si="7"/>
        <v>7290.5</v>
      </c>
      <c r="U26" s="155">
        <f t="shared" si="8"/>
        <v>0.153</v>
      </c>
      <c r="V26" s="164"/>
    </row>
    <row r="27" spans="1:22" ht="14.4" customHeight="1" x14ac:dyDescent="0.35">
      <c r="A27" s="152">
        <v>7</v>
      </c>
      <c r="B27" s="152" t="s">
        <v>195</v>
      </c>
      <c r="C27" s="117"/>
      <c r="D27" s="168">
        <v>5000</v>
      </c>
      <c r="E27" s="157">
        <f>Trans_Inputs!$H$17</f>
        <v>3982.3</v>
      </c>
      <c r="F27" s="157">
        <f>Trans_Inputs!$V$17</f>
        <v>5000</v>
      </c>
      <c r="G27" s="167">
        <f t="shared" si="0"/>
        <v>1017.6999999999998</v>
      </c>
      <c r="H27" s="155">
        <f t="shared" si="1"/>
        <v>0.25600000000000001</v>
      </c>
      <c r="I27" s="155"/>
      <c r="J27" s="157">
        <f>Trans_Inputs!$I$17</f>
        <v>0</v>
      </c>
      <c r="K27" s="157">
        <f>Trans_Inputs!$W$17</f>
        <v>0</v>
      </c>
      <c r="L27" s="157">
        <f t="shared" si="2"/>
        <v>0</v>
      </c>
      <c r="M27" s="155">
        <f t="shared" si="3"/>
        <v>0</v>
      </c>
      <c r="N27" s="158"/>
      <c r="O27" s="157">
        <f>ROUND((D27*Trans_Inputs!$C$17),2)+ROUND((D27*Trans_Inputs!$N$17),2)+ROUND((D27*Trans_Inputs!$O$17),2)+ROUND((D27*Trans_Inputs!$J$17),2)+ROUND((D27*Trans_Inputs!$K$17),2)</f>
        <v>3902</v>
      </c>
      <c r="P27" s="157">
        <f>ROUND((D27*Trans_Inputs!$Q$17),2)+ROUND((D27*Trans_Inputs!$AA$17),2)+ROUND((D27*Trans_Inputs!$AB$17),2)+ROUND((Trans_Inputs!$X$17*D27),2)</f>
        <v>3817.5</v>
      </c>
      <c r="Q27" s="157">
        <f t="shared" si="4"/>
        <v>-84.5</v>
      </c>
      <c r="R27" s="155">
        <f t="shared" si="5"/>
        <v>-2.1999999999999999E-2</v>
      </c>
      <c r="S27" s="157">
        <f t="shared" si="6"/>
        <v>7884.3</v>
      </c>
      <c r="T27" s="157">
        <f t="shared" si="7"/>
        <v>8817.5</v>
      </c>
      <c r="U27" s="155">
        <f t="shared" si="8"/>
        <v>0.11799999999999999</v>
      </c>
      <c r="V27" s="164"/>
    </row>
    <row r="28" spans="1:22" ht="14.4" customHeight="1" x14ac:dyDescent="0.35">
      <c r="A28" s="152">
        <v>8</v>
      </c>
      <c r="B28" s="117"/>
      <c r="C28" s="117"/>
      <c r="D28" s="168">
        <v>10000</v>
      </c>
      <c r="E28" s="157">
        <f>Trans_Inputs!$H$17</f>
        <v>3982.3</v>
      </c>
      <c r="F28" s="157">
        <f>Trans_Inputs!$V$17</f>
        <v>5000</v>
      </c>
      <c r="G28" s="167">
        <f t="shared" si="0"/>
        <v>1017.6999999999998</v>
      </c>
      <c r="H28" s="155">
        <f t="shared" si="1"/>
        <v>0.25600000000000001</v>
      </c>
      <c r="I28" s="155"/>
      <c r="J28" s="157">
        <f>Trans_Inputs!$I$17</f>
        <v>0</v>
      </c>
      <c r="K28" s="157">
        <f>Trans_Inputs!$W$17</f>
        <v>0</v>
      </c>
      <c r="L28" s="157">
        <f t="shared" si="2"/>
        <v>0</v>
      </c>
      <c r="M28" s="155">
        <f t="shared" si="3"/>
        <v>0</v>
      </c>
      <c r="N28" s="158"/>
      <c r="O28" s="157">
        <f>ROUND((D28*Trans_Inputs!$C$17),2)+ROUND((D28*Trans_Inputs!$N$17),2)+ROUND((D28*Trans_Inputs!$O$17),2)+ROUND((D28*Trans_Inputs!$J$17),2)+ROUND((D28*Trans_Inputs!$K$17),2)</f>
        <v>7804</v>
      </c>
      <c r="P28" s="157">
        <f>ROUND((D28*Trans_Inputs!$Q$17),2)+ROUND((D28*Trans_Inputs!$AA$17),2)+ROUND((D28*Trans_Inputs!$AB$17),2)+ROUND((Trans_Inputs!$X$15*D28),2)</f>
        <v>7635</v>
      </c>
      <c r="Q28" s="157">
        <f t="shared" si="4"/>
        <v>-169</v>
      </c>
      <c r="R28" s="155">
        <f t="shared" si="5"/>
        <v>-2.1999999999999999E-2</v>
      </c>
      <c r="S28" s="157">
        <f t="shared" si="6"/>
        <v>11786.3</v>
      </c>
      <c r="T28" s="157">
        <f t="shared" si="7"/>
        <v>12635</v>
      </c>
      <c r="U28" s="155">
        <f t="shared" si="8"/>
        <v>7.1999999999999995E-2</v>
      </c>
      <c r="V28" s="164"/>
    </row>
    <row r="29" spans="1:22" ht="14.4" customHeight="1" x14ac:dyDescent="0.35">
      <c r="A29" s="152">
        <v>9</v>
      </c>
      <c r="B29" s="152"/>
      <c r="C29" s="117"/>
      <c r="D29" s="168">
        <f>D42</f>
        <v>10847</v>
      </c>
      <c r="E29" s="157">
        <f>Trans_Inputs!$H$17</f>
        <v>3982.3</v>
      </c>
      <c r="F29" s="157">
        <f>Trans_Inputs!$V$17</f>
        <v>5000</v>
      </c>
      <c r="G29" s="167">
        <f t="shared" si="0"/>
        <v>1017.6999999999998</v>
      </c>
      <c r="H29" s="155">
        <f t="shared" si="1"/>
        <v>0.25600000000000001</v>
      </c>
      <c r="I29" s="155"/>
      <c r="J29" s="157">
        <f>Trans_Inputs!$I$17</f>
        <v>0</v>
      </c>
      <c r="K29" s="157">
        <f>Trans_Inputs!$W$17</f>
        <v>0</v>
      </c>
      <c r="L29" s="157">
        <f t="shared" si="2"/>
        <v>0</v>
      </c>
      <c r="M29" s="155">
        <f t="shared" si="3"/>
        <v>0</v>
      </c>
      <c r="N29" s="158"/>
      <c r="O29" s="157">
        <f>ROUND((D29*Trans_Inputs!$C$17),2)+ROUND((D29*Trans_Inputs!$N$17),2)+ROUND((D29*Trans_Inputs!$O$17),2)+ROUND((D29*Trans_Inputs!$J$17),2)+ROUND((D29*Trans_Inputs!$K$17),2)</f>
        <v>8465</v>
      </c>
      <c r="P29" s="157">
        <f>ROUND((D29*Trans_Inputs!$Q$17),2)+ROUND((D29*Trans_Inputs!$AA$17),2)+ROUND((D29*Trans_Inputs!$AB$17),2)+ROUND((Trans_Inputs!$X$17*D29),2)</f>
        <v>8281.68</v>
      </c>
      <c r="Q29" s="157">
        <f t="shared" si="4"/>
        <v>-183.31999999999971</v>
      </c>
      <c r="R29" s="155">
        <f t="shared" si="5"/>
        <v>-2.1999999999999999E-2</v>
      </c>
      <c r="S29" s="157">
        <f t="shared" si="6"/>
        <v>12447.3</v>
      </c>
      <c r="T29" s="157">
        <f t="shared" si="7"/>
        <v>13281.68</v>
      </c>
      <c r="U29" s="155">
        <f t="shared" si="8"/>
        <v>6.7000000000000004E-2</v>
      </c>
      <c r="V29" s="164"/>
    </row>
    <row r="30" spans="1:22" ht="14.4" customHeight="1" x14ac:dyDescent="0.35">
      <c r="A30" s="152">
        <v>10</v>
      </c>
      <c r="B30" s="152"/>
      <c r="C30" s="117"/>
      <c r="D30" s="168">
        <f>D43</f>
        <v>13039</v>
      </c>
      <c r="E30" s="157">
        <f>Trans_Inputs!$H$17</f>
        <v>3982.3</v>
      </c>
      <c r="F30" s="157">
        <f>Trans_Inputs!$V$17</f>
        <v>5000</v>
      </c>
      <c r="G30" s="167">
        <f t="shared" si="0"/>
        <v>1017.6999999999998</v>
      </c>
      <c r="H30" s="155">
        <f t="shared" si="1"/>
        <v>0.25600000000000001</v>
      </c>
      <c r="I30" s="155"/>
      <c r="J30" s="157">
        <f>Trans_Inputs!$I$17</f>
        <v>0</v>
      </c>
      <c r="K30" s="157">
        <f>Trans_Inputs!$W$17</f>
        <v>0</v>
      </c>
      <c r="L30" s="157">
        <f t="shared" si="2"/>
        <v>0</v>
      </c>
      <c r="M30" s="155">
        <f t="shared" si="3"/>
        <v>0</v>
      </c>
      <c r="N30" s="158"/>
      <c r="O30" s="157">
        <f>ROUND((D30*Trans_Inputs!$C$17),2)+ROUND((D30*Trans_Inputs!$N$17),2)+ROUND((D30*Trans_Inputs!$O$17),2)+ROUND((D30*Trans_Inputs!$J$17),2)+ROUND((D30*Trans_Inputs!$K$17),2)</f>
        <v>10175.629999999999</v>
      </c>
      <c r="P30" s="157">
        <f>ROUND((D30*Trans_Inputs!$Q$17),2)+ROUND((D30*Trans_Inputs!$AA$17),2)+ROUND((D30*Trans_Inputs!$AB$17),2)+ROUND((Trans_Inputs!$X$17*D30),2)</f>
        <v>9955.27</v>
      </c>
      <c r="Q30" s="157">
        <f t="shared" si="4"/>
        <v>-220.35999999999876</v>
      </c>
      <c r="R30" s="155">
        <f t="shared" si="5"/>
        <v>-2.1999999999999999E-2</v>
      </c>
      <c r="S30" s="157">
        <f t="shared" si="6"/>
        <v>14157.93</v>
      </c>
      <c r="T30" s="157">
        <f t="shared" si="7"/>
        <v>14955.27</v>
      </c>
      <c r="U30" s="155">
        <f t="shared" si="8"/>
        <v>5.6000000000000001E-2</v>
      </c>
      <c r="V30" s="164"/>
    </row>
    <row r="31" spans="1:22" ht="14.4" customHeight="1" x14ac:dyDescent="0.35">
      <c r="A31" s="152">
        <v>11</v>
      </c>
      <c r="B31" s="152"/>
      <c r="C31" s="117"/>
      <c r="D31" s="168">
        <v>15000</v>
      </c>
      <c r="E31" s="157">
        <f>Trans_Inputs!$H$17</f>
        <v>3982.3</v>
      </c>
      <c r="F31" s="157">
        <f>Trans_Inputs!$V$17</f>
        <v>5000</v>
      </c>
      <c r="G31" s="167">
        <f t="shared" si="0"/>
        <v>1017.6999999999998</v>
      </c>
      <c r="H31" s="155">
        <f t="shared" si="1"/>
        <v>0.25600000000000001</v>
      </c>
      <c r="I31" s="155"/>
      <c r="J31" s="157">
        <f>Trans_Inputs!$I$17</f>
        <v>0</v>
      </c>
      <c r="K31" s="157">
        <f>Trans_Inputs!$W$17</f>
        <v>0</v>
      </c>
      <c r="L31" s="157">
        <f t="shared" si="2"/>
        <v>0</v>
      </c>
      <c r="M31" s="155">
        <f t="shared" si="3"/>
        <v>0</v>
      </c>
      <c r="N31" s="158"/>
      <c r="O31" s="157">
        <f>ROUND((D31*Trans_Inputs!$C$17),2)+ROUND((D31*Trans_Inputs!$N$17),2)+ROUND((D31*Trans_Inputs!$O$17),2)+ROUND((D31*Trans_Inputs!$J$17),2)+ROUND((D31*Trans_Inputs!$K$17),2)</f>
        <v>11706</v>
      </c>
      <c r="P31" s="157">
        <f>ROUND((D31*Trans_Inputs!$Q$17),2)+ROUND((D31*Trans_Inputs!$AA$17),2)+ROUND((D31*Trans_Inputs!$AB$17),2)+ROUND((Trans_Inputs!$X$17*D31),2)</f>
        <v>11452.5</v>
      </c>
      <c r="Q31" s="157">
        <f t="shared" si="4"/>
        <v>-253.5</v>
      </c>
      <c r="R31" s="155">
        <f t="shared" si="5"/>
        <v>-2.1999999999999999E-2</v>
      </c>
      <c r="S31" s="157">
        <f t="shared" si="6"/>
        <v>15688.3</v>
      </c>
      <c r="T31" s="157">
        <f t="shared" si="7"/>
        <v>16452.5</v>
      </c>
      <c r="U31" s="155">
        <f t="shared" si="8"/>
        <v>4.9000000000000002E-2</v>
      </c>
      <c r="V31" s="164"/>
    </row>
    <row r="32" spans="1:22" ht="14.4" customHeight="1" x14ac:dyDescent="0.35">
      <c r="A32" s="152">
        <v>12</v>
      </c>
      <c r="B32" s="117"/>
      <c r="C32" s="117"/>
      <c r="D32" s="168">
        <v>20000</v>
      </c>
      <c r="E32" s="157">
        <f>Trans_Inputs!$H$17</f>
        <v>3982.3</v>
      </c>
      <c r="F32" s="157">
        <f>Trans_Inputs!$V$17</f>
        <v>5000</v>
      </c>
      <c r="G32" s="167">
        <f t="shared" si="0"/>
        <v>1017.6999999999998</v>
      </c>
      <c r="H32" s="155">
        <f t="shared" si="1"/>
        <v>0.25600000000000001</v>
      </c>
      <c r="I32" s="155"/>
      <c r="J32" s="157">
        <f>Trans_Inputs!$I$17</f>
        <v>0</v>
      </c>
      <c r="K32" s="157">
        <f>Trans_Inputs!$W$17</f>
        <v>0</v>
      </c>
      <c r="L32" s="157">
        <f t="shared" si="2"/>
        <v>0</v>
      </c>
      <c r="M32" s="155">
        <f t="shared" si="3"/>
        <v>0</v>
      </c>
      <c r="N32" s="158"/>
      <c r="O32" s="157">
        <f>ROUND((D32*Trans_Inputs!$C$17),2)+ROUND((D32*Trans_Inputs!$N$17),2)+ROUND((D32*Trans_Inputs!$O$17),2)+ROUND((D32*Trans_Inputs!$J$17),2)+ROUND((D32*Trans_Inputs!$K$17),2)</f>
        <v>15608</v>
      </c>
      <c r="P32" s="157">
        <f>ROUND((D32*Trans_Inputs!$Q$17),2)+ROUND((D32*Trans_Inputs!$AA$17),2)+ROUND((D32*Trans_Inputs!$AB$17),2)+ROUND((Trans_Inputs!$X$17*D32),2)</f>
        <v>15270</v>
      </c>
      <c r="Q32" s="157">
        <f t="shared" si="4"/>
        <v>-338</v>
      </c>
      <c r="R32" s="155">
        <f t="shared" si="5"/>
        <v>-2.1999999999999999E-2</v>
      </c>
      <c r="S32" s="157">
        <f t="shared" si="6"/>
        <v>19590.3</v>
      </c>
      <c r="T32" s="157">
        <f t="shared" si="7"/>
        <v>20270</v>
      </c>
      <c r="U32" s="155">
        <f t="shared" si="8"/>
        <v>3.5000000000000003E-2</v>
      </c>
      <c r="V32" s="164"/>
    </row>
    <row r="33" spans="1:22" ht="14.4" customHeight="1" x14ac:dyDescent="0.35">
      <c r="A33" s="152">
        <v>13</v>
      </c>
      <c r="B33" s="117"/>
      <c r="C33" s="117"/>
      <c r="D33" s="168">
        <v>25000</v>
      </c>
      <c r="E33" s="157">
        <f>Trans_Inputs!$H$17</f>
        <v>3982.3</v>
      </c>
      <c r="F33" s="157">
        <f>Trans_Inputs!$V$17</f>
        <v>5000</v>
      </c>
      <c r="G33" s="167">
        <f t="shared" si="0"/>
        <v>1017.6999999999998</v>
      </c>
      <c r="H33" s="155">
        <f t="shared" si="1"/>
        <v>0.25600000000000001</v>
      </c>
      <c r="I33" s="155"/>
      <c r="J33" s="157">
        <f>Trans_Inputs!$I$17</f>
        <v>0</v>
      </c>
      <c r="K33" s="157">
        <f>Trans_Inputs!$W$17</f>
        <v>0</v>
      </c>
      <c r="L33" s="157">
        <f t="shared" si="2"/>
        <v>0</v>
      </c>
      <c r="M33" s="155">
        <f t="shared" si="3"/>
        <v>0</v>
      </c>
      <c r="N33" s="158"/>
      <c r="O33" s="157">
        <f>ROUND((D33*Trans_Inputs!$C$17),2)+ROUND((D33*Trans_Inputs!$N$17),2)+ROUND((D33*Trans_Inputs!$O$17),2)+ROUND((D33*Trans_Inputs!$J$17),2)+ROUND((D33*Trans_Inputs!$K$17),2)</f>
        <v>19510</v>
      </c>
      <c r="P33" s="157">
        <f>ROUND((D33*Trans_Inputs!$Q$17),2)+ROUND((D33*Trans_Inputs!$AA$17),2)+ROUND((D33*Trans_Inputs!$AB$17),2)+ROUND((Trans_Inputs!$X$17*D33),2)</f>
        <v>19087.5</v>
      </c>
      <c r="Q33" s="157">
        <f t="shared" si="4"/>
        <v>-422.5</v>
      </c>
      <c r="R33" s="155">
        <f t="shared" si="5"/>
        <v>-2.1999999999999999E-2</v>
      </c>
      <c r="S33" s="157">
        <f t="shared" si="6"/>
        <v>23492.3</v>
      </c>
      <c r="T33" s="157">
        <f t="shared" si="7"/>
        <v>24087.5</v>
      </c>
      <c r="U33" s="155">
        <f t="shared" si="8"/>
        <v>2.5000000000000001E-2</v>
      </c>
      <c r="V33" s="164"/>
    </row>
    <row r="34" spans="1:22" ht="14.4" customHeight="1" x14ac:dyDescent="0.35">
      <c r="A34" s="152">
        <v>14</v>
      </c>
      <c r="B34" s="117"/>
      <c r="C34" s="117"/>
      <c r="D34" s="168">
        <v>30000</v>
      </c>
      <c r="E34" s="157">
        <f>Trans_Inputs!$H$17</f>
        <v>3982.3</v>
      </c>
      <c r="F34" s="157">
        <f>Trans_Inputs!$V$17</f>
        <v>5000</v>
      </c>
      <c r="G34" s="167">
        <f t="shared" si="0"/>
        <v>1017.6999999999998</v>
      </c>
      <c r="H34" s="155">
        <f t="shared" si="1"/>
        <v>0.25600000000000001</v>
      </c>
      <c r="I34" s="155"/>
      <c r="J34" s="157">
        <f>Trans_Inputs!$I$17</f>
        <v>0</v>
      </c>
      <c r="K34" s="157">
        <f>Trans_Inputs!$W$17</f>
        <v>0</v>
      </c>
      <c r="L34" s="157">
        <f t="shared" si="2"/>
        <v>0</v>
      </c>
      <c r="M34" s="155">
        <f t="shared" si="3"/>
        <v>0</v>
      </c>
      <c r="N34" s="164"/>
      <c r="O34" s="157">
        <f>ROUND((D34*Trans_Inputs!$C$17),2)+ROUND((D34*Trans_Inputs!$N$17),2)+ROUND((D34*Trans_Inputs!$O$17),2)+ROUND((D34*Trans_Inputs!$J$17),2)+ROUND((D34*Trans_Inputs!$K$17),2)</f>
        <v>23412</v>
      </c>
      <c r="P34" s="157">
        <f>ROUND((D34*Trans_Inputs!$Q$17),2)+ROUND((D34*Trans_Inputs!$AA$17),2)+ROUND((D34*Trans_Inputs!$AB$17),2)+ROUND((Trans_Inputs!$X$17*D34),2)</f>
        <v>22905</v>
      </c>
      <c r="Q34" s="157">
        <f t="shared" si="4"/>
        <v>-507</v>
      </c>
      <c r="R34" s="155">
        <f t="shared" si="5"/>
        <v>-2.1999999999999999E-2</v>
      </c>
      <c r="S34" s="157">
        <f t="shared" si="6"/>
        <v>27394.3</v>
      </c>
      <c r="T34" s="157">
        <f t="shared" si="7"/>
        <v>27905</v>
      </c>
      <c r="U34" s="155">
        <f t="shared" si="8"/>
        <v>1.9E-2</v>
      </c>
      <c r="V34" s="164"/>
    </row>
    <row r="35" spans="1:22" ht="14.5" x14ac:dyDescent="0.35">
      <c r="A35" s="152">
        <v>15</v>
      </c>
      <c r="B35" s="117"/>
      <c r="C35" s="117"/>
      <c r="D35" s="168">
        <v>35000</v>
      </c>
      <c r="E35" s="157">
        <f>Trans_Inputs!$H$17</f>
        <v>3982.3</v>
      </c>
      <c r="F35" s="157">
        <f>Trans_Inputs!$V$17</f>
        <v>5000</v>
      </c>
      <c r="G35" s="167">
        <f t="shared" si="0"/>
        <v>1017.6999999999998</v>
      </c>
      <c r="H35" s="155">
        <f t="shared" si="1"/>
        <v>0.25600000000000001</v>
      </c>
      <c r="I35" s="155"/>
      <c r="J35" s="157">
        <f>Trans_Inputs!$I$17</f>
        <v>0</v>
      </c>
      <c r="K35" s="157">
        <f>Trans_Inputs!$W$17</f>
        <v>0</v>
      </c>
      <c r="L35" s="157">
        <f t="shared" si="2"/>
        <v>0</v>
      </c>
      <c r="M35" s="155">
        <f t="shared" si="3"/>
        <v>0</v>
      </c>
      <c r="N35" s="164"/>
      <c r="O35" s="157">
        <f>ROUND((Trans_Inputs!$C$17*Trans_Inputs!$AD$17),2)+ROUND((Trans_Inputs!$D$17*(D35-Trans_Inputs!$AD$17)),2)+ROUND((D35*Trans_Inputs!$N$17),2)+ROUND((D35*Trans_Inputs!$O$17),2)+ROUND((D35*Trans_Inputs!$J$17),2)+ROUND((D35*Trans_Inputs!$K$17),2)</f>
        <v>25956.5</v>
      </c>
      <c r="P35" s="157">
        <f>ROUND((Trans_Inputs!$Q$17*Trans_Inputs!$AK$17),2)+ROUND((Trans_Inputs!$R$17*(D35-Trans_Inputs!$AK$17)),2)+ROUND((D35*Trans_Inputs!$AA$17),2)+ROUND((D35*Trans_Inputs!$AB$17),2)+ROUND((Trans_Inputs!$X$17*D35),2)</f>
        <v>25285.5</v>
      </c>
      <c r="Q35" s="157">
        <f t="shared" si="4"/>
        <v>-671</v>
      </c>
      <c r="R35" s="155">
        <f t="shared" si="5"/>
        <v>-2.5999999999999999E-2</v>
      </c>
      <c r="S35" s="157">
        <f t="shared" si="6"/>
        <v>29938.799999999999</v>
      </c>
      <c r="T35" s="157">
        <f t="shared" si="7"/>
        <v>30285.5</v>
      </c>
      <c r="U35" s="155">
        <f t="shared" si="8"/>
        <v>1.2E-2</v>
      </c>
      <c r="V35" s="164"/>
    </row>
    <row r="36" spans="1:22" ht="14.5" x14ac:dyDescent="0.35">
      <c r="A36" s="152">
        <v>16</v>
      </c>
      <c r="B36" s="117"/>
      <c r="C36" s="117"/>
      <c r="D36" s="168">
        <v>40000</v>
      </c>
      <c r="E36" s="157">
        <f>Trans_Inputs!$H$17</f>
        <v>3982.3</v>
      </c>
      <c r="F36" s="157">
        <f>Trans_Inputs!$V$17</f>
        <v>5000</v>
      </c>
      <c r="G36" s="167">
        <f t="shared" si="0"/>
        <v>1017.6999999999998</v>
      </c>
      <c r="H36" s="155">
        <f t="shared" si="1"/>
        <v>0.25600000000000001</v>
      </c>
      <c r="I36" s="155"/>
      <c r="J36" s="157">
        <f>Trans_Inputs!$I$17</f>
        <v>0</v>
      </c>
      <c r="K36" s="157">
        <f>Trans_Inputs!$W$17</f>
        <v>0</v>
      </c>
      <c r="L36" s="157">
        <f t="shared" si="2"/>
        <v>0</v>
      </c>
      <c r="M36" s="155">
        <f t="shared" si="3"/>
        <v>0</v>
      </c>
      <c r="N36" s="164"/>
      <c r="O36" s="157">
        <f>ROUND((Trans_Inputs!$C$17*Trans_Inputs!$AD$17),2)+ROUND((Trans_Inputs!$D$17*(D36-Trans_Inputs!$AD$17)),2)+ROUND((D36*Trans_Inputs!$N$17),2)+ROUND((D36*Trans_Inputs!$O$17),2)+ROUND((D36*Trans_Inputs!$J$17),2)+ROUND((D36*Trans_Inputs!$K$17),2)</f>
        <v>28501</v>
      </c>
      <c r="P36" s="157">
        <f>ROUND((Trans_Inputs!$Q$17*Trans_Inputs!$AK$17),2)+ROUND((Trans_Inputs!$R$17*(D36-Trans_Inputs!$AK$17)),2)+ROUND((D36*Trans_Inputs!$AA$17),2)+ROUND((D36*Trans_Inputs!$AB$17),2)+ROUND((Trans_Inputs!$X$17*D36),2)</f>
        <v>27666</v>
      </c>
      <c r="Q36" s="157">
        <f t="shared" si="4"/>
        <v>-835</v>
      </c>
      <c r="R36" s="155">
        <f t="shared" si="5"/>
        <v>-2.9000000000000001E-2</v>
      </c>
      <c r="S36" s="157">
        <f t="shared" si="6"/>
        <v>32483.3</v>
      </c>
      <c r="T36" s="157">
        <f t="shared" si="7"/>
        <v>32666</v>
      </c>
      <c r="U36" s="155">
        <f t="shared" si="8"/>
        <v>6.0000000000000001E-3</v>
      </c>
      <c r="V36" s="164"/>
    </row>
    <row r="37" spans="1:22" ht="14.5" x14ac:dyDescent="0.35">
      <c r="A37" s="152">
        <v>17</v>
      </c>
      <c r="B37" s="117"/>
      <c r="C37" s="117"/>
      <c r="D37" s="168">
        <v>70000</v>
      </c>
      <c r="E37" s="157">
        <f>Trans_Inputs!$H$17</f>
        <v>3982.3</v>
      </c>
      <c r="F37" s="157">
        <f>Trans_Inputs!$V$17</f>
        <v>5000</v>
      </c>
      <c r="G37" s="167">
        <f t="shared" si="0"/>
        <v>1017.6999999999998</v>
      </c>
      <c r="H37" s="155">
        <f t="shared" si="1"/>
        <v>0.25600000000000001</v>
      </c>
      <c r="I37" s="155"/>
      <c r="J37" s="157">
        <f>Trans_Inputs!$I$17</f>
        <v>0</v>
      </c>
      <c r="K37" s="157">
        <f>Trans_Inputs!$W$17</f>
        <v>0</v>
      </c>
      <c r="L37" s="157">
        <f t="shared" si="2"/>
        <v>0</v>
      </c>
      <c r="M37" s="155">
        <f t="shared" si="3"/>
        <v>0</v>
      </c>
      <c r="N37" s="164"/>
      <c r="O37" s="157">
        <f>ROUND((Trans_Inputs!$C$17*Trans_Inputs!$AD$17),2)+ROUND((Trans_Inputs!$D$17*(D37-Trans_Inputs!$AD$17)),2)+ROUND((D37*Trans_Inputs!$N$17),2)+ROUND((D37*Trans_Inputs!$O$17),2)+ROUND((D37*Trans_Inputs!$J$17),2)+ROUND((D37*Trans_Inputs!$K$17),2)</f>
        <v>43768</v>
      </c>
      <c r="P37" s="157">
        <f>ROUND((Trans_Inputs!$Q$17*Trans_Inputs!$AK$17),2)+ROUND((Trans_Inputs!$R$17*(D37-Trans_Inputs!$AK$17)),2)+ROUND((D37*Trans_Inputs!$AA$17),2)+ROUND((D37*Trans_Inputs!$AB$17),2)+ROUND((Trans_Inputs!$X$17*D37),2)</f>
        <v>41949</v>
      </c>
      <c r="Q37" s="157">
        <f t="shared" si="4"/>
        <v>-1819</v>
      </c>
      <c r="R37" s="155">
        <f t="shared" si="5"/>
        <v>-4.2000000000000003E-2</v>
      </c>
      <c r="S37" s="157">
        <f t="shared" si="6"/>
        <v>47750.3</v>
      </c>
      <c r="T37" s="157">
        <f t="shared" si="7"/>
        <v>46949</v>
      </c>
      <c r="U37" s="155">
        <f t="shared" si="8"/>
        <v>-1.7000000000000001E-2</v>
      </c>
      <c r="V37" s="164"/>
    </row>
    <row r="38" spans="1:22" ht="14.5" x14ac:dyDescent="0.35">
      <c r="A38" s="152">
        <v>18</v>
      </c>
      <c r="B38" s="117"/>
      <c r="C38" s="117"/>
      <c r="D38" s="168">
        <v>90000</v>
      </c>
      <c r="E38" s="157">
        <f>Trans_Inputs!$H$17</f>
        <v>3982.3</v>
      </c>
      <c r="F38" s="157">
        <f>Trans_Inputs!$V$17</f>
        <v>5000</v>
      </c>
      <c r="G38" s="167">
        <f t="shared" si="0"/>
        <v>1017.6999999999998</v>
      </c>
      <c r="H38" s="155">
        <f t="shared" si="1"/>
        <v>0.25600000000000001</v>
      </c>
      <c r="I38" s="155"/>
      <c r="J38" s="157">
        <f>Trans_Inputs!$I$17</f>
        <v>0</v>
      </c>
      <c r="K38" s="157">
        <f>Trans_Inputs!$W$17</f>
        <v>0</v>
      </c>
      <c r="L38" s="157">
        <f t="shared" si="2"/>
        <v>0</v>
      </c>
      <c r="M38" s="155">
        <f t="shared" si="3"/>
        <v>0</v>
      </c>
      <c r="N38" s="164"/>
      <c r="O38" s="157">
        <f>ROUND((Trans_Inputs!$C$17*Trans_Inputs!$AD$17),2)+ROUND((Trans_Inputs!$D$17*(D38-Trans_Inputs!$AD$17)),2)+ROUND((D38*Trans_Inputs!$N$17),2)+ROUND((D38*Trans_Inputs!$O$17),2)+ROUND((D38*Trans_Inputs!$J$17),2)+ROUND((D38*Trans_Inputs!$K$17),2)</f>
        <v>53946</v>
      </c>
      <c r="P38" s="157">
        <f>ROUND((Trans_Inputs!$Q$17*Trans_Inputs!$AK$17),2)+ROUND((Trans_Inputs!$R$17*(D38-Trans_Inputs!$AK$17)),2)+ROUND((D38*Trans_Inputs!$AA$17),2)+ROUND((D38*Trans_Inputs!$AB$17),2)+ROUND((Trans_Inputs!$X$17*D38),2)</f>
        <v>51471</v>
      </c>
      <c r="Q38" s="157">
        <f t="shared" si="4"/>
        <v>-2475</v>
      </c>
      <c r="R38" s="155">
        <f t="shared" si="5"/>
        <v>-4.5999999999999999E-2</v>
      </c>
      <c r="S38" s="157">
        <f t="shared" si="6"/>
        <v>57928.3</v>
      </c>
      <c r="T38" s="157">
        <f t="shared" si="7"/>
        <v>56471</v>
      </c>
      <c r="U38" s="155">
        <f t="shared" si="8"/>
        <v>-2.5000000000000001E-2</v>
      </c>
      <c r="V38" s="164"/>
    </row>
    <row r="39" spans="1:22" ht="14.5" x14ac:dyDescent="0.35">
      <c r="A39" s="152">
        <v>19</v>
      </c>
      <c r="B39" s="117"/>
      <c r="C39" s="117"/>
      <c r="D39" s="168">
        <v>100000</v>
      </c>
      <c r="E39" s="157">
        <f>Trans_Inputs!$H$17</f>
        <v>3982.3</v>
      </c>
      <c r="F39" s="157">
        <f>Trans_Inputs!$V$17</f>
        <v>5000</v>
      </c>
      <c r="G39" s="167">
        <f t="shared" si="0"/>
        <v>1017.6999999999998</v>
      </c>
      <c r="H39" s="155">
        <f t="shared" si="1"/>
        <v>0.25600000000000001</v>
      </c>
      <c r="I39" s="155"/>
      <c r="J39" s="157">
        <f>Trans_Inputs!$I$17</f>
        <v>0</v>
      </c>
      <c r="K39" s="157">
        <f>Trans_Inputs!$W$17</f>
        <v>0</v>
      </c>
      <c r="L39" s="157">
        <f t="shared" si="2"/>
        <v>0</v>
      </c>
      <c r="M39" s="155">
        <f t="shared" si="3"/>
        <v>0</v>
      </c>
      <c r="N39" s="164"/>
      <c r="O39" s="157">
        <f>ROUND((Trans_Inputs!$C$17*Trans_Inputs!$AD$17),2)+ROUND((Trans_Inputs!$D$17*(D39-Trans_Inputs!$AD$17)),2)+ROUND((D39*Trans_Inputs!$N$17),2)+ROUND((D39*Trans_Inputs!$O$17),2)+ROUND((D39*Trans_Inputs!$J$17),2)+ROUND((D39*Trans_Inputs!$K$17),2)</f>
        <v>59035</v>
      </c>
      <c r="P39" s="157">
        <f>ROUND((Trans_Inputs!$Q$17*Trans_Inputs!$AK$17),2)+ROUND((Trans_Inputs!$R$17*(D39-Trans_Inputs!$AK$17)),2)+ROUND((D39*Trans_Inputs!$AA$17),2)+ROUND((D39*Trans_Inputs!$AB$17),2)+ROUND((Trans_Inputs!$X$17*D39),2)</f>
        <v>56232</v>
      </c>
      <c r="Q39" s="157">
        <f t="shared" si="4"/>
        <v>-2803</v>
      </c>
      <c r="R39" s="155">
        <f t="shared" si="5"/>
        <v>-4.7E-2</v>
      </c>
      <c r="S39" s="157">
        <f t="shared" si="6"/>
        <v>63017.3</v>
      </c>
      <c r="T39" s="157">
        <f t="shared" si="7"/>
        <v>61232</v>
      </c>
      <c r="U39" s="155">
        <f t="shared" si="8"/>
        <v>-2.8000000000000001E-2</v>
      </c>
      <c r="V39" s="164"/>
    </row>
    <row r="40" spans="1:22" ht="14.5" x14ac:dyDescent="0.35">
      <c r="A40" s="152">
        <v>20</v>
      </c>
      <c r="B40" s="117"/>
      <c r="C40" s="117"/>
      <c r="D40" s="168">
        <v>125000</v>
      </c>
      <c r="E40" s="157">
        <f>Trans_Inputs!$H$17</f>
        <v>3982.3</v>
      </c>
      <c r="F40" s="157">
        <f>Trans_Inputs!$V$17</f>
        <v>5000</v>
      </c>
      <c r="G40" s="167">
        <f t="shared" si="0"/>
        <v>1017.6999999999998</v>
      </c>
      <c r="H40" s="155">
        <f t="shared" si="1"/>
        <v>0.25600000000000001</v>
      </c>
      <c r="I40" s="155"/>
      <c r="J40" s="157">
        <f>Trans_Inputs!$I$17</f>
        <v>0</v>
      </c>
      <c r="K40" s="157">
        <f>Trans_Inputs!$W$17</f>
        <v>0</v>
      </c>
      <c r="L40" s="157">
        <f t="shared" si="2"/>
        <v>0</v>
      </c>
      <c r="M40" s="155">
        <f t="shared" si="3"/>
        <v>0</v>
      </c>
      <c r="N40" s="164"/>
      <c r="O40" s="157">
        <f>ROUND((Trans_Inputs!$C$17*Trans_Inputs!$AD$17),2)+ROUND((Trans_Inputs!$D$17*(D40-Trans_Inputs!$AD$17)),2)+ROUND((D40*Trans_Inputs!$N$17),2)+ROUND((D40*Trans_Inputs!$O$17),2)+ROUND((D40*Trans_Inputs!$J$17),2)+ROUND((D40*Trans_Inputs!$K$17),2)</f>
        <v>71757.5</v>
      </c>
      <c r="P40" s="157">
        <f>ROUND((Trans_Inputs!$Q$17*Trans_Inputs!$AK$17),2)+ROUND((Trans_Inputs!$R$17*(D40-Trans_Inputs!$AK$17)),2)+ROUND((D40*Trans_Inputs!$AA$17),2)+ROUND((D40*Trans_Inputs!$AB$17),2)+ROUND((Trans_Inputs!$X$17*D40),2)</f>
        <v>68134.5</v>
      </c>
      <c r="Q40" s="157">
        <f t="shared" si="4"/>
        <v>-3623</v>
      </c>
      <c r="R40" s="155">
        <f t="shared" si="5"/>
        <v>-0.05</v>
      </c>
      <c r="S40" s="157">
        <f t="shared" si="6"/>
        <v>75739.8</v>
      </c>
      <c r="T40" s="157">
        <f t="shared" si="7"/>
        <v>73134.5</v>
      </c>
      <c r="U40" s="155">
        <f t="shared" si="8"/>
        <v>-3.4000000000000002E-2</v>
      </c>
      <c r="V40" s="164"/>
    </row>
    <row r="41" spans="1:22" ht="14.5" x14ac:dyDescent="0.35">
      <c r="A41" s="152"/>
      <c r="B41" s="117"/>
      <c r="C41" s="117"/>
      <c r="D41" s="172"/>
      <c r="E41" s="164"/>
      <c r="F41" s="164"/>
      <c r="G41" s="157"/>
      <c r="H41" s="158"/>
      <c r="I41" s="158"/>
      <c r="J41" s="158"/>
      <c r="K41" s="158"/>
      <c r="L41" s="158"/>
      <c r="M41" s="158"/>
      <c r="N41" s="164"/>
      <c r="O41" s="164"/>
      <c r="P41" s="164"/>
      <c r="Q41" s="157"/>
      <c r="R41" s="158"/>
      <c r="S41" s="157"/>
      <c r="T41" s="157"/>
      <c r="U41" s="158"/>
      <c r="V41" s="164"/>
    </row>
    <row r="42" spans="1:22" ht="14.5" x14ac:dyDescent="0.35">
      <c r="A42" s="152"/>
      <c r="B42" s="117" t="s">
        <v>142</v>
      </c>
      <c r="C42" s="117"/>
      <c r="D42" s="169">
        <f>ROUND(Trans_Inputs!AT17,0)</f>
        <v>10847</v>
      </c>
      <c r="E42" s="166" t="s">
        <v>194</v>
      </c>
      <c r="F42" s="152"/>
      <c r="G42" s="171"/>
      <c r="H42" s="170"/>
      <c r="I42" s="170"/>
      <c r="J42" s="170"/>
      <c r="K42" s="170"/>
      <c r="L42" s="170"/>
      <c r="M42" s="170"/>
      <c r="N42" s="152"/>
      <c r="O42" s="152"/>
      <c r="P42" s="152"/>
      <c r="Q42" s="171"/>
      <c r="R42" s="170"/>
      <c r="S42" s="171"/>
      <c r="T42" s="171"/>
      <c r="U42" s="170"/>
      <c r="V42" s="117"/>
    </row>
    <row r="43" spans="1:22" ht="14.5" x14ac:dyDescent="0.35">
      <c r="A43" s="152"/>
      <c r="B43" s="117" t="s">
        <v>142</v>
      </c>
      <c r="C43" s="117"/>
      <c r="D43" s="169">
        <f>ROUND(Trans_Inputs!AT18,0)</f>
        <v>13039</v>
      </c>
      <c r="E43" s="166" t="s">
        <v>193</v>
      </c>
      <c r="F43" s="117"/>
      <c r="G43" s="152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52"/>
      <c r="T43" s="152"/>
      <c r="U43" s="152"/>
      <c r="V43" s="117"/>
    </row>
    <row r="44" spans="1:22" ht="14.5" x14ac:dyDescent="0.35">
      <c r="A44" s="152"/>
      <c r="B44" s="117"/>
      <c r="C44" s="117"/>
      <c r="D44" s="117"/>
      <c r="E44" s="117"/>
      <c r="F44" s="117"/>
      <c r="G44" s="152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52"/>
      <c r="T44" s="152"/>
      <c r="U44" s="152"/>
      <c r="V44" s="117"/>
    </row>
    <row r="45" spans="1:22" ht="14.5" x14ac:dyDescent="0.35">
      <c r="A45" s="152"/>
      <c r="B45" s="117"/>
      <c r="C45" s="117"/>
      <c r="D45" s="117"/>
      <c r="E45" s="117"/>
      <c r="F45" s="117"/>
      <c r="G45" s="152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52"/>
      <c r="T45" s="152"/>
      <c r="U45" s="152"/>
      <c r="V45" s="117"/>
    </row>
    <row r="46" spans="1:22" ht="14.5" x14ac:dyDescent="0.35">
      <c r="A46" s="152"/>
      <c r="B46" s="117" t="s">
        <v>199</v>
      </c>
      <c r="C46" s="117"/>
      <c r="D46" s="117"/>
      <c r="E46" s="117"/>
      <c r="F46" s="117"/>
      <c r="G46" s="152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52"/>
      <c r="T46" s="152"/>
      <c r="U46" s="152"/>
      <c r="V46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.1" top="0.75" bottom="0.75" header="0.5" footer="0.5"/>
  <pageSetup scale="75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27474-8640-4FB8-81CC-FB2380630F7D}">
  <sheetPr codeName="Sheet10">
    <tabColor theme="5" tint="0.79998168889431442"/>
    <pageSetUpPr fitToPage="1"/>
  </sheetPr>
  <dimension ref="A1:V43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11" customWidth="1"/>
    <col min="3" max="3" width="9.1796875" bestFit="1" customWidth="1"/>
    <col min="4" max="4" width="8.1796875" bestFit="1" customWidth="1"/>
    <col min="5" max="5" width="11.81640625" bestFit="1" customWidth="1"/>
    <col min="6" max="6" width="8.4531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8" width="9.453125" bestFit="1" customWidth="1"/>
    <col min="19" max="20" width="10.1796875" bestFit="1" customWidth="1"/>
    <col min="21" max="21" width="9.54296875" customWidth="1"/>
    <col min="23" max="31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212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99</v>
      </c>
      <c r="C21" s="152" t="s">
        <v>147</v>
      </c>
      <c r="D21" s="173">
        <v>10</v>
      </c>
      <c r="E21" s="157">
        <f>Trans_Inputs!$H$19</f>
        <v>83.71</v>
      </c>
      <c r="F21" s="157">
        <f>Trans_Inputs!$V$19</f>
        <v>110</v>
      </c>
      <c r="G21" s="167">
        <f t="shared" ref="G21:G38" si="0">F21-E21</f>
        <v>26.290000000000006</v>
      </c>
      <c r="H21" s="155">
        <f t="shared" ref="H21:H38" si="1">ROUND(G21/E21,3)</f>
        <v>0.314</v>
      </c>
      <c r="I21" s="155"/>
      <c r="J21" s="157">
        <f>Trans_Inputs!$I$19</f>
        <v>0</v>
      </c>
      <c r="K21" s="157">
        <f>Trans_Inputs!$W$19</f>
        <v>0</v>
      </c>
      <c r="L21" s="157">
        <f t="shared" ref="L21:L38" si="2">K21-J21</f>
        <v>0</v>
      </c>
      <c r="M21" s="155">
        <f t="shared" ref="M21:M38" si="3">IF(J21=0,0,ROUND(L21/J21,3))</f>
        <v>0</v>
      </c>
      <c r="N21" s="158"/>
      <c r="O21" s="157">
        <f>ROUND((D21*Trans_Inputs!$C$19),2)+ROUND((D21*Trans_Inputs!$N$19),2)+ROUND((D21*Trans_Inputs!$O$19),2)+ROUND((D21*Trans_Inputs!$J$19),2)+ROUND((D21*Trans_Inputs!$K$19),2)</f>
        <v>35.839999999999996</v>
      </c>
      <c r="P21" s="157">
        <f>ROUND((D21*Trans_Inputs!$Q$19),2)+ROUND((D21*Trans_Inputs!$AA$19),2)+ROUND((D21*Trans_Inputs!$AB$19),2)+ROUND((Trans_Inputs!$X$19*D21),2)</f>
        <v>31.71</v>
      </c>
      <c r="Q21" s="157">
        <f t="shared" ref="Q21:Q38" si="4">P21-O21</f>
        <v>-4.1299999999999955</v>
      </c>
      <c r="R21" s="155">
        <f t="shared" ref="R21:R38" si="5">ROUND(Q21/O21,3)</f>
        <v>-0.115</v>
      </c>
      <c r="S21" s="157">
        <f t="shared" ref="S21:S38" si="6">E21+J21+O21</f>
        <v>119.54999999999998</v>
      </c>
      <c r="T21" s="157">
        <f t="shared" ref="T21:T38" si="7">F21+K21+P21</f>
        <v>141.71</v>
      </c>
      <c r="U21" s="155">
        <f t="shared" ref="U21:U38" si="8">ROUND((T21-S21)/S21,3)</f>
        <v>0.185</v>
      </c>
      <c r="V21" s="164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73">
        <v>30</v>
      </c>
      <c r="E22" s="157">
        <f>Trans_Inputs!$H$19</f>
        <v>83.71</v>
      </c>
      <c r="F22" s="157">
        <f>Trans_Inputs!$V$19</f>
        <v>110</v>
      </c>
      <c r="G22" s="167">
        <f t="shared" si="0"/>
        <v>26.290000000000006</v>
      </c>
      <c r="H22" s="155">
        <f t="shared" si="1"/>
        <v>0.314</v>
      </c>
      <c r="I22" s="155"/>
      <c r="J22" s="157">
        <f>Trans_Inputs!$I$19</f>
        <v>0</v>
      </c>
      <c r="K22" s="157">
        <f>Trans_Inputs!$W$19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ROUND((D22*Trans_Inputs!$C$19),2)+ROUND((D22*Trans_Inputs!$N$19),2)+ROUND((D22*Trans_Inputs!$O$19),2)+ROUND((D22*Trans_Inputs!$J$19),2)+ROUND((D22*Trans_Inputs!$K$19),2)</f>
        <v>107.54</v>
      </c>
      <c r="P22" s="157">
        <f>ROUND((D22*Trans_Inputs!$Q$19),2)+ROUND((D22*Trans_Inputs!$AA$19),2)+ROUND((D22*Trans_Inputs!$AB$19),2)+ROUND((Trans_Inputs!$X$19*D22),2)</f>
        <v>95.14</v>
      </c>
      <c r="Q22" s="157">
        <f t="shared" si="4"/>
        <v>-12.400000000000006</v>
      </c>
      <c r="R22" s="155">
        <f t="shared" si="5"/>
        <v>-0.115</v>
      </c>
      <c r="S22" s="157">
        <f t="shared" si="6"/>
        <v>191.25</v>
      </c>
      <c r="T22" s="157">
        <f t="shared" si="7"/>
        <v>205.14</v>
      </c>
      <c r="U22" s="155">
        <f t="shared" si="8"/>
        <v>7.2999999999999995E-2</v>
      </c>
      <c r="V22" s="164"/>
    </row>
    <row r="23" spans="1:22" ht="14.4" customHeight="1" x14ac:dyDescent="0.35">
      <c r="A23" s="152">
        <v>3</v>
      </c>
      <c r="B23" s="152" t="s">
        <v>211</v>
      </c>
      <c r="C23" s="117"/>
      <c r="D23" s="173">
        <v>50</v>
      </c>
      <c r="E23" s="157">
        <f>Trans_Inputs!$H$19</f>
        <v>83.71</v>
      </c>
      <c r="F23" s="157">
        <f>Trans_Inputs!$V$19</f>
        <v>110</v>
      </c>
      <c r="G23" s="167">
        <f t="shared" si="0"/>
        <v>26.290000000000006</v>
      </c>
      <c r="H23" s="155">
        <f t="shared" si="1"/>
        <v>0.314</v>
      </c>
      <c r="I23" s="155"/>
      <c r="J23" s="157">
        <f>Trans_Inputs!$I$19</f>
        <v>0</v>
      </c>
      <c r="K23" s="157">
        <f>Trans_Inputs!$W$19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ROUND((D23*Trans_Inputs!$C$19),2)+ROUND((D23*Trans_Inputs!$N$19),2)+ROUND((D23*Trans_Inputs!$O$19),2)+ROUND((D23*Trans_Inputs!$J$19),2)+ROUND((D23*Trans_Inputs!$K$19),2)</f>
        <v>179.24</v>
      </c>
      <c r="P23" s="157">
        <f>ROUND((D23*Trans_Inputs!$Q$19),2)+ROUND((D23*Trans_Inputs!$AA$19),2)+ROUND((D23*Trans_Inputs!$AB$19),2)+ROUND((Trans_Inputs!$X$19*D23),2)</f>
        <v>158.58000000000001</v>
      </c>
      <c r="Q23" s="157">
        <f t="shared" si="4"/>
        <v>-20.659999999999997</v>
      </c>
      <c r="R23" s="155">
        <f t="shared" si="5"/>
        <v>-0.115</v>
      </c>
      <c r="S23" s="157">
        <f t="shared" si="6"/>
        <v>262.95</v>
      </c>
      <c r="T23" s="157">
        <f t="shared" si="7"/>
        <v>268.58000000000004</v>
      </c>
      <c r="U23" s="155">
        <f t="shared" si="8"/>
        <v>2.1000000000000001E-2</v>
      </c>
      <c r="V23" s="164"/>
    </row>
    <row r="24" spans="1:22" ht="14.4" customHeight="1" x14ac:dyDescent="0.35">
      <c r="A24" s="152">
        <v>4</v>
      </c>
      <c r="B24" s="152" t="s">
        <v>200</v>
      </c>
      <c r="C24" s="117"/>
      <c r="D24" s="173">
        <v>70</v>
      </c>
      <c r="E24" s="157">
        <f>Trans_Inputs!$H$19</f>
        <v>83.71</v>
      </c>
      <c r="F24" s="157">
        <f>Trans_Inputs!$V$19</f>
        <v>110</v>
      </c>
      <c r="G24" s="167">
        <f t="shared" si="0"/>
        <v>26.290000000000006</v>
      </c>
      <c r="H24" s="155">
        <f t="shared" si="1"/>
        <v>0.314</v>
      </c>
      <c r="I24" s="155"/>
      <c r="J24" s="157">
        <f>Trans_Inputs!$I$19</f>
        <v>0</v>
      </c>
      <c r="K24" s="157">
        <f>Trans_Inputs!$W$19</f>
        <v>0</v>
      </c>
      <c r="L24" s="157">
        <f t="shared" si="2"/>
        <v>0</v>
      </c>
      <c r="M24" s="155">
        <f t="shared" si="3"/>
        <v>0</v>
      </c>
      <c r="N24" s="158"/>
      <c r="O24" s="157">
        <f>ROUND((Trans_Inputs!$AD$19*Trans_Inputs!$C$19),2)+ROUND(((D24-Trans_Inputs!$AD$19)*Trans_Inputs!$D$19),2)+ROUND((D24*Trans_Inputs!$N$19),2)+ROUND((D24*Trans_Inputs!$O$19),2)+ROUND((D24*Trans_Inputs!$J$19),2)+ROUND((D24*Trans_Inputs!$K$19),2)</f>
        <v>236.1</v>
      </c>
      <c r="P24" s="157">
        <f>ROUND((Trans_Inputs!$AK$19*Trans_Inputs!$Q$19),2)+ROUND(((D24-Trans_Inputs!$AK$19)*Trans_Inputs!$R$19),2)+ROUND((D24*Trans_Inputs!$AA$19),2)+ROUND((D24*Trans_Inputs!$AB$19),2)+ROUND((Trans_Inputs!$X$19*D24),2)</f>
        <v>207.60000000000002</v>
      </c>
      <c r="Q24" s="157">
        <f t="shared" si="4"/>
        <v>-28.499999999999972</v>
      </c>
      <c r="R24" s="155">
        <f t="shared" si="5"/>
        <v>-0.121</v>
      </c>
      <c r="S24" s="157">
        <f t="shared" si="6"/>
        <v>319.81</v>
      </c>
      <c r="T24" s="157">
        <f t="shared" si="7"/>
        <v>317.60000000000002</v>
      </c>
      <c r="U24" s="155">
        <f t="shared" si="8"/>
        <v>-7.0000000000000001E-3</v>
      </c>
      <c r="V24" s="164"/>
    </row>
    <row r="25" spans="1:22" ht="14.4" customHeight="1" x14ac:dyDescent="0.35">
      <c r="A25" s="152">
        <v>5</v>
      </c>
      <c r="B25" s="152" t="s">
        <v>197</v>
      </c>
      <c r="C25" s="117"/>
      <c r="D25" s="173">
        <v>100</v>
      </c>
      <c r="E25" s="157">
        <f>Trans_Inputs!$H$19</f>
        <v>83.71</v>
      </c>
      <c r="F25" s="157">
        <f>Trans_Inputs!$V$19</f>
        <v>110</v>
      </c>
      <c r="G25" s="167">
        <f t="shared" si="0"/>
        <v>26.290000000000006</v>
      </c>
      <c r="H25" s="155">
        <f t="shared" si="1"/>
        <v>0.314</v>
      </c>
      <c r="I25" s="155"/>
      <c r="J25" s="157">
        <f>Trans_Inputs!$I$19</f>
        <v>0</v>
      </c>
      <c r="K25" s="157">
        <f>Trans_Inputs!$W$19</f>
        <v>0</v>
      </c>
      <c r="L25" s="157">
        <f t="shared" si="2"/>
        <v>0</v>
      </c>
      <c r="M25" s="155">
        <f t="shared" si="3"/>
        <v>0</v>
      </c>
      <c r="N25" s="158"/>
      <c r="O25" s="157">
        <f>ROUND((Trans_Inputs!$AD$19*Trans_Inputs!$C$19),2)+ROUND(((D25-Trans_Inputs!$AD$19)*Trans_Inputs!$D$19),2)+ROUND((D25*Trans_Inputs!$N$19),2)+ROUND((D25*Trans_Inputs!$O$19),2)+ROUND((D25*Trans_Inputs!$J$19),2)+ROUND((D25*Trans_Inputs!$K$19),2)</f>
        <v>321.39000000000004</v>
      </c>
      <c r="P25" s="157">
        <f>ROUND((Trans_Inputs!$AK$19*Trans_Inputs!$Q$19),2)+ROUND(((D25-Trans_Inputs!$AK$19)*Trans_Inputs!$R$19),2)+ROUND((D25*Trans_Inputs!$AA$19),2)+ROUND((D25*Trans_Inputs!$AB$19),2)+ROUND((Trans_Inputs!$X$19*D25),2)</f>
        <v>281.12</v>
      </c>
      <c r="Q25" s="157">
        <f t="shared" si="4"/>
        <v>-40.270000000000039</v>
      </c>
      <c r="R25" s="155">
        <f t="shared" si="5"/>
        <v>-0.125</v>
      </c>
      <c r="S25" s="157">
        <f t="shared" si="6"/>
        <v>405.1</v>
      </c>
      <c r="T25" s="157">
        <f t="shared" si="7"/>
        <v>391.12</v>
      </c>
      <c r="U25" s="155">
        <f t="shared" si="8"/>
        <v>-3.5000000000000003E-2</v>
      </c>
      <c r="V25" s="164"/>
    </row>
    <row r="26" spans="1:22" ht="14.4" customHeight="1" x14ac:dyDescent="0.35">
      <c r="A26" s="152">
        <v>6</v>
      </c>
      <c r="B26" s="152" t="s">
        <v>196</v>
      </c>
      <c r="C26" s="117"/>
      <c r="D26" s="173">
        <v>150</v>
      </c>
      <c r="E26" s="157">
        <f>Trans_Inputs!$H$19</f>
        <v>83.71</v>
      </c>
      <c r="F26" s="157">
        <f>Trans_Inputs!$V$19</f>
        <v>110</v>
      </c>
      <c r="G26" s="167">
        <f t="shared" si="0"/>
        <v>26.290000000000006</v>
      </c>
      <c r="H26" s="155">
        <f t="shared" si="1"/>
        <v>0.314</v>
      </c>
      <c r="I26" s="155"/>
      <c r="J26" s="157">
        <f>Trans_Inputs!$I$19</f>
        <v>0</v>
      </c>
      <c r="K26" s="157">
        <f>Trans_Inputs!$W$19</f>
        <v>0</v>
      </c>
      <c r="L26" s="157">
        <f t="shared" si="2"/>
        <v>0</v>
      </c>
      <c r="M26" s="155">
        <f t="shared" si="3"/>
        <v>0</v>
      </c>
      <c r="N26" s="158"/>
      <c r="O26" s="157">
        <f>ROUND((Trans_Inputs!$AD$19*Trans_Inputs!$C$19),2)+ROUND(((D26-Trans_Inputs!$AD$19)*Trans_Inputs!$D$19),2)+ROUND((D26*Trans_Inputs!$N$19),2)+ROUND((D26*Trans_Inputs!$O$19),2)+ROUND((D26*Trans_Inputs!$J$19),2)+ROUND((D26*Trans_Inputs!$K$19),2)</f>
        <v>463.53999999999996</v>
      </c>
      <c r="P26" s="157">
        <f>ROUND((Trans_Inputs!$AK$19*Trans_Inputs!$Q$19),2)+ROUND(((D26-Trans_Inputs!$AK$19)*Trans_Inputs!$R$19),2)+ROUND((D26*Trans_Inputs!$AA$19),2)+ROUND((D26*Trans_Inputs!$AB$19),2)+ROUND((Trans_Inputs!$X$19*D26),2)</f>
        <v>403.66</v>
      </c>
      <c r="Q26" s="157">
        <f t="shared" si="4"/>
        <v>-59.879999999999939</v>
      </c>
      <c r="R26" s="155">
        <f t="shared" si="5"/>
        <v>-0.129</v>
      </c>
      <c r="S26" s="157">
        <f t="shared" si="6"/>
        <v>547.25</v>
      </c>
      <c r="T26" s="157">
        <f t="shared" si="7"/>
        <v>513.66000000000008</v>
      </c>
      <c r="U26" s="155">
        <f t="shared" si="8"/>
        <v>-6.0999999999999999E-2</v>
      </c>
      <c r="V26" s="164"/>
    </row>
    <row r="27" spans="1:22" ht="14.4" customHeight="1" x14ac:dyDescent="0.35">
      <c r="A27" s="152">
        <v>7</v>
      </c>
      <c r="B27" s="152" t="s">
        <v>195</v>
      </c>
      <c r="C27" s="117"/>
      <c r="D27" s="173">
        <v>200</v>
      </c>
      <c r="E27" s="157">
        <f>Trans_Inputs!$H$19</f>
        <v>83.71</v>
      </c>
      <c r="F27" s="157">
        <f>Trans_Inputs!$V$19</f>
        <v>110</v>
      </c>
      <c r="G27" s="167">
        <f t="shared" si="0"/>
        <v>26.290000000000006</v>
      </c>
      <c r="H27" s="155">
        <f t="shared" si="1"/>
        <v>0.314</v>
      </c>
      <c r="I27" s="155"/>
      <c r="J27" s="157">
        <f>Trans_Inputs!$I$19</f>
        <v>0</v>
      </c>
      <c r="K27" s="157">
        <f>Trans_Inputs!$W$19</f>
        <v>0</v>
      </c>
      <c r="L27" s="157">
        <f t="shared" si="2"/>
        <v>0</v>
      </c>
      <c r="M27" s="155">
        <f t="shared" si="3"/>
        <v>0</v>
      </c>
      <c r="N27" s="158"/>
      <c r="O27" s="157">
        <f>ROUND((Trans_Inputs!$AD$19*Trans_Inputs!$C$19),2)+ROUND(((D27-Trans_Inputs!$AD$19)*Trans_Inputs!$D$19),2)+ROUND((D27*Trans_Inputs!$N$19),2)+ROUND((D27*Trans_Inputs!$O$19),2)+ROUND((D27*Trans_Inputs!$J$19),2)+ROUND((D27*Trans_Inputs!$K$19),2)</f>
        <v>605.69000000000005</v>
      </c>
      <c r="P27" s="157">
        <f>ROUND((Trans_Inputs!$AK$19*Trans_Inputs!$Q$19),2)+ROUND(((D27-Trans_Inputs!$AK$19)*Trans_Inputs!$R$19),2)+ROUND((D27*Trans_Inputs!$AA$19),2)+ROUND((D27*Trans_Inputs!$AB$19),2)+ROUND((Trans_Inputs!$X$19*D27),2)</f>
        <v>526.20000000000005</v>
      </c>
      <c r="Q27" s="157">
        <f t="shared" si="4"/>
        <v>-79.490000000000009</v>
      </c>
      <c r="R27" s="155">
        <f t="shared" si="5"/>
        <v>-0.13100000000000001</v>
      </c>
      <c r="S27" s="157">
        <f t="shared" si="6"/>
        <v>689.40000000000009</v>
      </c>
      <c r="T27" s="157">
        <f t="shared" si="7"/>
        <v>636.20000000000005</v>
      </c>
      <c r="U27" s="155">
        <f t="shared" si="8"/>
        <v>-7.6999999999999999E-2</v>
      </c>
      <c r="V27" s="164"/>
    </row>
    <row r="28" spans="1:22" ht="14.4" customHeight="1" x14ac:dyDescent="0.35">
      <c r="A28" s="152">
        <v>8</v>
      </c>
      <c r="B28" s="152"/>
      <c r="C28" s="117"/>
      <c r="D28" s="173">
        <v>250</v>
      </c>
      <c r="E28" s="157">
        <f>Trans_Inputs!$H$19</f>
        <v>83.71</v>
      </c>
      <c r="F28" s="157">
        <f>Trans_Inputs!$V$19</f>
        <v>110</v>
      </c>
      <c r="G28" s="167">
        <f t="shared" si="0"/>
        <v>26.290000000000006</v>
      </c>
      <c r="H28" s="155">
        <f t="shared" si="1"/>
        <v>0.314</v>
      </c>
      <c r="I28" s="155"/>
      <c r="J28" s="157">
        <f>Trans_Inputs!$I$19</f>
        <v>0</v>
      </c>
      <c r="K28" s="157">
        <f>Trans_Inputs!$W$19</f>
        <v>0</v>
      </c>
      <c r="L28" s="157">
        <f t="shared" si="2"/>
        <v>0</v>
      </c>
      <c r="M28" s="155">
        <f t="shared" si="3"/>
        <v>0</v>
      </c>
      <c r="N28" s="158"/>
      <c r="O28" s="157">
        <f>ROUND((Trans_Inputs!$AD$19*Trans_Inputs!$C$19),2)+ROUND(((D28-Trans_Inputs!$AD$19)*Trans_Inputs!$D$19),2)+ROUND((D28*Trans_Inputs!$N$19),2)+ROUND((D28*Trans_Inputs!$O$19),2)+ROUND((D28*Trans_Inputs!$J$19),2)+ROUND((D28*Trans_Inputs!$K$19),2)</f>
        <v>747.84</v>
      </c>
      <c r="P28" s="157">
        <f>ROUND((Trans_Inputs!$AK$19*Trans_Inputs!$Q$19),2)+ROUND(((D28-Trans_Inputs!$AK$19)*Trans_Inputs!$R$19),2)+ROUND((D28*Trans_Inputs!$AA$19),2)+ROUND((D28*Trans_Inputs!$AB$19),2)+ROUND((Trans_Inputs!$X$19*D28),2)</f>
        <v>648.74</v>
      </c>
      <c r="Q28" s="157">
        <f t="shared" si="4"/>
        <v>-99.100000000000023</v>
      </c>
      <c r="R28" s="155">
        <f t="shared" si="5"/>
        <v>-0.13300000000000001</v>
      </c>
      <c r="S28" s="157">
        <f t="shared" si="6"/>
        <v>831.55000000000007</v>
      </c>
      <c r="T28" s="157">
        <f t="shared" si="7"/>
        <v>758.74</v>
      </c>
      <c r="U28" s="155">
        <f t="shared" si="8"/>
        <v>-8.7999999999999995E-2</v>
      </c>
      <c r="V28" s="164"/>
    </row>
    <row r="29" spans="1:22" ht="14.4" customHeight="1" x14ac:dyDescent="0.35">
      <c r="A29" s="152">
        <v>9</v>
      </c>
      <c r="B29" s="152"/>
      <c r="C29" s="117"/>
      <c r="D29" s="173">
        <v>300</v>
      </c>
      <c r="E29" s="157">
        <f>Trans_Inputs!$H$19</f>
        <v>83.71</v>
      </c>
      <c r="F29" s="157">
        <f>Trans_Inputs!$V$19</f>
        <v>110</v>
      </c>
      <c r="G29" s="167">
        <f t="shared" si="0"/>
        <v>26.290000000000006</v>
      </c>
      <c r="H29" s="155">
        <f t="shared" si="1"/>
        <v>0.314</v>
      </c>
      <c r="I29" s="155"/>
      <c r="J29" s="157">
        <f>Trans_Inputs!$I$19</f>
        <v>0</v>
      </c>
      <c r="K29" s="157">
        <f>Trans_Inputs!$W$19</f>
        <v>0</v>
      </c>
      <c r="L29" s="157">
        <f t="shared" si="2"/>
        <v>0</v>
      </c>
      <c r="M29" s="155">
        <f t="shared" si="3"/>
        <v>0</v>
      </c>
      <c r="N29" s="158"/>
      <c r="O29" s="157">
        <f>ROUND((Trans_Inputs!$AD$19*Trans_Inputs!$C$19),2)+ROUND(((D29-Trans_Inputs!$AD$19)*Trans_Inputs!$D$19),2)+ROUND((D29*Trans_Inputs!$N$19),2)+ROUND((D29*Trans_Inputs!$O$19),2)+ROUND((D29*Trans_Inputs!$J$19),2)+ROUND((D29*Trans_Inputs!$K$19),2)</f>
        <v>889.99</v>
      </c>
      <c r="P29" s="157">
        <f>ROUND((Trans_Inputs!$AK$19*Trans_Inputs!$Q$19),2)+ROUND(((D29-Trans_Inputs!$AK$19)*Trans_Inputs!$R$19),2)+ROUND((D29*Trans_Inputs!$AA$19),2)+ROUND((D29*Trans_Inputs!$AB$19),2)+ROUND((Trans_Inputs!$X$19*D29),2)</f>
        <v>771.28000000000009</v>
      </c>
      <c r="Q29" s="157">
        <f t="shared" si="4"/>
        <v>-118.70999999999992</v>
      </c>
      <c r="R29" s="155">
        <f t="shared" si="5"/>
        <v>-0.13300000000000001</v>
      </c>
      <c r="S29" s="157">
        <f t="shared" si="6"/>
        <v>973.7</v>
      </c>
      <c r="T29" s="157">
        <f t="shared" si="7"/>
        <v>881.28000000000009</v>
      </c>
      <c r="U29" s="155">
        <f t="shared" si="8"/>
        <v>-9.5000000000000001E-2</v>
      </c>
      <c r="V29" s="164"/>
    </row>
    <row r="30" spans="1:22" ht="14.4" customHeight="1" x14ac:dyDescent="0.35">
      <c r="A30" s="152">
        <v>10</v>
      </c>
      <c r="B30" s="117"/>
      <c r="C30" s="117"/>
      <c r="D30" s="173">
        <v>350</v>
      </c>
      <c r="E30" s="157">
        <f>Trans_Inputs!$H$19</f>
        <v>83.71</v>
      </c>
      <c r="F30" s="157">
        <f>Trans_Inputs!$V$19</f>
        <v>110</v>
      </c>
      <c r="G30" s="167">
        <f t="shared" si="0"/>
        <v>26.290000000000006</v>
      </c>
      <c r="H30" s="155">
        <f t="shared" si="1"/>
        <v>0.314</v>
      </c>
      <c r="I30" s="155"/>
      <c r="J30" s="157">
        <f>Trans_Inputs!$I$19</f>
        <v>0</v>
      </c>
      <c r="K30" s="157">
        <f>Trans_Inputs!$W$19</f>
        <v>0</v>
      </c>
      <c r="L30" s="157">
        <f t="shared" si="2"/>
        <v>0</v>
      </c>
      <c r="M30" s="155">
        <f t="shared" si="3"/>
        <v>0</v>
      </c>
      <c r="N30" s="158"/>
      <c r="O30" s="157">
        <f>ROUND((Trans_Inputs!$AD$19*Trans_Inputs!$C$19),2)+ROUND(((D30-Trans_Inputs!$AD$19)*Trans_Inputs!$D$19),2)+ROUND((D30*Trans_Inputs!$N$19),2)+ROUND((D30*Trans_Inputs!$O$19),2)+ROUND((D30*Trans_Inputs!$J$19),2)+ROUND((D30*Trans_Inputs!$K$19),2)</f>
        <v>1032.1400000000001</v>
      </c>
      <c r="P30" s="157">
        <f>ROUND((Trans_Inputs!$AK$19*Trans_Inputs!$Q$19),2)+ROUND(((D30-Trans_Inputs!$AK$19)*Trans_Inputs!$R$19),2)+ROUND((D30*Trans_Inputs!$AA$19),2)+ROUND((D30*Trans_Inputs!$AB$19),2)+ROUND((Trans_Inputs!$X$19*D30),2)</f>
        <v>893.82</v>
      </c>
      <c r="Q30" s="157">
        <f t="shared" si="4"/>
        <v>-138.32000000000005</v>
      </c>
      <c r="R30" s="155">
        <f t="shared" si="5"/>
        <v>-0.13400000000000001</v>
      </c>
      <c r="S30" s="157">
        <f t="shared" si="6"/>
        <v>1115.8500000000001</v>
      </c>
      <c r="T30" s="157">
        <f t="shared" si="7"/>
        <v>1003.82</v>
      </c>
      <c r="U30" s="155">
        <f t="shared" si="8"/>
        <v>-0.1</v>
      </c>
      <c r="V30" s="164"/>
    </row>
    <row r="31" spans="1:22" ht="14.4" customHeight="1" x14ac:dyDescent="0.35">
      <c r="A31" s="152">
        <v>11</v>
      </c>
      <c r="B31" s="117"/>
      <c r="C31" s="117"/>
      <c r="D31" s="173">
        <v>400</v>
      </c>
      <c r="E31" s="157">
        <f>Trans_Inputs!$H$19</f>
        <v>83.71</v>
      </c>
      <c r="F31" s="157">
        <f>Trans_Inputs!$V$19</f>
        <v>110</v>
      </c>
      <c r="G31" s="167">
        <f t="shared" si="0"/>
        <v>26.290000000000006</v>
      </c>
      <c r="H31" s="155">
        <f t="shared" si="1"/>
        <v>0.314</v>
      </c>
      <c r="I31" s="155"/>
      <c r="J31" s="157">
        <f>Trans_Inputs!$I$19</f>
        <v>0</v>
      </c>
      <c r="K31" s="157">
        <f>Trans_Inputs!$W$19</f>
        <v>0</v>
      </c>
      <c r="L31" s="157">
        <f t="shared" si="2"/>
        <v>0</v>
      </c>
      <c r="M31" s="155">
        <f t="shared" si="3"/>
        <v>0</v>
      </c>
      <c r="N31" s="158"/>
      <c r="O31" s="157">
        <f>ROUND((Trans_Inputs!$AD$19*Trans_Inputs!$C$19),2)+ROUND(((D31-Trans_Inputs!$AD$19)*Trans_Inputs!$D$19),2)+ROUND((D31*Trans_Inputs!$N$19),2)+ROUND((D31*Trans_Inputs!$O$19),2)+ROUND((D31*Trans_Inputs!$J$19),2)+ROUND((D31*Trans_Inputs!$K$19),2)</f>
        <v>1174.2900000000002</v>
      </c>
      <c r="P31" s="157">
        <f>ROUND((Trans_Inputs!$AK$19*Trans_Inputs!$Q$19),2)+ROUND(((D31-Trans_Inputs!$AK$19)*Trans_Inputs!$R$19),2)+ROUND((D31*Trans_Inputs!$AA$19),2)+ROUND((D31*Trans_Inputs!$AB$19),2)+ROUND((Trans_Inputs!$X$19*D31),2)</f>
        <v>1016.3600000000001</v>
      </c>
      <c r="Q31" s="157">
        <f t="shared" si="4"/>
        <v>-157.93000000000006</v>
      </c>
      <c r="R31" s="155">
        <f t="shared" si="5"/>
        <v>-0.13400000000000001</v>
      </c>
      <c r="S31" s="157">
        <f t="shared" si="6"/>
        <v>1258.0000000000002</v>
      </c>
      <c r="T31" s="157">
        <f t="shared" si="7"/>
        <v>1126.3600000000001</v>
      </c>
      <c r="U31" s="155">
        <f t="shared" si="8"/>
        <v>-0.105</v>
      </c>
      <c r="V31" s="164"/>
    </row>
    <row r="32" spans="1:22" ht="14.4" customHeight="1" x14ac:dyDescent="0.35">
      <c r="A32" s="152">
        <v>12</v>
      </c>
      <c r="B32" s="117"/>
      <c r="C32" s="117"/>
      <c r="D32" s="173">
        <v>450</v>
      </c>
      <c r="E32" s="157">
        <f>Trans_Inputs!$H$19</f>
        <v>83.71</v>
      </c>
      <c r="F32" s="157">
        <f>Trans_Inputs!$V$19</f>
        <v>110</v>
      </c>
      <c r="G32" s="167">
        <f t="shared" si="0"/>
        <v>26.290000000000006</v>
      </c>
      <c r="H32" s="155">
        <f t="shared" si="1"/>
        <v>0.314</v>
      </c>
      <c r="I32" s="155"/>
      <c r="J32" s="157">
        <f>Trans_Inputs!$I$19</f>
        <v>0</v>
      </c>
      <c r="K32" s="157">
        <f>Trans_Inputs!$W$19</f>
        <v>0</v>
      </c>
      <c r="L32" s="157">
        <f t="shared" si="2"/>
        <v>0</v>
      </c>
      <c r="M32" s="155">
        <f t="shared" si="3"/>
        <v>0</v>
      </c>
      <c r="N32" s="164"/>
      <c r="O32" s="157">
        <f>ROUND((Trans_Inputs!$C$19*Trans_Inputs!$AD$19),2)+ROUND((Trans_Inputs!$D$19*Trans_Inputs!$AE$19),2)+ROUND((Trans_Inputs!$E$19*(D32-Trans_Inputs!$AD$19-Trans_Inputs!$AE$19)),2)+ROUND((D32*Trans_Inputs!$N$19),2)+ROUND((D32*Trans_Inputs!$O$19),2)+ROUND((D32*Trans_Inputs!$J$19),2)+ROUND((D32*Trans_Inputs!$K$19),2)</f>
        <v>1310.24</v>
      </c>
      <c r="P32" s="157">
        <f>ROUND((Trans_Inputs!$Q$19*Trans_Inputs!$AK$19),2)+ROUND((Trans_Inputs!$R$19*Trans_Inputs!$AL$19),2)+ROUND((Trans_Inputs!$S$19*(D32-Trans_Inputs!$AK$19-Trans_Inputs!$AL$19)),2)+ROUND((D32*Trans_Inputs!$AA$19),2)+ROUND((D32*Trans_Inputs!$AB$19),2)+ROUND((Trans_Inputs!$X$19*D32),2)</f>
        <v>1132.8800000000001</v>
      </c>
      <c r="Q32" s="157">
        <f t="shared" si="4"/>
        <v>-177.3599999999999</v>
      </c>
      <c r="R32" s="155">
        <f t="shared" si="5"/>
        <v>-0.13500000000000001</v>
      </c>
      <c r="S32" s="157">
        <f t="shared" si="6"/>
        <v>1393.95</v>
      </c>
      <c r="T32" s="157">
        <f t="shared" si="7"/>
        <v>1242.8800000000001</v>
      </c>
      <c r="U32" s="155">
        <f t="shared" si="8"/>
        <v>-0.108</v>
      </c>
      <c r="V32" s="164"/>
    </row>
    <row r="33" spans="1:22" ht="14.4" customHeight="1" x14ac:dyDescent="0.35">
      <c r="A33" s="152">
        <v>13</v>
      </c>
      <c r="B33" s="117"/>
      <c r="C33" s="117"/>
      <c r="D33" s="173">
        <v>500</v>
      </c>
      <c r="E33" s="157">
        <f>Trans_Inputs!$H$19</f>
        <v>83.71</v>
      </c>
      <c r="F33" s="157">
        <f>Trans_Inputs!$V$19</f>
        <v>110</v>
      </c>
      <c r="G33" s="167">
        <f t="shared" si="0"/>
        <v>26.290000000000006</v>
      </c>
      <c r="H33" s="155">
        <f t="shared" si="1"/>
        <v>0.314</v>
      </c>
      <c r="I33" s="155"/>
      <c r="J33" s="157">
        <f>Trans_Inputs!$I$19</f>
        <v>0</v>
      </c>
      <c r="K33" s="157">
        <f>Trans_Inputs!$W$19</f>
        <v>0</v>
      </c>
      <c r="L33" s="157">
        <f t="shared" si="2"/>
        <v>0</v>
      </c>
      <c r="M33" s="155">
        <f t="shared" si="3"/>
        <v>0</v>
      </c>
      <c r="N33" s="164"/>
      <c r="O33" s="157">
        <f>ROUND((Trans_Inputs!$C$19*Trans_Inputs!$AD$19),2)+ROUND((Trans_Inputs!$D$19*Trans_Inputs!$AE$19),2)+ROUND((Trans_Inputs!$E$19*(D33-Trans_Inputs!$AD$19-Trans_Inputs!$AE$19)),2)+ROUND((D33*Trans_Inputs!$N$19),2)+ROUND((D33*Trans_Inputs!$O$19),2)+ROUND((D33*Trans_Inputs!$J$19),2)+ROUND((D33*Trans_Inputs!$K$19),2)</f>
        <v>1446.18</v>
      </c>
      <c r="P33" s="157">
        <f>ROUND((Trans_Inputs!$Q$19*Trans_Inputs!$AK$19),2)+ROUND((Trans_Inputs!$R$19*Trans_Inputs!$AL$19),2)+ROUND((Trans_Inputs!$S$19*(D33-Trans_Inputs!$AK$19-Trans_Inputs!$AL$19)),2)+ROUND((D33*Trans_Inputs!$AA$19),2)+ROUND((D33*Trans_Inputs!$AB$19),2)+ROUND((Trans_Inputs!$X$19*D33),2)</f>
        <v>1249.3900000000001</v>
      </c>
      <c r="Q33" s="157">
        <f t="shared" si="4"/>
        <v>-196.78999999999996</v>
      </c>
      <c r="R33" s="155">
        <f t="shared" si="5"/>
        <v>-0.13600000000000001</v>
      </c>
      <c r="S33" s="157">
        <f t="shared" si="6"/>
        <v>1529.89</v>
      </c>
      <c r="T33" s="157">
        <f t="shared" si="7"/>
        <v>1359.39</v>
      </c>
      <c r="U33" s="155">
        <f t="shared" si="8"/>
        <v>-0.111</v>
      </c>
      <c r="V33" s="164"/>
    </row>
    <row r="34" spans="1:22" ht="14.4" customHeight="1" x14ac:dyDescent="0.35">
      <c r="A34" s="152">
        <v>14</v>
      </c>
      <c r="B34" s="117"/>
      <c r="C34" s="117"/>
      <c r="D34" s="168">
        <v>700</v>
      </c>
      <c r="E34" s="157">
        <f>Trans_Inputs!$H$19</f>
        <v>83.71</v>
      </c>
      <c r="F34" s="157">
        <f>Trans_Inputs!$V$19</f>
        <v>110</v>
      </c>
      <c r="G34" s="167">
        <f t="shared" si="0"/>
        <v>26.290000000000006</v>
      </c>
      <c r="H34" s="155">
        <f t="shared" si="1"/>
        <v>0.314</v>
      </c>
      <c r="I34" s="155"/>
      <c r="J34" s="157">
        <f>Trans_Inputs!$I$19</f>
        <v>0</v>
      </c>
      <c r="K34" s="157">
        <f>Trans_Inputs!$W$19</f>
        <v>0</v>
      </c>
      <c r="L34" s="157">
        <f t="shared" si="2"/>
        <v>0</v>
      </c>
      <c r="M34" s="155">
        <f t="shared" si="3"/>
        <v>0</v>
      </c>
      <c r="N34" s="164"/>
      <c r="O34" s="157">
        <f>ROUND((Trans_Inputs!$C$19*Trans_Inputs!$AD$19),2)+ROUND((Trans_Inputs!$D$19*Trans_Inputs!$AE$19),2)+ROUND((Trans_Inputs!$E$19*(D34-Trans_Inputs!$AD$19-Trans_Inputs!$AE$19)),2)+ROUND((D34*Trans_Inputs!$N$19),2)+ROUND((D34*Trans_Inputs!$O$19),2)+ROUND((D34*Trans_Inputs!$J$19),2)+ROUND((D34*Trans_Inputs!$K$19),2)</f>
        <v>1989.96</v>
      </c>
      <c r="P34" s="157">
        <f>ROUND((Trans_Inputs!$Q$19*Trans_Inputs!$AK$19),2)+ROUND((Trans_Inputs!$R$19*Trans_Inputs!$AL$19),2)+ROUND((Trans_Inputs!$S$19*(D34-Trans_Inputs!$AK$19-Trans_Inputs!$AL$19)),2)+ROUND((D34*Trans_Inputs!$AA$19),2)+ROUND((D34*Trans_Inputs!$AB$19),2)+ROUND((Trans_Inputs!$X$19*D34),2)</f>
        <v>1715.45</v>
      </c>
      <c r="Q34" s="157">
        <f t="shared" si="4"/>
        <v>-274.51</v>
      </c>
      <c r="R34" s="155">
        <f t="shared" si="5"/>
        <v>-0.13800000000000001</v>
      </c>
      <c r="S34" s="157">
        <f t="shared" si="6"/>
        <v>2073.67</v>
      </c>
      <c r="T34" s="157">
        <f t="shared" si="7"/>
        <v>1825.45</v>
      </c>
      <c r="U34" s="155">
        <f t="shared" si="8"/>
        <v>-0.12</v>
      </c>
      <c r="V34" s="164"/>
    </row>
    <row r="35" spans="1:22" ht="14.5" x14ac:dyDescent="0.35">
      <c r="A35" s="152">
        <v>15</v>
      </c>
      <c r="B35" s="117"/>
      <c r="C35" s="117"/>
      <c r="D35" s="168">
        <v>1000</v>
      </c>
      <c r="E35" s="157">
        <f>Trans_Inputs!$H$19</f>
        <v>83.71</v>
      </c>
      <c r="F35" s="157">
        <f>Trans_Inputs!$V$19</f>
        <v>110</v>
      </c>
      <c r="G35" s="167">
        <f t="shared" si="0"/>
        <v>26.290000000000006</v>
      </c>
      <c r="H35" s="155">
        <f t="shared" si="1"/>
        <v>0.314</v>
      </c>
      <c r="I35" s="155"/>
      <c r="J35" s="157">
        <f>Trans_Inputs!$I$19</f>
        <v>0</v>
      </c>
      <c r="K35" s="157">
        <f>Trans_Inputs!$W$19</f>
        <v>0</v>
      </c>
      <c r="L35" s="157">
        <f t="shared" si="2"/>
        <v>0</v>
      </c>
      <c r="M35" s="155">
        <f t="shared" si="3"/>
        <v>0</v>
      </c>
      <c r="N35" s="164"/>
      <c r="O35" s="157">
        <f>ROUND((Trans_Inputs!$C$19*Trans_Inputs!$AD$19),2)+ROUND((Trans_Inputs!$D$19*Trans_Inputs!$AE$19),2)+ROUND((Trans_Inputs!$E$19*(D35-Trans_Inputs!$AD$19-Trans_Inputs!$AE$19)),2)+ROUND((D35*Trans_Inputs!$N$19),2)+ROUND((D35*Trans_Inputs!$O$19),2)+ROUND((D35*Trans_Inputs!$J$19),2)+ROUND((D35*Trans_Inputs!$K$19),2)</f>
        <v>2805.63</v>
      </c>
      <c r="P35" s="157">
        <f>ROUND((Trans_Inputs!$Q$19*Trans_Inputs!$AK$19),2)+ROUND((Trans_Inputs!$R$19*Trans_Inputs!$AL$19),2)+ROUND((Trans_Inputs!$S$19*(D35-Trans_Inputs!$AK$19-Trans_Inputs!$AL$19)),2)+ROUND((D35*Trans_Inputs!$AA$19),2)+ROUND((D35*Trans_Inputs!$AB$19),2)+ROUND((Trans_Inputs!$X$19*D35),2)</f>
        <v>2414.5400000000004</v>
      </c>
      <c r="Q35" s="157">
        <f t="shared" si="4"/>
        <v>-391.08999999999969</v>
      </c>
      <c r="R35" s="155">
        <f t="shared" si="5"/>
        <v>-0.13900000000000001</v>
      </c>
      <c r="S35" s="157">
        <f t="shared" si="6"/>
        <v>2889.34</v>
      </c>
      <c r="T35" s="157">
        <f t="shared" si="7"/>
        <v>2524.5400000000004</v>
      </c>
      <c r="U35" s="155">
        <f t="shared" si="8"/>
        <v>-0.126</v>
      </c>
      <c r="V35" s="164"/>
    </row>
    <row r="36" spans="1:22" ht="14.5" x14ac:dyDescent="0.35">
      <c r="A36" s="152">
        <v>16</v>
      </c>
      <c r="B36" s="117"/>
      <c r="C36" s="117"/>
      <c r="D36" s="168">
        <v>1200</v>
      </c>
      <c r="E36" s="157">
        <f>Trans_Inputs!$H$19</f>
        <v>83.71</v>
      </c>
      <c r="F36" s="157">
        <f>Trans_Inputs!$V$19</f>
        <v>110</v>
      </c>
      <c r="G36" s="167">
        <f t="shared" si="0"/>
        <v>26.290000000000006</v>
      </c>
      <c r="H36" s="155">
        <f t="shared" si="1"/>
        <v>0.314</v>
      </c>
      <c r="I36" s="155"/>
      <c r="J36" s="157">
        <f>Trans_Inputs!$I$19</f>
        <v>0</v>
      </c>
      <c r="K36" s="157">
        <f>Trans_Inputs!$W$19</f>
        <v>0</v>
      </c>
      <c r="L36" s="157">
        <f t="shared" si="2"/>
        <v>0</v>
      </c>
      <c r="M36" s="155">
        <f t="shared" si="3"/>
        <v>0</v>
      </c>
      <c r="N36" s="164"/>
      <c r="O36" s="157">
        <f>ROUND((Trans_Inputs!$C$19*Trans_Inputs!$AD$19),2)+ROUND((Trans_Inputs!$D$19*Trans_Inputs!$AE$19),2)+ROUND((Trans_Inputs!$E$19*Trans_Inputs!$AF$19),2)+ROUND((Trans_Inputs!$F$19*(D36-Trans_Inputs!$AD$19-Trans_Inputs!$AE$19-Trans_Inputs!$AF$19)),2)+ROUND((D36*Trans_Inputs!$N$19),2)+ROUND((D36*Trans_Inputs!$O$19),2)+ROUND((D36*Trans_Inputs!$J$19),2)+ROUND((D36*Trans_Inputs!$K$19),2)</f>
        <v>3306.31</v>
      </c>
      <c r="P36" s="157">
        <f>ROUND((Trans_Inputs!$Q$19*Trans_Inputs!$AK$19),2)+ROUND((Trans_Inputs!$R$19*Trans_Inputs!$AL$19),2)+ROUND((Trans_Inputs!$S$19*Trans_Inputs!$AM$19),2)+ROUND((Trans_Inputs!$T$19*(D36-Trans_Inputs!$AK$19-Trans_Inputs!$AL$19-Trans_Inputs!$AM$19)),2)+ROUND((D36*Trans_Inputs!$AA$19),2)+ROUND((D36*Trans_Inputs!$AB$19),2)+ROUND((Trans_Inputs!$X$19*D36),2)</f>
        <v>2838.7200000000003</v>
      </c>
      <c r="Q36" s="157">
        <f t="shared" si="4"/>
        <v>-467.58999999999969</v>
      </c>
      <c r="R36" s="155">
        <f t="shared" si="5"/>
        <v>-0.14099999999999999</v>
      </c>
      <c r="S36" s="157">
        <f t="shared" si="6"/>
        <v>3390.02</v>
      </c>
      <c r="T36" s="157">
        <f t="shared" si="7"/>
        <v>2948.7200000000003</v>
      </c>
      <c r="U36" s="155">
        <f t="shared" si="8"/>
        <v>-0.13</v>
      </c>
      <c r="V36" s="164"/>
    </row>
    <row r="37" spans="1:22" ht="14.5" x14ac:dyDescent="0.35">
      <c r="A37" s="152">
        <v>17</v>
      </c>
      <c r="B37" s="117"/>
      <c r="C37" s="117"/>
      <c r="D37" s="168">
        <f>D41</f>
        <v>2120</v>
      </c>
      <c r="E37" s="157">
        <f>Trans_Inputs!$H$19</f>
        <v>83.71</v>
      </c>
      <c r="F37" s="157">
        <f>Trans_Inputs!$V$19</f>
        <v>110</v>
      </c>
      <c r="G37" s="167">
        <f t="shared" si="0"/>
        <v>26.290000000000006</v>
      </c>
      <c r="H37" s="155">
        <f t="shared" si="1"/>
        <v>0.314</v>
      </c>
      <c r="I37" s="155"/>
      <c r="J37" s="157">
        <f>Trans_Inputs!$I$19</f>
        <v>0</v>
      </c>
      <c r="K37" s="157">
        <f>Trans_Inputs!$W$19</f>
        <v>0</v>
      </c>
      <c r="L37" s="157">
        <f t="shared" si="2"/>
        <v>0</v>
      </c>
      <c r="M37" s="155">
        <f t="shared" si="3"/>
        <v>0</v>
      </c>
      <c r="N37" s="164"/>
      <c r="O37" s="157">
        <f>ROUND((Trans_Inputs!$C$19*Trans_Inputs!$AD$19),2)+ROUND((Trans_Inputs!$D$19*Trans_Inputs!$AE$19),2)+ROUND((Trans_Inputs!$E$19*Trans_Inputs!$AF$19),2)+ROUND((Trans_Inputs!$F$19*(D37-Trans_Inputs!$AD$19-Trans_Inputs!$AE$19-Trans_Inputs!$AF$19)),2)+ROUND((D37*Trans_Inputs!$N$19),2)+ROUND((D37*Trans_Inputs!$O$19),2)+ROUND((D37*Trans_Inputs!$J$19),2)+ROUND((D37*Trans_Inputs!$K$19),2)</f>
        <v>5609.4400000000005</v>
      </c>
      <c r="P37" s="157">
        <f>ROUND((Trans_Inputs!$Q$19*Trans_Inputs!$AK$19),2)+ROUND((Trans_Inputs!$R$19*Trans_Inputs!$AL$19),2)+ROUND((Trans_Inputs!$S$19*Trans_Inputs!$AM$19),2)+ROUND((Trans_Inputs!$T$19*(D37-Trans_Inputs!$AK$19-Trans_Inputs!$AL$19-Trans_Inputs!$AM$19)),2)+ROUND((D37*Trans_Inputs!$AA$19),2)+ROUND((D37*Trans_Inputs!$AB$19),2)+ROUND((Trans_Inputs!$X$19*D37),2)</f>
        <v>4789.95</v>
      </c>
      <c r="Q37" s="157">
        <f t="shared" si="4"/>
        <v>-819.49000000000069</v>
      </c>
      <c r="R37" s="155">
        <f t="shared" si="5"/>
        <v>-0.14599999999999999</v>
      </c>
      <c r="S37" s="157">
        <f t="shared" si="6"/>
        <v>5693.1500000000005</v>
      </c>
      <c r="T37" s="157">
        <f t="shared" si="7"/>
        <v>4899.95</v>
      </c>
      <c r="U37" s="155">
        <f t="shared" si="8"/>
        <v>-0.13900000000000001</v>
      </c>
      <c r="V37" s="164"/>
    </row>
    <row r="38" spans="1:22" ht="14.5" x14ac:dyDescent="0.35">
      <c r="A38" s="152">
        <v>18</v>
      </c>
      <c r="B38" s="117"/>
      <c r="C38" s="117"/>
      <c r="D38" s="168">
        <f>D40</f>
        <v>2352</v>
      </c>
      <c r="E38" s="157">
        <f>Trans_Inputs!$H$19</f>
        <v>83.71</v>
      </c>
      <c r="F38" s="157">
        <f>Trans_Inputs!$V$19</f>
        <v>110</v>
      </c>
      <c r="G38" s="167">
        <f t="shared" si="0"/>
        <v>26.290000000000006</v>
      </c>
      <c r="H38" s="155">
        <f t="shared" si="1"/>
        <v>0.314</v>
      </c>
      <c r="I38" s="155"/>
      <c r="J38" s="157">
        <f>Trans_Inputs!$I$19</f>
        <v>0</v>
      </c>
      <c r="K38" s="157">
        <f>Trans_Inputs!$W$19</f>
        <v>0</v>
      </c>
      <c r="L38" s="157">
        <f t="shared" si="2"/>
        <v>0</v>
      </c>
      <c r="M38" s="155">
        <f t="shared" si="3"/>
        <v>0</v>
      </c>
      <c r="N38" s="164"/>
      <c r="O38" s="157">
        <f>ROUND((Trans_Inputs!$C$19*Trans_Inputs!$AD$19),2)+ROUND((Trans_Inputs!$D$19*Trans_Inputs!$AE$19),2)+ROUND((Trans_Inputs!$E$19*Trans_Inputs!$AF$19),2)+ROUND((Trans_Inputs!$F$19*(D38-Trans_Inputs!$AD$19-Trans_Inputs!$AE$19-Trans_Inputs!$AF$19)),2)+ROUND((D38*Trans_Inputs!$N$19),2)+ROUND((D38*Trans_Inputs!$O$19),2)+ROUND((D38*Trans_Inputs!$J$19),2)+ROUND((D38*Trans_Inputs!$K$19),2)</f>
        <v>6190.2199999999993</v>
      </c>
      <c r="P38" s="157">
        <f>ROUND((Trans_Inputs!$Q$19*Trans_Inputs!$AK$19),2)+ROUND((Trans_Inputs!$R$19*Trans_Inputs!$AL$19),2)+ROUND((Trans_Inputs!$S$19*Trans_Inputs!$AM$19),2)+ROUND((Trans_Inputs!$T$19*(D38-Trans_Inputs!$AK$19-Trans_Inputs!$AL$19-Trans_Inputs!$AM$19)),2)+ROUND((D38*Trans_Inputs!$AA$19),2)+ROUND((D38*Trans_Inputs!$AB$19),2)+ROUND((Trans_Inputs!$X$19*D38),2)</f>
        <v>5281.99</v>
      </c>
      <c r="Q38" s="157">
        <f t="shared" si="4"/>
        <v>-908.22999999999956</v>
      </c>
      <c r="R38" s="155">
        <f t="shared" si="5"/>
        <v>-0.14699999999999999</v>
      </c>
      <c r="S38" s="157">
        <f t="shared" si="6"/>
        <v>6273.9299999999994</v>
      </c>
      <c r="T38" s="157">
        <f t="shared" si="7"/>
        <v>5391.99</v>
      </c>
      <c r="U38" s="155">
        <f t="shared" si="8"/>
        <v>-0.14099999999999999</v>
      </c>
      <c r="V38" s="164"/>
    </row>
    <row r="39" spans="1:22" ht="14.5" x14ac:dyDescent="0.35">
      <c r="A39" s="152"/>
      <c r="B39" s="117"/>
      <c r="C39" s="11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</row>
    <row r="40" spans="1:22" ht="14.5" x14ac:dyDescent="0.35">
      <c r="A40" s="152"/>
      <c r="B40" s="117" t="s">
        <v>142</v>
      </c>
      <c r="C40" s="117"/>
      <c r="D40" s="154">
        <f>ROUND(Trans_Inputs!AT19,0)</f>
        <v>2352</v>
      </c>
      <c r="E40" s="166" t="s">
        <v>194</v>
      </c>
      <c r="F40" s="117"/>
      <c r="G40" s="152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52"/>
      <c r="T40" s="152"/>
      <c r="U40" s="152"/>
      <c r="V40" s="117"/>
    </row>
    <row r="41" spans="1:22" ht="14.5" x14ac:dyDescent="0.35">
      <c r="A41" s="152"/>
      <c r="B41" s="117" t="s">
        <v>142</v>
      </c>
      <c r="C41" s="117"/>
      <c r="D41" s="154">
        <f>ROUND(Trans_Inputs!AT20,)</f>
        <v>2120</v>
      </c>
      <c r="E41" s="166" t="s">
        <v>193</v>
      </c>
      <c r="F41" s="117"/>
      <c r="G41" s="152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52"/>
      <c r="T41" s="152"/>
      <c r="U41" s="152"/>
      <c r="V41" s="117"/>
    </row>
    <row r="42" spans="1:22" ht="14.5" x14ac:dyDescent="0.35">
      <c r="A42" s="152"/>
      <c r="B42" s="117"/>
      <c r="C42" s="117"/>
      <c r="D42" s="117"/>
      <c r="E42" s="117"/>
      <c r="F42" s="117"/>
      <c r="G42" s="152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52"/>
      <c r="T42" s="152"/>
      <c r="U42" s="152"/>
      <c r="V42" s="117"/>
    </row>
    <row r="43" spans="1:22" ht="14.5" x14ac:dyDescent="0.35">
      <c r="A43" s="152"/>
      <c r="B43" s="117" t="str">
        <f>DS!B46</f>
        <v>Note:  Customers electing Standby Service pay an additional $9.9772/Mcf per contracted volumes per month.  Standby rate is as of March 1, 2024.</v>
      </c>
      <c r="C43" s="117"/>
      <c r="D43" s="117"/>
      <c r="E43" s="117"/>
      <c r="F43" s="117"/>
      <c r="G43" s="152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52"/>
      <c r="T43" s="152"/>
      <c r="U43" s="152"/>
      <c r="V43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" top="0.75" bottom="0.75" header="0.5" footer="0.5"/>
  <pageSetup scale="78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B146-CE62-46F0-9AF5-D2A2E7318163}">
  <sheetPr codeName="Sheet11">
    <tabColor theme="5" tint="0.79998168889431442"/>
    <pageSetUpPr fitToPage="1"/>
  </sheetPr>
  <dimension ref="A1:V39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8.453125" customWidth="1"/>
    <col min="3" max="4" width="9.1796875" bestFit="1" customWidth="1"/>
    <col min="5" max="6" width="8.4531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8" width="9.453125" bestFit="1" customWidth="1"/>
    <col min="19" max="20" width="10.1796875" bestFit="1" customWidth="1"/>
    <col min="21" max="21" width="9.453125" customWidth="1"/>
    <col min="23" max="30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214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97</v>
      </c>
      <c r="C21" s="152" t="s">
        <v>147</v>
      </c>
      <c r="D21" s="168">
        <v>50</v>
      </c>
      <c r="E21" s="157">
        <f>Trans_Inputs!$H$21</f>
        <v>260.11</v>
      </c>
      <c r="F21" s="157">
        <f>Trans_Inputs!$V$21</f>
        <v>300</v>
      </c>
      <c r="G21" s="157">
        <f t="shared" ref="G21:G37" si="0">F21-E21</f>
        <v>39.889999999999986</v>
      </c>
      <c r="H21" s="155">
        <f t="shared" ref="H21:H37" si="1">ROUND(G21/E21,3)</f>
        <v>0.153</v>
      </c>
      <c r="I21" s="155"/>
      <c r="J21" s="157">
        <f>Trans_Inputs!$I$21</f>
        <v>0</v>
      </c>
      <c r="K21" s="157">
        <f>Trans_Inputs!$W$21</f>
        <v>0</v>
      </c>
      <c r="L21" s="157">
        <f t="shared" ref="L21:L37" si="2">K21-J21</f>
        <v>0</v>
      </c>
      <c r="M21" s="155">
        <f t="shared" ref="M21:M37" si="3">IF(J21=0,0,ROUND(L21/J21,3))</f>
        <v>0</v>
      </c>
      <c r="N21" s="158"/>
      <c r="O21" s="157">
        <f>ROUND((D21*Trans_Inputs!$C$21),2)+ROUND((D21*Trans_Inputs!$N$21),2)+ROUND((D21*Trans_Inputs!$O$21),2)</f>
        <v>4.96</v>
      </c>
      <c r="P21" s="157">
        <f>ROUND((D21*Trans_Inputs!$Q$21),2)+ROUND((D21*Trans_Inputs!$AA$21),2)+ROUND((D21*Trans_Inputs!$AB$21),2)</f>
        <v>5.08</v>
      </c>
      <c r="Q21" s="157">
        <f t="shared" ref="Q21:Q37" si="4">P21-O21</f>
        <v>0.12000000000000011</v>
      </c>
      <c r="R21" s="155">
        <f t="shared" ref="R21:R37" si="5">ROUND(Q21/O21,3)</f>
        <v>2.4E-2</v>
      </c>
      <c r="S21" s="157">
        <f t="shared" ref="S21:S37" si="6">E21+J21+O21</f>
        <v>265.07</v>
      </c>
      <c r="T21" s="157">
        <f t="shared" ref="T21:T37" si="7">F21+K21+P21</f>
        <v>305.08</v>
      </c>
      <c r="U21" s="155">
        <f t="shared" ref="U21:U37" si="8">ROUND((T21-S21)/S21,3)</f>
        <v>0.151</v>
      </c>
      <c r="V21" s="117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100</v>
      </c>
      <c r="E22" s="157">
        <f>Trans_Inputs!$H$21</f>
        <v>260.11</v>
      </c>
      <c r="F22" s="157">
        <f>Trans_Inputs!$V$21</f>
        <v>300</v>
      </c>
      <c r="G22" s="157">
        <f t="shared" si="0"/>
        <v>39.889999999999986</v>
      </c>
      <c r="H22" s="155">
        <f t="shared" si="1"/>
        <v>0.153</v>
      </c>
      <c r="I22" s="155"/>
      <c r="J22" s="157">
        <f>Trans_Inputs!$I$21</f>
        <v>0</v>
      </c>
      <c r="K22" s="157">
        <f>Trans_Inputs!$W$21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ROUND((D22*Trans_Inputs!$C$21),2)+ROUND((D22*Trans_Inputs!$N$21),2)+ROUND((D22*Trans_Inputs!$O$21),2)</f>
        <v>9.91</v>
      </c>
      <c r="P22" s="157">
        <f>ROUND((D22*Trans_Inputs!$Q$21),2)+ROUND((D22*Trans_Inputs!$AA$21),2)+ROUND((D22*Trans_Inputs!$AB$21),2)</f>
        <v>10.16</v>
      </c>
      <c r="Q22" s="157">
        <f t="shared" si="4"/>
        <v>0.25</v>
      </c>
      <c r="R22" s="155">
        <f t="shared" si="5"/>
        <v>2.5000000000000001E-2</v>
      </c>
      <c r="S22" s="157">
        <f t="shared" si="6"/>
        <v>270.02000000000004</v>
      </c>
      <c r="T22" s="157">
        <f t="shared" si="7"/>
        <v>310.16000000000003</v>
      </c>
      <c r="U22" s="155">
        <f t="shared" si="8"/>
        <v>0.14899999999999999</v>
      </c>
      <c r="V22" s="117"/>
    </row>
    <row r="23" spans="1:22" ht="14.4" customHeight="1" x14ac:dyDescent="0.35">
      <c r="A23" s="152">
        <v>3</v>
      </c>
      <c r="B23" s="152" t="s">
        <v>213</v>
      </c>
      <c r="C23" s="117"/>
      <c r="D23" s="168">
        <v>300</v>
      </c>
      <c r="E23" s="157">
        <f>Trans_Inputs!$H$21</f>
        <v>260.11</v>
      </c>
      <c r="F23" s="157">
        <f>Trans_Inputs!$V$21</f>
        <v>300</v>
      </c>
      <c r="G23" s="157">
        <f t="shared" si="0"/>
        <v>39.889999999999986</v>
      </c>
      <c r="H23" s="155">
        <f t="shared" si="1"/>
        <v>0.153</v>
      </c>
      <c r="I23" s="155"/>
      <c r="J23" s="157">
        <f>Trans_Inputs!$I$21</f>
        <v>0</v>
      </c>
      <c r="K23" s="157">
        <f>Trans_Inputs!$W$21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ROUND((D23*Trans_Inputs!$C$21),2)+ROUND((D23*Trans_Inputs!$N$21),2)+ROUND((D23*Trans_Inputs!$O$21),2)</f>
        <v>29.73</v>
      </c>
      <c r="P23" s="157">
        <f>ROUND((D23*Trans_Inputs!$Q$21),2)+ROUND((D23*Trans_Inputs!$AA$21),2)+ROUND((D23*Trans_Inputs!$AB$21),2)</f>
        <v>30.48</v>
      </c>
      <c r="Q23" s="157">
        <f t="shared" si="4"/>
        <v>0.75</v>
      </c>
      <c r="R23" s="155">
        <f t="shared" si="5"/>
        <v>2.5000000000000001E-2</v>
      </c>
      <c r="S23" s="157">
        <f t="shared" si="6"/>
        <v>289.84000000000003</v>
      </c>
      <c r="T23" s="157">
        <f t="shared" si="7"/>
        <v>330.48</v>
      </c>
      <c r="U23" s="155">
        <f t="shared" si="8"/>
        <v>0.14000000000000001</v>
      </c>
      <c r="V23" s="117"/>
    </row>
    <row r="24" spans="1:22" ht="14.4" customHeight="1" x14ac:dyDescent="0.35">
      <c r="A24" s="152">
        <v>4</v>
      </c>
      <c r="B24" s="152" t="s">
        <v>18</v>
      </c>
      <c r="C24" s="117"/>
      <c r="D24" s="168">
        <v>500</v>
      </c>
      <c r="E24" s="157">
        <f>Trans_Inputs!$H$21</f>
        <v>260.11</v>
      </c>
      <c r="F24" s="157">
        <f>Trans_Inputs!$V$21</f>
        <v>300</v>
      </c>
      <c r="G24" s="157">
        <f t="shared" si="0"/>
        <v>39.889999999999986</v>
      </c>
      <c r="H24" s="155">
        <f t="shared" si="1"/>
        <v>0.153</v>
      </c>
      <c r="I24" s="155"/>
      <c r="J24" s="157">
        <f>Trans_Inputs!$I$21</f>
        <v>0</v>
      </c>
      <c r="K24" s="157">
        <f>Trans_Inputs!$W$21</f>
        <v>0</v>
      </c>
      <c r="L24" s="157">
        <f t="shared" si="2"/>
        <v>0</v>
      </c>
      <c r="M24" s="155">
        <f t="shared" si="3"/>
        <v>0</v>
      </c>
      <c r="N24" s="158"/>
      <c r="O24" s="157">
        <f>ROUND((D24*Trans_Inputs!$C$21),2)+ROUND((D24*Trans_Inputs!$N$21),2)+ROUND((D24*Trans_Inputs!$O$21),2)</f>
        <v>49.550000000000004</v>
      </c>
      <c r="P24" s="157">
        <f>ROUND((D24*Trans_Inputs!$Q$21),2)+ROUND((D24*Trans_Inputs!$AA$21),2)+ROUND((D24*Trans_Inputs!$AB$21),2)</f>
        <v>50.800000000000004</v>
      </c>
      <c r="Q24" s="157">
        <f t="shared" si="4"/>
        <v>1.25</v>
      </c>
      <c r="R24" s="155">
        <f t="shared" si="5"/>
        <v>2.5000000000000001E-2</v>
      </c>
      <c r="S24" s="157">
        <f t="shared" si="6"/>
        <v>309.66000000000003</v>
      </c>
      <c r="T24" s="157">
        <f t="shared" si="7"/>
        <v>350.8</v>
      </c>
      <c r="U24" s="155">
        <f t="shared" si="8"/>
        <v>0.13300000000000001</v>
      </c>
      <c r="V24" s="117"/>
    </row>
    <row r="25" spans="1:22" ht="14.4" customHeight="1" x14ac:dyDescent="0.35">
      <c r="A25" s="152">
        <v>5</v>
      </c>
      <c r="B25" s="152" t="s">
        <v>200</v>
      </c>
      <c r="C25" s="117"/>
      <c r="D25" s="168">
        <v>700</v>
      </c>
      <c r="E25" s="157">
        <f>Trans_Inputs!$H$21</f>
        <v>260.11</v>
      </c>
      <c r="F25" s="157">
        <f>Trans_Inputs!$V$21</f>
        <v>300</v>
      </c>
      <c r="G25" s="157">
        <f t="shared" si="0"/>
        <v>39.889999999999986</v>
      </c>
      <c r="H25" s="155">
        <f t="shared" si="1"/>
        <v>0.153</v>
      </c>
      <c r="I25" s="155"/>
      <c r="J25" s="157">
        <f>Trans_Inputs!$I$21</f>
        <v>0</v>
      </c>
      <c r="K25" s="157">
        <f>Trans_Inputs!$W$21</f>
        <v>0</v>
      </c>
      <c r="L25" s="157">
        <f t="shared" si="2"/>
        <v>0</v>
      </c>
      <c r="M25" s="155">
        <f t="shared" si="3"/>
        <v>0</v>
      </c>
      <c r="N25" s="158"/>
      <c r="O25" s="157">
        <f>ROUND((D25*Trans_Inputs!$C$21),2)+ROUND((D25*Trans_Inputs!$N$21),2)+ROUND((D25*Trans_Inputs!$O$21),2)</f>
        <v>69.37</v>
      </c>
      <c r="P25" s="157">
        <f>ROUND((D25*Trans_Inputs!$Q$21),2)+ROUND((D25*Trans_Inputs!$AA$21),2)+ROUND((D25*Trans_Inputs!$AB$21),2)</f>
        <v>71.12</v>
      </c>
      <c r="Q25" s="157">
        <f t="shared" si="4"/>
        <v>1.75</v>
      </c>
      <c r="R25" s="155">
        <f t="shared" si="5"/>
        <v>2.5000000000000001E-2</v>
      </c>
      <c r="S25" s="157">
        <f t="shared" si="6"/>
        <v>329.48</v>
      </c>
      <c r="T25" s="157">
        <f t="shared" si="7"/>
        <v>371.12</v>
      </c>
      <c r="U25" s="155">
        <f t="shared" si="8"/>
        <v>0.126</v>
      </c>
      <c r="V25" s="117"/>
    </row>
    <row r="26" spans="1:22" ht="14.4" customHeight="1" x14ac:dyDescent="0.35">
      <c r="A26" s="152">
        <v>6</v>
      </c>
      <c r="B26" s="152" t="s">
        <v>195</v>
      </c>
      <c r="C26" s="117"/>
      <c r="D26" s="168">
        <v>1000</v>
      </c>
      <c r="E26" s="157">
        <f>Trans_Inputs!$H$21</f>
        <v>260.11</v>
      </c>
      <c r="F26" s="157">
        <f>Trans_Inputs!$V$21</f>
        <v>300</v>
      </c>
      <c r="G26" s="157">
        <f t="shared" si="0"/>
        <v>39.889999999999986</v>
      </c>
      <c r="H26" s="155">
        <f t="shared" si="1"/>
        <v>0.153</v>
      </c>
      <c r="I26" s="155"/>
      <c r="J26" s="157">
        <f>Trans_Inputs!$I$21</f>
        <v>0</v>
      </c>
      <c r="K26" s="157">
        <f>Trans_Inputs!$W$21</f>
        <v>0</v>
      </c>
      <c r="L26" s="157">
        <f t="shared" si="2"/>
        <v>0</v>
      </c>
      <c r="M26" s="155">
        <f t="shared" si="3"/>
        <v>0</v>
      </c>
      <c r="N26" s="158"/>
      <c r="O26" s="157">
        <f>ROUND((D26*Trans_Inputs!$C$21),2)+ROUND((D26*Trans_Inputs!$N$21),2)+ROUND((D26*Trans_Inputs!$O$21),2)</f>
        <v>99.100000000000009</v>
      </c>
      <c r="P26" s="157">
        <f>ROUND((D26*Trans_Inputs!$Q$21),2)+ROUND((D26*Trans_Inputs!$AA$21),2)+ROUND((D26*Trans_Inputs!$AB$21),2)</f>
        <v>101.60000000000001</v>
      </c>
      <c r="Q26" s="157">
        <f t="shared" si="4"/>
        <v>2.5</v>
      </c>
      <c r="R26" s="155">
        <f t="shared" si="5"/>
        <v>2.5000000000000001E-2</v>
      </c>
      <c r="S26" s="157">
        <f t="shared" si="6"/>
        <v>359.21000000000004</v>
      </c>
      <c r="T26" s="157">
        <f t="shared" si="7"/>
        <v>401.6</v>
      </c>
      <c r="U26" s="155">
        <f t="shared" si="8"/>
        <v>0.11799999999999999</v>
      </c>
      <c r="V26" s="117"/>
    </row>
    <row r="27" spans="1:22" ht="14.4" customHeight="1" x14ac:dyDescent="0.35">
      <c r="A27" s="152">
        <v>7</v>
      </c>
      <c r="B27" s="117"/>
      <c r="C27" s="117"/>
      <c r="D27" s="168">
        <v>1500</v>
      </c>
      <c r="E27" s="157">
        <f>Trans_Inputs!$H$21</f>
        <v>260.11</v>
      </c>
      <c r="F27" s="157">
        <f>Trans_Inputs!$V$21</f>
        <v>300</v>
      </c>
      <c r="G27" s="157">
        <f t="shared" si="0"/>
        <v>39.889999999999986</v>
      </c>
      <c r="H27" s="155">
        <f t="shared" si="1"/>
        <v>0.153</v>
      </c>
      <c r="I27" s="155"/>
      <c r="J27" s="157">
        <f>Trans_Inputs!$I$21</f>
        <v>0</v>
      </c>
      <c r="K27" s="157">
        <f>Trans_Inputs!$W$21</f>
        <v>0</v>
      </c>
      <c r="L27" s="157">
        <f t="shared" si="2"/>
        <v>0</v>
      </c>
      <c r="M27" s="155">
        <f t="shared" si="3"/>
        <v>0</v>
      </c>
      <c r="N27" s="158"/>
      <c r="O27" s="157">
        <f>ROUND((D27*Trans_Inputs!$C$21),2)+ROUND((D27*Trans_Inputs!$N$21),2)+ROUND((D27*Trans_Inputs!$O$21),2)</f>
        <v>148.65</v>
      </c>
      <c r="P27" s="157">
        <f>ROUND((D27*Trans_Inputs!$Q$21),2)+ROUND((D27*Trans_Inputs!$AA$21),2)+ROUND((D27*Trans_Inputs!$AB$21),2)</f>
        <v>152.4</v>
      </c>
      <c r="Q27" s="157">
        <f t="shared" si="4"/>
        <v>3.75</v>
      </c>
      <c r="R27" s="155">
        <f t="shared" si="5"/>
        <v>2.5000000000000001E-2</v>
      </c>
      <c r="S27" s="157">
        <f t="shared" si="6"/>
        <v>408.76</v>
      </c>
      <c r="T27" s="157">
        <f t="shared" si="7"/>
        <v>452.4</v>
      </c>
      <c r="U27" s="155">
        <f t="shared" si="8"/>
        <v>0.107</v>
      </c>
      <c r="V27" s="117"/>
    </row>
    <row r="28" spans="1:22" ht="14.4" customHeight="1" x14ac:dyDescent="0.35">
      <c r="A28" s="152">
        <v>8</v>
      </c>
      <c r="B28" s="152"/>
      <c r="C28" s="117"/>
      <c r="D28" s="168">
        <v>3000</v>
      </c>
      <c r="E28" s="157">
        <f>Trans_Inputs!$H$21</f>
        <v>260.11</v>
      </c>
      <c r="F28" s="157">
        <f>Trans_Inputs!$V$21</f>
        <v>300</v>
      </c>
      <c r="G28" s="157">
        <f t="shared" si="0"/>
        <v>39.889999999999986</v>
      </c>
      <c r="H28" s="155">
        <f t="shared" si="1"/>
        <v>0.153</v>
      </c>
      <c r="I28" s="155"/>
      <c r="J28" s="157">
        <f>Trans_Inputs!$I$21</f>
        <v>0</v>
      </c>
      <c r="K28" s="157">
        <f>Trans_Inputs!$W$21</f>
        <v>0</v>
      </c>
      <c r="L28" s="157">
        <f t="shared" si="2"/>
        <v>0</v>
      </c>
      <c r="M28" s="155">
        <f t="shared" si="3"/>
        <v>0</v>
      </c>
      <c r="N28" s="158"/>
      <c r="O28" s="157">
        <f>ROUND((D28*Trans_Inputs!$C$21),2)+ROUND((D28*Trans_Inputs!$N$21),2)+ROUND((D28*Trans_Inputs!$O$21),2)</f>
        <v>297.3</v>
      </c>
      <c r="P28" s="157">
        <f>ROUND((D28*Trans_Inputs!$Q$21),2)+ROUND((D28*Trans_Inputs!$AA$21),2)+ROUND((D28*Trans_Inputs!$AB$21),2)</f>
        <v>304.8</v>
      </c>
      <c r="Q28" s="157">
        <f t="shared" si="4"/>
        <v>7.5</v>
      </c>
      <c r="R28" s="155">
        <f t="shared" si="5"/>
        <v>2.5000000000000001E-2</v>
      </c>
      <c r="S28" s="157">
        <f t="shared" si="6"/>
        <v>557.41000000000008</v>
      </c>
      <c r="T28" s="157">
        <f t="shared" si="7"/>
        <v>604.79999999999995</v>
      </c>
      <c r="U28" s="155">
        <f t="shared" si="8"/>
        <v>8.5000000000000006E-2</v>
      </c>
      <c r="V28" s="117"/>
    </row>
    <row r="29" spans="1:22" ht="14.4" customHeight="1" x14ac:dyDescent="0.35">
      <c r="A29" s="152">
        <v>9</v>
      </c>
      <c r="B29" s="152"/>
      <c r="C29" s="117"/>
      <c r="D29" s="168">
        <v>4000</v>
      </c>
      <c r="E29" s="157">
        <f>Trans_Inputs!$H$21</f>
        <v>260.11</v>
      </c>
      <c r="F29" s="157">
        <f>Trans_Inputs!$V$21</f>
        <v>300</v>
      </c>
      <c r="G29" s="157">
        <f t="shared" si="0"/>
        <v>39.889999999999986</v>
      </c>
      <c r="H29" s="155">
        <f t="shared" si="1"/>
        <v>0.153</v>
      </c>
      <c r="I29" s="155"/>
      <c r="J29" s="157">
        <f>Trans_Inputs!$I$21</f>
        <v>0</v>
      </c>
      <c r="K29" s="157">
        <f>Trans_Inputs!$W$21</f>
        <v>0</v>
      </c>
      <c r="L29" s="157">
        <f t="shared" si="2"/>
        <v>0</v>
      </c>
      <c r="M29" s="155">
        <f t="shared" si="3"/>
        <v>0</v>
      </c>
      <c r="N29" s="158"/>
      <c r="O29" s="157">
        <f>ROUND((D29*Trans_Inputs!$C$21),2)+ROUND((D29*Trans_Inputs!$N$21),2)+ROUND((D29*Trans_Inputs!$O$21),2)</f>
        <v>396.40000000000003</v>
      </c>
      <c r="P29" s="157">
        <f>ROUND((D29*Trans_Inputs!$Q$21),2)+ROUND((D29*Trans_Inputs!$AA$21),2)+ROUND((D29*Trans_Inputs!$AB$21),2)</f>
        <v>406.40000000000003</v>
      </c>
      <c r="Q29" s="157">
        <f t="shared" si="4"/>
        <v>10</v>
      </c>
      <c r="R29" s="155">
        <f t="shared" si="5"/>
        <v>2.5000000000000001E-2</v>
      </c>
      <c r="S29" s="157">
        <f t="shared" si="6"/>
        <v>656.51</v>
      </c>
      <c r="T29" s="157">
        <f t="shared" si="7"/>
        <v>706.40000000000009</v>
      </c>
      <c r="U29" s="155">
        <f t="shared" si="8"/>
        <v>7.5999999999999998E-2</v>
      </c>
      <c r="V29" s="117"/>
    </row>
    <row r="30" spans="1:22" ht="14.4" customHeight="1" x14ac:dyDescent="0.35">
      <c r="A30" s="152">
        <v>10</v>
      </c>
      <c r="B30" s="117"/>
      <c r="C30" s="117"/>
      <c r="D30" s="168">
        <v>5000</v>
      </c>
      <c r="E30" s="157">
        <f>Trans_Inputs!$H$21</f>
        <v>260.11</v>
      </c>
      <c r="F30" s="157">
        <f>Trans_Inputs!$V$21</f>
        <v>300</v>
      </c>
      <c r="G30" s="157">
        <f t="shared" si="0"/>
        <v>39.889999999999986</v>
      </c>
      <c r="H30" s="155">
        <f t="shared" si="1"/>
        <v>0.153</v>
      </c>
      <c r="I30" s="155"/>
      <c r="J30" s="157">
        <f>Trans_Inputs!$I$21</f>
        <v>0</v>
      </c>
      <c r="K30" s="157">
        <f>Trans_Inputs!$W$21</f>
        <v>0</v>
      </c>
      <c r="L30" s="157">
        <f t="shared" si="2"/>
        <v>0</v>
      </c>
      <c r="M30" s="155">
        <f t="shared" si="3"/>
        <v>0</v>
      </c>
      <c r="N30" s="158"/>
      <c r="O30" s="157">
        <f>ROUND((D30*Trans_Inputs!$C$21),2)+ROUND((D30*Trans_Inputs!$N$21),2)+ROUND((D30*Trans_Inputs!$O$21),2)</f>
        <v>495.5</v>
      </c>
      <c r="P30" s="157">
        <f>ROUND((D30*Trans_Inputs!$Q$21),2)+ROUND((D30*Trans_Inputs!$AA$21),2)+ROUND((D30*Trans_Inputs!$AB$21),2)</f>
        <v>508</v>
      </c>
      <c r="Q30" s="157">
        <f t="shared" si="4"/>
        <v>12.5</v>
      </c>
      <c r="R30" s="155">
        <f t="shared" si="5"/>
        <v>2.5000000000000001E-2</v>
      </c>
      <c r="S30" s="157">
        <f t="shared" si="6"/>
        <v>755.61</v>
      </c>
      <c r="T30" s="157">
        <f t="shared" si="7"/>
        <v>808</v>
      </c>
      <c r="U30" s="155">
        <f t="shared" si="8"/>
        <v>6.9000000000000006E-2</v>
      </c>
      <c r="V30" s="117"/>
    </row>
    <row r="31" spans="1:22" ht="14.4" customHeight="1" x14ac:dyDescent="0.35">
      <c r="A31" s="152">
        <v>11</v>
      </c>
      <c r="B31" s="117"/>
      <c r="C31" s="117"/>
      <c r="D31" s="168">
        <v>6000</v>
      </c>
      <c r="E31" s="157">
        <f>Trans_Inputs!$H$21</f>
        <v>260.11</v>
      </c>
      <c r="F31" s="157">
        <f>Trans_Inputs!$V$21</f>
        <v>300</v>
      </c>
      <c r="G31" s="157">
        <f t="shared" si="0"/>
        <v>39.889999999999986</v>
      </c>
      <c r="H31" s="155">
        <f t="shared" si="1"/>
        <v>0.153</v>
      </c>
      <c r="I31" s="155"/>
      <c r="J31" s="157">
        <f>Trans_Inputs!$I$21</f>
        <v>0</v>
      </c>
      <c r="K31" s="157">
        <f>Trans_Inputs!$W$21</f>
        <v>0</v>
      </c>
      <c r="L31" s="157">
        <f t="shared" si="2"/>
        <v>0</v>
      </c>
      <c r="M31" s="155">
        <f t="shared" si="3"/>
        <v>0</v>
      </c>
      <c r="N31" s="158"/>
      <c r="O31" s="157">
        <f>ROUND((D31*Trans_Inputs!$C$21),2)+ROUND((D31*Trans_Inputs!$N$21),2)+ROUND((D31*Trans_Inputs!$O$21),2)</f>
        <v>594.6</v>
      </c>
      <c r="P31" s="157">
        <f>ROUND((D31*Trans_Inputs!$Q$21),2)+ROUND((D31*Trans_Inputs!$AA$21),2)+ROUND((D31*Trans_Inputs!$AB$21),2)</f>
        <v>609.6</v>
      </c>
      <c r="Q31" s="157">
        <f t="shared" si="4"/>
        <v>15</v>
      </c>
      <c r="R31" s="155">
        <f t="shared" si="5"/>
        <v>2.5000000000000001E-2</v>
      </c>
      <c r="S31" s="157">
        <f t="shared" si="6"/>
        <v>854.71</v>
      </c>
      <c r="T31" s="157">
        <f t="shared" si="7"/>
        <v>909.6</v>
      </c>
      <c r="U31" s="155">
        <f t="shared" si="8"/>
        <v>6.4000000000000001E-2</v>
      </c>
      <c r="V31" s="117"/>
    </row>
    <row r="32" spans="1:22" ht="14.4" customHeight="1" x14ac:dyDescent="0.35">
      <c r="A32" s="152">
        <v>12</v>
      </c>
      <c r="B32" s="117"/>
      <c r="C32" s="117"/>
      <c r="D32" s="168">
        <v>7000</v>
      </c>
      <c r="E32" s="157">
        <f>Trans_Inputs!$H$21</f>
        <v>260.11</v>
      </c>
      <c r="F32" s="157">
        <f>Trans_Inputs!$V$21</f>
        <v>300</v>
      </c>
      <c r="G32" s="157">
        <f t="shared" si="0"/>
        <v>39.889999999999986</v>
      </c>
      <c r="H32" s="155">
        <f t="shared" si="1"/>
        <v>0.153</v>
      </c>
      <c r="I32" s="155"/>
      <c r="J32" s="157">
        <f>Trans_Inputs!$I$21</f>
        <v>0</v>
      </c>
      <c r="K32" s="157">
        <f>Trans_Inputs!$W$21</f>
        <v>0</v>
      </c>
      <c r="L32" s="157">
        <f t="shared" si="2"/>
        <v>0</v>
      </c>
      <c r="M32" s="155">
        <f t="shared" si="3"/>
        <v>0</v>
      </c>
      <c r="N32" s="164"/>
      <c r="O32" s="157">
        <f>ROUND((D32*Trans_Inputs!$C$21),2)+ROUND((D32*Trans_Inputs!$N$21),2)+ROUND((D32*Trans_Inputs!$O$21),2)</f>
        <v>693.69999999999993</v>
      </c>
      <c r="P32" s="157">
        <f>ROUND((D32*Trans_Inputs!$Q$21),2)+ROUND((D32*Trans_Inputs!$AA$21),2)+ROUND((D32*Trans_Inputs!$AB$21),2)</f>
        <v>711.19999999999993</v>
      </c>
      <c r="Q32" s="157">
        <f t="shared" si="4"/>
        <v>17.5</v>
      </c>
      <c r="R32" s="155">
        <f t="shared" si="5"/>
        <v>2.5000000000000001E-2</v>
      </c>
      <c r="S32" s="157">
        <f t="shared" si="6"/>
        <v>953.81</v>
      </c>
      <c r="T32" s="157">
        <f t="shared" si="7"/>
        <v>1011.1999999999999</v>
      </c>
      <c r="U32" s="155">
        <f t="shared" si="8"/>
        <v>0.06</v>
      </c>
      <c r="V32" s="117"/>
    </row>
    <row r="33" spans="1:22" ht="14.4" customHeight="1" x14ac:dyDescent="0.35">
      <c r="A33" s="152">
        <v>13</v>
      </c>
      <c r="B33" s="117"/>
      <c r="C33" s="117"/>
      <c r="D33" s="168">
        <v>8000</v>
      </c>
      <c r="E33" s="157">
        <f>Trans_Inputs!$H$21</f>
        <v>260.11</v>
      </c>
      <c r="F33" s="157">
        <f>Trans_Inputs!$V$21</f>
        <v>300</v>
      </c>
      <c r="G33" s="157">
        <f t="shared" si="0"/>
        <v>39.889999999999986</v>
      </c>
      <c r="H33" s="155">
        <f t="shared" si="1"/>
        <v>0.153</v>
      </c>
      <c r="I33" s="155"/>
      <c r="J33" s="157">
        <f>Trans_Inputs!$I$21</f>
        <v>0</v>
      </c>
      <c r="K33" s="157">
        <f>Trans_Inputs!$W$21</f>
        <v>0</v>
      </c>
      <c r="L33" s="157">
        <f t="shared" si="2"/>
        <v>0</v>
      </c>
      <c r="M33" s="155">
        <f t="shared" si="3"/>
        <v>0</v>
      </c>
      <c r="N33" s="164"/>
      <c r="O33" s="157">
        <f>ROUND((D33*Trans_Inputs!$C$21),2)+ROUND((D33*Trans_Inputs!$N$21),2)+ROUND((D33*Trans_Inputs!$O$21),2)</f>
        <v>792.80000000000007</v>
      </c>
      <c r="P33" s="157">
        <f>ROUND((D33*Trans_Inputs!$Q$21),2)+ROUND((D33*Trans_Inputs!$AA$21),2)+ROUND((D33*Trans_Inputs!$AB$21),2)</f>
        <v>812.80000000000007</v>
      </c>
      <c r="Q33" s="157">
        <f t="shared" si="4"/>
        <v>20</v>
      </c>
      <c r="R33" s="155">
        <f t="shared" si="5"/>
        <v>2.5000000000000001E-2</v>
      </c>
      <c r="S33" s="157">
        <f t="shared" si="6"/>
        <v>1052.9100000000001</v>
      </c>
      <c r="T33" s="157">
        <f t="shared" si="7"/>
        <v>1112.8000000000002</v>
      </c>
      <c r="U33" s="155">
        <f t="shared" si="8"/>
        <v>5.7000000000000002E-2</v>
      </c>
      <c r="V33" s="117"/>
    </row>
    <row r="34" spans="1:22" ht="14.4" customHeight="1" x14ac:dyDescent="0.35">
      <c r="A34" s="152">
        <v>14</v>
      </c>
      <c r="B34" s="117"/>
      <c r="C34" s="117"/>
      <c r="D34" s="168">
        <v>9000</v>
      </c>
      <c r="E34" s="157">
        <f>Trans_Inputs!$H$21</f>
        <v>260.11</v>
      </c>
      <c r="F34" s="157">
        <f>Trans_Inputs!$V$21</f>
        <v>300</v>
      </c>
      <c r="G34" s="157">
        <f t="shared" si="0"/>
        <v>39.889999999999986</v>
      </c>
      <c r="H34" s="155">
        <f t="shared" si="1"/>
        <v>0.153</v>
      </c>
      <c r="I34" s="155"/>
      <c r="J34" s="157">
        <f>Trans_Inputs!$I$21</f>
        <v>0</v>
      </c>
      <c r="K34" s="157">
        <f>Trans_Inputs!$W$21</f>
        <v>0</v>
      </c>
      <c r="L34" s="157">
        <f t="shared" si="2"/>
        <v>0</v>
      </c>
      <c r="M34" s="155">
        <f t="shared" si="3"/>
        <v>0</v>
      </c>
      <c r="N34" s="164"/>
      <c r="O34" s="157">
        <f>ROUND((D34*Trans_Inputs!$C$21),2)+ROUND((D34*Trans_Inputs!$N$21),2)+ROUND((D34*Trans_Inputs!$O$21),2)</f>
        <v>891.9</v>
      </c>
      <c r="P34" s="157">
        <f>ROUND((D34*Trans_Inputs!$Q$21),2)+ROUND((D34*Trans_Inputs!$AA$21),2)+ROUND((D34*Trans_Inputs!$AB$21),2)</f>
        <v>914.4</v>
      </c>
      <c r="Q34" s="157">
        <f t="shared" si="4"/>
        <v>22.5</v>
      </c>
      <c r="R34" s="155">
        <f t="shared" si="5"/>
        <v>2.5000000000000001E-2</v>
      </c>
      <c r="S34" s="157">
        <f t="shared" si="6"/>
        <v>1152.01</v>
      </c>
      <c r="T34" s="157">
        <f t="shared" si="7"/>
        <v>1214.4000000000001</v>
      </c>
      <c r="U34" s="155">
        <f t="shared" si="8"/>
        <v>5.3999999999999999E-2</v>
      </c>
      <c r="V34" s="117"/>
    </row>
    <row r="35" spans="1:22" ht="14.5" x14ac:dyDescent="0.35">
      <c r="A35" s="152">
        <v>15</v>
      </c>
      <c r="B35" s="117"/>
      <c r="C35" s="117"/>
      <c r="D35" s="168">
        <v>10000</v>
      </c>
      <c r="E35" s="157">
        <f>Trans_Inputs!$H$21</f>
        <v>260.11</v>
      </c>
      <c r="F35" s="157">
        <f>Trans_Inputs!$V$21</f>
        <v>300</v>
      </c>
      <c r="G35" s="157">
        <f t="shared" si="0"/>
        <v>39.889999999999986</v>
      </c>
      <c r="H35" s="155">
        <f t="shared" si="1"/>
        <v>0.153</v>
      </c>
      <c r="I35" s="155"/>
      <c r="J35" s="157">
        <f>Trans_Inputs!$I$21</f>
        <v>0</v>
      </c>
      <c r="K35" s="157">
        <f>Trans_Inputs!$W$21</f>
        <v>0</v>
      </c>
      <c r="L35" s="157">
        <f t="shared" si="2"/>
        <v>0</v>
      </c>
      <c r="M35" s="155">
        <f t="shared" si="3"/>
        <v>0</v>
      </c>
      <c r="N35" s="164"/>
      <c r="O35" s="157">
        <f>ROUND((D35*Trans_Inputs!$C$21),2)+ROUND((D35*Trans_Inputs!$N$21),2)+ROUND((D35*Trans_Inputs!$O$21),2)</f>
        <v>991</v>
      </c>
      <c r="P35" s="157">
        <f>ROUND((D35*Trans_Inputs!$Q$21),2)+ROUND((D35*Trans_Inputs!$AA$21),2)+ROUND((D35*Trans_Inputs!$AB$21),2)</f>
        <v>1016</v>
      </c>
      <c r="Q35" s="157">
        <f t="shared" si="4"/>
        <v>25</v>
      </c>
      <c r="R35" s="155">
        <f t="shared" si="5"/>
        <v>2.5000000000000001E-2</v>
      </c>
      <c r="S35" s="157">
        <f t="shared" si="6"/>
        <v>1251.1100000000001</v>
      </c>
      <c r="T35" s="157">
        <f t="shared" si="7"/>
        <v>1316</v>
      </c>
      <c r="U35" s="155">
        <f t="shared" si="8"/>
        <v>5.1999999999999998E-2</v>
      </c>
      <c r="V35" s="117"/>
    </row>
    <row r="36" spans="1:22" ht="14.5" x14ac:dyDescent="0.35">
      <c r="A36" s="152">
        <v>16</v>
      </c>
      <c r="B36" s="117"/>
      <c r="C36" s="117"/>
      <c r="D36" s="168">
        <v>11000</v>
      </c>
      <c r="E36" s="157">
        <f>Trans_Inputs!$H$21</f>
        <v>260.11</v>
      </c>
      <c r="F36" s="157">
        <f>Trans_Inputs!$V$21</f>
        <v>300</v>
      </c>
      <c r="G36" s="157">
        <f t="shared" si="0"/>
        <v>39.889999999999986</v>
      </c>
      <c r="H36" s="155">
        <f t="shared" si="1"/>
        <v>0.153</v>
      </c>
      <c r="I36" s="155"/>
      <c r="J36" s="157">
        <f>Trans_Inputs!$I$21</f>
        <v>0</v>
      </c>
      <c r="K36" s="157">
        <f>Trans_Inputs!$W$21</f>
        <v>0</v>
      </c>
      <c r="L36" s="157">
        <f t="shared" si="2"/>
        <v>0</v>
      </c>
      <c r="M36" s="155">
        <f t="shared" si="3"/>
        <v>0</v>
      </c>
      <c r="N36" s="164"/>
      <c r="O36" s="157">
        <f>ROUND((D36*Trans_Inputs!$C$21),2)+ROUND((D36*Trans_Inputs!$N$21),2)+ROUND((D36*Trans_Inputs!$O$21),2)</f>
        <v>1090.1000000000001</v>
      </c>
      <c r="P36" s="157">
        <f>ROUND((D36*Trans_Inputs!$Q$21),2)+ROUND((D36*Trans_Inputs!$AA$21),2)+ROUND((D36*Trans_Inputs!$AB$21),2)</f>
        <v>1117.6000000000001</v>
      </c>
      <c r="Q36" s="157">
        <f t="shared" si="4"/>
        <v>27.5</v>
      </c>
      <c r="R36" s="155">
        <f t="shared" si="5"/>
        <v>2.5000000000000001E-2</v>
      </c>
      <c r="S36" s="157">
        <f t="shared" si="6"/>
        <v>1350.21</v>
      </c>
      <c r="T36" s="157">
        <f t="shared" si="7"/>
        <v>1417.6000000000001</v>
      </c>
      <c r="U36" s="155">
        <f t="shared" si="8"/>
        <v>0.05</v>
      </c>
      <c r="V36" s="117"/>
    </row>
    <row r="37" spans="1:22" ht="14.5" x14ac:dyDescent="0.35">
      <c r="A37" s="152">
        <v>17</v>
      </c>
      <c r="B37" s="117"/>
      <c r="C37" s="117"/>
      <c r="D37" s="168">
        <f>D39</f>
        <v>14511</v>
      </c>
      <c r="E37" s="157">
        <f>Trans_Inputs!$H$21</f>
        <v>260.11</v>
      </c>
      <c r="F37" s="157">
        <f>Trans_Inputs!$V$21</f>
        <v>300</v>
      </c>
      <c r="G37" s="157">
        <f t="shared" si="0"/>
        <v>39.889999999999986</v>
      </c>
      <c r="H37" s="155">
        <f t="shared" si="1"/>
        <v>0.153</v>
      </c>
      <c r="I37" s="155"/>
      <c r="J37" s="157">
        <f>Trans_Inputs!$I$21</f>
        <v>0</v>
      </c>
      <c r="K37" s="157">
        <f>Trans_Inputs!$W$21</f>
        <v>0</v>
      </c>
      <c r="L37" s="157">
        <f t="shared" si="2"/>
        <v>0</v>
      </c>
      <c r="M37" s="155">
        <f t="shared" si="3"/>
        <v>0</v>
      </c>
      <c r="N37" s="164"/>
      <c r="O37" s="157">
        <f>ROUND((D37*Trans_Inputs!$C$21),2)+ROUND((D37*Trans_Inputs!$N$21),2)+ROUND((D37*Trans_Inputs!$O$21),2)</f>
        <v>1438.04</v>
      </c>
      <c r="P37" s="157">
        <f>ROUND((D37*Trans_Inputs!$Q$21),2)+ROUND((D37*Trans_Inputs!$AA$21),2)+ROUND((D37*Trans_Inputs!$AB$21),2)</f>
        <v>1474.3200000000002</v>
      </c>
      <c r="Q37" s="157">
        <f t="shared" si="4"/>
        <v>36.2800000000002</v>
      </c>
      <c r="R37" s="155">
        <f t="shared" si="5"/>
        <v>2.5000000000000001E-2</v>
      </c>
      <c r="S37" s="157">
        <f t="shared" si="6"/>
        <v>1698.15</v>
      </c>
      <c r="T37" s="157">
        <f t="shared" si="7"/>
        <v>1774.3200000000002</v>
      </c>
      <c r="U37" s="155">
        <f t="shared" si="8"/>
        <v>4.4999999999999998E-2</v>
      </c>
      <c r="V37" s="117"/>
    </row>
    <row r="38" spans="1:22" ht="14.5" x14ac:dyDescent="0.35">
      <c r="A38" s="152"/>
      <c r="B38" s="117"/>
      <c r="C38" s="11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17"/>
    </row>
    <row r="39" spans="1:22" ht="14.5" x14ac:dyDescent="0.35">
      <c r="A39" s="152"/>
      <c r="B39" s="117" t="s">
        <v>142</v>
      </c>
      <c r="C39" s="117"/>
      <c r="D39" s="169">
        <f>ROUND(Trans_Inputs!AT21,0)</f>
        <v>14511</v>
      </c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.1" top="0.75" bottom="0.75" header="0.5" footer="0.5"/>
  <pageSetup scale="81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438B-2669-4F16-B934-080E37808287}">
  <sheetPr codeName="Sheet12">
    <tabColor theme="5" tint="0.79998168889431442"/>
    <pageSetUpPr fitToPage="1"/>
  </sheetPr>
  <dimension ref="A1:V38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9.54296875" customWidth="1"/>
    <col min="3" max="4" width="9.1796875" bestFit="1" customWidth="1"/>
    <col min="5" max="5" width="8.81640625" bestFit="1" customWidth="1"/>
    <col min="6" max="6" width="8.4531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7" width="10.54296875" bestFit="1" customWidth="1"/>
    <col min="18" max="18" width="9.453125" bestFit="1" customWidth="1"/>
    <col min="19" max="20" width="10.1796875" bestFit="1" customWidth="1"/>
    <col min="21" max="21" width="9.453125" customWidth="1"/>
    <col min="23" max="30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217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75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95</v>
      </c>
      <c r="C21" s="152" t="s">
        <v>147</v>
      </c>
      <c r="D21" s="168">
        <f>+D37</f>
        <v>0</v>
      </c>
      <c r="E21" s="157">
        <f>Trans_Inputs!$H$22</f>
        <v>0</v>
      </c>
      <c r="F21" s="157">
        <f>Trans_Inputs!$V$22</f>
        <v>0</v>
      </c>
      <c r="G21" s="167">
        <f t="shared" ref="G21:G35" si="0">F21-E21</f>
        <v>0</v>
      </c>
      <c r="H21" s="155">
        <f t="shared" ref="H21:H35" si="1">IF(E21=0,0,ROUND(G21/E21,3))</f>
        <v>0</v>
      </c>
      <c r="I21" s="155"/>
      <c r="J21" s="157">
        <f>Trans_Inputs!$I$22</f>
        <v>0</v>
      </c>
      <c r="K21" s="157">
        <f>Trans_Inputs!$W$22</f>
        <v>0</v>
      </c>
      <c r="L21" s="157">
        <f t="shared" ref="L21:L35" si="2">K21-J21</f>
        <v>0</v>
      </c>
      <c r="M21" s="155">
        <f t="shared" ref="M21:M35" si="3">IF(J21=0,0,ROUND(L21/J21,3))</f>
        <v>0</v>
      </c>
      <c r="N21" s="158"/>
      <c r="O21" s="157">
        <f>ROUND((D21*Trans_Inputs!$C$22),2)</f>
        <v>0</v>
      </c>
      <c r="P21" s="157">
        <f>ROUND((D21*Trans_Inputs!$Q$22),2)</f>
        <v>0</v>
      </c>
      <c r="Q21" s="157">
        <f t="shared" ref="Q21:Q35" si="4">P21-O21</f>
        <v>0</v>
      </c>
      <c r="R21" s="155">
        <f t="shared" ref="R21:R35" si="5">IF(O21=0,0,ROUND(Q21/O21,3))</f>
        <v>0</v>
      </c>
      <c r="S21" s="157">
        <f t="shared" ref="S21:S35" si="6">E21+J21+O21</f>
        <v>0</v>
      </c>
      <c r="T21" s="157">
        <f t="shared" ref="T21:T35" si="7">F21+K21+P21</f>
        <v>0</v>
      </c>
      <c r="U21" s="155">
        <f t="shared" ref="U21:U35" si="8">IF(S21=0,0,ROUND((T21-S21)/S21,3))</f>
        <v>0</v>
      </c>
      <c r="V21" s="164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100</v>
      </c>
      <c r="E22" s="157">
        <f>Trans_Inputs!$H$22</f>
        <v>0</v>
      </c>
      <c r="F22" s="157">
        <f>Trans_Inputs!$V$22</f>
        <v>0</v>
      </c>
      <c r="G22" s="167">
        <f t="shared" si="0"/>
        <v>0</v>
      </c>
      <c r="H22" s="155">
        <f t="shared" si="1"/>
        <v>0</v>
      </c>
      <c r="I22" s="155"/>
      <c r="J22" s="157">
        <f>Trans_Inputs!$I$22</f>
        <v>0</v>
      </c>
      <c r="K22" s="157">
        <f>Trans_Inputs!$W$22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ROUND((D22*Trans_Inputs!$C$22),2)</f>
        <v>0</v>
      </c>
      <c r="P22" s="157">
        <f>ROUND((D22*Trans_Inputs!$Q$22),2)</f>
        <v>0</v>
      </c>
      <c r="Q22" s="157">
        <f t="shared" si="4"/>
        <v>0</v>
      </c>
      <c r="R22" s="155">
        <f t="shared" si="5"/>
        <v>0</v>
      </c>
      <c r="S22" s="157">
        <f t="shared" si="6"/>
        <v>0</v>
      </c>
      <c r="T22" s="157">
        <f t="shared" si="7"/>
        <v>0</v>
      </c>
      <c r="U22" s="155">
        <f t="shared" si="8"/>
        <v>0</v>
      </c>
      <c r="V22" s="164"/>
    </row>
    <row r="23" spans="1:22" ht="14.4" customHeight="1" x14ac:dyDescent="0.35">
      <c r="A23" s="152">
        <v>3</v>
      </c>
      <c r="B23" s="152" t="s">
        <v>216</v>
      </c>
      <c r="C23" s="117"/>
      <c r="D23" s="168">
        <v>150</v>
      </c>
      <c r="E23" s="157">
        <f>Trans_Inputs!$H$22</f>
        <v>0</v>
      </c>
      <c r="F23" s="157">
        <f>Trans_Inputs!$V$22</f>
        <v>0</v>
      </c>
      <c r="G23" s="167">
        <f t="shared" si="0"/>
        <v>0</v>
      </c>
      <c r="H23" s="155">
        <f t="shared" si="1"/>
        <v>0</v>
      </c>
      <c r="I23" s="155"/>
      <c r="J23" s="157">
        <f>Trans_Inputs!$I$22</f>
        <v>0</v>
      </c>
      <c r="K23" s="157">
        <f>Trans_Inputs!$W$22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ROUND((D23*Trans_Inputs!$C$22),2)</f>
        <v>0</v>
      </c>
      <c r="P23" s="157">
        <f>ROUND((D23*Trans_Inputs!$Q$22),2)</f>
        <v>0</v>
      </c>
      <c r="Q23" s="157">
        <f t="shared" si="4"/>
        <v>0</v>
      </c>
      <c r="R23" s="155">
        <f t="shared" si="5"/>
        <v>0</v>
      </c>
      <c r="S23" s="157">
        <f t="shared" si="6"/>
        <v>0</v>
      </c>
      <c r="T23" s="157">
        <f t="shared" si="7"/>
        <v>0</v>
      </c>
      <c r="U23" s="155">
        <f t="shared" si="8"/>
        <v>0</v>
      </c>
      <c r="V23" s="164"/>
    </row>
    <row r="24" spans="1:22" ht="14.4" customHeight="1" x14ac:dyDescent="0.35">
      <c r="A24" s="152">
        <v>4</v>
      </c>
      <c r="B24" s="152" t="s">
        <v>71</v>
      </c>
      <c r="C24" s="117"/>
      <c r="D24" s="168">
        <v>300</v>
      </c>
      <c r="E24" s="157">
        <f>Trans_Inputs!$H$22</f>
        <v>0</v>
      </c>
      <c r="F24" s="157">
        <f>Trans_Inputs!$V$22</f>
        <v>0</v>
      </c>
      <c r="G24" s="167">
        <f t="shared" si="0"/>
        <v>0</v>
      </c>
      <c r="H24" s="155">
        <f t="shared" si="1"/>
        <v>0</v>
      </c>
      <c r="I24" s="155"/>
      <c r="J24" s="157">
        <f>Trans_Inputs!$I$22</f>
        <v>0</v>
      </c>
      <c r="K24" s="157">
        <f>Trans_Inputs!$W$22</f>
        <v>0</v>
      </c>
      <c r="L24" s="157">
        <f t="shared" si="2"/>
        <v>0</v>
      </c>
      <c r="M24" s="155">
        <f t="shared" si="3"/>
        <v>0</v>
      </c>
      <c r="N24" s="158"/>
      <c r="O24" s="157">
        <f>ROUND((D24*Trans_Inputs!$C$22),2)</f>
        <v>0</v>
      </c>
      <c r="P24" s="157">
        <f>ROUND((D24*Trans_Inputs!$Q$22),2)</f>
        <v>0</v>
      </c>
      <c r="Q24" s="157">
        <f t="shared" si="4"/>
        <v>0</v>
      </c>
      <c r="R24" s="155">
        <f t="shared" si="5"/>
        <v>0</v>
      </c>
      <c r="S24" s="157">
        <f t="shared" si="6"/>
        <v>0</v>
      </c>
      <c r="T24" s="157">
        <f t="shared" si="7"/>
        <v>0</v>
      </c>
      <c r="U24" s="155">
        <f t="shared" si="8"/>
        <v>0</v>
      </c>
      <c r="V24" s="164"/>
    </row>
    <row r="25" spans="1:22" ht="14.4" customHeight="1" x14ac:dyDescent="0.35">
      <c r="A25" s="152">
        <v>5</v>
      </c>
      <c r="B25" s="152" t="s">
        <v>197</v>
      </c>
      <c r="C25" s="117"/>
      <c r="D25" s="168">
        <v>500</v>
      </c>
      <c r="E25" s="157">
        <f>Trans_Inputs!$H$22</f>
        <v>0</v>
      </c>
      <c r="F25" s="157">
        <f>Trans_Inputs!$V$22</f>
        <v>0</v>
      </c>
      <c r="G25" s="167">
        <f t="shared" si="0"/>
        <v>0</v>
      </c>
      <c r="H25" s="155">
        <f t="shared" si="1"/>
        <v>0</v>
      </c>
      <c r="I25" s="155"/>
      <c r="J25" s="157">
        <f>Trans_Inputs!$I$22</f>
        <v>0</v>
      </c>
      <c r="K25" s="157">
        <f>Trans_Inputs!$W$22</f>
        <v>0</v>
      </c>
      <c r="L25" s="157">
        <f t="shared" si="2"/>
        <v>0</v>
      </c>
      <c r="M25" s="155">
        <f t="shared" si="3"/>
        <v>0</v>
      </c>
      <c r="N25" s="158"/>
      <c r="O25" s="157">
        <f>ROUND((D25*Trans_Inputs!$C$22),2)</f>
        <v>0</v>
      </c>
      <c r="P25" s="157">
        <f>ROUND((D25*Trans_Inputs!$Q$22),2)</f>
        <v>0</v>
      </c>
      <c r="Q25" s="157">
        <f t="shared" si="4"/>
        <v>0</v>
      </c>
      <c r="R25" s="155">
        <f t="shared" si="5"/>
        <v>0</v>
      </c>
      <c r="S25" s="157">
        <f t="shared" si="6"/>
        <v>0</v>
      </c>
      <c r="T25" s="157">
        <f t="shared" si="7"/>
        <v>0</v>
      </c>
      <c r="U25" s="155">
        <f t="shared" si="8"/>
        <v>0</v>
      </c>
      <c r="V25" s="164"/>
    </row>
    <row r="26" spans="1:22" ht="14.4" customHeight="1" x14ac:dyDescent="0.35">
      <c r="A26" s="152">
        <v>6</v>
      </c>
      <c r="B26" s="117"/>
      <c r="C26" s="117"/>
      <c r="D26" s="168">
        <v>1000</v>
      </c>
      <c r="E26" s="157">
        <f>Trans_Inputs!$H$22</f>
        <v>0</v>
      </c>
      <c r="F26" s="157">
        <f>Trans_Inputs!$V$22</f>
        <v>0</v>
      </c>
      <c r="G26" s="167">
        <f t="shared" si="0"/>
        <v>0</v>
      </c>
      <c r="H26" s="155">
        <f t="shared" si="1"/>
        <v>0</v>
      </c>
      <c r="I26" s="155"/>
      <c r="J26" s="157">
        <f>Trans_Inputs!$I$22</f>
        <v>0</v>
      </c>
      <c r="K26" s="157">
        <f>Trans_Inputs!$W$22</f>
        <v>0</v>
      </c>
      <c r="L26" s="157">
        <f t="shared" si="2"/>
        <v>0</v>
      </c>
      <c r="M26" s="155">
        <f t="shared" si="3"/>
        <v>0</v>
      </c>
      <c r="N26" s="158"/>
      <c r="O26" s="157">
        <f>ROUND((D26*Trans_Inputs!$C$22),2)</f>
        <v>0</v>
      </c>
      <c r="P26" s="157">
        <f>ROUND((D26*Trans_Inputs!$Q$22),2)</f>
        <v>0</v>
      </c>
      <c r="Q26" s="157">
        <f t="shared" si="4"/>
        <v>0</v>
      </c>
      <c r="R26" s="155">
        <f t="shared" si="5"/>
        <v>0</v>
      </c>
      <c r="S26" s="157">
        <f t="shared" si="6"/>
        <v>0</v>
      </c>
      <c r="T26" s="157">
        <f t="shared" si="7"/>
        <v>0</v>
      </c>
      <c r="U26" s="155">
        <f t="shared" si="8"/>
        <v>0</v>
      </c>
      <c r="V26" s="164"/>
    </row>
    <row r="27" spans="1:22" ht="14.4" customHeight="1" x14ac:dyDescent="0.35">
      <c r="A27" s="152">
        <v>7</v>
      </c>
      <c r="B27" s="117"/>
      <c r="C27" s="117"/>
      <c r="D27" s="168">
        <v>3000</v>
      </c>
      <c r="E27" s="157">
        <f>Trans_Inputs!$H$22</f>
        <v>0</v>
      </c>
      <c r="F27" s="157">
        <f>Trans_Inputs!$V$22</f>
        <v>0</v>
      </c>
      <c r="G27" s="167">
        <f t="shared" si="0"/>
        <v>0</v>
      </c>
      <c r="H27" s="155">
        <f t="shared" si="1"/>
        <v>0</v>
      </c>
      <c r="I27" s="155"/>
      <c r="J27" s="157">
        <f>Trans_Inputs!$I$22</f>
        <v>0</v>
      </c>
      <c r="K27" s="157">
        <f>Trans_Inputs!$W$22</f>
        <v>0</v>
      </c>
      <c r="L27" s="157">
        <f t="shared" si="2"/>
        <v>0</v>
      </c>
      <c r="M27" s="155">
        <f t="shared" si="3"/>
        <v>0</v>
      </c>
      <c r="N27" s="158"/>
      <c r="O27" s="157">
        <f>ROUND((D27*Trans_Inputs!$C$22),2)</f>
        <v>0</v>
      </c>
      <c r="P27" s="157">
        <f>ROUND((D27*Trans_Inputs!$Q$22),2)</f>
        <v>0</v>
      </c>
      <c r="Q27" s="157">
        <f t="shared" si="4"/>
        <v>0</v>
      </c>
      <c r="R27" s="155">
        <f t="shared" si="5"/>
        <v>0</v>
      </c>
      <c r="S27" s="157">
        <f t="shared" si="6"/>
        <v>0</v>
      </c>
      <c r="T27" s="157">
        <f t="shared" si="7"/>
        <v>0</v>
      </c>
      <c r="U27" s="155">
        <f t="shared" si="8"/>
        <v>0</v>
      </c>
      <c r="V27" s="164"/>
    </row>
    <row r="28" spans="1:22" ht="14.4" customHeight="1" x14ac:dyDescent="0.35">
      <c r="A28" s="152">
        <v>8</v>
      </c>
      <c r="B28" s="152"/>
      <c r="C28" s="117"/>
      <c r="D28" s="168">
        <v>5000</v>
      </c>
      <c r="E28" s="157">
        <f>Trans_Inputs!$H$22</f>
        <v>0</v>
      </c>
      <c r="F28" s="157">
        <f>Trans_Inputs!$V$22</f>
        <v>0</v>
      </c>
      <c r="G28" s="167">
        <f t="shared" si="0"/>
        <v>0</v>
      </c>
      <c r="H28" s="155">
        <f t="shared" si="1"/>
        <v>0</v>
      </c>
      <c r="I28" s="155"/>
      <c r="J28" s="157">
        <f>Trans_Inputs!$I$22</f>
        <v>0</v>
      </c>
      <c r="K28" s="157">
        <f>Trans_Inputs!$W$22</f>
        <v>0</v>
      </c>
      <c r="L28" s="157">
        <f t="shared" si="2"/>
        <v>0</v>
      </c>
      <c r="M28" s="155">
        <f t="shared" si="3"/>
        <v>0</v>
      </c>
      <c r="N28" s="158"/>
      <c r="O28" s="157">
        <f>ROUND((D28*Trans_Inputs!$C$22),2)</f>
        <v>0</v>
      </c>
      <c r="P28" s="157">
        <f>ROUND((D28*Trans_Inputs!$Q$22),2)</f>
        <v>0</v>
      </c>
      <c r="Q28" s="157">
        <f t="shared" si="4"/>
        <v>0</v>
      </c>
      <c r="R28" s="155">
        <f t="shared" si="5"/>
        <v>0</v>
      </c>
      <c r="S28" s="157">
        <f t="shared" si="6"/>
        <v>0</v>
      </c>
      <c r="T28" s="157">
        <f t="shared" si="7"/>
        <v>0</v>
      </c>
      <c r="U28" s="155">
        <f t="shared" si="8"/>
        <v>0</v>
      </c>
      <c r="V28" s="164"/>
    </row>
    <row r="29" spans="1:22" ht="14.4" customHeight="1" x14ac:dyDescent="0.35">
      <c r="A29" s="152">
        <v>9</v>
      </c>
      <c r="B29" s="152"/>
      <c r="C29" s="117"/>
      <c r="D29" s="168">
        <v>10000</v>
      </c>
      <c r="E29" s="157">
        <f>Trans_Inputs!$H$22</f>
        <v>0</v>
      </c>
      <c r="F29" s="157">
        <f>Trans_Inputs!$V$22</f>
        <v>0</v>
      </c>
      <c r="G29" s="167">
        <f t="shared" si="0"/>
        <v>0</v>
      </c>
      <c r="H29" s="155">
        <f t="shared" si="1"/>
        <v>0</v>
      </c>
      <c r="I29" s="155"/>
      <c r="J29" s="157">
        <f>Trans_Inputs!$I$22</f>
        <v>0</v>
      </c>
      <c r="K29" s="157">
        <f>Trans_Inputs!$W$22</f>
        <v>0</v>
      </c>
      <c r="L29" s="157">
        <f t="shared" si="2"/>
        <v>0</v>
      </c>
      <c r="M29" s="155">
        <f t="shared" si="3"/>
        <v>0</v>
      </c>
      <c r="N29" s="158"/>
      <c r="O29" s="157">
        <f>ROUND((D29*Trans_Inputs!$C$22),2)</f>
        <v>0</v>
      </c>
      <c r="P29" s="157">
        <f>ROUND((D29*Trans_Inputs!$Q$22),2)</f>
        <v>0</v>
      </c>
      <c r="Q29" s="157">
        <f t="shared" si="4"/>
        <v>0</v>
      </c>
      <c r="R29" s="155">
        <f t="shared" si="5"/>
        <v>0</v>
      </c>
      <c r="S29" s="157">
        <f t="shared" si="6"/>
        <v>0</v>
      </c>
      <c r="T29" s="157">
        <f t="shared" si="7"/>
        <v>0</v>
      </c>
      <c r="U29" s="155">
        <f t="shared" si="8"/>
        <v>0</v>
      </c>
      <c r="V29" s="164"/>
    </row>
    <row r="30" spans="1:22" ht="14.4" customHeight="1" x14ac:dyDescent="0.35">
      <c r="A30" s="152">
        <v>10</v>
      </c>
      <c r="B30" s="152"/>
      <c r="C30" s="117"/>
      <c r="D30" s="168">
        <v>15000</v>
      </c>
      <c r="E30" s="157">
        <f>Trans_Inputs!$H$22</f>
        <v>0</v>
      </c>
      <c r="F30" s="157">
        <f>Trans_Inputs!$V$22</f>
        <v>0</v>
      </c>
      <c r="G30" s="167">
        <f t="shared" si="0"/>
        <v>0</v>
      </c>
      <c r="H30" s="155">
        <f t="shared" si="1"/>
        <v>0</v>
      </c>
      <c r="I30" s="155"/>
      <c r="J30" s="157">
        <f>Trans_Inputs!$I$22</f>
        <v>0</v>
      </c>
      <c r="K30" s="157">
        <f>Trans_Inputs!$W$22</f>
        <v>0</v>
      </c>
      <c r="L30" s="157">
        <f t="shared" si="2"/>
        <v>0</v>
      </c>
      <c r="M30" s="155">
        <f t="shared" si="3"/>
        <v>0</v>
      </c>
      <c r="N30" s="158"/>
      <c r="O30" s="157">
        <f>ROUND((D30*Trans_Inputs!$C$22),2)</f>
        <v>0</v>
      </c>
      <c r="P30" s="157">
        <f>ROUND((D30*Trans_Inputs!$Q$22),2)</f>
        <v>0</v>
      </c>
      <c r="Q30" s="157">
        <f t="shared" si="4"/>
        <v>0</v>
      </c>
      <c r="R30" s="155">
        <f t="shared" si="5"/>
        <v>0</v>
      </c>
      <c r="S30" s="157">
        <f t="shared" si="6"/>
        <v>0</v>
      </c>
      <c r="T30" s="157">
        <f t="shared" si="7"/>
        <v>0</v>
      </c>
      <c r="U30" s="155">
        <f t="shared" si="8"/>
        <v>0</v>
      </c>
      <c r="V30" s="164"/>
    </row>
    <row r="31" spans="1:22" ht="14.4" customHeight="1" x14ac:dyDescent="0.35">
      <c r="A31" s="152">
        <v>11</v>
      </c>
      <c r="B31" s="117"/>
      <c r="C31" s="117"/>
      <c r="D31" s="168">
        <v>20000</v>
      </c>
      <c r="E31" s="157">
        <f>Trans_Inputs!$H$22</f>
        <v>0</v>
      </c>
      <c r="F31" s="157">
        <f>Trans_Inputs!$V$22</f>
        <v>0</v>
      </c>
      <c r="G31" s="167">
        <f t="shared" si="0"/>
        <v>0</v>
      </c>
      <c r="H31" s="155">
        <f t="shared" si="1"/>
        <v>0</v>
      </c>
      <c r="I31" s="155"/>
      <c r="J31" s="157">
        <f>Trans_Inputs!$I$22</f>
        <v>0</v>
      </c>
      <c r="K31" s="157">
        <f>Trans_Inputs!$W$22</f>
        <v>0</v>
      </c>
      <c r="L31" s="157">
        <f t="shared" si="2"/>
        <v>0</v>
      </c>
      <c r="M31" s="155">
        <f t="shared" si="3"/>
        <v>0</v>
      </c>
      <c r="N31" s="158"/>
      <c r="O31" s="157">
        <f>ROUND((D31*Trans_Inputs!$C$22),2)</f>
        <v>0</v>
      </c>
      <c r="P31" s="157">
        <f>ROUND((D31*Trans_Inputs!$Q$22),2)</f>
        <v>0</v>
      </c>
      <c r="Q31" s="157">
        <f t="shared" si="4"/>
        <v>0</v>
      </c>
      <c r="R31" s="155">
        <f t="shared" si="5"/>
        <v>0</v>
      </c>
      <c r="S31" s="157">
        <f t="shared" si="6"/>
        <v>0</v>
      </c>
      <c r="T31" s="157">
        <f t="shared" si="7"/>
        <v>0</v>
      </c>
      <c r="U31" s="155">
        <f t="shared" si="8"/>
        <v>0</v>
      </c>
      <c r="V31" s="164"/>
    </row>
    <row r="32" spans="1:22" ht="14.4" customHeight="1" x14ac:dyDescent="0.35">
      <c r="A32" s="152">
        <v>12</v>
      </c>
      <c r="B32" s="117"/>
      <c r="C32" s="117"/>
      <c r="D32" s="168">
        <v>25000</v>
      </c>
      <c r="E32" s="157">
        <f>Trans_Inputs!$H$22</f>
        <v>0</v>
      </c>
      <c r="F32" s="157">
        <f>Trans_Inputs!$V$22</f>
        <v>0</v>
      </c>
      <c r="G32" s="167">
        <f t="shared" si="0"/>
        <v>0</v>
      </c>
      <c r="H32" s="155">
        <f t="shared" si="1"/>
        <v>0</v>
      </c>
      <c r="I32" s="155"/>
      <c r="J32" s="157">
        <f>Trans_Inputs!$I$22</f>
        <v>0</v>
      </c>
      <c r="K32" s="157">
        <f>Trans_Inputs!$W$22</f>
        <v>0</v>
      </c>
      <c r="L32" s="157">
        <f t="shared" si="2"/>
        <v>0</v>
      </c>
      <c r="M32" s="155">
        <f t="shared" si="3"/>
        <v>0</v>
      </c>
      <c r="N32" s="158"/>
      <c r="O32" s="157">
        <f>ROUND((D32*Trans_Inputs!$C$22),2)</f>
        <v>0</v>
      </c>
      <c r="P32" s="157">
        <f>ROUND((D32*Trans_Inputs!$Q$22),2)</f>
        <v>0</v>
      </c>
      <c r="Q32" s="157">
        <f t="shared" si="4"/>
        <v>0</v>
      </c>
      <c r="R32" s="155">
        <f t="shared" si="5"/>
        <v>0</v>
      </c>
      <c r="S32" s="157">
        <f t="shared" si="6"/>
        <v>0</v>
      </c>
      <c r="T32" s="157">
        <f t="shared" si="7"/>
        <v>0</v>
      </c>
      <c r="U32" s="155">
        <f t="shared" si="8"/>
        <v>0</v>
      </c>
      <c r="V32" s="164"/>
    </row>
    <row r="33" spans="1:22" ht="14.4" customHeight="1" x14ac:dyDescent="0.35">
      <c r="A33" s="152">
        <v>13</v>
      </c>
      <c r="B33" s="117"/>
      <c r="C33" s="117"/>
      <c r="D33" s="168">
        <v>30000</v>
      </c>
      <c r="E33" s="157">
        <f>Trans_Inputs!$H$22</f>
        <v>0</v>
      </c>
      <c r="F33" s="157">
        <f>Trans_Inputs!$V$22</f>
        <v>0</v>
      </c>
      <c r="G33" s="167">
        <f t="shared" si="0"/>
        <v>0</v>
      </c>
      <c r="H33" s="155">
        <f t="shared" si="1"/>
        <v>0</v>
      </c>
      <c r="I33" s="155"/>
      <c r="J33" s="157">
        <f>Trans_Inputs!$I$22</f>
        <v>0</v>
      </c>
      <c r="K33" s="157">
        <f>Trans_Inputs!$W$22</f>
        <v>0</v>
      </c>
      <c r="L33" s="157">
        <f t="shared" si="2"/>
        <v>0</v>
      </c>
      <c r="M33" s="155">
        <f t="shared" si="3"/>
        <v>0</v>
      </c>
      <c r="N33" s="164"/>
      <c r="O33" s="157">
        <f>ROUND((D33*Trans_Inputs!$C$22),2)</f>
        <v>0</v>
      </c>
      <c r="P33" s="157">
        <f>ROUND((D33*Trans_Inputs!$Q$22),2)</f>
        <v>0</v>
      </c>
      <c r="Q33" s="157">
        <f t="shared" si="4"/>
        <v>0</v>
      </c>
      <c r="R33" s="155">
        <f t="shared" si="5"/>
        <v>0</v>
      </c>
      <c r="S33" s="157">
        <f t="shared" si="6"/>
        <v>0</v>
      </c>
      <c r="T33" s="157">
        <f t="shared" si="7"/>
        <v>0</v>
      </c>
      <c r="U33" s="155">
        <f t="shared" si="8"/>
        <v>0</v>
      </c>
      <c r="V33" s="164"/>
    </row>
    <row r="34" spans="1:22" ht="14.4" customHeight="1" x14ac:dyDescent="0.35">
      <c r="A34" s="152">
        <v>14</v>
      </c>
      <c r="B34" s="117"/>
      <c r="C34" s="117"/>
      <c r="D34" s="168">
        <v>35000</v>
      </c>
      <c r="E34" s="157">
        <f>Trans_Inputs!$H$22</f>
        <v>0</v>
      </c>
      <c r="F34" s="157">
        <f>Trans_Inputs!$V$22</f>
        <v>0</v>
      </c>
      <c r="G34" s="167">
        <f t="shared" si="0"/>
        <v>0</v>
      </c>
      <c r="H34" s="155">
        <f t="shared" si="1"/>
        <v>0</v>
      </c>
      <c r="I34" s="155"/>
      <c r="J34" s="157">
        <f>Trans_Inputs!$I$22</f>
        <v>0</v>
      </c>
      <c r="K34" s="157">
        <f>Trans_Inputs!$W$22</f>
        <v>0</v>
      </c>
      <c r="L34" s="157">
        <f t="shared" si="2"/>
        <v>0</v>
      </c>
      <c r="M34" s="155">
        <f t="shared" si="3"/>
        <v>0</v>
      </c>
      <c r="N34" s="164"/>
      <c r="O34" s="157">
        <f>ROUND((D34*Trans_Inputs!$C$22),2)</f>
        <v>0</v>
      </c>
      <c r="P34" s="157">
        <f>ROUND((D34*Trans_Inputs!$Q$22),2)</f>
        <v>0</v>
      </c>
      <c r="Q34" s="157">
        <f t="shared" si="4"/>
        <v>0</v>
      </c>
      <c r="R34" s="155">
        <f t="shared" si="5"/>
        <v>0</v>
      </c>
      <c r="S34" s="157">
        <f t="shared" si="6"/>
        <v>0</v>
      </c>
      <c r="T34" s="157">
        <f t="shared" si="7"/>
        <v>0</v>
      </c>
      <c r="U34" s="155">
        <f t="shared" si="8"/>
        <v>0</v>
      </c>
      <c r="V34" s="164"/>
    </row>
    <row r="35" spans="1:22" ht="14.5" x14ac:dyDescent="0.35">
      <c r="A35" s="152">
        <v>15</v>
      </c>
      <c r="B35" s="117"/>
      <c r="C35" s="117"/>
      <c r="D35" s="168">
        <v>40000</v>
      </c>
      <c r="E35" s="157">
        <f>Trans_Inputs!$H$22</f>
        <v>0</v>
      </c>
      <c r="F35" s="157">
        <f>Trans_Inputs!$V$22</f>
        <v>0</v>
      </c>
      <c r="G35" s="167">
        <f t="shared" si="0"/>
        <v>0</v>
      </c>
      <c r="H35" s="155">
        <f t="shared" si="1"/>
        <v>0</v>
      </c>
      <c r="I35" s="155"/>
      <c r="J35" s="157">
        <f>Trans_Inputs!$I$22</f>
        <v>0</v>
      </c>
      <c r="K35" s="157">
        <f>Trans_Inputs!$W$22</f>
        <v>0</v>
      </c>
      <c r="L35" s="157">
        <f t="shared" si="2"/>
        <v>0</v>
      </c>
      <c r="M35" s="155">
        <f t="shared" si="3"/>
        <v>0</v>
      </c>
      <c r="N35" s="164"/>
      <c r="O35" s="157">
        <f>ROUND((D35*Trans_Inputs!$C$22),2)</f>
        <v>0</v>
      </c>
      <c r="P35" s="157">
        <f>ROUND((D35*Trans_Inputs!$Q$22),2)</f>
        <v>0</v>
      </c>
      <c r="Q35" s="157">
        <f t="shared" si="4"/>
        <v>0</v>
      </c>
      <c r="R35" s="155">
        <f t="shared" si="5"/>
        <v>0</v>
      </c>
      <c r="S35" s="157">
        <f t="shared" si="6"/>
        <v>0</v>
      </c>
      <c r="T35" s="157">
        <f t="shared" si="7"/>
        <v>0</v>
      </c>
      <c r="U35" s="155">
        <f t="shared" si="8"/>
        <v>0</v>
      </c>
      <c r="V35" s="164"/>
    </row>
    <row r="36" spans="1:22" ht="14.5" x14ac:dyDescent="0.35">
      <c r="A36" s="152"/>
      <c r="B36" s="117"/>
      <c r="C36" s="117"/>
      <c r="D36" s="172"/>
      <c r="E36" s="164"/>
      <c r="F36" s="164"/>
      <c r="G36" s="174"/>
      <c r="H36" s="158"/>
      <c r="I36" s="158"/>
      <c r="J36" s="158"/>
      <c r="K36" s="158"/>
      <c r="L36" s="158"/>
      <c r="M36" s="158"/>
      <c r="N36" s="164"/>
      <c r="O36" s="164"/>
      <c r="P36" s="164"/>
      <c r="Q36" s="157"/>
      <c r="R36" s="158"/>
      <c r="S36" s="157"/>
      <c r="T36" s="157"/>
      <c r="U36" s="158"/>
      <c r="V36" s="164"/>
    </row>
    <row r="37" spans="1:22" ht="14.5" x14ac:dyDescent="0.35">
      <c r="A37" s="152"/>
      <c r="B37" s="117" t="s">
        <v>142</v>
      </c>
      <c r="C37" s="117"/>
      <c r="D37" s="169">
        <f>Trans_Inputs!AT22</f>
        <v>0</v>
      </c>
      <c r="E37" s="152"/>
      <c r="F37" s="152"/>
      <c r="G37" s="171"/>
      <c r="H37" s="170"/>
      <c r="I37" s="170"/>
      <c r="J37" s="170"/>
      <c r="K37" s="170"/>
      <c r="L37" s="170"/>
      <c r="M37" s="170"/>
      <c r="N37" s="152"/>
      <c r="O37" s="152"/>
      <c r="P37" s="152"/>
      <c r="Q37" s="171"/>
      <c r="R37" s="170"/>
      <c r="S37" s="171"/>
      <c r="T37" s="171"/>
      <c r="U37" s="170"/>
      <c r="V37" s="117"/>
    </row>
    <row r="38" spans="1:22" ht="14.5" x14ac:dyDescent="0.35">
      <c r="A38" s="152"/>
      <c r="B38" s="117"/>
      <c r="C38" s="117" t="s">
        <v>215</v>
      </c>
      <c r="D38" s="117"/>
      <c r="E38" s="117"/>
      <c r="F38" s="117"/>
      <c r="G38" s="152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52"/>
      <c r="T38" s="152"/>
      <c r="U38" s="152"/>
      <c r="V38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" top="0.75" bottom="0.75" header="0.5" footer="0.5"/>
  <pageSetup scale="7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0952-7A2E-4119-B5D5-A4424B7A9E96}">
  <sheetPr codeName="Sheet13">
    <tabColor theme="5" tint="0.79998168889431442"/>
    <pageSetUpPr fitToPage="1"/>
  </sheetPr>
  <dimension ref="A1:V38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8.453125" customWidth="1"/>
    <col min="3" max="4" width="9.1796875" bestFit="1" customWidth="1"/>
    <col min="5" max="5" width="8.81640625" bestFit="1" customWidth="1"/>
    <col min="6" max="6" width="8.4531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7" width="10.54296875" bestFit="1" customWidth="1"/>
    <col min="18" max="18" width="9.453125" bestFit="1" customWidth="1"/>
    <col min="19" max="20" width="10.1796875" bestFit="1" customWidth="1"/>
    <col min="21" max="21" width="10" customWidth="1"/>
    <col min="23" max="30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218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93</v>
      </c>
      <c r="C21" s="152" t="s">
        <v>147</v>
      </c>
      <c r="D21" s="168">
        <f>+D37</f>
        <v>0</v>
      </c>
      <c r="E21" s="157">
        <f>Trans_Inputs!$H$23</f>
        <v>0</v>
      </c>
      <c r="F21" s="157">
        <f>Trans_Inputs!$V$23</f>
        <v>0</v>
      </c>
      <c r="G21" s="167">
        <f t="shared" ref="G21:G35" si="0">F21-E21</f>
        <v>0</v>
      </c>
      <c r="H21" s="155">
        <f t="shared" ref="H21:H35" si="1">IF(E21=0,0,ROUND(G21/E21,3))</f>
        <v>0</v>
      </c>
      <c r="I21" s="155"/>
      <c r="J21" s="157">
        <f>Trans_Inputs!$I$23</f>
        <v>0</v>
      </c>
      <c r="K21" s="157">
        <f>Trans_Inputs!$W$23</f>
        <v>0</v>
      </c>
      <c r="L21" s="157">
        <f t="shared" ref="L21:L35" si="2">K21-J21</f>
        <v>0</v>
      </c>
      <c r="M21" s="155">
        <f t="shared" ref="M21:M35" si="3">IF(J21=0,0,ROUND(L21/J21,3))</f>
        <v>0</v>
      </c>
      <c r="N21" s="158"/>
      <c r="O21" s="157">
        <f>ROUND((D21*Trans_Inputs!$C$23),2)</f>
        <v>0</v>
      </c>
      <c r="P21" s="157">
        <f>ROUND((D21*Trans_Inputs!$Q$23),2)</f>
        <v>0</v>
      </c>
      <c r="Q21" s="157">
        <f t="shared" ref="Q21:Q35" si="4">P21-O21</f>
        <v>0</v>
      </c>
      <c r="R21" s="155">
        <f t="shared" ref="R21:R35" si="5">IF(O21=0,0,ROUND(Q21/O21,3))</f>
        <v>0</v>
      </c>
      <c r="S21" s="157">
        <f t="shared" ref="S21:S35" si="6">E21+J21+O21</f>
        <v>0</v>
      </c>
      <c r="T21" s="157">
        <f t="shared" ref="T21:T35" si="7">F21+K21+P21</f>
        <v>0</v>
      </c>
      <c r="U21" s="155">
        <f t="shared" ref="U21:U35" si="8">IF(S21=0,0,ROUND((T21-S21)/S21,3))</f>
        <v>0</v>
      </c>
      <c r="V21" s="164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100</v>
      </c>
      <c r="E22" s="157">
        <f>Trans_Inputs!$H$23</f>
        <v>0</v>
      </c>
      <c r="F22" s="157">
        <f>Trans_Inputs!$V$23</f>
        <v>0</v>
      </c>
      <c r="G22" s="167">
        <f t="shared" si="0"/>
        <v>0</v>
      </c>
      <c r="H22" s="155">
        <f t="shared" si="1"/>
        <v>0</v>
      </c>
      <c r="I22" s="155"/>
      <c r="J22" s="157">
        <f>Trans_Inputs!$I$23</f>
        <v>0</v>
      </c>
      <c r="K22" s="157">
        <f>Trans_Inputs!$W$23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ROUND((D22*Trans_Inputs!$C$23),2)</f>
        <v>0</v>
      </c>
      <c r="P22" s="157">
        <f>ROUND((D22*Trans_Inputs!$Q$23),2)</f>
        <v>0</v>
      </c>
      <c r="Q22" s="157">
        <f t="shared" si="4"/>
        <v>0</v>
      </c>
      <c r="R22" s="155">
        <f t="shared" si="5"/>
        <v>0</v>
      </c>
      <c r="S22" s="157">
        <f t="shared" si="6"/>
        <v>0</v>
      </c>
      <c r="T22" s="157">
        <f t="shared" si="7"/>
        <v>0</v>
      </c>
      <c r="U22" s="155">
        <f t="shared" si="8"/>
        <v>0</v>
      </c>
      <c r="V22" s="164"/>
    </row>
    <row r="23" spans="1:22" ht="14.4" customHeight="1" x14ac:dyDescent="0.35">
      <c r="A23" s="152">
        <v>3</v>
      </c>
      <c r="B23" s="152" t="s">
        <v>216</v>
      </c>
      <c r="C23" s="117"/>
      <c r="D23" s="168">
        <v>150</v>
      </c>
      <c r="E23" s="157">
        <f>Trans_Inputs!$H$23</f>
        <v>0</v>
      </c>
      <c r="F23" s="157">
        <f>Trans_Inputs!$V$23</f>
        <v>0</v>
      </c>
      <c r="G23" s="167">
        <f t="shared" si="0"/>
        <v>0</v>
      </c>
      <c r="H23" s="155">
        <f t="shared" si="1"/>
        <v>0</v>
      </c>
      <c r="I23" s="155"/>
      <c r="J23" s="157">
        <f>Trans_Inputs!$I$23</f>
        <v>0</v>
      </c>
      <c r="K23" s="157">
        <f>Trans_Inputs!$W$23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ROUND((D23*Trans_Inputs!$C$23),2)</f>
        <v>0</v>
      </c>
      <c r="P23" s="157">
        <f>ROUND((D23*Trans_Inputs!$Q$23),2)</f>
        <v>0</v>
      </c>
      <c r="Q23" s="157">
        <f t="shared" si="4"/>
        <v>0</v>
      </c>
      <c r="R23" s="155">
        <f t="shared" si="5"/>
        <v>0</v>
      </c>
      <c r="S23" s="157">
        <f t="shared" si="6"/>
        <v>0</v>
      </c>
      <c r="T23" s="157">
        <f t="shared" si="7"/>
        <v>0</v>
      </c>
      <c r="U23" s="155">
        <f t="shared" si="8"/>
        <v>0</v>
      </c>
      <c r="V23" s="164"/>
    </row>
    <row r="24" spans="1:22" ht="14.4" customHeight="1" x14ac:dyDescent="0.35">
      <c r="A24" s="152">
        <v>4</v>
      </c>
      <c r="B24" s="152" t="s">
        <v>71</v>
      </c>
      <c r="C24" s="117"/>
      <c r="D24" s="168">
        <v>300</v>
      </c>
      <c r="E24" s="157">
        <f>Trans_Inputs!$H$23</f>
        <v>0</v>
      </c>
      <c r="F24" s="157">
        <f>Trans_Inputs!$V$23</f>
        <v>0</v>
      </c>
      <c r="G24" s="167">
        <f t="shared" si="0"/>
        <v>0</v>
      </c>
      <c r="H24" s="155">
        <f t="shared" si="1"/>
        <v>0</v>
      </c>
      <c r="I24" s="155"/>
      <c r="J24" s="157">
        <f>Trans_Inputs!$I$23</f>
        <v>0</v>
      </c>
      <c r="K24" s="157">
        <f>Trans_Inputs!$W$23</f>
        <v>0</v>
      </c>
      <c r="L24" s="157">
        <f t="shared" si="2"/>
        <v>0</v>
      </c>
      <c r="M24" s="155">
        <f t="shared" si="3"/>
        <v>0</v>
      </c>
      <c r="N24" s="158"/>
      <c r="O24" s="157">
        <f>ROUND((D24*Trans_Inputs!$C$23),2)</f>
        <v>0</v>
      </c>
      <c r="P24" s="157">
        <f>ROUND((D24*Trans_Inputs!$Q$23),2)</f>
        <v>0</v>
      </c>
      <c r="Q24" s="157">
        <f t="shared" si="4"/>
        <v>0</v>
      </c>
      <c r="R24" s="155">
        <f t="shared" si="5"/>
        <v>0</v>
      </c>
      <c r="S24" s="157">
        <f t="shared" si="6"/>
        <v>0</v>
      </c>
      <c r="T24" s="157">
        <f t="shared" si="7"/>
        <v>0</v>
      </c>
      <c r="U24" s="155">
        <f t="shared" si="8"/>
        <v>0</v>
      </c>
      <c r="V24" s="164"/>
    </row>
    <row r="25" spans="1:22" ht="14.4" customHeight="1" x14ac:dyDescent="0.35">
      <c r="A25" s="152">
        <v>5</v>
      </c>
      <c r="B25" s="152" t="s">
        <v>195</v>
      </c>
      <c r="C25" s="117"/>
      <c r="D25" s="168">
        <v>500</v>
      </c>
      <c r="E25" s="157">
        <f>Trans_Inputs!$H$23</f>
        <v>0</v>
      </c>
      <c r="F25" s="157">
        <f>Trans_Inputs!$V$23</f>
        <v>0</v>
      </c>
      <c r="G25" s="167">
        <f t="shared" si="0"/>
        <v>0</v>
      </c>
      <c r="H25" s="155">
        <f t="shared" si="1"/>
        <v>0</v>
      </c>
      <c r="I25" s="155"/>
      <c r="J25" s="157">
        <f>Trans_Inputs!$I$23</f>
        <v>0</v>
      </c>
      <c r="K25" s="157">
        <f>Trans_Inputs!$W$23</f>
        <v>0</v>
      </c>
      <c r="L25" s="157">
        <f t="shared" si="2"/>
        <v>0</v>
      </c>
      <c r="M25" s="155">
        <f t="shared" si="3"/>
        <v>0</v>
      </c>
      <c r="N25" s="158"/>
      <c r="O25" s="157">
        <f>ROUND((D25*Trans_Inputs!$C$23),2)</f>
        <v>0</v>
      </c>
      <c r="P25" s="157">
        <f>ROUND((D25*Trans_Inputs!$Q$23),2)</f>
        <v>0</v>
      </c>
      <c r="Q25" s="157">
        <f t="shared" si="4"/>
        <v>0</v>
      </c>
      <c r="R25" s="155">
        <f t="shared" si="5"/>
        <v>0</v>
      </c>
      <c r="S25" s="157">
        <f t="shared" si="6"/>
        <v>0</v>
      </c>
      <c r="T25" s="157">
        <f t="shared" si="7"/>
        <v>0</v>
      </c>
      <c r="U25" s="155">
        <f t="shared" si="8"/>
        <v>0</v>
      </c>
      <c r="V25" s="164"/>
    </row>
    <row r="26" spans="1:22" ht="14.4" customHeight="1" x14ac:dyDescent="0.35">
      <c r="A26" s="152">
        <v>6</v>
      </c>
      <c r="B26" s="117"/>
      <c r="C26" s="117"/>
      <c r="D26" s="168">
        <v>1000</v>
      </c>
      <c r="E26" s="157">
        <f>Trans_Inputs!$H$23</f>
        <v>0</v>
      </c>
      <c r="F26" s="157">
        <f>Trans_Inputs!$V$23</f>
        <v>0</v>
      </c>
      <c r="G26" s="167">
        <f t="shared" si="0"/>
        <v>0</v>
      </c>
      <c r="H26" s="155">
        <f t="shared" si="1"/>
        <v>0</v>
      </c>
      <c r="I26" s="155"/>
      <c r="J26" s="157">
        <f>Trans_Inputs!$I$23</f>
        <v>0</v>
      </c>
      <c r="K26" s="157">
        <f>Trans_Inputs!$W$23</f>
        <v>0</v>
      </c>
      <c r="L26" s="157">
        <f t="shared" si="2"/>
        <v>0</v>
      </c>
      <c r="M26" s="155">
        <f t="shared" si="3"/>
        <v>0</v>
      </c>
      <c r="N26" s="158"/>
      <c r="O26" s="157">
        <f>ROUND((D26*Trans_Inputs!$C$23),2)</f>
        <v>0</v>
      </c>
      <c r="P26" s="157">
        <f>ROUND((D26*Trans_Inputs!$Q$23),2)</f>
        <v>0</v>
      </c>
      <c r="Q26" s="157">
        <f t="shared" si="4"/>
        <v>0</v>
      </c>
      <c r="R26" s="155">
        <f t="shared" si="5"/>
        <v>0</v>
      </c>
      <c r="S26" s="157">
        <f t="shared" si="6"/>
        <v>0</v>
      </c>
      <c r="T26" s="157">
        <f t="shared" si="7"/>
        <v>0</v>
      </c>
      <c r="U26" s="155">
        <f t="shared" si="8"/>
        <v>0</v>
      </c>
      <c r="V26" s="164"/>
    </row>
    <row r="27" spans="1:22" ht="14.4" customHeight="1" x14ac:dyDescent="0.35">
      <c r="A27" s="152">
        <v>7</v>
      </c>
      <c r="B27" s="117"/>
      <c r="C27" s="117"/>
      <c r="D27" s="168">
        <v>3000</v>
      </c>
      <c r="E27" s="157">
        <f>Trans_Inputs!$H$23</f>
        <v>0</v>
      </c>
      <c r="F27" s="157">
        <f>Trans_Inputs!$V$23</f>
        <v>0</v>
      </c>
      <c r="G27" s="167">
        <f t="shared" si="0"/>
        <v>0</v>
      </c>
      <c r="H27" s="155">
        <f t="shared" si="1"/>
        <v>0</v>
      </c>
      <c r="I27" s="155"/>
      <c r="J27" s="157">
        <f>Trans_Inputs!$I$23</f>
        <v>0</v>
      </c>
      <c r="K27" s="157">
        <f>Trans_Inputs!$W$23</f>
        <v>0</v>
      </c>
      <c r="L27" s="157">
        <f t="shared" si="2"/>
        <v>0</v>
      </c>
      <c r="M27" s="155">
        <f t="shared" si="3"/>
        <v>0</v>
      </c>
      <c r="N27" s="158"/>
      <c r="O27" s="157">
        <f>ROUND((D27*Trans_Inputs!$C$23),2)</f>
        <v>0</v>
      </c>
      <c r="P27" s="157">
        <f>ROUND((D27*Trans_Inputs!$Q$23),2)</f>
        <v>0</v>
      </c>
      <c r="Q27" s="157">
        <f t="shared" si="4"/>
        <v>0</v>
      </c>
      <c r="R27" s="155">
        <f t="shared" si="5"/>
        <v>0</v>
      </c>
      <c r="S27" s="157">
        <f t="shared" si="6"/>
        <v>0</v>
      </c>
      <c r="T27" s="157">
        <f t="shared" si="7"/>
        <v>0</v>
      </c>
      <c r="U27" s="155">
        <f t="shared" si="8"/>
        <v>0</v>
      </c>
      <c r="V27" s="164"/>
    </row>
    <row r="28" spans="1:22" ht="14.4" customHeight="1" x14ac:dyDescent="0.35">
      <c r="A28" s="152">
        <v>8</v>
      </c>
      <c r="B28" s="117"/>
      <c r="C28" s="117"/>
      <c r="D28" s="168">
        <v>5000</v>
      </c>
      <c r="E28" s="157">
        <f>Trans_Inputs!$H$23</f>
        <v>0</v>
      </c>
      <c r="F28" s="157">
        <f>Trans_Inputs!$V$23</f>
        <v>0</v>
      </c>
      <c r="G28" s="167">
        <f t="shared" si="0"/>
        <v>0</v>
      </c>
      <c r="H28" s="155">
        <f t="shared" si="1"/>
        <v>0</v>
      </c>
      <c r="I28" s="155"/>
      <c r="J28" s="157">
        <f>Trans_Inputs!$I$23</f>
        <v>0</v>
      </c>
      <c r="K28" s="157">
        <f>Trans_Inputs!$W$23</f>
        <v>0</v>
      </c>
      <c r="L28" s="157">
        <f t="shared" si="2"/>
        <v>0</v>
      </c>
      <c r="M28" s="155">
        <f t="shared" si="3"/>
        <v>0</v>
      </c>
      <c r="N28" s="158"/>
      <c r="O28" s="157">
        <f>ROUND((D28*Trans_Inputs!$C$23),2)</f>
        <v>0</v>
      </c>
      <c r="P28" s="157">
        <f>ROUND((D28*Trans_Inputs!$Q$23),2)</f>
        <v>0</v>
      </c>
      <c r="Q28" s="157">
        <f t="shared" si="4"/>
        <v>0</v>
      </c>
      <c r="R28" s="155">
        <f t="shared" si="5"/>
        <v>0</v>
      </c>
      <c r="S28" s="157">
        <f t="shared" si="6"/>
        <v>0</v>
      </c>
      <c r="T28" s="157">
        <f t="shared" si="7"/>
        <v>0</v>
      </c>
      <c r="U28" s="155">
        <f t="shared" si="8"/>
        <v>0</v>
      </c>
      <c r="V28" s="164"/>
    </row>
    <row r="29" spans="1:22" ht="14.4" customHeight="1" x14ac:dyDescent="0.35">
      <c r="A29" s="152">
        <v>9</v>
      </c>
      <c r="B29" s="152"/>
      <c r="C29" s="117"/>
      <c r="D29" s="168">
        <v>10000</v>
      </c>
      <c r="E29" s="157">
        <f>Trans_Inputs!$H$23</f>
        <v>0</v>
      </c>
      <c r="F29" s="157">
        <f>Trans_Inputs!$V$23</f>
        <v>0</v>
      </c>
      <c r="G29" s="167">
        <f t="shared" si="0"/>
        <v>0</v>
      </c>
      <c r="H29" s="155">
        <f t="shared" si="1"/>
        <v>0</v>
      </c>
      <c r="I29" s="155"/>
      <c r="J29" s="157">
        <f>Trans_Inputs!$I$23</f>
        <v>0</v>
      </c>
      <c r="K29" s="157">
        <f>Trans_Inputs!$W$23</f>
        <v>0</v>
      </c>
      <c r="L29" s="157">
        <f t="shared" si="2"/>
        <v>0</v>
      </c>
      <c r="M29" s="155">
        <f t="shared" si="3"/>
        <v>0</v>
      </c>
      <c r="N29" s="158"/>
      <c r="O29" s="157">
        <f>ROUND((D29*Trans_Inputs!$C$23),2)</f>
        <v>0</v>
      </c>
      <c r="P29" s="157">
        <f>ROUND((D29*Trans_Inputs!$Q$23),2)</f>
        <v>0</v>
      </c>
      <c r="Q29" s="157">
        <f t="shared" si="4"/>
        <v>0</v>
      </c>
      <c r="R29" s="155">
        <f t="shared" si="5"/>
        <v>0</v>
      </c>
      <c r="S29" s="157">
        <f t="shared" si="6"/>
        <v>0</v>
      </c>
      <c r="T29" s="157">
        <f t="shared" si="7"/>
        <v>0</v>
      </c>
      <c r="U29" s="155">
        <f t="shared" si="8"/>
        <v>0</v>
      </c>
      <c r="V29" s="164"/>
    </row>
    <row r="30" spans="1:22" ht="14.4" customHeight="1" x14ac:dyDescent="0.35">
      <c r="A30" s="152">
        <v>10</v>
      </c>
      <c r="B30" s="152"/>
      <c r="C30" s="117"/>
      <c r="D30" s="168">
        <v>15000</v>
      </c>
      <c r="E30" s="157">
        <f>Trans_Inputs!$H$23</f>
        <v>0</v>
      </c>
      <c r="F30" s="157">
        <f>Trans_Inputs!$V$23</f>
        <v>0</v>
      </c>
      <c r="G30" s="167">
        <f t="shared" si="0"/>
        <v>0</v>
      </c>
      <c r="H30" s="155">
        <f t="shared" si="1"/>
        <v>0</v>
      </c>
      <c r="I30" s="155"/>
      <c r="J30" s="157">
        <f>Trans_Inputs!$I$23</f>
        <v>0</v>
      </c>
      <c r="K30" s="157">
        <f>Trans_Inputs!$W$23</f>
        <v>0</v>
      </c>
      <c r="L30" s="157">
        <f t="shared" si="2"/>
        <v>0</v>
      </c>
      <c r="M30" s="155">
        <f t="shared" si="3"/>
        <v>0</v>
      </c>
      <c r="N30" s="158"/>
      <c r="O30" s="157">
        <f>ROUND((D30*Trans_Inputs!$C$23),2)</f>
        <v>0</v>
      </c>
      <c r="P30" s="157">
        <f>ROUND((D30*Trans_Inputs!$Q$23),2)</f>
        <v>0</v>
      </c>
      <c r="Q30" s="157">
        <f t="shared" si="4"/>
        <v>0</v>
      </c>
      <c r="R30" s="155">
        <f t="shared" si="5"/>
        <v>0</v>
      </c>
      <c r="S30" s="157">
        <f t="shared" si="6"/>
        <v>0</v>
      </c>
      <c r="T30" s="157">
        <f t="shared" si="7"/>
        <v>0</v>
      </c>
      <c r="U30" s="155">
        <f t="shared" si="8"/>
        <v>0</v>
      </c>
      <c r="V30" s="164"/>
    </row>
    <row r="31" spans="1:22" ht="14.4" customHeight="1" x14ac:dyDescent="0.35">
      <c r="A31" s="152">
        <v>11</v>
      </c>
      <c r="B31" s="117"/>
      <c r="C31" s="117"/>
      <c r="D31" s="168">
        <v>20000</v>
      </c>
      <c r="E31" s="157">
        <f>Trans_Inputs!$H$23</f>
        <v>0</v>
      </c>
      <c r="F31" s="157">
        <f>Trans_Inputs!$V$23</f>
        <v>0</v>
      </c>
      <c r="G31" s="167">
        <f t="shared" si="0"/>
        <v>0</v>
      </c>
      <c r="H31" s="155">
        <f t="shared" si="1"/>
        <v>0</v>
      </c>
      <c r="I31" s="155"/>
      <c r="J31" s="157">
        <f>Trans_Inputs!$I$23</f>
        <v>0</v>
      </c>
      <c r="K31" s="157">
        <f>Trans_Inputs!$W$23</f>
        <v>0</v>
      </c>
      <c r="L31" s="157">
        <f t="shared" si="2"/>
        <v>0</v>
      </c>
      <c r="M31" s="155">
        <f t="shared" si="3"/>
        <v>0</v>
      </c>
      <c r="N31" s="158"/>
      <c r="O31" s="157">
        <f>ROUND((D31*Trans_Inputs!$C$23),2)</f>
        <v>0</v>
      </c>
      <c r="P31" s="157">
        <f>ROUND((D31*Trans_Inputs!$Q$23),2)</f>
        <v>0</v>
      </c>
      <c r="Q31" s="157">
        <f t="shared" si="4"/>
        <v>0</v>
      </c>
      <c r="R31" s="155">
        <f t="shared" si="5"/>
        <v>0</v>
      </c>
      <c r="S31" s="157">
        <f t="shared" si="6"/>
        <v>0</v>
      </c>
      <c r="T31" s="157">
        <f t="shared" si="7"/>
        <v>0</v>
      </c>
      <c r="U31" s="155">
        <f t="shared" si="8"/>
        <v>0</v>
      </c>
      <c r="V31" s="164"/>
    </row>
    <row r="32" spans="1:22" ht="14.4" customHeight="1" x14ac:dyDescent="0.35">
      <c r="A32" s="152">
        <v>12</v>
      </c>
      <c r="B32" s="117"/>
      <c r="C32" s="117"/>
      <c r="D32" s="168">
        <v>25000</v>
      </c>
      <c r="E32" s="157">
        <f>Trans_Inputs!$H$23</f>
        <v>0</v>
      </c>
      <c r="F32" s="157">
        <f>Trans_Inputs!$V$23</f>
        <v>0</v>
      </c>
      <c r="G32" s="167">
        <f t="shared" si="0"/>
        <v>0</v>
      </c>
      <c r="H32" s="155">
        <f t="shared" si="1"/>
        <v>0</v>
      </c>
      <c r="I32" s="155"/>
      <c r="J32" s="157">
        <f>Trans_Inputs!$I$23</f>
        <v>0</v>
      </c>
      <c r="K32" s="157">
        <f>Trans_Inputs!$W$23</f>
        <v>0</v>
      </c>
      <c r="L32" s="157">
        <f t="shared" si="2"/>
        <v>0</v>
      </c>
      <c r="M32" s="155">
        <f t="shared" si="3"/>
        <v>0</v>
      </c>
      <c r="N32" s="158"/>
      <c r="O32" s="157">
        <f>ROUND((D32*Trans_Inputs!$C$23),2)</f>
        <v>0</v>
      </c>
      <c r="P32" s="157">
        <f>ROUND((D32*Trans_Inputs!$Q$23),2)</f>
        <v>0</v>
      </c>
      <c r="Q32" s="157">
        <f t="shared" si="4"/>
        <v>0</v>
      </c>
      <c r="R32" s="155">
        <f t="shared" si="5"/>
        <v>0</v>
      </c>
      <c r="S32" s="157">
        <f t="shared" si="6"/>
        <v>0</v>
      </c>
      <c r="T32" s="157">
        <f t="shared" si="7"/>
        <v>0</v>
      </c>
      <c r="U32" s="155">
        <f t="shared" si="8"/>
        <v>0</v>
      </c>
      <c r="V32" s="164"/>
    </row>
    <row r="33" spans="1:22" ht="14.4" customHeight="1" x14ac:dyDescent="0.35">
      <c r="A33" s="152">
        <v>13</v>
      </c>
      <c r="B33" s="117"/>
      <c r="C33" s="117"/>
      <c r="D33" s="168">
        <v>30000</v>
      </c>
      <c r="E33" s="157">
        <f>Trans_Inputs!$H$23</f>
        <v>0</v>
      </c>
      <c r="F33" s="157">
        <f>Trans_Inputs!$V$23</f>
        <v>0</v>
      </c>
      <c r="G33" s="167">
        <f t="shared" si="0"/>
        <v>0</v>
      </c>
      <c r="H33" s="155">
        <f t="shared" si="1"/>
        <v>0</v>
      </c>
      <c r="I33" s="155"/>
      <c r="J33" s="157">
        <f>Trans_Inputs!$I$23</f>
        <v>0</v>
      </c>
      <c r="K33" s="157">
        <f>Trans_Inputs!$W$23</f>
        <v>0</v>
      </c>
      <c r="L33" s="157">
        <f t="shared" si="2"/>
        <v>0</v>
      </c>
      <c r="M33" s="155">
        <f t="shared" si="3"/>
        <v>0</v>
      </c>
      <c r="N33" s="164"/>
      <c r="O33" s="157">
        <f>ROUND((D33*Trans_Inputs!$C$23),2)</f>
        <v>0</v>
      </c>
      <c r="P33" s="157">
        <f>ROUND((D33*Trans_Inputs!$Q$23),2)</f>
        <v>0</v>
      </c>
      <c r="Q33" s="157">
        <f t="shared" si="4"/>
        <v>0</v>
      </c>
      <c r="R33" s="155">
        <f t="shared" si="5"/>
        <v>0</v>
      </c>
      <c r="S33" s="157">
        <f t="shared" si="6"/>
        <v>0</v>
      </c>
      <c r="T33" s="157">
        <f t="shared" si="7"/>
        <v>0</v>
      </c>
      <c r="U33" s="155">
        <f t="shared" si="8"/>
        <v>0</v>
      </c>
      <c r="V33" s="164"/>
    </row>
    <row r="34" spans="1:22" ht="14.4" customHeight="1" x14ac:dyDescent="0.35">
      <c r="A34" s="152">
        <v>14</v>
      </c>
      <c r="B34" s="117"/>
      <c r="C34" s="117"/>
      <c r="D34" s="168">
        <v>35000</v>
      </c>
      <c r="E34" s="157">
        <f>Trans_Inputs!$H$23</f>
        <v>0</v>
      </c>
      <c r="F34" s="157">
        <f>Trans_Inputs!$V$23</f>
        <v>0</v>
      </c>
      <c r="G34" s="167">
        <f t="shared" si="0"/>
        <v>0</v>
      </c>
      <c r="H34" s="155">
        <f t="shared" si="1"/>
        <v>0</v>
      </c>
      <c r="I34" s="155"/>
      <c r="J34" s="157">
        <f>Trans_Inputs!$I$23</f>
        <v>0</v>
      </c>
      <c r="K34" s="157">
        <f>Trans_Inputs!$W$23</f>
        <v>0</v>
      </c>
      <c r="L34" s="157">
        <f t="shared" si="2"/>
        <v>0</v>
      </c>
      <c r="M34" s="155">
        <f t="shared" si="3"/>
        <v>0</v>
      </c>
      <c r="N34" s="164"/>
      <c r="O34" s="157">
        <f>ROUND((D34*Trans_Inputs!$C$23),2)</f>
        <v>0</v>
      </c>
      <c r="P34" s="157">
        <f>ROUND((D34*Trans_Inputs!$Q$23),2)</f>
        <v>0</v>
      </c>
      <c r="Q34" s="157">
        <f t="shared" si="4"/>
        <v>0</v>
      </c>
      <c r="R34" s="155">
        <f t="shared" si="5"/>
        <v>0</v>
      </c>
      <c r="S34" s="157">
        <f t="shared" si="6"/>
        <v>0</v>
      </c>
      <c r="T34" s="157">
        <f t="shared" si="7"/>
        <v>0</v>
      </c>
      <c r="U34" s="155">
        <f t="shared" si="8"/>
        <v>0</v>
      </c>
      <c r="V34" s="164"/>
    </row>
    <row r="35" spans="1:22" ht="14.5" x14ac:dyDescent="0.35">
      <c r="A35" s="152">
        <v>15</v>
      </c>
      <c r="B35" s="117"/>
      <c r="C35" s="117"/>
      <c r="D35" s="168">
        <v>40000</v>
      </c>
      <c r="E35" s="157">
        <f>Trans_Inputs!$H$23</f>
        <v>0</v>
      </c>
      <c r="F35" s="157">
        <f>Trans_Inputs!$V$23</f>
        <v>0</v>
      </c>
      <c r="G35" s="167">
        <f t="shared" si="0"/>
        <v>0</v>
      </c>
      <c r="H35" s="155">
        <f t="shared" si="1"/>
        <v>0</v>
      </c>
      <c r="I35" s="155"/>
      <c r="J35" s="157">
        <f>Trans_Inputs!$I$23</f>
        <v>0</v>
      </c>
      <c r="K35" s="157">
        <f>Trans_Inputs!$W$23</f>
        <v>0</v>
      </c>
      <c r="L35" s="157">
        <f t="shared" si="2"/>
        <v>0</v>
      </c>
      <c r="M35" s="155">
        <f t="shared" si="3"/>
        <v>0</v>
      </c>
      <c r="N35" s="164"/>
      <c r="O35" s="157">
        <f>ROUND((D35*Trans_Inputs!$C$23),2)</f>
        <v>0</v>
      </c>
      <c r="P35" s="157">
        <f>ROUND((D35*Trans_Inputs!$Q$23),2)</f>
        <v>0</v>
      </c>
      <c r="Q35" s="157">
        <f t="shared" si="4"/>
        <v>0</v>
      </c>
      <c r="R35" s="155">
        <f t="shared" si="5"/>
        <v>0</v>
      </c>
      <c r="S35" s="157">
        <f t="shared" si="6"/>
        <v>0</v>
      </c>
      <c r="T35" s="157">
        <f t="shared" si="7"/>
        <v>0</v>
      </c>
      <c r="U35" s="155">
        <f t="shared" si="8"/>
        <v>0</v>
      </c>
      <c r="V35" s="164"/>
    </row>
    <row r="36" spans="1:22" ht="14.5" x14ac:dyDescent="0.35">
      <c r="A36" s="152"/>
      <c r="B36" s="117"/>
      <c r="C36" s="117"/>
      <c r="D36" s="172"/>
      <c r="E36" s="164"/>
      <c r="F36" s="164"/>
      <c r="G36" s="157"/>
      <c r="H36" s="158"/>
      <c r="I36" s="158"/>
      <c r="J36" s="158"/>
      <c r="K36" s="158"/>
      <c r="L36" s="158"/>
      <c r="M36" s="158"/>
      <c r="N36" s="164"/>
      <c r="O36" s="177"/>
      <c r="P36" s="164"/>
      <c r="Q36" s="157"/>
      <c r="R36" s="158"/>
      <c r="S36" s="157"/>
      <c r="T36" s="157"/>
      <c r="U36" s="155"/>
      <c r="V36" s="164"/>
    </row>
    <row r="37" spans="1:22" ht="14.5" x14ac:dyDescent="0.35">
      <c r="A37" s="152"/>
      <c r="B37" s="117" t="s">
        <v>142</v>
      </c>
      <c r="C37" s="117"/>
      <c r="D37" s="169">
        <f>ROUND(Trans_Inputs!AT23,0)</f>
        <v>0</v>
      </c>
      <c r="E37" s="152"/>
      <c r="F37" s="152"/>
      <c r="G37" s="171"/>
      <c r="H37" s="170"/>
      <c r="I37" s="170"/>
      <c r="J37" s="170"/>
      <c r="K37" s="170"/>
      <c r="L37" s="170"/>
      <c r="M37" s="170"/>
      <c r="N37" s="152"/>
      <c r="O37" s="152"/>
      <c r="P37" s="152"/>
      <c r="Q37" s="171"/>
      <c r="R37" s="170"/>
      <c r="S37" s="171"/>
      <c r="T37" s="171"/>
      <c r="U37" s="176"/>
      <c r="V37" s="117"/>
    </row>
    <row r="38" spans="1:22" ht="14.5" x14ac:dyDescent="0.35">
      <c r="A38" s="152"/>
      <c r="B38" s="117"/>
      <c r="C38" s="117" t="s">
        <v>215</v>
      </c>
      <c r="D38" s="117"/>
      <c r="E38" s="117"/>
      <c r="F38" s="117"/>
      <c r="G38" s="152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52"/>
      <c r="T38" s="152"/>
      <c r="U38" s="152"/>
      <c r="V38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.1" top="0.75" bottom="0.75" header="0.5" footer="0.5"/>
  <pageSetup scale="8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ED807-A549-43AE-A603-FE38DDC0D350}">
  <sheetPr codeName="Sheet14">
    <tabColor theme="5" tint="0.79998168889431442"/>
    <pageSetUpPr fitToPage="1"/>
  </sheetPr>
  <dimension ref="A1:V39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8.453125" customWidth="1"/>
    <col min="3" max="3" width="9.1796875" bestFit="1" customWidth="1"/>
    <col min="4" max="4" width="10.1796875" bestFit="1" customWidth="1"/>
    <col min="5" max="6" width="8.4531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8" width="9.453125" bestFit="1" customWidth="1"/>
    <col min="19" max="20" width="10.1796875" bestFit="1" customWidth="1"/>
    <col min="21" max="21" width="9.1796875" customWidth="1"/>
    <col min="23" max="23" width="11.54296875" customWidth="1"/>
    <col min="24" max="24" width="7.81640625" customWidth="1"/>
    <col min="25" max="27" width="7.1796875" customWidth="1"/>
    <col min="28" max="29" width="7.81640625" customWidth="1"/>
    <col min="30" max="30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219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92</v>
      </c>
      <c r="C21" s="152" t="s">
        <v>147</v>
      </c>
      <c r="D21" s="168">
        <v>100</v>
      </c>
      <c r="E21" s="157">
        <f>Trans_Inputs!$H$24</f>
        <v>260.11</v>
      </c>
      <c r="F21" s="157">
        <f>Trans_Inputs!$V$24</f>
        <v>600</v>
      </c>
      <c r="G21" s="157">
        <f t="shared" ref="G21:G37" si="0">F21-E21</f>
        <v>339.89</v>
      </c>
      <c r="H21" s="155">
        <f t="shared" ref="H21:H37" si="1">ROUND(G21/E21,3)</f>
        <v>1.3069999999999999</v>
      </c>
      <c r="I21" s="155"/>
      <c r="J21" s="157">
        <f>Trans_Inputs!$I$24</f>
        <v>0</v>
      </c>
      <c r="K21" s="157">
        <f>Trans_Inputs!$W$24</f>
        <v>0</v>
      </c>
      <c r="L21" s="157">
        <f t="shared" ref="L21:L37" si="2">K21-J21</f>
        <v>0</v>
      </c>
      <c r="M21" s="155">
        <f t="shared" ref="M21:M37" si="3">IF(J21=0,0,ROUND(L21/J21,3))</f>
        <v>0</v>
      </c>
      <c r="N21" s="158"/>
      <c r="O21" s="157">
        <f>ROUND((D21*Trans_Inputs!$C$24),2)</f>
        <v>8.67</v>
      </c>
      <c r="P21" s="157">
        <f>ROUND((D21*Trans_Inputs!$Q$24),2)</f>
        <v>8.92</v>
      </c>
      <c r="Q21" s="157">
        <f t="shared" ref="Q21:Q37" si="4">P21-O21</f>
        <v>0.25</v>
      </c>
      <c r="R21" s="155">
        <f t="shared" ref="R21:R37" si="5">ROUND(Q21/O21,3)</f>
        <v>2.9000000000000001E-2</v>
      </c>
      <c r="S21" s="157">
        <f t="shared" ref="S21:S37" si="6">E21+J21+O21</f>
        <v>268.78000000000003</v>
      </c>
      <c r="T21" s="157">
        <f t="shared" ref="T21:T37" si="7">F21+K21+P21</f>
        <v>608.91999999999996</v>
      </c>
      <c r="U21" s="155">
        <f t="shared" ref="U21:U37" si="8">ROUND((T21-S21)/S21,3)</f>
        <v>1.2649999999999999</v>
      </c>
      <c r="V21" s="164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200</v>
      </c>
      <c r="E22" s="157">
        <f>Trans_Inputs!$H$24</f>
        <v>260.11</v>
      </c>
      <c r="F22" s="157">
        <f>Trans_Inputs!$V$24</f>
        <v>600</v>
      </c>
      <c r="G22" s="157">
        <f t="shared" si="0"/>
        <v>339.89</v>
      </c>
      <c r="H22" s="155">
        <f t="shared" si="1"/>
        <v>1.3069999999999999</v>
      </c>
      <c r="I22" s="155"/>
      <c r="J22" s="157">
        <f>Trans_Inputs!$I$24</f>
        <v>0</v>
      </c>
      <c r="K22" s="157">
        <f>Trans_Inputs!$W$24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ROUND((D22*Trans_Inputs!$C$24),2)</f>
        <v>17.34</v>
      </c>
      <c r="P22" s="157">
        <f>ROUND((D22*Trans_Inputs!$Q$24),2)</f>
        <v>17.84</v>
      </c>
      <c r="Q22" s="157">
        <f t="shared" si="4"/>
        <v>0.5</v>
      </c>
      <c r="R22" s="155">
        <f t="shared" si="5"/>
        <v>2.9000000000000001E-2</v>
      </c>
      <c r="S22" s="157">
        <f t="shared" si="6"/>
        <v>277.45</v>
      </c>
      <c r="T22" s="157">
        <f t="shared" si="7"/>
        <v>617.84</v>
      </c>
      <c r="U22" s="155">
        <f t="shared" si="8"/>
        <v>1.2270000000000001</v>
      </c>
      <c r="V22" s="164"/>
    </row>
    <row r="23" spans="1:22" ht="14.4" customHeight="1" x14ac:dyDescent="0.35">
      <c r="A23" s="152">
        <v>3</v>
      </c>
      <c r="B23" s="152" t="s">
        <v>216</v>
      </c>
      <c r="C23" s="117"/>
      <c r="D23" s="168">
        <v>500</v>
      </c>
      <c r="E23" s="157">
        <f>Trans_Inputs!$H$24</f>
        <v>260.11</v>
      </c>
      <c r="F23" s="157">
        <f>Trans_Inputs!$V$24</f>
        <v>600</v>
      </c>
      <c r="G23" s="157">
        <f t="shared" si="0"/>
        <v>339.89</v>
      </c>
      <c r="H23" s="155">
        <f t="shared" si="1"/>
        <v>1.3069999999999999</v>
      </c>
      <c r="I23" s="155"/>
      <c r="J23" s="157">
        <f>Trans_Inputs!$I$24</f>
        <v>0</v>
      </c>
      <c r="K23" s="157">
        <f>Trans_Inputs!$W$24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ROUND((D23*Trans_Inputs!$C$24),2)</f>
        <v>43.35</v>
      </c>
      <c r="P23" s="157">
        <f>ROUND((D23*Trans_Inputs!$Q$24),2)</f>
        <v>44.6</v>
      </c>
      <c r="Q23" s="157">
        <f t="shared" si="4"/>
        <v>1.25</v>
      </c>
      <c r="R23" s="155">
        <f t="shared" si="5"/>
        <v>2.9000000000000001E-2</v>
      </c>
      <c r="S23" s="157">
        <f t="shared" si="6"/>
        <v>303.46000000000004</v>
      </c>
      <c r="T23" s="157">
        <f t="shared" si="7"/>
        <v>644.6</v>
      </c>
      <c r="U23" s="155">
        <f t="shared" si="8"/>
        <v>1.1240000000000001</v>
      </c>
      <c r="V23" s="164"/>
    </row>
    <row r="24" spans="1:22" ht="14.4" customHeight="1" x14ac:dyDescent="0.35">
      <c r="A24" s="152">
        <v>4</v>
      </c>
      <c r="B24" s="152" t="s">
        <v>71</v>
      </c>
      <c r="C24" s="117"/>
      <c r="D24" s="168">
        <v>1000</v>
      </c>
      <c r="E24" s="157">
        <f>Trans_Inputs!$H$24</f>
        <v>260.11</v>
      </c>
      <c r="F24" s="157">
        <f>Trans_Inputs!$V$24</f>
        <v>600</v>
      </c>
      <c r="G24" s="157">
        <f t="shared" si="0"/>
        <v>339.89</v>
      </c>
      <c r="H24" s="155">
        <f t="shared" si="1"/>
        <v>1.3069999999999999</v>
      </c>
      <c r="I24" s="155"/>
      <c r="J24" s="157">
        <f>Trans_Inputs!$I$24</f>
        <v>0</v>
      </c>
      <c r="K24" s="157">
        <f>Trans_Inputs!$W$24</f>
        <v>0</v>
      </c>
      <c r="L24" s="157">
        <f t="shared" si="2"/>
        <v>0</v>
      </c>
      <c r="M24" s="155">
        <f t="shared" si="3"/>
        <v>0</v>
      </c>
      <c r="N24" s="158"/>
      <c r="O24" s="157">
        <f>ROUND((D24*Trans_Inputs!$C$24),2)</f>
        <v>86.7</v>
      </c>
      <c r="P24" s="157">
        <f>ROUND((D24*Trans_Inputs!$Q$24),2)</f>
        <v>89.2</v>
      </c>
      <c r="Q24" s="157">
        <f t="shared" si="4"/>
        <v>2.5</v>
      </c>
      <c r="R24" s="155">
        <f t="shared" si="5"/>
        <v>2.9000000000000001E-2</v>
      </c>
      <c r="S24" s="157">
        <f t="shared" si="6"/>
        <v>346.81</v>
      </c>
      <c r="T24" s="157">
        <f t="shared" si="7"/>
        <v>689.2</v>
      </c>
      <c r="U24" s="155">
        <f t="shared" si="8"/>
        <v>0.98699999999999999</v>
      </c>
      <c r="V24" s="164"/>
    </row>
    <row r="25" spans="1:22" ht="14.4" customHeight="1" x14ac:dyDescent="0.35">
      <c r="A25" s="152">
        <v>5</v>
      </c>
      <c r="B25" s="152" t="s">
        <v>195</v>
      </c>
      <c r="C25" s="117"/>
      <c r="D25" s="168">
        <v>5000</v>
      </c>
      <c r="E25" s="157">
        <f>Trans_Inputs!$H$24</f>
        <v>260.11</v>
      </c>
      <c r="F25" s="157">
        <f>Trans_Inputs!$V$24</f>
        <v>600</v>
      </c>
      <c r="G25" s="157">
        <f t="shared" si="0"/>
        <v>339.89</v>
      </c>
      <c r="H25" s="155">
        <f t="shared" si="1"/>
        <v>1.3069999999999999</v>
      </c>
      <c r="I25" s="155"/>
      <c r="J25" s="157">
        <f>Trans_Inputs!$I$24</f>
        <v>0</v>
      </c>
      <c r="K25" s="157">
        <f>Trans_Inputs!$W$24</f>
        <v>0</v>
      </c>
      <c r="L25" s="157">
        <f t="shared" si="2"/>
        <v>0</v>
      </c>
      <c r="M25" s="155">
        <f t="shared" si="3"/>
        <v>0</v>
      </c>
      <c r="N25" s="158"/>
      <c r="O25" s="157">
        <f>ROUND((D25*Trans_Inputs!$C$24),2)</f>
        <v>433.5</v>
      </c>
      <c r="P25" s="157">
        <f>ROUND((D25*Trans_Inputs!$Q$24),2)</f>
        <v>446</v>
      </c>
      <c r="Q25" s="157">
        <f t="shared" si="4"/>
        <v>12.5</v>
      </c>
      <c r="R25" s="155">
        <f t="shared" si="5"/>
        <v>2.9000000000000001E-2</v>
      </c>
      <c r="S25" s="157">
        <f t="shared" si="6"/>
        <v>693.61</v>
      </c>
      <c r="T25" s="157">
        <f t="shared" si="7"/>
        <v>1046</v>
      </c>
      <c r="U25" s="155">
        <f t="shared" si="8"/>
        <v>0.50800000000000001</v>
      </c>
      <c r="V25" s="164"/>
    </row>
    <row r="26" spans="1:22" ht="14.4" customHeight="1" x14ac:dyDescent="0.35">
      <c r="A26" s="152">
        <v>6</v>
      </c>
      <c r="B26" s="117"/>
      <c r="C26" s="117"/>
      <c r="D26" s="168">
        <v>10000</v>
      </c>
      <c r="E26" s="157">
        <f>Trans_Inputs!$H$24</f>
        <v>260.11</v>
      </c>
      <c r="F26" s="157">
        <f>Trans_Inputs!$V$24</f>
        <v>600</v>
      </c>
      <c r="G26" s="157">
        <f t="shared" si="0"/>
        <v>339.89</v>
      </c>
      <c r="H26" s="155">
        <f t="shared" si="1"/>
        <v>1.3069999999999999</v>
      </c>
      <c r="I26" s="155"/>
      <c r="J26" s="157">
        <f>Trans_Inputs!$I$24</f>
        <v>0</v>
      </c>
      <c r="K26" s="157">
        <f>Trans_Inputs!$W$24</f>
        <v>0</v>
      </c>
      <c r="L26" s="157">
        <f t="shared" si="2"/>
        <v>0</v>
      </c>
      <c r="M26" s="155">
        <f t="shared" si="3"/>
        <v>0</v>
      </c>
      <c r="N26" s="158"/>
      <c r="O26" s="157">
        <f>ROUND((D26*Trans_Inputs!$C$24),2)</f>
        <v>867</v>
      </c>
      <c r="P26" s="157">
        <f>ROUND((D26*Trans_Inputs!$Q$24),2)</f>
        <v>892</v>
      </c>
      <c r="Q26" s="157">
        <f t="shared" si="4"/>
        <v>25</v>
      </c>
      <c r="R26" s="155">
        <f t="shared" si="5"/>
        <v>2.9000000000000001E-2</v>
      </c>
      <c r="S26" s="157">
        <f t="shared" si="6"/>
        <v>1127.1100000000001</v>
      </c>
      <c r="T26" s="157">
        <f t="shared" si="7"/>
        <v>1492</v>
      </c>
      <c r="U26" s="155">
        <f t="shared" si="8"/>
        <v>0.32400000000000001</v>
      </c>
      <c r="V26" s="164"/>
    </row>
    <row r="27" spans="1:22" ht="14.4" customHeight="1" x14ac:dyDescent="0.35">
      <c r="A27" s="152">
        <v>7</v>
      </c>
      <c r="B27" s="117"/>
      <c r="C27" s="117"/>
      <c r="D27" s="168">
        <v>15000</v>
      </c>
      <c r="E27" s="157">
        <f>Trans_Inputs!$H$24</f>
        <v>260.11</v>
      </c>
      <c r="F27" s="157">
        <f>Trans_Inputs!$V$24</f>
        <v>600</v>
      </c>
      <c r="G27" s="157">
        <f t="shared" si="0"/>
        <v>339.89</v>
      </c>
      <c r="H27" s="155">
        <f t="shared" si="1"/>
        <v>1.3069999999999999</v>
      </c>
      <c r="I27" s="155"/>
      <c r="J27" s="157">
        <f>Trans_Inputs!$I$24</f>
        <v>0</v>
      </c>
      <c r="K27" s="157">
        <f>Trans_Inputs!$W$24</f>
        <v>0</v>
      </c>
      <c r="L27" s="157">
        <f t="shared" si="2"/>
        <v>0</v>
      </c>
      <c r="M27" s="155">
        <f t="shared" si="3"/>
        <v>0</v>
      </c>
      <c r="N27" s="158"/>
      <c r="O27" s="157">
        <f>ROUND((D27*Trans_Inputs!$C$24),2)</f>
        <v>1300.5</v>
      </c>
      <c r="P27" s="157">
        <f>ROUND((D27*Trans_Inputs!$Q$24),2)</f>
        <v>1338</v>
      </c>
      <c r="Q27" s="157">
        <f t="shared" si="4"/>
        <v>37.5</v>
      </c>
      <c r="R27" s="155">
        <f t="shared" si="5"/>
        <v>2.9000000000000001E-2</v>
      </c>
      <c r="S27" s="157">
        <f t="shared" si="6"/>
        <v>1560.6100000000001</v>
      </c>
      <c r="T27" s="157">
        <f t="shared" si="7"/>
        <v>1938</v>
      </c>
      <c r="U27" s="155">
        <f t="shared" si="8"/>
        <v>0.24199999999999999</v>
      </c>
      <c r="V27" s="164"/>
    </row>
    <row r="28" spans="1:22" ht="14.4" customHeight="1" x14ac:dyDescent="0.35">
      <c r="A28" s="152">
        <v>8</v>
      </c>
      <c r="B28" s="152"/>
      <c r="C28" s="117"/>
      <c r="D28" s="168">
        <v>20000</v>
      </c>
      <c r="E28" s="157">
        <f>Trans_Inputs!$H$24</f>
        <v>260.11</v>
      </c>
      <c r="F28" s="157">
        <f>Trans_Inputs!$V$24</f>
        <v>600</v>
      </c>
      <c r="G28" s="157">
        <f t="shared" si="0"/>
        <v>339.89</v>
      </c>
      <c r="H28" s="155">
        <f t="shared" si="1"/>
        <v>1.3069999999999999</v>
      </c>
      <c r="I28" s="155"/>
      <c r="J28" s="157">
        <f>Trans_Inputs!$I$24</f>
        <v>0</v>
      </c>
      <c r="K28" s="157">
        <f>Trans_Inputs!$W$24</f>
        <v>0</v>
      </c>
      <c r="L28" s="157">
        <f t="shared" si="2"/>
        <v>0</v>
      </c>
      <c r="M28" s="155">
        <f t="shared" si="3"/>
        <v>0</v>
      </c>
      <c r="N28" s="158"/>
      <c r="O28" s="157">
        <f>ROUND((D28*Trans_Inputs!$C$24),2)</f>
        <v>1734</v>
      </c>
      <c r="P28" s="157">
        <f>ROUND((D28*Trans_Inputs!$Q$24),2)</f>
        <v>1784</v>
      </c>
      <c r="Q28" s="157">
        <f t="shared" si="4"/>
        <v>50</v>
      </c>
      <c r="R28" s="155">
        <f t="shared" si="5"/>
        <v>2.9000000000000001E-2</v>
      </c>
      <c r="S28" s="157">
        <f t="shared" si="6"/>
        <v>1994.1100000000001</v>
      </c>
      <c r="T28" s="157">
        <f t="shared" si="7"/>
        <v>2384</v>
      </c>
      <c r="U28" s="155">
        <f t="shared" si="8"/>
        <v>0.19600000000000001</v>
      </c>
      <c r="V28" s="164"/>
    </row>
    <row r="29" spans="1:22" ht="14.4" customHeight="1" x14ac:dyDescent="0.35">
      <c r="A29" s="152">
        <v>9</v>
      </c>
      <c r="B29" s="152"/>
      <c r="C29" s="117"/>
      <c r="D29" s="168">
        <v>30000</v>
      </c>
      <c r="E29" s="157">
        <f>Trans_Inputs!$H$24</f>
        <v>260.11</v>
      </c>
      <c r="F29" s="157">
        <f>Trans_Inputs!$V$24</f>
        <v>600</v>
      </c>
      <c r="G29" s="157">
        <f t="shared" si="0"/>
        <v>339.89</v>
      </c>
      <c r="H29" s="155">
        <f t="shared" si="1"/>
        <v>1.3069999999999999</v>
      </c>
      <c r="I29" s="155"/>
      <c r="J29" s="157">
        <f>Trans_Inputs!$I$24</f>
        <v>0</v>
      </c>
      <c r="K29" s="157">
        <f>Trans_Inputs!$W$24</f>
        <v>0</v>
      </c>
      <c r="L29" s="157">
        <f t="shared" si="2"/>
        <v>0</v>
      </c>
      <c r="M29" s="155">
        <f t="shared" si="3"/>
        <v>0</v>
      </c>
      <c r="N29" s="158"/>
      <c r="O29" s="157">
        <f>ROUND((D29*Trans_Inputs!$C$24),2)</f>
        <v>2601</v>
      </c>
      <c r="P29" s="157">
        <f>ROUND((D29*Trans_Inputs!$Q$24),2)</f>
        <v>2676</v>
      </c>
      <c r="Q29" s="157">
        <f t="shared" si="4"/>
        <v>75</v>
      </c>
      <c r="R29" s="155">
        <f t="shared" si="5"/>
        <v>2.9000000000000001E-2</v>
      </c>
      <c r="S29" s="157">
        <f t="shared" si="6"/>
        <v>2861.11</v>
      </c>
      <c r="T29" s="157">
        <f t="shared" si="7"/>
        <v>3276</v>
      </c>
      <c r="U29" s="155">
        <f t="shared" si="8"/>
        <v>0.14499999999999999</v>
      </c>
      <c r="V29" s="164"/>
    </row>
    <row r="30" spans="1:22" ht="14.4" customHeight="1" x14ac:dyDescent="0.35">
      <c r="A30" s="152">
        <v>10</v>
      </c>
      <c r="B30" s="117"/>
      <c r="C30" s="117"/>
      <c r="D30" s="168">
        <v>50000</v>
      </c>
      <c r="E30" s="157">
        <f>Trans_Inputs!$H$24</f>
        <v>260.11</v>
      </c>
      <c r="F30" s="157">
        <f>Trans_Inputs!$V$24</f>
        <v>600</v>
      </c>
      <c r="G30" s="157">
        <f t="shared" si="0"/>
        <v>339.89</v>
      </c>
      <c r="H30" s="155">
        <f t="shared" si="1"/>
        <v>1.3069999999999999</v>
      </c>
      <c r="I30" s="155"/>
      <c r="J30" s="157">
        <f>Trans_Inputs!$I$24</f>
        <v>0</v>
      </c>
      <c r="K30" s="157">
        <f>Trans_Inputs!$W$24</f>
        <v>0</v>
      </c>
      <c r="L30" s="157">
        <f t="shared" si="2"/>
        <v>0</v>
      </c>
      <c r="M30" s="155">
        <f t="shared" si="3"/>
        <v>0</v>
      </c>
      <c r="N30" s="158"/>
      <c r="O30" s="157">
        <f>ROUND((D30*Trans_Inputs!$C$24),2)</f>
        <v>4335</v>
      </c>
      <c r="P30" s="157">
        <f>ROUND((D30*Trans_Inputs!$Q$24),2)</f>
        <v>4460</v>
      </c>
      <c r="Q30" s="157">
        <f t="shared" si="4"/>
        <v>125</v>
      </c>
      <c r="R30" s="155">
        <f t="shared" si="5"/>
        <v>2.9000000000000001E-2</v>
      </c>
      <c r="S30" s="157">
        <f t="shared" si="6"/>
        <v>4595.1099999999997</v>
      </c>
      <c r="T30" s="157">
        <f t="shared" si="7"/>
        <v>5060</v>
      </c>
      <c r="U30" s="155">
        <f t="shared" si="8"/>
        <v>0.10100000000000001</v>
      </c>
      <c r="V30" s="164"/>
    </row>
    <row r="31" spans="1:22" ht="14.4" customHeight="1" x14ac:dyDescent="0.35">
      <c r="A31" s="152">
        <v>11</v>
      </c>
      <c r="B31" s="117"/>
      <c r="C31" s="117"/>
      <c r="D31" s="168">
        <v>70000</v>
      </c>
      <c r="E31" s="157">
        <f>Trans_Inputs!$H$24</f>
        <v>260.11</v>
      </c>
      <c r="F31" s="157">
        <f>Trans_Inputs!$V$24</f>
        <v>600</v>
      </c>
      <c r="G31" s="157">
        <f t="shared" si="0"/>
        <v>339.89</v>
      </c>
      <c r="H31" s="155">
        <f t="shared" si="1"/>
        <v>1.3069999999999999</v>
      </c>
      <c r="I31" s="155"/>
      <c r="J31" s="157">
        <f>Trans_Inputs!$I$24</f>
        <v>0</v>
      </c>
      <c r="K31" s="157">
        <f>Trans_Inputs!$W$24</f>
        <v>0</v>
      </c>
      <c r="L31" s="157">
        <f t="shared" si="2"/>
        <v>0</v>
      </c>
      <c r="M31" s="155">
        <f t="shared" si="3"/>
        <v>0</v>
      </c>
      <c r="N31" s="158"/>
      <c r="O31" s="157">
        <f>ROUND((D31*Trans_Inputs!$C$24),2)</f>
        <v>6069</v>
      </c>
      <c r="P31" s="157">
        <f>ROUND((D31*Trans_Inputs!$Q$24),2)</f>
        <v>6244</v>
      </c>
      <c r="Q31" s="157">
        <f t="shared" si="4"/>
        <v>175</v>
      </c>
      <c r="R31" s="155">
        <f t="shared" si="5"/>
        <v>2.9000000000000001E-2</v>
      </c>
      <c r="S31" s="157">
        <f t="shared" si="6"/>
        <v>6329.11</v>
      </c>
      <c r="T31" s="157">
        <f t="shared" si="7"/>
        <v>6844</v>
      </c>
      <c r="U31" s="155">
        <f t="shared" si="8"/>
        <v>8.1000000000000003E-2</v>
      </c>
      <c r="V31" s="164"/>
    </row>
    <row r="32" spans="1:22" ht="14.4" customHeight="1" x14ac:dyDescent="0.35">
      <c r="A32" s="152">
        <v>12</v>
      </c>
      <c r="B32" s="117"/>
      <c r="C32" s="117"/>
      <c r="D32" s="168">
        <v>90000</v>
      </c>
      <c r="E32" s="157">
        <f>Trans_Inputs!$H$24</f>
        <v>260.11</v>
      </c>
      <c r="F32" s="157">
        <f>Trans_Inputs!$V$24</f>
        <v>600</v>
      </c>
      <c r="G32" s="157">
        <f t="shared" si="0"/>
        <v>339.89</v>
      </c>
      <c r="H32" s="155">
        <f t="shared" si="1"/>
        <v>1.3069999999999999</v>
      </c>
      <c r="I32" s="155"/>
      <c r="J32" s="157">
        <f>Trans_Inputs!$I$24</f>
        <v>0</v>
      </c>
      <c r="K32" s="157">
        <f>Trans_Inputs!$W$24</f>
        <v>0</v>
      </c>
      <c r="L32" s="157">
        <f t="shared" si="2"/>
        <v>0</v>
      </c>
      <c r="M32" s="155">
        <f t="shared" si="3"/>
        <v>0</v>
      </c>
      <c r="N32" s="164"/>
      <c r="O32" s="157">
        <f>ROUND((D32*Trans_Inputs!$C$24),2)</f>
        <v>7803</v>
      </c>
      <c r="P32" s="157">
        <f>ROUND((D32*Trans_Inputs!$Q$24),2)</f>
        <v>8028</v>
      </c>
      <c r="Q32" s="157">
        <f t="shared" si="4"/>
        <v>225</v>
      </c>
      <c r="R32" s="155">
        <f t="shared" si="5"/>
        <v>2.9000000000000001E-2</v>
      </c>
      <c r="S32" s="157">
        <f t="shared" si="6"/>
        <v>8063.11</v>
      </c>
      <c r="T32" s="157">
        <f t="shared" si="7"/>
        <v>8628</v>
      </c>
      <c r="U32" s="155">
        <f t="shared" si="8"/>
        <v>7.0000000000000007E-2</v>
      </c>
      <c r="V32" s="164"/>
    </row>
    <row r="33" spans="1:22" ht="14.4" customHeight="1" x14ac:dyDescent="0.35">
      <c r="A33" s="152">
        <v>13</v>
      </c>
      <c r="B33" s="117"/>
      <c r="C33" s="117"/>
      <c r="D33" s="168">
        <v>110000</v>
      </c>
      <c r="E33" s="157">
        <f>Trans_Inputs!$H$24</f>
        <v>260.11</v>
      </c>
      <c r="F33" s="157">
        <f>Trans_Inputs!$V$24</f>
        <v>600</v>
      </c>
      <c r="G33" s="157">
        <f t="shared" si="0"/>
        <v>339.89</v>
      </c>
      <c r="H33" s="155">
        <f t="shared" si="1"/>
        <v>1.3069999999999999</v>
      </c>
      <c r="I33" s="155"/>
      <c r="J33" s="157">
        <f>Trans_Inputs!$I$24</f>
        <v>0</v>
      </c>
      <c r="K33" s="157">
        <f>Trans_Inputs!$W$24</f>
        <v>0</v>
      </c>
      <c r="L33" s="157">
        <f t="shared" si="2"/>
        <v>0</v>
      </c>
      <c r="M33" s="155">
        <f t="shared" si="3"/>
        <v>0</v>
      </c>
      <c r="N33" s="164"/>
      <c r="O33" s="157">
        <f>ROUND((D33*Trans_Inputs!$C$24),2)</f>
        <v>9537</v>
      </c>
      <c r="P33" s="157">
        <f>ROUND((D33*Trans_Inputs!$Q$24),2)</f>
        <v>9812</v>
      </c>
      <c r="Q33" s="157">
        <f t="shared" si="4"/>
        <v>275</v>
      </c>
      <c r="R33" s="155">
        <f t="shared" si="5"/>
        <v>2.9000000000000001E-2</v>
      </c>
      <c r="S33" s="157">
        <f t="shared" si="6"/>
        <v>9797.11</v>
      </c>
      <c r="T33" s="157">
        <f t="shared" si="7"/>
        <v>10412</v>
      </c>
      <c r="U33" s="155">
        <f t="shared" si="8"/>
        <v>6.3E-2</v>
      </c>
      <c r="V33" s="164"/>
    </row>
    <row r="34" spans="1:22" ht="14.4" customHeight="1" x14ac:dyDescent="0.35">
      <c r="A34" s="152">
        <v>14</v>
      </c>
      <c r="B34" s="117"/>
      <c r="C34" s="117"/>
      <c r="D34" s="168">
        <v>120000</v>
      </c>
      <c r="E34" s="157">
        <f>Trans_Inputs!$H$24</f>
        <v>260.11</v>
      </c>
      <c r="F34" s="157">
        <f>Trans_Inputs!$V$24</f>
        <v>600</v>
      </c>
      <c r="G34" s="157">
        <f t="shared" si="0"/>
        <v>339.89</v>
      </c>
      <c r="H34" s="155">
        <f t="shared" si="1"/>
        <v>1.3069999999999999</v>
      </c>
      <c r="I34" s="155"/>
      <c r="J34" s="157">
        <f>Trans_Inputs!$I$24</f>
        <v>0</v>
      </c>
      <c r="K34" s="157">
        <f>Trans_Inputs!$W$24</f>
        <v>0</v>
      </c>
      <c r="L34" s="157">
        <f t="shared" si="2"/>
        <v>0</v>
      </c>
      <c r="M34" s="155">
        <f t="shared" si="3"/>
        <v>0</v>
      </c>
      <c r="N34" s="164"/>
      <c r="O34" s="157">
        <f>ROUND((D34*Trans_Inputs!$C$24),2)</f>
        <v>10404</v>
      </c>
      <c r="P34" s="157">
        <f>ROUND((D34*Trans_Inputs!$Q$24),2)</f>
        <v>10704</v>
      </c>
      <c r="Q34" s="157">
        <f t="shared" si="4"/>
        <v>300</v>
      </c>
      <c r="R34" s="155">
        <f t="shared" si="5"/>
        <v>2.9000000000000001E-2</v>
      </c>
      <c r="S34" s="157">
        <f t="shared" si="6"/>
        <v>10664.11</v>
      </c>
      <c r="T34" s="157">
        <f t="shared" si="7"/>
        <v>11304</v>
      </c>
      <c r="U34" s="155">
        <f t="shared" si="8"/>
        <v>0.06</v>
      </c>
      <c r="V34" s="164"/>
    </row>
    <row r="35" spans="1:22" ht="14.5" x14ac:dyDescent="0.35">
      <c r="A35" s="152">
        <v>15</v>
      </c>
      <c r="B35" s="117"/>
      <c r="C35" s="117"/>
      <c r="D35" s="168">
        <v>130000</v>
      </c>
      <c r="E35" s="157">
        <f>Trans_Inputs!$H$24</f>
        <v>260.11</v>
      </c>
      <c r="F35" s="157">
        <f>Trans_Inputs!$V$24</f>
        <v>600</v>
      </c>
      <c r="G35" s="157">
        <f t="shared" si="0"/>
        <v>339.89</v>
      </c>
      <c r="H35" s="155">
        <f t="shared" si="1"/>
        <v>1.3069999999999999</v>
      </c>
      <c r="I35" s="155"/>
      <c r="J35" s="157">
        <f>Trans_Inputs!$I$24</f>
        <v>0</v>
      </c>
      <c r="K35" s="157">
        <f>Trans_Inputs!$W$24</f>
        <v>0</v>
      </c>
      <c r="L35" s="157">
        <f t="shared" si="2"/>
        <v>0</v>
      </c>
      <c r="M35" s="155">
        <f t="shared" si="3"/>
        <v>0</v>
      </c>
      <c r="N35" s="164"/>
      <c r="O35" s="157">
        <f>ROUND((D35*Trans_Inputs!$C$24),2)</f>
        <v>11271</v>
      </c>
      <c r="P35" s="157">
        <f>ROUND((D35*Trans_Inputs!$Q$24),2)</f>
        <v>11596</v>
      </c>
      <c r="Q35" s="157">
        <f t="shared" si="4"/>
        <v>325</v>
      </c>
      <c r="R35" s="155">
        <f t="shared" si="5"/>
        <v>2.9000000000000001E-2</v>
      </c>
      <c r="S35" s="157">
        <f t="shared" si="6"/>
        <v>11531.11</v>
      </c>
      <c r="T35" s="157">
        <f t="shared" si="7"/>
        <v>12196</v>
      </c>
      <c r="U35" s="155">
        <f t="shared" si="8"/>
        <v>5.8000000000000003E-2</v>
      </c>
      <c r="V35" s="164"/>
    </row>
    <row r="36" spans="1:22" ht="14.5" x14ac:dyDescent="0.35">
      <c r="A36" s="152">
        <v>16</v>
      </c>
      <c r="B36" s="117"/>
      <c r="C36" s="117"/>
      <c r="D36" s="168">
        <v>150000</v>
      </c>
      <c r="E36" s="157">
        <f>Trans_Inputs!$H$24</f>
        <v>260.11</v>
      </c>
      <c r="F36" s="157">
        <f>Trans_Inputs!$V$24</f>
        <v>600</v>
      </c>
      <c r="G36" s="157">
        <f t="shared" si="0"/>
        <v>339.89</v>
      </c>
      <c r="H36" s="155">
        <f t="shared" si="1"/>
        <v>1.3069999999999999</v>
      </c>
      <c r="I36" s="155"/>
      <c r="J36" s="157">
        <f>Trans_Inputs!$I$24</f>
        <v>0</v>
      </c>
      <c r="K36" s="157">
        <f>Trans_Inputs!$W$24</f>
        <v>0</v>
      </c>
      <c r="L36" s="157">
        <f t="shared" si="2"/>
        <v>0</v>
      </c>
      <c r="M36" s="155">
        <f t="shared" si="3"/>
        <v>0</v>
      </c>
      <c r="N36" s="164"/>
      <c r="O36" s="157">
        <f>ROUND((D36*Trans_Inputs!$C$24),2)</f>
        <v>13005</v>
      </c>
      <c r="P36" s="157">
        <f>ROUND((D36*Trans_Inputs!$Q$24),2)</f>
        <v>13380</v>
      </c>
      <c r="Q36" s="157">
        <f t="shared" si="4"/>
        <v>375</v>
      </c>
      <c r="R36" s="155">
        <f t="shared" si="5"/>
        <v>2.9000000000000001E-2</v>
      </c>
      <c r="S36" s="157">
        <f t="shared" si="6"/>
        <v>13265.11</v>
      </c>
      <c r="T36" s="157">
        <f t="shared" si="7"/>
        <v>13980</v>
      </c>
      <c r="U36" s="155">
        <f t="shared" si="8"/>
        <v>5.3999999999999999E-2</v>
      </c>
      <c r="V36" s="164"/>
    </row>
    <row r="37" spans="1:22" ht="14.5" x14ac:dyDescent="0.35">
      <c r="A37" s="152">
        <v>17</v>
      </c>
      <c r="B37" s="117"/>
      <c r="C37" s="117"/>
      <c r="D37" s="168">
        <f>+D39</f>
        <v>193630</v>
      </c>
      <c r="E37" s="157">
        <f>Trans_Inputs!$H$24</f>
        <v>260.11</v>
      </c>
      <c r="F37" s="157">
        <f>Trans_Inputs!$V$24</f>
        <v>600</v>
      </c>
      <c r="G37" s="157">
        <f t="shared" si="0"/>
        <v>339.89</v>
      </c>
      <c r="H37" s="155">
        <f t="shared" si="1"/>
        <v>1.3069999999999999</v>
      </c>
      <c r="I37" s="155"/>
      <c r="J37" s="157">
        <f>Trans_Inputs!$I$24</f>
        <v>0</v>
      </c>
      <c r="K37" s="157">
        <f>Trans_Inputs!$W$24</f>
        <v>0</v>
      </c>
      <c r="L37" s="157">
        <f t="shared" si="2"/>
        <v>0</v>
      </c>
      <c r="M37" s="155">
        <f t="shared" si="3"/>
        <v>0</v>
      </c>
      <c r="N37" s="164"/>
      <c r="O37" s="157">
        <f>ROUND((D37*Trans_Inputs!$C$24),2)</f>
        <v>16787.72</v>
      </c>
      <c r="P37" s="157">
        <f>ROUND((D37*Trans_Inputs!$Q$24),2)</f>
        <v>17271.8</v>
      </c>
      <c r="Q37" s="157">
        <f t="shared" si="4"/>
        <v>484.07999999999811</v>
      </c>
      <c r="R37" s="155">
        <f t="shared" si="5"/>
        <v>2.9000000000000001E-2</v>
      </c>
      <c r="S37" s="157">
        <f t="shared" si="6"/>
        <v>17047.830000000002</v>
      </c>
      <c r="T37" s="157">
        <f t="shared" si="7"/>
        <v>17871.8</v>
      </c>
      <c r="U37" s="155">
        <f t="shared" si="8"/>
        <v>4.8000000000000001E-2</v>
      </c>
      <c r="V37" s="164"/>
    </row>
    <row r="38" spans="1:22" ht="14.5" x14ac:dyDescent="0.35">
      <c r="A38" s="152"/>
      <c r="B38" s="117"/>
      <c r="C38" s="117"/>
      <c r="D38" s="117"/>
      <c r="E38" s="117"/>
      <c r="F38" s="117"/>
      <c r="G38" s="152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52"/>
      <c r="T38" s="152"/>
      <c r="U38" s="176"/>
      <c r="V38" s="117"/>
    </row>
    <row r="39" spans="1:22" ht="14.5" x14ac:dyDescent="0.35">
      <c r="A39" s="152"/>
      <c r="B39" s="117" t="s">
        <v>142</v>
      </c>
      <c r="C39" s="117"/>
      <c r="D39" s="178">
        <f>ROUND(Trans_Inputs!AT24,0)</f>
        <v>193630</v>
      </c>
      <c r="E39" s="117"/>
      <c r="F39" s="117"/>
      <c r="G39" s="152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52"/>
      <c r="T39" s="152"/>
      <c r="U39" s="152"/>
      <c r="V39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.1" top="0.75" bottom="0.75" header="0.5" footer="0.5"/>
  <pageSetup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N73"/>
  <sheetViews>
    <sheetView tabSelected="1" workbookViewId="0">
      <selection activeCell="D5" sqref="D5"/>
    </sheetView>
  </sheetViews>
  <sheetFormatPr defaultColWidth="9.1796875" defaultRowHeight="14.9" customHeight="1" x14ac:dyDescent="0.35"/>
  <cols>
    <col min="1" max="1" width="1.54296875" customWidth="1"/>
    <col min="2" max="2" width="34.1796875" bestFit="1" customWidth="1"/>
    <col min="3" max="9" width="14.54296875" customWidth="1"/>
    <col min="10" max="10" width="11.81640625" bestFit="1" customWidth="1"/>
    <col min="11" max="11" width="0.81640625" customWidth="1"/>
    <col min="12" max="12" width="16.453125" customWidth="1"/>
    <col min="13" max="13" width="32.1796875" bestFit="1" customWidth="1"/>
    <col min="14" max="14" width="9.1796875" customWidth="1"/>
  </cols>
  <sheetData>
    <row r="1" spans="1:14" ht="14.5" x14ac:dyDescent="0.35">
      <c r="A1" s="3"/>
      <c r="B1" s="3"/>
      <c r="C1" s="3"/>
      <c r="D1" s="3"/>
      <c r="E1" s="3"/>
      <c r="F1" s="3"/>
      <c r="G1" s="3"/>
      <c r="H1" s="3"/>
      <c r="I1" s="3"/>
      <c r="J1" s="4"/>
      <c r="K1" s="4"/>
      <c r="L1" s="3"/>
      <c r="M1" s="3"/>
      <c r="N1" s="3"/>
    </row>
    <row r="2" spans="1:14" ht="14.5" x14ac:dyDescent="0.35">
      <c r="A2" s="2" t="s">
        <v>56</v>
      </c>
      <c r="B2" s="3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3"/>
    </row>
    <row r="3" spans="1:14" ht="14.5" x14ac:dyDescent="0.35">
      <c r="A3" s="2" t="s">
        <v>57</v>
      </c>
      <c r="B3" s="3"/>
      <c r="C3" s="3"/>
      <c r="D3" s="3"/>
      <c r="E3" s="3"/>
      <c r="F3" s="3"/>
      <c r="G3" s="3"/>
      <c r="H3" s="3"/>
      <c r="I3" s="3"/>
      <c r="J3" s="4"/>
      <c r="K3" s="4"/>
      <c r="L3" s="3"/>
      <c r="M3" s="3"/>
      <c r="N3" s="3"/>
    </row>
    <row r="4" spans="1:14" ht="14.5" x14ac:dyDescent="0.35">
      <c r="A4" s="2" t="s">
        <v>332</v>
      </c>
      <c r="B4" s="3"/>
      <c r="C4" s="3"/>
      <c r="D4" s="3"/>
      <c r="E4" s="3"/>
      <c r="F4" s="3"/>
      <c r="G4" s="3"/>
      <c r="H4" s="3"/>
      <c r="I4" s="3"/>
      <c r="J4" s="4"/>
      <c r="K4" s="4"/>
      <c r="L4" s="37" t="s">
        <v>0</v>
      </c>
      <c r="M4" s="38"/>
      <c r="N4" s="3"/>
    </row>
    <row r="5" spans="1:14" ht="14.5" x14ac:dyDescent="0.35">
      <c r="A5" s="2" t="s">
        <v>344</v>
      </c>
      <c r="B5" s="3"/>
      <c r="C5" s="3"/>
      <c r="D5" s="3"/>
      <c r="E5" s="3"/>
      <c r="F5" s="3"/>
      <c r="G5" s="3"/>
      <c r="H5" s="3"/>
      <c r="I5" s="3"/>
      <c r="J5" s="3"/>
      <c r="K5" s="3"/>
      <c r="L5" s="39">
        <v>4</v>
      </c>
      <c r="M5" s="40" t="str">
        <f>VLOOKUP(L5,'Revenue Spread'!B7:C21,2,FALSE)</f>
        <v>Stipulation Scaled to Proposed Spread</v>
      </c>
      <c r="N5" s="3"/>
    </row>
    <row r="6" spans="1:14" ht="15" thickBo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.5" x14ac:dyDescent="0.35">
      <c r="A7" s="3"/>
      <c r="B7" s="41"/>
      <c r="C7" s="42" t="s">
        <v>1</v>
      </c>
      <c r="D7" s="43"/>
      <c r="E7" s="44"/>
      <c r="F7" s="42" t="s">
        <v>2</v>
      </c>
      <c r="G7" s="45"/>
      <c r="H7" s="43" t="s">
        <v>3</v>
      </c>
      <c r="I7" s="45"/>
      <c r="J7" s="281" t="s">
        <v>324</v>
      </c>
      <c r="K7" s="3"/>
      <c r="L7" s="3"/>
      <c r="M7" s="3"/>
      <c r="N7" s="3"/>
    </row>
    <row r="8" spans="1:14" ht="14.5" x14ac:dyDescent="0.35">
      <c r="A8" s="3"/>
      <c r="B8" s="46"/>
      <c r="C8" s="47"/>
      <c r="D8" s="48" t="s">
        <v>4</v>
      </c>
      <c r="E8" s="49"/>
      <c r="F8" s="50" t="s">
        <v>5</v>
      </c>
      <c r="G8" s="51"/>
      <c r="H8" s="47"/>
      <c r="I8" s="52" t="s">
        <v>328</v>
      </c>
      <c r="J8" s="282" t="s">
        <v>323</v>
      </c>
      <c r="K8" s="3"/>
      <c r="L8" s="3"/>
      <c r="M8" s="3"/>
      <c r="N8" s="3"/>
    </row>
    <row r="9" spans="1:14" ht="15" thickBot="1" x14ac:dyDescent="0.4">
      <c r="A9" s="3"/>
      <c r="B9" s="53" t="s">
        <v>6</v>
      </c>
      <c r="C9" s="54" t="s">
        <v>7</v>
      </c>
      <c r="D9" s="55" t="s">
        <v>8</v>
      </c>
      <c r="E9" s="56" t="s">
        <v>9</v>
      </c>
      <c r="F9" s="57" t="s">
        <v>8</v>
      </c>
      <c r="G9" s="58" t="s">
        <v>9</v>
      </c>
      <c r="H9" s="59" t="s">
        <v>10</v>
      </c>
      <c r="I9" s="58" t="s">
        <v>11</v>
      </c>
      <c r="J9" s="283" t="s">
        <v>52</v>
      </c>
      <c r="K9" s="3"/>
      <c r="L9" s="3"/>
      <c r="M9" s="3"/>
      <c r="N9" s="3"/>
    </row>
    <row r="10" spans="1:14" ht="14.5" x14ac:dyDescent="0.35">
      <c r="A10" s="3"/>
      <c r="B10" s="60"/>
      <c r="C10" s="30"/>
      <c r="D10" s="30"/>
      <c r="E10" s="30"/>
      <c r="F10" s="61"/>
      <c r="G10" s="62"/>
      <c r="H10" s="30"/>
      <c r="I10" s="285"/>
      <c r="J10" s="286"/>
      <c r="K10" s="3"/>
      <c r="L10" s="3"/>
      <c r="M10" s="3"/>
      <c r="N10" s="3"/>
    </row>
    <row r="11" spans="1:14" ht="16" x14ac:dyDescent="0.5">
      <c r="A11" s="3"/>
      <c r="B11" s="10" t="s">
        <v>27</v>
      </c>
      <c r="C11" s="3"/>
      <c r="D11" s="3"/>
      <c r="E11" s="3"/>
      <c r="F11" s="6"/>
      <c r="G11" s="7"/>
      <c r="H11" s="3"/>
      <c r="I11" s="287"/>
      <c r="J11" s="288"/>
      <c r="K11" s="3"/>
      <c r="L11" s="3"/>
      <c r="M11" s="3"/>
      <c r="N11" s="3"/>
    </row>
    <row r="12" spans="1:14" ht="14.5" x14ac:dyDescent="0.35">
      <c r="A12" s="3"/>
      <c r="B12" s="63" t="s">
        <v>40</v>
      </c>
      <c r="C12" s="27">
        <v>1506554</v>
      </c>
      <c r="D12" s="36">
        <v>19.75</v>
      </c>
      <c r="E12" s="13">
        <f>ROUND(C12*D12,2)</f>
        <v>29754441.5</v>
      </c>
      <c r="F12" s="64">
        <f>Input_Entry!E31</f>
        <v>21.25</v>
      </c>
      <c r="G12" s="12">
        <f>ROUND(C12*F12,2)</f>
        <v>32014272.5</v>
      </c>
      <c r="H12" s="13">
        <f>ROUND(G12-E12,2)</f>
        <v>2259831</v>
      </c>
      <c r="I12" s="289">
        <f>H12/E12</f>
        <v>7.5949367088607597E-2</v>
      </c>
      <c r="J12" s="288"/>
      <c r="K12" s="3"/>
      <c r="L12" s="3"/>
      <c r="M12" s="3"/>
      <c r="N12" s="3"/>
    </row>
    <row r="13" spans="1:14" ht="14.5" x14ac:dyDescent="0.35">
      <c r="A13" s="3"/>
      <c r="B13" s="63" t="s">
        <v>12</v>
      </c>
      <c r="C13" s="27">
        <v>8282858.7999999998</v>
      </c>
      <c r="D13" s="65">
        <v>5.2527999999999997</v>
      </c>
      <c r="E13" s="13">
        <f>ROUND(C13*D13,2)</f>
        <v>43508200.700000003</v>
      </c>
      <c r="F13" s="24">
        <f>ROUND((L22-G12-SUM(G14:G20))/C13,4)</f>
        <v>6.0972999999999997</v>
      </c>
      <c r="G13" s="12">
        <f>ROUND(C13*F13,2)</f>
        <v>50503074.960000001</v>
      </c>
      <c r="H13" s="14">
        <f>ROUND(G13-E13,2)</f>
        <v>6994874.2599999998</v>
      </c>
      <c r="I13" s="289">
        <f>H13/E13</f>
        <v>0.16077139820677527</v>
      </c>
      <c r="J13" s="288"/>
      <c r="K13" s="3"/>
      <c r="L13" s="3"/>
      <c r="M13" s="3"/>
      <c r="N13" s="3"/>
    </row>
    <row r="14" spans="1:14" ht="14.5" x14ac:dyDescent="0.35">
      <c r="A14" s="3"/>
      <c r="B14" s="63" t="s">
        <v>42</v>
      </c>
      <c r="C14" s="27"/>
      <c r="D14" s="65"/>
      <c r="E14" s="13">
        <v>2168.5700000000002</v>
      </c>
      <c r="F14" s="24"/>
      <c r="G14" s="12">
        <f t="shared" ref="G14:G20" si="0">E14</f>
        <v>2168.5700000000002</v>
      </c>
      <c r="H14" s="14">
        <f t="shared" ref="H14:H21" si="1">ROUND(G14-E14,2)</f>
        <v>0</v>
      </c>
      <c r="I14" s="289">
        <f>H14/E14</f>
        <v>0</v>
      </c>
      <c r="J14" s="288"/>
      <c r="K14" s="3"/>
      <c r="L14" s="3"/>
      <c r="M14" s="3"/>
      <c r="N14" s="3"/>
    </row>
    <row r="15" spans="1:14" ht="14.5" x14ac:dyDescent="0.35">
      <c r="A15" s="3"/>
      <c r="B15" s="63" t="s">
        <v>43</v>
      </c>
      <c r="C15" s="27"/>
      <c r="D15" s="65"/>
      <c r="E15" s="13">
        <v>385.2399999999999</v>
      </c>
      <c r="F15" s="24"/>
      <c r="G15" s="12">
        <f t="shared" si="0"/>
        <v>385.2399999999999</v>
      </c>
      <c r="H15" s="14">
        <f t="shared" si="1"/>
        <v>0</v>
      </c>
      <c r="I15" s="289">
        <f>H15/E15</f>
        <v>0</v>
      </c>
      <c r="J15" s="288"/>
      <c r="K15" s="3"/>
      <c r="L15" s="3"/>
      <c r="M15" s="3"/>
      <c r="N15" s="3"/>
    </row>
    <row r="16" spans="1:14" ht="14.5" x14ac:dyDescent="0.35">
      <c r="A16" s="3"/>
      <c r="B16" s="63" t="s">
        <v>44</v>
      </c>
      <c r="C16" s="27"/>
      <c r="D16" s="65"/>
      <c r="E16" s="13">
        <v>0</v>
      </c>
      <c r="F16" s="24"/>
      <c r="G16" s="12">
        <f t="shared" si="0"/>
        <v>0</v>
      </c>
      <c r="H16" s="14">
        <f t="shared" si="1"/>
        <v>0</v>
      </c>
      <c r="I16" s="289"/>
      <c r="J16" s="288"/>
      <c r="K16" s="3"/>
      <c r="L16" s="3"/>
      <c r="M16" s="3"/>
      <c r="N16" s="3"/>
    </row>
    <row r="17" spans="1:14" ht="14.5" x14ac:dyDescent="0.35">
      <c r="A17" s="3"/>
      <c r="B17" s="63" t="s">
        <v>45</v>
      </c>
      <c r="C17" s="27"/>
      <c r="D17" s="65"/>
      <c r="E17" s="13">
        <v>118.43999999999998</v>
      </c>
      <c r="F17" s="24"/>
      <c r="G17" s="12">
        <f t="shared" si="0"/>
        <v>118.43999999999998</v>
      </c>
      <c r="H17" s="14">
        <f t="shared" si="1"/>
        <v>0</v>
      </c>
      <c r="I17" s="289">
        <f>H17/E17</f>
        <v>0</v>
      </c>
      <c r="J17" s="288"/>
      <c r="K17" s="3"/>
      <c r="L17" s="3"/>
      <c r="M17" s="3"/>
      <c r="N17" s="3"/>
    </row>
    <row r="18" spans="1:14" ht="14.5" x14ac:dyDescent="0.35">
      <c r="A18" s="3"/>
      <c r="B18" s="63" t="s">
        <v>46</v>
      </c>
      <c r="C18" s="27"/>
      <c r="D18" s="65"/>
      <c r="E18" s="13">
        <v>190.49</v>
      </c>
      <c r="F18" s="24"/>
      <c r="G18" s="12">
        <f t="shared" si="0"/>
        <v>190.49</v>
      </c>
      <c r="H18" s="14">
        <f t="shared" si="1"/>
        <v>0</v>
      </c>
      <c r="I18" s="289">
        <f>H18/E18</f>
        <v>0</v>
      </c>
      <c r="J18" s="288"/>
      <c r="K18" s="3"/>
      <c r="L18" s="3"/>
      <c r="M18" s="3"/>
      <c r="N18" s="3"/>
    </row>
    <row r="19" spans="1:14" ht="14.5" x14ac:dyDescent="0.35">
      <c r="A19" s="3"/>
      <c r="B19" s="63" t="s">
        <v>47</v>
      </c>
      <c r="C19" s="27"/>
      <c r="D19" s="65"/>
      <c r="E19" s="13">
        <v>137.92999999999998</v>
      </c>
      <c r="F19" s="24"/>
      <c r="G19" s="12">
        <f t="shared" si="0"/>
        <v>137.92999999999998</v>
      </c>
      <c r="H19" s="14">
        <f t="shared" si="1"/>
        <v>0</v>
      </c>
      <c r="I19" s="289">
        <f>H19/E19</f>
        <v>0</v>
      </c>
      <c r="J19" s="288"/>
      <c r="K19" s="3"/>
      <c r="L19" s="3"/>
      <c r="M19" s="3"/>
      <c r="N19" s="3"/>
    </row>
    <row r="20" spans="1:14" ht="14.5" x14ac:dyDescent="0.35">
      <c r="A20" s="3"/>
      <c r="B20" s="63" t="s">
        <v>48</v>
      </c>
      <c r="C20" s="27"/>
      <c r="D20" s="65"/>
      <c r="E20" s="13">
        <v>0</v>
      </c>
      <c r="F20" s="24"/>
      <c r="G20" s="12">
        <f t="shared" si="0"/>
        <v>0</v>
      </c>
      <c r="H20" s="14">
        <f t="shared" si="1"/>
        <v>0</v>
      </c>
      <c r="I20" s="289"/>
      <c r="J20" s="288"/>
      <c r="K20" s="3"/>
      <c r="L20" s="3"/>
      <c r="M20" s="3"/>
      <c r="N20" s="3"/>
    </row>
    <row r="21" spans="1:14" ht="16.5" thickBot="1" x14ac:dyDescent="0.55000000000000004">
      <c r="A21" s="3"/>
      <c r="B21" s="63" t="s">
        <v>13</v>
      </c>
      <c r="C21" s="27"/>
      <c r="D21" s="66"/>
      <c r="E21" s="67"/>
      <c r="F21" s="68"/>
      <c r="G21" s="12">
        <f>ROUND(L23,2)</f>
        <v>82.6</v>
      </c>
      <c r="H21" s="13">
        <f t="shared" si="1"/>
        <v>82.6</v>
      </c>
      <c r="I21" s="290"/>
      <c r="J21" s="288"/>
      <c r="K21" s="3"/>
      <c r="L21" s="17">
        <f>SUM(G12:G20)</f>
        <v>82520348.129999995</v>
      </c>
      <c r="M21" s="3"/>
      <c r="N21" s="3"/>
    </row>
    <row r="22" spans="1:14" ht="16.5" thickBot="1" x14ac:dyDescent="0.55000000000000004">
      <c r="A22" s="3"/>
      <c r="B22" s="69" t="str">
        <f>"Total "&amp;B11&amp;" Revenue"</f>
        <v>Total GSR/GTR Revenue</v>
      </c>
      <c r="C22" s="70"/>
      <c r="D22" s="70"/>
      <c r="E22" s="15">
        <f>SUM(E12:E21)</f>
        <v>73265642.86999999</v>
      </c>
      <c r="F22" s="71"/>
      <c r="G22" s="15">
        <f>SUM(G12:G21)</f>
        <v>82520430.729999989</v>
      </c>
      <c r="H22" s="16">
        <f>SUM(H12:H21)</f>
        <v>9254787.8599999994</v>
      </c>
      <c r="I22" s="299">
        <f>H22/E22</f>
        <v>0.12631825092180482</v>
      </c>
      <c r="J22" s="301">
        <f>H22/$H$66</f>
        <v>0.64660013805225891</v>
      </c>
      <c r="K22" s="3"/>
      <c r="L22" s="72">
        <f>CHOOSE($L$5,'Revenue Spread'!$E$7,'Revenue Spread'!$E$9,'Revenue Spread'!$E$15,'Revenue Spread'!$E$18,'Revenue Spread'!$E$21)</f>
        <v>82520430.729465559</v>
      </c>
      <c r="M22" s="73" t="s">
        <v>14</v>
      </c>
      <c r="N22" s="3"/>
    </row>
    <row r="23" spans="1:14" ht="17" thickTop="1" thickBot="1" x14ac:dyDescent="0.55000000000000004">
      <c r="A23" s="3"/>
      <c r="B23" s="69"/>
      <c r="C23" s="74"/>
      <c r="D23" s="74"/>
      <c r="E23" s="75"/>
      <c r="F23" s="76"/>
      <c r="G23" s="77"/>
      <c r="H23" s="75"/>
      <c r="I23" s="289"/>
      <c r="J23" s="291"/>
      <c r="K23" s="3"/>
      <c r="L23" s="18">
        <f>L22-L21</f>
        <v>82.599465563893318</v>
      </c>
      <c r="M23" s="78" t="s">
        <v>13</v>
      </c>
      <c r="N23" s="3"/>
    </row>
    <row r="24" spans="1:14" ht="14.5" x14ac:dyDescent="0.35">
      <c r="A24" s="3"/>
      <c r="B24" s="60"/>
      <c r="C24" s="30"/>
      <c r="D24" s="30"/>
      <c r="E24" s="79"/>
      <c r="F24" s="61"/>
      <c r="G24" s="62"/>
      <c r="H24" s="30"/>
      <c r="I24" s="285"/>
      <c r="J24" s="286"/>
      <c r="K24" s="3"/>
      <c r="L24" s="3"/>
      <c r="M24" s="3"/>
      <c r="N24" s="3"/>
    </row>
    <row r="25" spans="1:14" ht="16" x14ac:dyDescent="0.5">
      <c r="A25" s="3"/>
      <c r="B25" s="10" t="s">
        <v>28</v>
      </c>
      <c r="C25" s="3"/>
      <c r="D25" s="3"/>
      <c r="E25" s="3"/>
      <c r="F25" s="6"/>
      <c r="G25" s="7"/>
      <c r="H25" s="3"/>
      <c r="I25" s="287"/>
      <c r="J25" s="288"/>
      <c r="K25" s="3"/>
      <c r="L25" s="3"/>
      <c r="M25" s="3"/>
      <c r="N25" s="3"/>
    </row>
    <row r="26" spans="1:14" ht="14.5" x14ac:dyDescent="0.35">
      <c r="A26" s="3"/>
      <c r="B26" s="63" t="s">
        <v>40</v>
      </c>
      <c r="C26" s="27">
        <v>168917</v>
      </c>
      <c r="D26" s="36">
        <v>83.71</v>
      </c>
      <c r="E26" s="13">
        <f>ROUND(C26*D26,2)</f>
        <v>14140042.07</v>
      </c>
      <c r="F26" s="64">
        <f>Input_Entry!F31</f>
        <v>110</v>
      </c>
      <c r="G26" s="12">
        <f>ROUND(C26*F26,2)</f>
        <v>18580870</v>
      </c>
      <c r="H26" s="13">
        <f>ROUND(G26-E26,2)-0.07</f>
        <v>4440827.8599999994</v>
      </c>
      <c r="I26" s="289">
        <f>H26/E26</f>
        <v>0.31406044183007154</v>
      </c>
      <c r="J26" s="288"/>
      <c r="K26" s="3"/>
      <c r="L26" s="9"/>
      <c r="M26" s="3"/>
      <c r="N26" s="3"/>
    </row>
    <row r="27" spans="1:14" ht="14.5" x14ac:dyDescent="0.35">
      <c r="A27" s="3"/>
      <c r="B27" s="63" t="s">
        <v>33</v>
      </c>
      <c r="C27" s="27">
        <v>2464363</v>
      </c>
      <c r="D27" s="65">
        <v>3.2513000000000001</v>
      </c>
      <c r="E27" s="13">
        <f>ROUND(C27*D27,2)</f>
        <v>8012383.4199999999</v>
      </c>
      <c r="F27" s="24">
        <f>ROUND((L$34-SUM(G$26,$G$31:$G$32))*M27/C27,4)</f>
        <v>3.1591</v>
      </c>
      <c r="G27" s="12">
        <f>ROUND(C27*F27,2)</f>
        <v>7785169.1500000004</v>
      </c>
      <c r="H27" s="13">
        <f t="shared" ref="H27:H33" si="2">ROUND(G27-E27,2)</f>
        <v>-227214.27</v>
      </c>
      <c r="I27" s="289">
        <f>H27/E27</f>
        <v>-2.8357887795639216E-2</v>
      </c>
      <c r="J27" s="288"/>
      <c r="K27" s="3"/>
      <c r="L27" s="3"/>
      <c r="M27" s="19">
        <f>E27/SUM($E$27:$E$30)</f>
        <v>0.46684255052281748</v>
      </c>
      <c r="N27" s="3"/>
    </row>
    <row r="28" spans="1:14" ht="14.5" x14ac:dyDescent="0.35">
      <c r="A28" s="3"/>
      <c r="B28" s="63" t="s">
        <v>34</v>
      </c>
      <c r="C28" s="27">
        <v>2380623.4</v>
      </c>
      <c r="D28" s="65">
        <v>2.5095999999999998</v>
      </c>
      <c r="E28" s="13">
        <f>ROUND(C28*D28,2)</f>
        <v>5974412.4800000004</v>
      </c>
      <c r="F28" s="24">
        <f>ROUND((L$34-SUM(G$26,$G$31:$G$32))*M28/C28,4)</f>
        <v>2.4384000000000001</v>
      </c>
      <c r="G28" s="12">
        <f>ROUND(C28*F28,2)</f>
        <v>5804912.0999999996</v>
      </c>
      <c r="H28" s="13">
        <f t="shared" si="2"/>
        <v>-169500.38</v>
      </c>
      <c r="I28" s="289">
        <f>H28/E28</f>
        <v>-2.8371054152591751E-2</v>
      </c>
      <c r="J28" s="288"/>
      <c r="K28" s="3"/>
      <c r="L28" s="3"/>
      <c r="M28" s="19">
        <f>E28/SUM($E$27:$E$30)</f>
        <v>0.34809991157893833</v>
      </c>
      <c r="N28" s="3"/>
    </row>
    <row r="29" spans="1:14" ht="14.5" x14ac:dyDescent="0.35">
      <c r="A29" s="3"/>
      <c r="B29" s="63" t="s">
        <v>35</v>
      </c>
      <c r="C29" s="27">
        <v>706124.10000000009</v>
      </c>
      <c r="D29" s="65">
        <v>2.3855</v>
      </c>
      <c r="E29" s="13">
        <f>ROUND(C29*D29,2)</f>
        <v>1684459.04</v>
      </c>
      <c r="F29" s="24">
        <f>ROUND((L$34-SUM(G$26,$G$31:$G$32))*M29/C29,4)</f>
        <v>2.3178999999999998</v>
      </c>
      <c r="G29" s="12">
        <f>ROUND(C29*F29,2)</f>
        <v>1636725.05</v>
      </c>
      <c r="H29" s="13">
        <f t="shared" si="2"/>
        <v>-47733.99</v>
      </c>
      <c r="I29" s="289">
        <f>H29/E29</f>
        <v>-2.8337875167329683E-2</v>
      </c>
      <c r="J29" s="288"/>
      <c r="K29" s="3"/>
      <c r="L29" s="3"/>
      <c r="M29" s="19">
        <f>E29/SUM($E$27:$E$30)</f>
        <v>9.8145222621512623E-2</v>
      </c>
      <c r="N29" s="3"/>
    </row>
    <row r="30" spans="1:14" ht="14.5" x14ac:dyDescent="0.35">
      <c r="A30" s="3"/>
      <c r="B30" s="63" t="s">
        <v>36</v>
      </c>
      <c r="C30" s="27">
        <v>687405.29999999981</v>
      </c>
      <c r="D30" s="65">
        <v>2.17</v>
      </c>
      <c r="E30" s="13">
        <f>ROUND(C30*D30,2)</f>
        <v>1491669.5</v>
      </c>
      <c r="F30" s="24">
        <f>ROUND((L$34-SUM(G$26,$G$31:$G$32))*M30/C30,4)</f>
        <v>2.1084999999999998</v>
      </c>
      <c r="G30" s="25">
        <f>ROUND(C30*F30,2)</f>
        <v>1449394.08</v>
      </c>
      <c r="H30" s="14">
        <f t="shared" si="2"/>
        <v>-42275.42</v>
      </c>
      <c r="I30" s="292">
        <f>H30/E30</f>
        <v>-2.8341009855065078E-2</v>
      </c>
      <c r="J30" s="288"/>
      <c r="K30" s="3"/>
      <c r="L30" s="3"/>
      <c r="M30" s="80">
        <f>E30/SUM($E$27:$E$30)</f>
        <v>8.6912315276731475E-2</v>
      </c>
      <c r="N30" s="3"/>
    </row>
    <row r="31" spans="1:14" ht="14.5" x14ac:dyDescent="0.35">
      <c r="A31" s="3"/>
      <c r="B31" s="63" t="s">
        <v>49</v>
      </c>
      <c r="C31" s="27"/>
      <c r="D31" s="65"/>
      <c r="E31" s="14">
        <v>0</v>
      </c>
      <c r="F31" s="24"/>
      <c r="G31" s="12">
        <f>E31</f>
        <v>0</v>
      </c>
      <c r="H31" s="14">
        <f t="shared" si="2"/>
        <v>0</v>
      </c>
      <c r="I31" s="292"/>
      <c r="J31" s="288"/>
      <c r="K31" s="3"/>
      <c r="L31" s="3"/>
      <c r="M31" s="80">
        <f>E31/SUM($E$27:$E$30)</f>
        <v>0</v>
      </c>
      <c r="N31" s="3"/>
    </row>
    <row r="32" spans="1:14" ht="14.5" x14ac:dyDescent="0.35">
      <c r="A32" s="3"/>
      <c r="B32" s="63" t="s">
        <v>50</v>
      </c>
      <c r="C32" s="27"/>
      <c r="D32" s="65"/>
      <c r="E32" s="14">
        <v>0</v>
      </c>
      <c r="F32" s="24"/>
      <c r="G32" s="12">
        <f>E32</f>
        <v>0</v>
      </c>
      <c r="H32" s="14">
        <f t="shared" si="2"/>
        <v>0</v>
      </c>
      <c r="I32" s="292"/>
      <c r="J32" s="288"/>
      <c r="K32" s="3"/>
      <c r="L32" s="3"/>
      <c r="M32" s="80"/>
      <c r="N32" s="3"/>
    </row>
    <row r="33" spans="1:14" ht="16.5" thickBot="1" x14ac:dyDescent="0.55000000000000004">
      <c r="A33" s="3"/>
      <c r="B33" s="63" t="s">
        <v>13</v>
      </c>
      <c r="C33" s="27"/>
      <c r="D33" s="66"/>
      <c r="E33" s="67"/>
      <c r="F33" s="68"/>
      <c r="G33" s="12">
        <f>ROUND(L35,2)</f>
        <v>32.25</v>
      </c>
      <c r="H33" s="13">
        <f t="shared" si="2"/>
        <v>32.25</v>
      </c>
      <c r="I33" s="290"/>
      <c r="J33" s="288"/>
      <c r="K33" s="3"/>
      <c r="L33" s="17">
        <f>SUM(G26:G30)</f>
        <v>35257070.379999995</v>
      </c>
      <c r="M33" s="3"/>
      <c r="N33" s="3"/>
    </row>
    <row r="34" spans="1:14" ht="16.5" thickBot="1" x14ac:dyDescent="0.55000000000000004">
      <c r="A34" s="3"/>
      <c r="B34" s="69" t="str">
        <f>"Total "&amp;B25&amp;" Revenue"</f>
        <v>Total GSO/GTO/GDS Revenue</v>
      </c>
      <c r="C34" s="70"/>
      <c r="D34" s="70"/>
      <c r="E34" s="15">
        <f>SUM(E26:E33)</f>
        <v>31302966.510000002</v>
      </c>
      <c r="F34" s="71"/>
      <c r="G34" s="15">
        <f>SUM(G26:G33)</f>
        <v>35257102.629999995</v>
      </c>
      <c r="H34" s="16">
        <f>ROUND(G34-E34,0)</f>
        <v>3954136</v>
      </c>
      <c r="I34" s="299">
        <f>H34/E34</f>
        <v>0.12631825161799975</v>
      </c>
      <c r="J34" s="301">
        <f>H34/$H$66</f>
        <v>0.27626185733850056</v>
      </c>
      <c r="K34" s="3"/>
      <c r="L34" s="72">
        <f>CHOOSE($L$5,'Revenue Spread'!$F$7,'Revenue Spread'!$F$9,'Revenue Spread'!$F$15,'Revenue Spread'!$F$18,'Revenue Spread'!$F$21)</f>
        <v>35257102.626414344</v>
      </c>
      <c r="M34" s="73" t="s">
        <v>14</v>
      </c>
      <c r="N34" s="3"/>
    </row>
    <row r="35" spans="1:14" ht="17" thickTop="1" thickBot="1" x14ac:dyDescent="0.55000000000000004">
      <c r="A35" s="3"/>
      <c r="B35" s="69"/>
      <c r="C35" s="74"/>
      <c r="D35" s="74"/>
      <c r="E35" s="75"/>
      <c r="F35" s="76"/>
      <c r="G35" s="77"/>
      <c r="H35" s="75"/>
      <c r="I35" s="289"/>
      <c r="J35" s="288"/>
      <c r="K35" s="3"/>
      <c r="L35" s="18">
        <f>L34-L33</f>
        <v>32.246414348483086</v>
      </c>
      <c r="M35" s="78" t="s">
        <v>13</v>
      </c>
      <c r="N35" s="3"/>
    </row>
    <row r="36" spans="1:14" ht="14.5" x14ac:dyDescent="0.35">
      <c r="A36" s="3"/>
      <c r="B36" s="60"/>
      <c r="C36" s="30"/>
      <c r="D36" s="30"/>
      <c r="E36" s="79"/>
      <c r="F36" s="61"/>
      <c r="G36" s="62"/>
      <c r="H36" s="30"/>
      <c r="I36" s="285"/>
      <c r="J36" s="286"/>
      <c r="K36" s="3"/>
      <c r="L36" s="3"/>
      <c r="M36" s="3"/>
      <c r="N36" s="3"/>
    </row>
    <row r="37" spans="1:14" ht="16" x14ac:dyDescent="0.5">
      <c r="A37" s="3"/>
      <c r="B37" s="10" t="s">
        <v>30</v>
      </c>
      <c r="C37" s="3"/>
      <c r="D37" s="3"/>
      <c r="E37" s="3"/>
      <c r="F37" s="6"/>
      <c r="G37" s="7"/>
      <c r="H37" s="3"/>
      <c r="I37" s="287"/>
      <c r="J37" s="288"/>
      <c r="K37" s="3"/>
      <c r="L37" s="3"/>
      <c r="M37" s="3"/>
      <c r="N37" s="3"/>
    </row>
    <row r="38" spans="1:14" ht="14.5" x14ac:dyDescent="0.35">
      <c r="A38" s="3"/>
      <c r="B38" s="63" t="s">
        <v>40</v>
      </c>
      <c r="C38" s="27">
        <v>24</v>
      </c>
      <c r="D38" s="36">
        <v>945.24</v>
      </c>
      <c r="E38" s="13">
        <f>ROUND(C38*D38,2)</f>
        <v>22685.759999999998</v>
      </c>
      <c r="F38" s="64">
        <f>Input_Entry!G31</f>
        <v>1135</v>
      </c>
      <c r="G38" s="12">
        <f>ROUND(C38*F38,2)</f>
        <v>27240</v>
      </c>
      <c r="H38" s="13">
        <f t="shared" ref="H38:H40" si="3">ROUND(G38-E38,2)</f>
        <v>4554.24</v>
      </c>
      <c r="I38" s="289">
        <f>IFERROR(H38/E38,"")</f>
        <v>0.20075324785239729</v>
      </c>
      <c r="J38" s="288"/>
      <c r="K38" s="3"/>
      <c r="L38" s="9"/>
      <c r="M38" s="9"/>
      <c r="N38" s="3"/>
    </row>
    <row r="39" spans="1:14" ht="14.5" x14ac:dyDescent="0.35">
      <c r="A39" s="3"/>
      <c r="B39" s="63" t="s">
        <v>41</v>
      </c>
      <c r="C39" s="27">
        <v>10410.5</v>
      </c>
      <c r="D39" s="65">
        <v>1.1959</v>
      </c>
      <c r="E39" s="13">
        <f>ROUND(C39*D39,2)</f>
        <v>12449.92</v>
      </c>
      <c r="F39" s="24">
        <f>ROUND((L41-G38)/C39,4)</f>
        <v>0.9204</v>
      </c>
      <c r="G39" s="12">
        <f>ROUND(C39*F39,2)</f>
        <v>9581.82</v>
      </c>
      <c r="H39" s="13">
        <f t="shared" si="3"/>
        <v>-2868.1</v>
      </c>
      <c r="I39" s="289">
        <f>H39/E39</f>
        <v>-0.23037095820696035</v>
      </c>
      <c r="J39" s="288"/>
      <c r="K39" s="3"/>
      <c r="L39" s="3"/>
      <c r="M39" s="8">
        <f>E39/SUM($E$39:$E$39)</f>
        <v>1</v>
      </c>
      <c r="N39" s="3"/>
    </row>
    <row r="40" spans="1:14" ht="16.5" thickBot="1" x14ac:dyDescent="0.55000000000000004">
      <c r="A40" s="3"/>
      <c r="B40" s="63" t="s">
        <v>13</v>
      </c>
      <c r="C40" s="27"/>
      <c r="D40" s="66"/>
      <c r="E40" s="67"/>
      <c r="F40" s="68"/>
      <c r="G40" s="12">
        <f>ROUND(L42,2)</f>
        <v>-0.18</v>
      </c>
      <c r="H40" s="13">
        <f t="shared" si="3"/>
        <v>-0.18</v>
      </c>
      <c r="I40" s="290"/>
      <c r="J40" s="288"/>
      <c r="K40" s="3"/>
      <c r="L40" s="17">
        <f>SUM(G38:G39)</f>
        <v>36821.82</v>
      </c>
      <c r="M40" s="3"/>
      <c r="N40" s="3"/>
    </row>
    <row r="41" spans="1:14" ht="16.5" thickBot="1" x14ac:dyDescent="0.55000000000000004">
      <c r="A41" s="3"/>
      <c r="B41" s="69" t="str">
        <f>"Total "&amp;B37&amp;" Revenue"</f>
        <v>Total IUS Revenue</v>
      </c>
      <c r="C41" s="81"/>
      <c r="D41" s="70"/>
      <c r="E41" s="15">
        <f>SUM(E38:E40)</f>
        <v>35135.68</v>
      </c>
      <c r="F41" s="71"/>
      <c r="G41" s="15">
        <f>SUM(G38:G40)</f>
        <v>36821.64</v>
      </c>
      <c r="H41" s="16">
        <f>ROUND(G41-E41,0)</f>
        <v>1686</v>
      </c>
      <c r="I41" s="299">
        <f>H41/E41</f>
        <v>4.7985409703184913E-2</v>
      </c>
      <c r="J41" s="301">
        <f>H41/$H$66</f>
        <v>1.1779501045809045E-4</v>
      </c>
      <c r="K41" s="3"/>
      <c r="L41" s="72">
        <f>CHOOSE($L$5,'Revenue Spread'!$G$7,'Revenue Spread'!$G$9,'Revenue Spread'!$G$15,'Revenue Spread'!$G$18,'Revenue Spread'!$G$21)</f>
        <v>36821.636141385898</v>
      </c>
      <c r="M41" s="73" t="s">
        <v>14</v>
      </c>
      <c r="N41" s="3"/>
    </row>
    <row r="42" spans="1:14" ht="17" thickTop="1" thickBot="1" x14ac:dyDescent="0.55000000000000004">
      <c r="A42" s="3"/>
      <c r="B42" s="69"/>
      <c r="C42" s="74"/>
      <c r="D42" s="74"/>
      <c r="E42" s="75"/>
      <c r="F42" s="76"/>
      <c r="G42" s="77"/>
      <c r="H42" s="75"/>
      <c r="I42" s="289"/>
      <c r="J42" s="291"/>
      <c r="K42" s="3"/>
      <c r="L42" s="18">
        <f>L41-L40</f>
        <v>-0.18385861410206417</v>
      </c>
      <c r="M42" s="78" t="s">
        <v>13</v>
      </c>
      <c r="N42" s="3"/>
    </row>
    <row r="43" spans="1:14" ht="14.5" x14ac:dyDescent="0.35">
      <c r="A43" s="3"/>
      <c r="B43" s="60"/>
      <c r="C43" s="30"/>
      <c r="D43" s="30"/>
      <c r="E43" s="30"/>
      <c r="F43" s="61"/>
      <c r="G43" s="62"/>
      <c r="H43" s="30"/>
      <c r="I43" s="285"/>
      <c r="J43" s="288"/>
      <c r="K43" s="3"/>
      <c r="L43" s="3"/>
      <c r="M43" s="3"/>
      <c r="N43" s="3"/>
    </row>
    <row r="44" spans="1:14" ht="16" x14ac:dyDescent="0.5">
      <c r="A44" s="3"/>
      <c r="B44" s="10" t="s">
        <v>31</v>
      </c>
      <c r="C44" s="3"/>
      <c r="D44" s="3"/>
      <c r="E44" s="3"/>
      <c r="F44" s="6"/>
      <c r="G44" s="7"/>
      <c r="H44" s="3"/>
      <c r="I44" s="287"/>
      <c r="J44" s="288"/>
      <c r="K44" s="3"/>
      <c r="L44" s="3"/>
      <c r="M44" s="3"/>
      <c r="N44" s="3"/>
    </row>
    <row r="45" spans="1:14" ht="14.5" x14ac:dyDescent="0.35">
      <c r="A45" s="3"/>
      <c r="B45" s="63" t="s">
        <v>54</v>
      </c>
      <c r="C45" s="27">
        <f>3*12</f>
        <v>36</v>
      </c>
      <c r="D45" s="36">
        <v>260.11</v>
      </c>
      <c r="E45" s="13">
        <f>ROUND(C45*D45,2)</f>
        <v>9363.9599999999991</v>
      </c>
      <c r="F45" s="64">
        <f>Input_Entry!H31</f>
        <v>300</v>
      </c>
      <c r="G45" s="12">
        <f>ROUND(C45*F45,2)</f>
        <v>10800</v>
      </c>
      <c r="H45" s="13">
        <f>ROUND(G45-E45,0)</f>
        <v>1436</v>
      </c>
      <c r="I45" s="289">
        <f>IFERROR(H45/E45,"")</f>
        <v>0.15335392291295563</v>
      </c>
      <c r="J45" s="288"/>
      <c r="K45" s="3"/>
      <c r="L45" s="22"/>
      <c r="M45" s="3"/>
      <c r="N45" s="3"/>
    </row>
    <row r="46" spans="1:14" ht="14.5" x14ac:dyDescent="0.35">
      <c r="A46" s="3"/>
      <c r="B46" s="63" t="s">
        <v>55</v>
      </c>
      <c r="C46" s="27">
        <v>36</v>
      </c>
      <c r="D46" s="36">
        <f>D45</f>
        <v>260.11</v>
      </c>
      <c r="E46" s="13">
        <f>ROUND(C46*D46,2)</f>
        <v>9363.9599999999991</v>
      </c>
      <c r="F46" s="64">
        <f>Input_Entry!H32</f>
        <v>600</v>
      </c>
      <c r="G46" s="12">
        <f>ROUND(C46*F46,2)</f>
        <v>21600</v>
      </c>
      <c r="H46" s="13">
        <f t="shared" ref="H46:H47" si="4">ROUND(G46-E46,0)</f>
        <v>12236</v>
      </c>
      <c r="I46" s="289">
        <f>IFERROR(H46/E46,"")</f>
        <v>1.3067121175229284</v>
      </c>
      <c r="J46" s="288"/>
      <c r="K46" s="3"/>
      <c r="L46" s="3"/>
      <c r="M46" s="3"/>
      <c r="N46" s="3"/>
    </row>
    <row r="47" spans="1:14" ht="14.5" x14ac:dyDescent="0.35">
      <c r="A47" s="3"/>
      <c r="B47" s="63" t="s">
        <v>32</v>
      </c>
      <c r="C47" s="27">
        <v>7493093.5999999996</v>
      </c>
      <c r="D47" s="65">
        <v>8.6699999999999999E-2</v>
      </c>
      <c r="E47" s="13">
        <f>ROUND(C47*D47,2)</f>
        <v>649651.22</v>
      </c>
      <c r="F47" s="24">
        <f>ROUND((L49-G45-G46)/C47,4)</f>
        <v>8.9200000000000002E-2</v>
      </c>
      <c r="G47" s="12">
        <f>ROUND(C47*F47,2)</f>
        <v>668383.94999999995</v>
      </c>
      <c r="H47" s="13">
        <f t="shared" si="4"/>
        <v>18733</v>
      </c>
      <c r="I47" s="289">
        <f>IFERROR(H47/E47,"")</f>
        <v>2.8835472671012611E-2</v>
      </c>
      <c r="J47" s="288"/>
      <c r="K47" s="3"/>
      <c r="L47" s="3"/>
      <c r="M47" s="8">
        <f>E47/SUM($E$47:$E$47)</f>
        <v>1</v>
      </c>
      <c r="N47" s="3"/>
    </row>
    <row r="48" spans="1:14" ht="16.5" thickBot="1" x14ac:dyDescent="0.55000000000000004">
      <c r="A48" s="3"/>
      <c r="B48" s="63" t="s">
        <v>13</v>
      </c>
      <c r="C48" s="27"/>
      <c r="D48" s="66"/>
      <c r="E48" s="67"/>
      <c r="F48" s="68"/>
      <c r="G48" s="12">
        <f>ROUND(L50,2)</f>
        <v>-333.41</v>
      </c>
      <c r="H48" s="13">
        <f>ROUND(G48-E48,2)</f>
        <v>-333.41</v>
      </c>
      <c r="I48" s="290"/>
      <c r="J48" s="288"/>
      <c r="K48" s="3"/>
      <c r="L48" s="17">
        <f>SUM(G44:G47)</f>
        <v>700783.95</v>
      </c>
      <c r="M48" s="3"/>
      <c r="N48" s="3"/>
    </row>
    <row r="49" spans="1:14" ht="16.5" thickBot="1" x14ac:dyDescent="0.55000000000000004">
      <c r="A49" s="3"/>
      <c r="B49" s="69" t="str">
        <f>"Total "&amp;B44&amp;" Revenue"</f>
        <v>Total DS-ML Revenue</v>
      </c>
      <c r="C49" s="81"/>
      <c r="D49" s="70"/>
      <c r="E49" s="15">
        <f>SUM(E45:E48)</f>
        <v>668379.14</v>
      </c>
      <c r="F49" s="71"/>
      <c r="G49" s="15">
        <f>SUM(G45:G48)</f>
        <v>700450.53999999992</v>
      </c>
      <c r="H49" s="16">
        <f>ROUND(G49-E49,0)</f>
        <v>32071</v>
      </c>
      <c r="I49" s="299">
        <f>H49/E49</f>
        <v>4.7983244958841771E-2</v>
      </c>
      <c r="J49" s="301">
        <f>H49/$H$66</f>
        <v>2.2406902612108061E-3</v>
      </c>
      <c r="K49" s="3"/>
      <c r="L49" s="72">
        <f>CHOOSE($L$5,'Revenue Spread'!$H$7,'Revenue Spread'!$H$9,'Revenue Spread'!$H$15,'Revenue Spread'!$H$18,'Revenue Spread'!$H$21)</f>
        <v>700450.54272040946</v>
      </c>
      <c r="M49" s="73" t="s">
        <v>14</v>
      </c>
      <c r="N49" s="3"/>
    </row>
    <row r="50" spans="1:14" ht="17" thickTop="1" thickBot="1" x14ac:dyDescent="0.55000000000000004">
      <c r="A50" s="3"/>
      <c r="B50" s="82"/>
      <c r="C50" s="83"/>
      <c r="D50" s="83"/>
      <c r="E50" s="84"/>
      <c r="F50" s="76"/>
      <c r="G50" s="77"/>
      <c r="H50" s="84"/>
      <c r="I50" s="293"/>
      <c r="J50" s="288"/>
      <c r="K50" s="3"/>
      <c r="L50" s="18">
        <f>L49-L48</f>
        <v>-333.407279590494</v>
      </c>
      <c r="M50" s="78" t="s">
        <v>13</v>
      </c>
      <c r="N50" s="3"/>
    </row>
    <row r="51" spans="1:14" ht="14.5" x14ac:dyDescent="0.35">
      <c r="A51" s="3"/>
      <c r="B51" s="60"/>
      <c r="C51" s="30"/>
      <c r="D51" s="30"/>
      <c r="E51" s="30"/>
      <c r="F51" s="61"/>
      <c r="G51" s="62"/>
      <c r="H51" s="30"/>
      <c r="I51" s="285"/>
      <c r="J51" s="286"/>
      <c r="K51" s="3"/>
      <c r="L51" s="3"/>
      <c r="M51" s="3"/>
      <c r="N51" s="3"/>
    </row>
    <row r="52" spans="1:14" ht="16" x14ac:dyDescent="0.5">
      <c r="A52" s="3"/>
      <c r="B52" s="10" t="s">
        <v>29</v>
      </c>
      <c r="C52" s="23"/>
      <c r="D52" s="3"/>
      <c r="E52" s="3"/>
      <c r="F52" s="6"/>
      <c r="G52" s="7"/>
      <c r="H52" s="3"/>
      <c r="I52" s="287"/>
      <c r="J52" s="288"/>
      <c r="K52" s="3"/>
      <c r="L52" s="3"/>
      <c r="M52" s="3"/>
      <c r="N52" s="3"/>
    </row>
    <row r="53" spans="1:14" ht="14.5" x14ac:dyDescent="0.35">
      <c r="A53" s="3"/>
      <c r="B53" s="63" t="s">
        <v>40</v>
      </c>
      <c r="C53" s="27">
        <v>745</v>
      </c>
      <c r="D53" s="36">
        <v>3982.3</v>
      </c>
      <c r="E53" s="13">
        <f>ROUND(C53*D53,2)</f>
        <v>2966813.5</v>
      </c>
      <c r="F53" s="64">
        <f>Input_Entry!I31</f>
        <v>5000</v>
      </c>
      <c r="G53" s="12">
        <f>ROUND(C53*F53,2)</f>
        <v>3725000</v>
      </c>
      <c r="H53" s="13">
        <f>ROUND(G53-E53,2)</f>
        <v>758186.5</v>
      </c>
      <c r="I53" s="289">
        <f>H53/E53</f>
        <v>0.25555583456796321</v>
      </c>
      <c r="J53" s="288"/>
      <c r="K53" s="3"/>
      <c r="L53" s="9"/>
      <c r="M53" s="3"/>
      <c r="N53" s="3"/>
    </row>
    <row r="54" spans="1:14" ht="14.5" x14ac:dyDescent="0.35">
      <c r="A54" s="3"/>
      <c r="B54" s="63" t="s">
        <v>37</v>
      </c>
      <c r="C54" s="27">
        <v>6228610.1000000006</v>
      </c>
      <c r="D54" s="65">
        <v>0.70930000000000004</v>
      </c>
      <c r="E54" s="13">
        <f>ROUND(C54*D54,2)</f>
        <v>4417953.1399999997</v>
      </c>
      <c r="F54" s="24">
        <f>ROUNDDOWN((L$58-G$53-G$56)*M54/C54,4)</f>
        <v>0.75109999999999999</v>
      </c>
      <c r="G54" s="12">
        <f>ROUND(C54*F54,2)</f>
        <v>4678309.05</v>
      </c>
      <c r="H54" s="13">
        <f t="shared" ref="H54:H56" si="5">ROUND(G54-E54,2)</f>
        <v>260355.91</v>
      </c>
      <c r="I54" s="289">
        <f>H54/E54</f>
        <v>5.8931342580967265E-2</v>
      </c>
      <c r="J54" s="288"/>
      <c r="K54" s="3"/>
      <c r="L54" s="19"/>
      <c r="M54" s="80">
        <f>E54/SUM($E$54:$E$55)</f>
        <v>0.83591029001136641</v>
      </c>
    </row>
    <row r="55" spans="1:14" ht="14.5" x14ac:dyDescent="0.35">
      <c r="A55" s="3"/>
      <c r="B55" s="63" t="s">
        <v>38</v>
      </c>
      <c r="C55" s="27">
        <v>1980920.4</v>
      </c>
      <c r="D55" s="65">
        <v>0.43780000000000002</v>
      </c>
      <c r="E55" s="13">
        <f>ROUND(C55*D55,2)</f>
        <v>867246.95</v>
      </c>
      <c r="F55" s="24">
        <f>ROUND((L$58-G$53-G$56)*M55/C55,4)</f>
        <v>0.4637</v>
      </c>
      <c r="G55" s="12">
        <f>ROUND(C55*F55,2)</f>
        <v>918552.79</v>
      </c>
      <c r="H55" s="13">
        <f t="shared" si="5"/>
        <v>51305.84</v>
      </c>
      <c r="I55" s="289">
        <f>H55/E55</f>
        <v>5.9159435498735397E-2</v>
      </c>
      <c r="J55" s="288"/>
      <c r="K55" s="3"/>
      <c r="L55" s="19"/>
      <c r="M55" s="80">
        <f>E55/SUM($E$54:$E$55)</f>
        <v>0.16408970998863356</v>
      </c>
    </row>
    <row r="56" spans="1:14" ht="14.5" x14ac:dyDescent="0.35">
      <c r="A56" s="3"/>
      <c r="B56" s="63" t="s">
        <v>39</v>
      </c>
      <c r="C56" s="27">
        <v>912824.40000000014</v>
      </c>
      <c r="D56" s="65">
        <v>0.24229999999999999</v>
      </c>
      <c r="E56" s="13">
        <f>ROUND(C56*D56,2)</f>
        <v>221177.35</v>
      </c>
      <c r="F56" s="24">
        <f>D56</f>
        <v>0.24229999999999999</v>
      </c>
      <c r="G56" s="12">
        <f>ROUND(C56*F56,2)</f>
        <v>221177.35</v>
      </c>
      <c r="H56" s="13">
        <f t="shared" si="5"/>
        <v>0</v>
      </c>
      <c r="I56" s="289">
        <f>H56/E56</f>
        <v>0</v>
      </c>
      <c r="J56" s="288"/>
      <c r="K56" s="3"/>
      <c r="L56" s="19"/>
      <c r="M56" s="80">
        <v>0</v>
      </c>
    </row>
    <row r="57" spans="1:14" ht="16.5" thickBot="1" x14ac:dyDescent="0.55000000000000004">
      <c r="A57" s="3"/>
      <c r="B57" s="63" t="s">
        <v>13</v>
      </c>
      <c r="C57" s="27"/>
      <c r="D57" s="66"/>
      <c r="E57" s="67"/>
      <c r="F57" s="68"/>
      <c r="G57" s="12">
        <f>ROUND(L59,2)</f>
        <v>470.42</v>
      </c>
      <c r="H57" s="13">
        <f>ROUND(G57-E57,2)</f>
        <v>470.42</v>
      </c>
      <c r="I57" s="290"/>
      <c r="J57" s="288"/>
      <c r="K57" s="3"/>
      <c r="L57" s="17">
        <f>SUM(G53:G56)</f>
        <v>9543039.1899999995</v>
      </c>
      <c r="M57" s="3"/>
      <c r="N57" s="3"/>
    </row>
    <row r="58" spans="1:14" ht="16.5" thickBot="1" x14ac:dyDescent="0.55000000000000004">
      <c r="A58" s="3"/>
      <c r="B58" s="69" t="str">
        <f>"Total "&amp;B52&amp;" Revenue"</f>
        <v>Total IS/DS Revenue</v>
      </c>
      <c r="C58" s="81"/>
      <c r="D58" s="74"/>
      <c r="E58" s="15">
        <f>SUM(E53:E57)</f>
        <v>8473190.9399999995</v>
      </c>
      <c r="F58" s="71"/>
      <c r="G58" s="15">
        <f>SUM(G53:G57)</f>
        <v>9543509.6099999994</v>
      </c>
      <c r="H58" s="16">
        <f>SUM(H53:H57)</f>
        <v>1070318.67</v>
      </c>
      <c r="I58" s="299">
        <f>H58/E58</f>
        <v>0.12631825218847245</v>
      </c>
      <c r="J58" s="301">
        <f>H58/$H$66</f>
        <v>7.4779477417639059E-2</v>
      </c>
      <c r="K58" s="3"/>
      <c r="L58" s="72">
        <f>CHOOSE($L$5,'Revenue Spread'!$I$7,'Revenue Spread'!$I$9,'Revenue Spread'!$I$15,'Revenue Spread'!$I$18,'Revenue Spread'!$I$21)</f>
        <v>9543509.6052583009</v>
      </c>
      <c r="M58" s="73" t="s">
        <v>14</v>
      </c>
      <c r="N58" s="3"/>
    </row>
    <row r="59" spans="1:14" ht="17" thickTop="1" thickBot="1" x14ac:dyDescent="0.55000000000000004">
      <c r="A59" s="3"/>
      <c r="B59" s="69"/>
      <c r="C59" s="74"/>
      <c r="D59" s="74"/>
      <c r="E59" s="75"/>
      <c r="F59" s="85"/>
      <c r="G59" s="86"/>
      <c r="H59" s="75"/>
      <c r="I59" s="289"/>
      <c r="J59" s="291"/>
      <c r="K59" s="3"/>
      <c r="L59" s="18">
        <f>L58-L57</f>
        <v>470.415258301422</v>
      </c>
      <c r="M59" s="78" t="s">
        <v>13</v>
      </c>
      <c r="N59" s="3"/>
    </row>
    <row r="60" spans="1:14" ht="16" x14ac:dyDescent="0.5">
      <c r="A60" s="3"/>
      <c r="B60" s="87"/>
      <c r="C60" s="88"/>
      <c r="D60" s="88"/>
      <c r="E60" s="89"/>
      <c r="F60" s="88"/>
      <c r="G60" s="89"/>
      <c r="H60" s="89"/>
      <c r="I60" s="294"/>
      <c r="J60" s="288"/>
      <c r="K60" s="3"/>
      <c r="L60" s="13"/>
      <c r="M60" s="3"/>
      <c r="N60" s="3"/>
    </row>
    <row r="61" spans="1:14" ht="16" x14ac:dyDescent="0.5">
      <c r="A61" s="3"/>
      <c r="B61" s="10" t="s">
        <v>17</v>
      </c>
      <c r="C61" s="74"/>
      <c r="D61" s="74"/>
      <c r="E61" s="75"/>
      <c r="F61" s="74"/>
      <c r="G61" s="75"/>
      <c r="H61" s="75"/>
      <c r="I61" s="86"/>
      <c r="J61" s="288"/>
      <c r="K61" s="3"/>
      <c r="L61" s="13"/>
      <c r="M61" s="3"/>
      <c r="N61" s="3"/>
    </row>
    <row r="62" spans="1:14" ht="14.5" x14ac:dyDescent="0.35">
      <c r="A62" s="3"/>
      <c r="B62" s="90" t="s">
        <v>15</v>
      </c>
      <c r="C62" s="3"/>
      <c r="D62" s="21">
        <f>E62/E66</f>
        <v>0.41234850589029715</v>
      </c>
      <c r="E62" s="17">
        <f>SUM(E12,E26,E53,E38,E45:E46,)</f>
        <v>46902710.75</v>
      </c>
      <c r="F62" s="21">
        <f>G62/G66</f>
        <v>0.42464858635929037</v>
      </c>
      <c r="G62" s="17">
        <f>SUM(G53,G45:G46,G38,G26,G12)</f>
        <v>54379782.5</v>
      </c>
      <c r="H62" s="17">
        <f>SUM(H12,H26,H53,H38,H45:H46,)</f>
        <v>7477071.5999999996</v>
      </c>
      <c r="I62" s="289">
        <f>H62/E62</f>
        <v>0.15941661964601905</v>
      </c>
      <c r="J62" s="288"/>
      <c r="K62" s="3"/>
      <c r="L62" s="13"/>
      <c r="M62" s="3"/>
      <c r="N62" s="3"/>
    </row>
    <row r="63" spans="1:14" ht="14.5" x14ac:dyDescent="0.35">
      <c r="A63" s="3"/>
      <c r="B63" s="90" t="s">
        <v>16</v>
      </c>
      <c r="C63" s="3"/>
      <c r="D63" s="21">
        <f>E63/E66</f>
        <v>0.58762511350671887</v>
      </c>
      <c r="E63" s="17">
        <f>SUM(E13,E27:E30,E54:E56,E39:E39,E47:E47)</f>
        <v>66839603.720000014</v>
      </c>
      <c r="F63" s="21">
        <f>G63/G66</f>
        <v>0.5753260162270688</v>
      </c>
      <c r="G63" s="17">
        <f>SUM(G13,G27:G30,G54:G56,G39:G39,G47:G47)</f>
        <v>73675280.299999997</v>
      </c>
      <c r="H63" s="17">
        <f>SUM(H13,H27:H30,H54:H56,H39:H39,H47:H47)</f>
        <v>6835676.8500000006</v>
      </c>
      <c r="I63" s="289">
        <f>H63/E63</f>
        <v>0.10226985902902057</v>
      </c>
      <c r="J63" s="288"/>
      <c r="K63" s="3"/>
      <c r="L63" s="13"/>
      <c r="M63" s="3"/>
      <c r="N63" s="3"/>
    </row>
    <row r="64" spans="1:14" ht="14.5" x14ac:dyDescent="0.35">
      <c r="A64" s="3"/>
      <c r="B64" s="90" t="s">
        <v>51</v>
      </c>
      <c r="C64" s="3"/>
      <c r="D64" s="3"/>
      <c r="E64" s="17">
        <f>SUM(E31:E32,E14:E20)</f>
        <v>3000.6699999999996</v>
      </c>
      <c r="F64" s="3"/>
      <c r="G64" s="17">
        <f>SUM(G31:G32,G14:G20)</f>
        <v>3000.6699999999996</v>
      </c>
      <c r="H64" s="17">
        <f>SUM(H31:H32,H14:H20)</f>
        <v>0</v>
      </c>
      <c r="I64" s="289"/>
      <c r="J64" s="288"/>
      <c r="K64" s="3"/>
      <c r="L64" s="13"/>
      <c r="M64" s="3"/>
      <c r="N64" s="3"/>
    </row>
    <row r="65" spans="1:14" ht="14.5" x14ac:dyDescent="0.35">
      <c r="A65" s="3"/>
      <c r="B65" s="90" t="s">
        <v>58</v>
      </c>
      <c r="C65" s="3"/>
      <c r="D65" s="3"/>
      <c r="E65" s="91">
        <f>SUM(E57,E48,E40,E33,E21)</f>
        <v>0</v>
      </c>
      <c r="F65" s="3"/>
      <c r="G65" s="91">
        <f>SUM(G57,G48,G40,G33,G21)</f>
        <v>251.67999999999998</v>
      </c>
      <c r="H65" s="91">
        <f>SUM(H57,H48,H40,H33,H21)</f>
        <v>251.67999999999998</v>
      </c>
      <c r="I65" s="289"/>
      <c r="J65" s="295"/>
      <c r="K65" s="3"/>
      <c r="L65" s="13"/>
      <c r="M65" s="3"/>
      <c r="N65" s="3"/>
    </row>
    <row r="66" spans="1:14" ht="15" thickBot="1" x14ac:dyDescent="0.4">
      <c r="A66" s="3"/>
      <c r="B66" s="92" t="s">
        <v>59</v>
      </c>
      <c r="C66" s="93"/>
      <c r="D66" s="93"/>
      <c r="E66" s="28">
        <f>SUM(E62:E65)</f>
        <v>113745315.14000002</v>
      </c>
      <c r="F66" s="93"/>
      <c r="G66" s="28">
        <f>SUM(G62:G65)</f>
        <v>128058315.15000001</v>
      </c>
      <c r="H66" s="28">
        <f>SUM(H62:H65)</f>
        <v>14313000.129999999</v>
      </c>
      <c r="I66" s="300">
        <f>H66/E66</f>
        <v>0.12583375510792047</v>
      </c>
      <c r="J66" s="296">
        <f>SUM(J58,J49,J41,J34,J22)</f>
        <v>0.99999995808006736</v>
      </c>
      <c r="K66" s="3"/>
      <c r="L66" s="13"/>
      <c r="M66" s="3"/>
      <c r="N66" s="3"/>
    </row>
    <row r="67" spans="1:14" ht="14.5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13"/>
      <c r="M67" s="3"/>
      <c r="N67" s="3"/>
    </row>
    <row r="68" spans="1:14" ht="14.5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4.5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4.9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4.9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4.9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4.9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</sheetData>
  <printOptions horizontalCentered="1"/>
  <pageMargins left="0.25" right="0.25" top="0.5" bottom="0.5" header="0.75" footer="0.3"/>
  <pageSetup scale="68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6BE1-D922-443A-A4B7-906501979C0B}">
  <sheetPr codeName="Sheet15">
    <tabColor theme="5" tint="0.79998168889431442"/>
    <pageSetUpPr fitToPage="1"/>
  </sheetPr>
  <dimension ref="A1:V38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8.453125" customWidth="1"/>
    <col min="3" max="4" width="9.1796875" bestFit="1" customWidth="1"/>
    <col min="5" max="5" width="8.81640625" bestFit="1" customWidth="1"/>
    <col min="6" max="6" width="8.4531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8" width="9.453125" bestFit="1" customWidth="1"/>
    <col min="19" max="20" width="10.1796875" bestFit="1" customWidth="1"/>
    <col min="21" max="21" width="9.453125" customWidth="1"/>
    <col min="23" max="23" width="11.54296875" customWidth="1"/>
    <col min="24" max="24" width="7.81640625" customWidth="1"/>
    <col min="25" max="27" width="7.1796875" customWidth="1"/>
    <col min="28" max="29" width="7.81640625" customWidth="1"/>
    <col min="30" max="30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220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91</v>
      </c>
      <c r="C21" s="152" t="s">
        <v>147</v>
      </c>
      <c r="D21" s="168">
        <f>+D37</f>
        <v>0</v>
      </c>
      <c r="E21" s="157">
        <f>Trans_Inputs!$H$25</f>
        <v>0</v>
      </c>
      <c r="F21" s="157">
        <f>Trans_Inputs!$V$25</f>
        <v>0</v>
      </c>
      <c r="G21" s="167">
        <f t="shared" ref="G21:G35" si="0">F21-E21</f>
        <v>0</v>
      </c>
      <c r="H21" s="155">
        <f t="shared" ref="H21:H35" si="1">IF(E21=0,0,ROUND(G21/E21,3))</f>
        <v>0</v>
      </c>
      <c r="I21" s="155"/>
      <c r="J21" s="157">
        <f>Trans_Inputs!$I$25</f>
        <v>0</v>
      </c>
      <c r="K21" s="157">
        <f>Trans_Inputs!$W$25</f>
        <v>0</v>
      </c>
      <c r="L21" s="157">
        <f t="shared" ref="L21:L35" si="2">K21-J21</f>
        <v>0</v>
      </c>
      <c r="M21" s="155">
        <f t="shared" ref="M21:M35" si="3">IF(J21=0,0,ROUND(L21/J21,3))</f>
        <v>0</v>
      </c>
      <c r="N21" s="158"/>
      <c r="O21" s="157">
        <f>ROUND((D21*Trans_Inputs!$C$25),2)</f>
        <v>0</v>
      </c>
      <c r="P21" s="157">
        <f>ROUND((D21*Trans_Inputs!$Q$25),2)</f>
        <v>0</v>
      </c>
      <c r="Q21" s="157">
        <f t="shared" ref="Q21:Q35" si="4">P21-O21</f>
        <v>0</v>
      </c>
      <c r="R21" s="155">
        <f t="shared" ref="R21:R35" si="5">IF(O21=0,0,ROUND(Q21/O21,3))</f>
        <v>0</v>
      </c>
      <c r="S21" s="157">
        <f t="shared" ref="S21:S35" si="6">E21+J21+O21</f>
        <v>0</v>
      </c>
      <c r="T21" s="157">
        <f t="shared" ref="T21:T35" si="7">F21+K21+P21</f>
        <v>0</v>
      </c>
      <c r="U21" s="155">
        <f t="shared" ref="U21:U35" si="8">IF(S21=0,0,ROUND((T21-S21)/S21,3))</f>
        <v>0</v>
      </c>
      <c r="V21" s="164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100</v>
      </c>
      <c r="E22" s="157">
        <f>Trans_Inputs!$H$25</f>
        <v>0</v>
      </c>
      <c r="F22" s="157">
        <f>Trans_Inputs!$V$25</f>
        <v>0</v>
      </c>
      <c r="G22" s="167">
        <f t="shared" si="0"/>
        <v>0</v>
      </c>
      <c r="H22" s="155">
        <f t="shared" si="1"/>
        <v>0</v>
      </c>
      <c r="I22" s="155"/>
      <c r="J22" s="157">
        <f>Trans_Inputs!$I$25</f>
        <v>0</v>
      </c>
      <c r="K22" s="157">
        <f>Trans_Inputs!$W$25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ROUND((D22*Trans_Inputs!$C$25),2)</f>
        <v>0</v>
      </c>
      <c r="P22" s="157">
        <f>ROUND((D22*Trans_Inputs!$Q$25),2)</f>
        <v>0</v>
      </c>
      <c r="Q22" s="157">
        <f t="shared" si="4"/>
        <v>0</v>
      </c>
      <c r="R22" s="155">
        <f t="shared" si="5"/>
        <v>0</v>
      </c>
      <c r="S22" s="157">
        <f t="shared" si="6"/>
        <v>0</v>
      </c>
      <c r="T22" s="157">
        <f t="shared" si="7"/>
        <v>0</v>
      </c>
      <c r="U22" s="155">
        <f t="shared" si="8"/>
        <v>0</v>
      </c>
      <c r="V22" s="164"/>
    </row>
    <row r="23" spans="1:22" ht="14.4" customHeight="1" x14ac:dyDescent="0.35">
      <c r="A23" s="152">
        <v>3</v>
      </c>
      <c r="B23" s="152" t="s">
        <v>216</v>
      </c>
      <c r="C23" s="117"/>
      <c r="D23" s="168">
        <v>150</v>
      </c>
      <c r="E23" s="157">
        <f>Trans_Inputs!$H$25</f>
        <v>0</v>
      </c>
      <c r="F23" s="157">
        <f>Trans_Inputs!$V$25</f>
        <v>0</v>
      </c>
      <c r="G23" s="167">
        <f t="shared" si="0"/>
        <v>0</v>
      </c>
      <c r="H23" s="155">
        <f t="shared" si="1"/>
        <v>0</v>
      </c>
      <c r="I23" s="155"/>
      <c r="J23" s="157">
        <f>Trans_Inputs!$I$25</f>
        <v>0</v>
      </c>
      <c r="K23" s="157">
        <f>Trans_Inputs!$W$25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ROUND((D23*Trans_Inputs!$C$25),2)</f>
        <v>0</v>
      </c>
      <c r="P23" s="157">
        <f>ROUND((D23*Trans_Inputs!$Q$25),2)</f>
        <v>0</v>
      </c>
      <c r="Q23" s="157">
        <f t="shared" si="4"/>
        <v>0</v>
      </c>
      <c r="R23" s="155">
        <f t="shared" si="5"/>
        <v>0</v>
      </c>
      <c r="S23" s="157">
        <f t="shared" si="6"/>
        <v>0</v>
      </c>
      <c r="T23" s="157">
        <f t="shared" si="7"/>
        <v>0</v>
      </c>
      <c r="U23" s="155">
        <f t="shared" si="8"/>
        <v>0</v>
      </c>
      <c r="V23" s="164"/>
    </row>
    <row r="24" spans="1:22" ht="14.4" customHeight="1" x14ac:dyDescent="0.35">
      <c r="A24" s="152">
        <v>4</v>
      </c>
      <c r="B24" s="152" t="s">
        <v>71</v>
      </c>
      <c r="C24" s="117"/>
      <c r="D24" s="168">
        <v>300</v>
      </c>
      <c r="E24" s="157">
        <f>Trans_Inputs!$H$25</f>
        <v>0</v>
      </c>
      <c r="F24" s="157">
        <f>Trans_Inputs!$V$25</f>
        <v>0</v>
      </c>
      <c r="G24" s="167">
        <f t="shared" si="0"/>
        <v>0</v>
      </c>
      <c r="H24" s="155">
        <f t="shared" si="1"/>
        <v>0</v>
      </c>
      <c r="I24" s="155"/>
      <c r="J24" s="157">
        <f>Trans_Inputs!$I$25</f>
        <v>0</v>
      </c>
      <c r="K24" s="157">
        <f>Trans_Inputs!$W$25</f>
        <v>0</v>
      </c>
      <c r="L24" s="157">
        <f t="shared" si="2"/>
        <v>0</v>
      </c>
      <c r="M24" s="155">
        <f t="shared" si="3"/>
        <v>0</v>
      </c>
      <c r="N24" s="158"/>
      <c r="O24" s="157">
        <f>ROUND((D24*Trans_Inputs!$C$25),2)</f>
        <v>0</v>
      </c>
      <c r="P24" s="157">
        <f>ROUND((D24*Trans_Inputs!$Q$25),2)</f>
        <v>0</v>
      </c>
      <c r="Q24" s="157">
        <f t="shared" si="4"/>
        <v>0</v>
      </c>
      <c r="R24" s="155">
        <f t="shared" si="5"/>
        <v>0</v>
      </c>
      <c r="S24" s="157">
        <f t="shared" si="6"/>
        <v>0</v>
      </c>
      <c r="T24" s="157">
        <f t="shared" si="7"/>
        <v>0</v>
      </c>
      <c r="U24" s="155">
        <f t="shared" si="8"/>
        <v>0</v>
      </c>
      <c r="V24" s="164"/>
    </row>
    <row r="25" spans="1:22" ht="14.4" customHeight="1" x14ac:dyDescent="0.35">
      <c r="A25" s="152">
        <v>5</v>
      </c>
      <c r="B25" s="152" t="s">
        <v>195</v>
      </c>
      <c r="C25" s="117"/>
      <c r="D25" s="168">
        <v>500</v>
      </c>
      <c r="E25" s="157">
        <f>Trans_Inputs!$H$25</f>
        <v>0</v>
      </c>
      <c r="F25" s="157">
        <f>Trans_Inputs!$V$25</f>
        <v>0</v>
      </c>
      <c r="G25" s="167">
        <f t="shared" si="0"/>
        <v>0</v>
      </c>
      <c r="H25" s="155">
        <f t="shared" si="1"/>
        <v>0</v>
      </c>
      <c r="I25" s="155"/>
      <c r="J25" s="157">
        <f>Trans_Inputs!$I$25</f>
        <v>0</v>
      </c>
      <c r="K25" s="157">
        <f>Trans_Inputs!$W$25</f>
        <v>0</v>
      </c>
      <c r="L25" s="157">
        <f t="shared" si="2"/>
        <v>0</v>
      </c>
      <c r="M25" s="155">
        <f t="shared" si="3"/>
        <v>0</v>
      </c>
      <c r="N25" s="158"/>
      <c r="O25" s="157">
        <f>ROUND((D25*Trans_Inputs!$C$25),2)</f>
        <v>0</v>
      </c>
      <c r="P25" s="157">
        <f>ROUND((D25*Trans_Inputs!$Q$25),2)</f>
        <v>0</v>
      </c>
      <c r="Q25" s="157">
        <f t="shared" si="4"/>
        <v>0</v>
      </c>
      <c r="R25" s="155">
        <f t="shared" si="5"/>
        <v>0</v>
      </c>
      <c r="S25" s="157">
        <f t="shared" si="6"/>
        <v>0</v>
      </c>
      <c r="T25" s="157">
        <f t="shared" si="7"/>
        <v>0</v>
      </c>
      <c r="U25" s="155">
        <f t="shared" si="8"/>
        <v>0</v>
      </c>
      <c r="V25" s="164"/>
    </row>
    <row r="26" spans="1:22" ht="14.4" customHeight="1" x14ac:dyDescent="0.35">
      <c r="A26" s="152">
        <v>6</v>
      </c>
      <c r="B26" s="117"/>
      <c r="C26" s="117"/>
      <c r="D26" s="168">
        <v>1000</v>
      </c>
      <c r="E26" s="157">
        <f>Trans_Inputs!$H$25</f>
        <v>0</v>
      </c>
      <c r="F26" s="157">
        <f>Trans_Inputs!$V$25</f>
        <v>0</v>
      </c>
      <c r="G26" s="167">
        <f t="shared" si="0"/>
        <v>0</v>
      </c>
      <c r="H26" s="155">
        <f t="shared" si="1"/>
        <v>0</v>
      </c>
      <c r="I26" s="155"/>
      <c r="J26" s="157">
        <f>Trans_Inputs!$I$25</f>
        <v>0</v>
      </c>
      <c r="K26" s="157">
        <f>Trans_Inputs!$W$25</f>
        <v>0</v>
      </c>
      <c r="L26" s="157">
        <f t="shared" si="2"/>
        <v>0</v>
      </c>
      <c r="M26" s="155">
        <f t="shared" si="3"/>
        <v>0</v>
      </c>
      <c r="N26" s="158"/>
      <c r="O26" s="157">
        <f>ROUND((D26*Trans_Inputs!$C$25),2)</f>
        <v>0</v>
      </c>
      <c r="P26" s="157">
        <f>ROUND((D26*Trans_Inputs!$Q$25),2)</f>
        <v>0</v>
      </c>
      <c r="Q26" s="157">
        <f t="shared" si="4"/>
        <v>0</v>
      </c>
      <c r="R26" s="155">
        <f t="shared" si="5"/>
        <v>0</v>
      </c>
      <c r="S26" s="157">
        <f t="shared" si="6"/>
        <v>0</v>
      </c>
      <c r="T26" s="157">
        <f t="shared" si="7"/>
        <v>0</v>
      </c>
      <c r="U26" s="155">
        <f t="shared" si="8"/>
        <v>0</v>
      </c>
      <c r="V26" s="164"/>
    </row>
    <row r="27" spans="1:22" ht="14.4" customHeight="1" x14ac:dyDescent="0.35">
      <c r="A27" s="152">
        <v>7</v>
      </c>
      <c r="B27" s="117"/>
      <c r="C27" s="117"/>
      <c r="D27" s="168">
        <v>3000</v>
      </c>
      <c r="E27" s="157">
        <f>Trans_Inputs!$H$25</f>
        <v>0</v>
      </c>
      <c r="F27" s="157">
        <f>Trans_Inputs!$V$25</f>
        <v>0</v>
      </c>
      <c r="G27" s="167">
        <f t="shared" si="0"/>
        <v>0</v>
      </c>
      <c r="H27" s="155">
        <f t="shared" si="1"/>
        <v>0</v>
      </c>
      <c r="I27" s="155"/>
      <c r="J27" s="157">
        <f>Trans_Inputs!$I$25</f>
        <v>0</v>
      </c>
      <c r="K27" s="157">
        <f>Trans_Inputs!$W$25</f>
        <v>0</v>
      </c>
      <c r="L27" s="157">
        <f t="shared" si="2"/>
        <v>0</v>
      </c>
      <c r="M27" s="155">
        <f t="shared" si="3"/>
        <v>0</v>
      </c>
      <c r="N27" s="158"/>
      <c r="O27" s="157">
        <f>ROUND((D27*Trans_Inputs!$C$25),2)</f>
        <v>0</v>
      </c>
      <c r="P27" s="157">
        <f>ROUND((D27*Trans_Inputs!$Q$25),2)</f>
        <v>0</v>
      </c>
      <c r="Q27" s="157">
        <f t="shared" si="4"/>
        <v>0</v>
      </c>
      <c r="R27" s="155">
        <f t="shared" si="5"/>
        <v>0</v>
      </c>
      <c r="S27" s="157">
        <f t="shared" si="6"/>
        <v>0</v>
      </c>
      <c r="T27" s="157">
        <f t="shared" si="7"/>
        <v>0</v>
      </c>
      <c r="U27" s="155">
        <f t="shared" si="8"/>
        <v>0</v>
      </c>
      <c r="V27" s="164"/>
    </row>
    <row r="28" spans="1:22" ht="14.4" customHeight="1" x14ac:dyDescent="0.35">
      <c r="A28" s="152">
        <v>8</v>
      </c>
      <c r="B28" s="152"/>
      <c r="C28" s="117"/>
      <c r="D28" s="168">
        <v>5000</v>
      </c>
      <c r="E28" s="157">
        <f>Trans_Inputs!$H$25</f>
        <v>0</v>
      </c>
      <c r="F28" s="157">
        <f>Trans_Inputs!$V$25</f>
        <v>0</v>
      </c>
      <c r="G28" s="167">
        <f t="shared" si="0"/>
        <v>0</v>
      </c>
      <c r="H28" s="155">
        <f t="shared" si="1"/>
        <v>0</v>
      </c>
      <c r="I28" s="155"/>
      <c r="J28" s="157">
        <f>Trans_Inputs!$I$25</f>
        <v>0</v>
      </c>
      <c r="K28" s="157">
        <f>Trans_Inputs!$W$25</f>
        <v>0</v>
      </c>
      <c r="L28" s="157">
        <f t="shared" si="2"/>
        <v>0</v>
      </c>
      <c r="M28" s="155">
        <f t="shared" si="3"/>
        <v>0</v>
      </c>
      <c r="N28" s="158"/>
      <c r="O28" s="157">
        <f>ROUND((D28*Trans_Inputs!$C$25),2)</f>
        <v>0</v>
      </c>
      <c r="P28" s="157">
        <f>ROUND((D28*Trans_Inputs!$Q$25),2)</f>
        <v>0</v>
      </c>
      <c r="Q28" s="157">
        <f t="shared" si="4"/>
        <v>0</v>
      </c>
      <c r="R28" s="155">
        <f t="shared" si="5"/>
        <v>0</v>
      </c>
      <c r="S28" s="157">
        <f t="shared" si="6"/>
        <v>0</v>
      </c>
      <c r="T28" s="157">
        <f t="shared" si="7"/>
        <v>0</v>
      </c>
      <c r="U28" s="155">
        <f t="shared" si="8"/>
        <v>0</v>
      </c>
      <c r="V28" s="164"/>
    </row>
    <row r="29" spans="1:22" ht="14.4" customHeight="1" x14ac:dyDescent="0.35">
      <c r="A29" s="152">
        <v>9</v>
      </c>
      <c r="B29" s="152"/>
      <c r="C29" s="117"/>
      <c r="D29" s="168">
        <v>10000</v>
      </c>
      <c r="E29" s="157">
        <f>Trans_Inputs!$H$25</f>
        <v>0</v>
      </c>
      <c r="F29" s="157">
        <f>Trans_Inputs!$V$25</f>
        <v>0</v>
      </c>
      <c r="G29" s="167">
        <f t="shared" si="0"/>
        <v>0</v>
      </c>
      <c r="H29" s="155">
        <f t="shared" si="1"/>
        <v>0</v>
      </c>
      <c r="I29" s="155"/>
      <c r="J29" s="157">
        <f>Trans_Inputs!$I$25</f>
        <v>0</v>
      </c>
      <c r="K29" s="157">
        <f>Trans_Inputs!$W$25</f>
        <v>0</v>
      </c>
      <c r="L29" s="157">
        <f t="shared" si="2"/>
        <v>0</v>
      </c>
      <c r="M29" s="155">
        <f t="shared" si="3"/>
        <v>0</v>
      </c>
      <c r="N29" s="158"/>
      <c r="O29" s="157">
        <f>ROUND((D29*Trans_Inputs!$C$25),2)</f>
        <v>0</v>
      </c>
      <c r="P29" s="157">
        <f>ROUND((D29*Trans_Inputs!$Q$25),2)</f>
        <v>0</v>
      </c>
      <c r="Q29" s="157">
        <f t="shared" si="4"/>
        <v>0</v>
      </c>
      <c r="R29" s="155">
        <f t="shared" si="5"/>
        <v>0</v>
      </c>
      <c r="S29" s="157">
        <f t="shared" si="6"/>
        <v>0</v>
      </c>
      <c r="T29" s="157">
        <f t="shared" si="7"/>
        <v>0</v>
      </c>
      <c r="U29" s="155">
        <f t="shared" si="8"/>
        <v>0</v>
      </c>
      <c r="V29" s="164"/>
    </row>
    <row r="30" spans="1:22" ht="14.4" customHeight="1" x14ac:dyDescent="0.35">
      <c r="A30" s="152">
        <v>10</v>
      </c>
      <c r="B30" s="117"/>
      <c r="C30" s="117"/>
      <c r="D30" s="168">
        <v>15000</v>
      </c>
      <c r="E30" s="157">
        <f>Trans_Inputs!$H$25</f>
        <v>0</v>
      </c>
      <c r="F30" s="157">
        <f>Trans_Inputs!$V$25</f>
        <v>0</v>
      </c>
      <c r="G30" s="167">
        <f t="shared" si="0"/>
        <v>0</v>
      </c>
      <c r="H30" s="155">
        <f t="shared" si="1"/>
        <v>0</v>
      </c>
      <c r="I30" s="155"/>
      <c r="J30" s="157">
        <f>Trans_Inputs!$I$25</f>
        <v>0</v>
      </c>
      <c r="K30" s="157">
        <f>Trans_Inputs!$W$25</f>
        <v>0</v>
      </c>
      <c r="L30" s="157">
        <f t="shared" si="2"/>
        <v>0</v>
      </c>
      <c r="M30" s="155">
        <f t="shared" si="3"/>
        <v>0</v>
      </c>
      <c r="N30" s="158"/>
      <c r="O30" s="157">
        <f>ROUND((D30*Trans_Inputs!$C$25),2)</f>
        <v>0</v>
      </c>
      <c r="P30" s="157">
        <f>ROUND((D30*Trans_Inputs!$Q$25),2)</f>
        <v>0</v>
      </c>
      <c r="Q30" s="157">
        <f t="shared" si="4"/>
        <v>0</v>
      </c>
      <c r="R30" s="155">
        <f t="shared" si="5"/>
        <v>0</v>
      </c>
      <c r="S30" s="157">
        <f t="shared" si="6"/>
        <v>0</v>
      </c>
      <c r="T30" s="157">
        <f t="shared" si="7"/>
        <v>0</v>
      </c>
      <c r="U30" s="155">
        <f t="shared" si="8"/>
        <v>0</v>
      </c>
      <c r="V30" s="164"/>
    </row>
    <row r="31" spans="1:22" ht="14.4" customHeight="1" x14ac:dyDescent="0.35">
      <c r="A31" s="152">
        <v>11</v>
      </c>
      <c r="B31" s="117"/>
      <c r="C31" s="117"/>
      <c r="D31" s="168">
        <v>20000</v>
      </c>
      <c r="E31" s="157">
        <f>Trans_Inputs!$H$25</f>
        <v>0</v>
      </c>
      <c r="F31" s="157">
        <f>Trans_Inputs!$V$25</f>
        <v>0</v>
      </c>
      <c r="G31" s="167">
        <f t="shared" si="0"/>
        <v>0</v>
      </c>
      <c r="H31" s="155">
        <f t="shared" si="1"/>
        <v>0</v>
      </c>
      <c r="I31" s="155"/>
      <c r="J31" s="157">
        <f>Trans_Inputs!$I$25</f>
        <v>0</v>
      </c>
      <c r="K31" s="157">
        <f>Trans_Inputs!$W$25</f>
        <v>0</v>
      </c>
      <c r="L31" s="157">
        <f t="shared" si="2"/>
        <v>0</v>
      </c>
      <c r="M31" s="155">
        <f t="shared" si="3"/>
        <v>0</v>
      </c>
      <c r="N31" s="158"/>
      <c r="O31" s="157">
        <f>ROUND((D31*Trans_Inputs!$C$25),2)</f>
        <v>0</v>
      </c>
      <c r="P31" s="157">
        <f>ROUND((D31*Trans_Inputs!$Q$25),2)</f>
        <v>0</v>
      </c>
      <c r="Q31" s="157">
        <f t="shared" si="4"/>
        <v>0</v>
      </c>
      <c r="R31" s="155">
        <f t="shared" si="5"/>
        <v>0</v>
      </c>
      <c r="S31" s="157">
        <f t="shared" si="6"/>
        <v>0</v>
      </c>
      <c r="T31" s="157">
        <f t="shared" si="7"/>
        <v>0</v>
      </c>
      <c r="U31" s="155">
        <f t="shared" si="8"/>
        <v>0</v>
      </c>
      <c r="V31" s="164"/>
    </row>
    <row r="32" spans="1:22" ht="14.4" customHeight="1" x14ac:dyDescent="0.35">
      <c r="A32" s="152">
        <v>12</v>
      </c>
      <c r="B32" s="117"/>
      <c r="C32" s="117"/>
      <c r="D32" s="168">
        <v>25000</v>
      </c>
      <c r="E32" s="157">
        <f>Trans_Inputs!$H$25</f>
        <v>0</v>
      </c>
      <c r="F32" s="157">
        <f>Trans_Inputs!$V$25</f>
        <v>0</v>
      </c>
      <c r="G32" s="167">
        <f t="shared" si="0"/>
        <v>0</v>
      </c>
      <c r="H32" s="155">
        <f t="shared" si="1"/>
        <v>0</v>
      </c>
      <c r="I32" s="155"/>
      <c r="J32" s="157">
        <f>Trans_Inputs!$I$25</f>
        <v>0</v>
      </c>
      <c r="K32" s="157">
        <f>Trans_Inputs!$W$25</f>
        <v>0</v>
      </c>
      <c r="L32" s="157">
        <f t="shared" si="2"/>
        <v>0</v>
      </c>
      <c r="M32" s="155">
        <f t="shared" si="3"/>
        <v>0</v>
      </c>
      <c r="N32" s="164"/>
      <c r="O32" s="157">
        <f>ROUND((Trans_Inputs!$C$25*Trans_Inputs!$AD$25),2)+ROUND(((D32-Trans_Inputs!$AD$25)*Trans_Inputs!$D$25),2)</f>
        <v>0</v>
      </c>
      <c r="P32" s="157">
        <f>ROUND((Trans_Inputs!$Q$25*Trans_Inputs!$AK$25),2)+ROUND(((D32-Trans_Inputs!$AK$25)*Trans_Inputs!$R$25),2)</f>
        <v>0</v>
      </c>
      <c r="Q32" s="157">
        <f t="shared" si="4"/>
        <v>0</v>
      </c>
      <c r="R32" s="155">
        <f t="shared" si="5"/>
        <v>0</v>
      </c>
      <c r="S32" s="157">
        <f t="shared" si="6"/>
        <v>0</v>
      </c>
      <c r="T32" s="157">
        <f t="shared" si="7"/>
        <v>0</v>
      </c>
      <c r="U32" s="155">
        <f t="shared" si="8"/>
        <v>0</v>
      </c>
      <c r="V32" s="164"/>
    </row>
    <row r="33" spans="1:22" ht="14.4" customHeight="1" x14ac:dyDescent="0.35">
      <c r="A33" s="152">
        <v>13</v>
      </c>
      <c r="B33" s="117"/>
      <c r="C33" s="117"/>
      <c r="D33" s="168">
        <v>30000</v>
      </c>
      <c r="E33" s="157">
        <f>Trans_Inputs!$H$25</f>
        <v>0</v>
      </c>
      <c r="F33" s="157">
        <f>Trans_Inputs!$V$25</f>
        <v>0</v>
      </c>
      <c r="G33" s="167">
        <f t="shared" si="0"/>
        <v>0</v>
      </c>
      <c r="H33" s="155">
        <f t="shared" si="1"/>
        <v>0</v>
      </c>
      <c r="I33" s="155"/>
      <c r="J33" s="157">
        <f>Trans_Inputs!$I$25</f>
        <v>0</v>
      </c>
      <c r="K33" s="157">
        <f>Trans_Inputs!$W$25</f>
        <v>0</v>
      </c>
      <c r="L33" s="157">
        <f t="shared" si="2"/>
        <v>0</v>
      </c>
      <c r="M33" s="155">
        <f t="shared" si="3"/>
        <v>0</v>
      </c>
      <c r="N33" s="164"/>
      <c r="O33" s="157">
        <f>ROUND((Trans_Inputs!$C$25*Trans_Inputs!$AD$25),2)+ROUND(((D33-Trans_Inputs!$AD$25)*Trans_Inputs!$D$25),2)</f>
        <v>0</v>
      </c>
      <c r="P33" s="157">
        <f>ROUND((Trans_Inputs!$Q$25*Trans_Inputs!$AK$25),2)+ROUND(((D33-Trans_Inputs!$AK$25)*Trans_Inputs!$R$25),2)</f>
        <v>0</v>
      </c>
      <c r="Q33" s="157">
        <f t="shared" si="4"/>
        <v>0</v>
      </c>
      <c r="R33" s="155">
        <f t="shared" si="5"/>
        <v>0</v>
      </c>
      <c r="S33" s="157">
        <f t="shared" si="6"/>
        <v>0</v>
      </c>
      <c r="T33" s="157">
        <f t="shared" si="7"/>
        <v>0</v>
      </c>
      <c r="U33" s="155">
        <f t="shared" si="8"/>
        <v>0</v>
      </c>
      <c r="V33" s="164"/>
    </row>
    <row r="34" spans="1:22" ht="14.4" customHeight="1" x14ac:dyDescent="0.35">
      <c r="A34" s="152">
        <v>14</v>
      </c>
      <c r="B34" s="117"/>
      <c r="C34" s="117"/>
      <c r="D34" s="168">
        <v>35000</v>
      </c>
      <c r="E34" s="157">
        <f>Trans_Inputs!$H$25</f>
        <v>0</v>
      </c>
      <c r="F34" s="157">
        <f>Trans_Inputs!$V$25</f>
        <v>0</v>
      </c>
      <c r="G34" s="167">
        <f t="shared" si="0"/>
        <v>0</v>
      </c>
      <c r="H34" s="155">
        <f t="shared" si="1"/>
        <v>0</v>
      </c>
      <c r="I34" s="155"/>
      <c r="J34" s="157">
        <f>Trans_Inputs!$I$25</f>
        <v>0</v>
      </c>
      <c r="K34" s="157">
        <f>Trans_Inputs!$W$25</f>
        <v>0</v>
      </c>
      <c r="L34" s="157">
        <f t="shared" si="2"/>
        <v>0</v>
      </c>
      <c r="M34" s="155">
        <f t="shared" si="3"/>
        <v>0</v>
      </c>
      <c r="N34" s="164"/>
      <c r="O34" s="157">
        <f>ROUND((Trans_Inputs!$C$25*Trans_Inputs!$AD$25),2)+ROUND(((D34-Trans_Inputs!$AD$25)*Trans_Inputs!$D$25),2)</f>
        <v>0</v>
      </c>
      <c r="P34" s="157">
        <f>ROUND((Trans_Inputs!$Q$25*Trans_Inputs!$AK$25),2)+ROUND(((D34-Trans_Inputs!$AK$25)*Trans_Inputs!$R$25),2)</f>
        <v>0</v>
      </c>
      <c r="Q34" s="157">
        <f t="shared" si="4"/>
        <v>0</v>
      </c>
      <c r="R34" s="155">
        <f t="shared" si="5"/>
        <v>0</v>
      </c>
      <c r="S34" s="157">
        <f t="shared" si="6"/>
        <v>0</v>
      </c>
      <c r="T34" s="157">
        <f t="shared" si="7"/>
        <v>0</v>
      </c>
      <c r="U34" s="155">
        <f t="shared" si="8"/>
        <v>0</v>
      </c>
      <c r="V34" s="164"/>
    </row>
    <row r="35" spans="1:22" ht="14.5" x14ac:dyDescent="0.35">
      <c r="A35" s="152">
        <v>15</v>
      </c>
      <c r="B35" s="152"/>
      <c r="C35" s="117"/>
      <c r="D35" s="168">
        <v>45000</v>
      </c>
      <c r="E35" s="157">
        <f>Trans_Inputs!$H$25</f>
        <v>0</v>
      </c>
      <c r="F35" s="157">
        <f>Trans_Inputs!$V$25</f>
        <v>0</v>
      </c>
      <c r="G35" s="167">
        <f t="shared" si="0"/>
        <v>0</v>
      </c>
      <c r="H35" s="155">
        <f t="shared" si="1"/>
        <v>0</v>
      </c>
      <c r="I35" s="155"/>
      <c r="J35" s="157">
        <f>Trans_Inputs!$I$25</f>
        <v>0</v>
      </c>
      <c r="K35" s="157">
        <f>Trans_Inputs!$W$25</f>
        <v>0</v>
      </c>
      <c r="L35" s="157">
        <f t="shared" si="2"/>
        <v>0</v>
      </c>
      <c r="M35" s="155">
        <f t="shared" si="3"/>
        <v>0</v>
      </c>
      <c r="N35" s="158"/>
      <c r="O35" s="157">
        <f>ROUND((Trans_Inputs!$C$25*Trans_Inputs!$AD$25),2)+ROUND(((D35-Trans_Inputs!$AD$25)*Trans_Inputs!$D$25),2)</f>
        <v>0</v>
      </c>
      <c r="P35" s="157">
        <f>ROUND((Trans_Inputs!$Q$25*Trans_Inputs!$AK$25),2)+ROUND(((D35-Trans_Inputs!$AK$25)*Trans_Inputs!$R$25),2)</f>
        <v>0</v>
      </c>
      <c r="Q35" s="157">
        <f t="shared" si="4"/>
        <v>0</v>
      </c>
      <c r="R35" s="155">
        <f t="shared" si="5"/>
        <v>0</v>
      </c>
      <c r="S35" s="157">
        <f t="shared" si="6"/>
        <v>0</v>
      </c>
      <c r="T35" s="157">
        <f t="shared" si="7"/>
        <v>0</v>
      </c>
      <c r="U35" s="155">
        <f t="shared" si="8"/>
        <v>0</v>
      </c>
      <c r="V35" s="164"/>
    </row>
    <row r="36" spans="1:22" ht="14.5" x14ac:dyDescent="0.35">
      <c r="A36" s="152"/>
      <c r="B36" s="117"/>
      <c r="C36" s="117"/>
      <c r="D36" s="172"/>
      <c r="E36" s="164"/>
      <c r="F36" s="164"/>
      <c r="G36" s="157"/>
      <c r="H36" s="158"/>
      <c r="I36" s="158"/>
      <c r="J36" s="158"/>
      <c r="K36" s="158"/>
      <c r="L36" s="158"/>
      <c r="M36" s="158"/>
      <c r="N36" s="164"/>
      <c r="O36" s="164"/>
      <c r="P36" s="164"/>
      <c r="Q36" s="157"/>
      <c r="R36" s="158"/>
      <c r="S36" s="157"/>
      <c r="T36" s="157"/>
      <c r="U36" s="155"/>
      <c r="V36" s="164"/>
    </row>
    <row r="37" spans="1:22" ht="14.5" x14ac:dyDescent="0.35">
      <c r="A37" s="152"/>
      <c r="B37" s="117" t="s">
        <v>142</v>
      </c>
      <c r="C37" s="117"/>
      <c r="D37" s="178">
        <f>ROUND(Trans_Inputs!AT25,0)</f>
        <v>0</v>
      </c>
      <c r="E37" s="164"/>
      <c r="F37" s="164"/>
      <c r="G37" s="157"/>
      <c r="H37" s="158"/>
      <c r="I37" s="158"/>
      <c r="J37" s="158"/>
      <c r="K37" s="158"/>
      <c r="L37" s="158"/>
      <c r="M37" s="158"/>
      <c r="N37" s="164"/>
      <c r="O37" s="164"/>
      <c r="P37" s="164"/>
      <c r="Q37" s="157"/>
      <c r="R37" s="158"/>
      <c r="S37" s="157"/>
      <c r="T37" s="157"/>
      <c r="U37" s="158"/>
      <c r="V37" s="164"/>
    </row>
    <row r="38" spans="1:22" ht="14.5" x14ac:dyDescent="0.35">
      <c r="A38" s="152"/>
      <c r="B38" s="117"/>
      <c r="C38" s="117" t="s">
        <v>215</v>
      </c>
      <c r="D38" s="117"/>
      <c r="E38" s="117"/>
      <c r="F38" s="117"/>
      <c r="G38" s="152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52"/>
      <c r="T38" s="152"/>
      <c r="U38" s="152"/>
      <c r="V38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.1" top="0.75" bottom="0.75" header="0.5" footer="0.5"/>
  <pageSetup scale="8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585B-2466-49EE-8F57-1B1485D03161}">
  <sheetPr codeName="Sheet16">
    <tabColor theme="5" tint="0.79998168889431442"/>
    <pageSetUpPr fitToPage="1"/>
  </sheetPr>
  <dimension ref="A1:V42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8.81640625" customWidth="1"/>
    <col min="3" max="3" width="10.453125" customWidth="1"/>
    <col min="4" max="4" width="9.1796875" bestFit="1" customWidth="1"/>
    <col min="5" max="6" width="8.816406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8" width="9.453125" bestFit="1" customWidth="1"/>
    <col min="19" max="20" width="10.1796875" bestFit="1" customWidth="1"/>
    <col min="21" max="21" width="9.453125" customWidth="1"/>
    <col min="23" max="23" width="9.453125" customWidth="1"/>
    <col min="24" max="24" width="7.81640625" customWidth="1"/>
    <col min="25" max="27" width="7.1796875" customWidth="1"/>
    <col min="28" max="29" width="7.81640625" customWidth="1"/>
    <col min="30" max="30" width="7.1796875" customWidth="1"/>
  </cols>
  <sheetData>
    <row r="1" spans="1:22" ht="14.4" customHeight="1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4" customHeight="1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4" customHeight="1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4" customHeight="1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4" customHeight="1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4" customHeight="1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4" customHeight="1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4" customHeight="1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4" customHeight="1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222</v>
      </c>
      <c r="V9" s="117"/>
    </row>
    <row r="10" spans="1:22" ht="14.4" customHeight="1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4" customHeight="1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4" customHeight="1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4" customHeight="1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4" customHeight="1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4" customHeight="1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4" customHeight="1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4" customHeight="1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4" customHeight="1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4" customHeight="1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4" customHeight="1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4" customHeight="1" x14ac:dyDescent="0.35">
      <c r="A21" s="152">
        <v>1</v>
      </c>
      <c r="B21" s="152" t="s">
        <v>89</v>
      </c>
      <c r="C21" s="152" t="s">
        <v>147</v>
      </c>
      <c r="D21" s="168">
        <v>100</v>
      </c>
      <c r="E21" s="157">
        <f>Trans_Inputs!$H$26</f>
        <v>3982.3</v>
      </c>
      <c r="F21" s="157">
        <f>Trans_Inputs!$V$26</f>
        <v>5000</v>
      </c>
      <c r="G21" s="167">
        <f t="shared" ref="G21:G39" si="0">F21-E21</f>
        <v>1017.6999999999998</v>
      </c>
      <c r="H21" s="155">
        <f t="shared" ref="H21:H39" si="1">ROUND(G21/E21,3)</f>
        <v>0.25600000000000001</v>
      </c>
      <c r="I21" s="164"/>
      <c r="J21" s="157">
        <f>Trans_Inputs!$I$26</f>
        <v>0</v>
      </c>
      <c r="K21" s="157">
        <f>Trans_Inputs!$W$26</f>
        <v>0</v>
      </c>
      <c r="L21" s="157">
        <f t="shared" ref="L21:L39" si="2">K21-J21</f>
        <v>0</v>
      </c>
      <c r="M21" s="155">
        <f t="shared" ref="M21:M39" si="3">IF(J21=0,0,ROUND(L21/J21,3))</f>
        <v>0</v>
      </c>
      <c r="N21" s="164"/>
      <c r="O21" s="157">
        <f>ROUND((D21*Trans_Inputs!$C$26),2)+ROUND((D21*Trans_Inputs!$K$26),2)+ROUND((D21*Trans_Inputs!$N$26),2)</f>
        <v>78.040000000000006</v>
      </c>
      <c r="P21" s="157">
        <f>ROUND((D21*Trans_Inputs!$Q$26),2)+ROUND((D21*Trans_Inputs!$AA$26),2)</f>
        <v>76.349999999999994</v>
      </c>
      <c r="Q21" s="157">
        <f t="shared" ref="Q21:Q39" si="4">P21-O21</f>
        <v>-1.6900000000000119</v>
      </c>
      <c r="R21" s="155">
        <f t="shared" ref="R21:R39" si="5">ROUND(Q21/O21,3)</f>
        <v>-2.1999999999999999E-2</v>
      </c>
      <c r="S21" s="157">
        <f t="shared" ref="S21:S39" si="6">E21+J21+O21</f>
        <v>4060.34</v>
      </c>
      <c r="T21" s="157">
        <f t="shared" ref="T21:T39" si="7">F21+K21+P21</f>
        <v>5076.3500000000004</v>
      </c>
      <c r="U21" s="155">
        <f t="shared" ref="U21:U39" si="8">ROUND((T21-S21)/S21,3)</f>
        <v>0.25</v>
      </c>
      <c r="V21" s="164"/>
    </row>
    <row r="22" spans="1:22" ht="14.4" customHeight="1" x14ac:dyDescent="0.35">
      <c r="A22" s="152">
        <v>2</v>
      </c>
      <c r="B22" s="152" t="s">
        <v>146</v>
      </c>
      <c r="C22" s="152" t="s">
        <v>145</v>
      </c>
      <c r="D22" s="168">
        <v>150</v>
      </c>
      <c r="E22" s="157">
        <f>Trans_Inputs!$H$26</f>
        <v>3982.3</v>
      </c>
      <c r="F22" s="157">
        <f>Trans_Inputs!$V$26</f>
        <v>5000</v>
      </c>
      <c r="G22" s="167">
        <f t="shared" si="0"/>
        <v>1017.6999999999998</v>
      </c>
      <c r="H22" s="155">
        <f t="shared" si="1"/>
        <v>0.25600000000000001</v>
      </c>
      <c r="I22" s="164"/>
      <c r="J22" s="157">
        <f>Trans_Inputs!$I$26</f>
        <v>0</v>
      </c>
      <c r="K22" s="157">
        <f>Trans_Inputs!$W$26</f>
        <v>0</v>
      </c>
      <c r="L22" s="157">
        <f t="shared" si="2"/>
        <v>0</v>
      </c>
      <c r="M22" s="155">
        <f t="shared" si="3"/>
        <v>0</v>
      </c>
      <c r="N22" s="164"/>
      <c r="O22" s="157">
        <f>ROUND((D22*Trans_Inputs!$C$26),2)+ROUND((D22*Trans_Inputs!$K$26),2)+ROUND((D22*Trans_Inputs!$N$26),2)</f>
        <v>117.07000000000001</v>
      </c>
      <c r="P22" s="157">
        <f>ROUND((D22*Trans_Inputs!$Q$26),2)+ROUND((D22*Trans_Inputs!$AA$26),2)</f>
        <v>114.53</v>
      </c>
      <c r="Q22" s="157">
        <f t="shared" si="4"/>
        <v>-2.5400000000000063</v>
      </c>
      <c r="R22" s="155">
        <f t="shared" si="5"/>
        <v>-2.1999999999999999E-2</v>
      </c>
      <c r="S22" s="157">
        <f t="shared" si="6"/>
        <v>4099.37</v>
      </c>
      <c r="T22" s="157">
        <f t="shared" si="7"/>
        <v>5114.53</v>
      </c>
      <c r="U22" s="155">
        <f t="shared" si="8"/>
        <v>0.248</v>
      </c>
      <c r="V22" s="164"/>
    </row>
    <row r="23" spans="1:22" ht="14.4" customHeight="1" x14ac:dyDescent="0.35">
      <c r="A23" s="152">
        <v>3</v>
      </c>
      <c r="B23" s="152" t="s">
        <v>221</v>
      </c>
      <c r="C23" s="117"/>
      <c r="D23" s="168">
        <v>300</v>
      </c>
      <c r="E23" s="157">
        <f>Trans_Inputs!$H$26</f>
        <v>3982.3</v>
      </c>
      <c r="F23" s="157">
        <f>Trans_Inputs!$V$26</f>
        <v>5000</v>
      </c>
      <c r="G23" s="167">
        <f t="shared" si="0"/>
        <v>1017.6999999999998</v>
      </c>
      <c r="H23" s="155">
        <f t="shared" si="1"/>
        <v>0.25600000000000001</v>
      </c>
      <c r="I23" s="164"/>
      <c r="J23" s="157">
        <f>Trans_Inputs!$I$26</f>
        <v>0</v>
      </c>
      <c r="K23" s="157">
        <f>Trans_Inputs!$W$26</f>
        <v>0</v>
      </c>
      <c r="L23" s="157">
        <f t="shared" si="2"/>
        <v>0</v>
      </c>
      <c r="M23" s="155">
        <f t="shared" si="3"/>
        <v>0</v>
      </c>
      <c r="N23" s="164"/>
      <c r="O23" s="157">
        <f>ROUND((D23*Trans_Inputs!$C$26),2)+ROUND((D23*Trans_Inputs!$K$26),2)+ROUND((D23*Trans_Inputs!$N$26),2)</f>
        <v>234.11999999999998</v>
      </c>
      <c r="P23" s="157">
        <f>ROUND((D23*Trans_Inputs!$Q$26),2)+ROUND((D23*Trans_Inputs!$AA$26),2)</f>
        <v>229.05</v>
      </c>
      <c r="Q23" s="157">
        <f t="shared" si="4"/>
        <v>-5.0699999999999648</v>
      </c>
      <c r="R23" s="155">
        <f t="shared" si="5"/>
        <v>-2.1999999999999999E-2</v>
      </c>
      <c r="S23" s="157">
        <f t="shared" si="6"/>
        <v>4216.42</v>
      </c>
      <c r="T23" s="157">
        <f t="shared" si="7"/>
        <v>5229.05</v>
      </c>
      <c r="U23" s="155">
        <f t="shared" si="8"/>
        <v>0.24</v>
      </c>
      <c r="V23" s="164"/>
    </row>
    <row r="24" spans="1:22" ht="14.4" customHeight="1" x14ac:dyDescent="0.35">
      <c r="A24" s="152">
        <v>4</v>
      </c>
      <c r="B24" s="152" t="s">
        <v>71</v>
      </c>
      <c r="C24" s="117"/>
      <c r="D24" s="168">
        <v>500</v>
      </c>
      <c r="E24" s="157">
        <f>Trans_Inputs!$H$26</f>
        <v>3982.3</v>
      </c>
      <c r="F24" s="157">
        <f>Trans_Inputs!$V$26</f>
        <v>5000</v>
      </c>
      <c r="G24" s="167">
        <f t="shared" si="0"/>
        <v>1017.6999999999998</v>
      </c>
      <c r="H24" s="155">
        <f t="shared" si="1"/>
        <v>0.25600000000000001</v>
      </c>
      <c r="I24" s="164"/>
      <c r="J24" s="157">
        <f>Trans_Inputs!$I$26</f>
        <v>0</v>
      </c>
      <c r="K24" s="157">
        <f>Trans_Inputs!$W$26</f>
        <v>0</v>
      </c>
      <c r="L24" s="157">
        <f t="shared" si="2"/>
        <v>0</v>
      </c>
      <c r="M24" s="155">
        <f t="shared" si="3"/>
        <v>0</v>
      </c>
      <c r="N24" s="164"/>
      <c r="O24" s="157">
        <f>ROUND((D24*Trans_Inputs!$C$26),2)+ROUND((D24*Trans_Inputs!$K$26),2)+ROUND((D24*Trans_Inputs!$N$26),2)</f>
        <v>390.2</v>
      </c>
      <c r="P24" s="157">
        <f>ROUND((D24*Trans_Inputs!$Q$26),2)+ROUND((D24*Trans_Inputs!$AA$26),2)</f>
        <v>381.75</v>
      </c>
      <c r="Q24" s="157">
        <f t="shared" si="4"/>
        <v>-8.4499999999999886</v>
      </c>
      <c r="R24" s="155">
        <f t="shared" si="5"/>
        <v>-2.1999999999999999E-2</v>
      </c>
      <c r="S24" s="157">
        <f t="shared" si="6"/>
        <v>4372.5</v>
      </c>
      <c r="T24" s="157">
        <f t="shared" si="7"/>
        <v>5381.75</v>
      </c>
      <c r="U24" s="155">
        <f t="shared" si="8"/>
        <v>0.23100000000000001</v>
      </c>
      <c r="V24" s="164"/>
    </row>
    <row r="25" spans="1:22" ht="14.4" customHeight="1" x14ac:dyDescent="0.35">
      <c r="A25" s="152">
        <v>5</v>
      </c>
      <c r="B25" s="152" t="s">
        <v>195</v>
      </c>
      <c r="C25" s="117"/>
      <c r="D25" s="168">
        <v>1000</v>
      </c>
      <c r="E25" s="157">
        <f>Trans_Inputs!$H$26</f>
        <v>3982.3</v>
      </c>
      <c r="F25" s="157">
        <f>Trans_Inputs!$V$26</f>
        <v>5000</v>
      </c>
      <c r="G25" s="167">
        <f t="shared" si="0"/>
        <v>1017.6999999999998</v>
      </c>
      <c r="H25" s="155">
        <f t="shared" si="1"/>
        <v>0.25600000000000001</v>
      </c>
      <c r="I25" s="164"/>
      <c r="J25" s="157">
        <f>Trans_Inputs!$I$26</f>
        <v>0</v>
      </c>
      <c r="K25" s="157">
        <f>Trans_Inputs!$W$26</f>
        <v>0</v>
      </c>
      <c r="L25" s="157">
        <f t="shared" si="2"/>
        <v>0</v>
      </c>
      <c r="M25" s="155">
        <f t="shared" si="3"/>
        <v>0</v>
      </c>
      <c r="N25" s="164"/>
      <c r="O25" s="157">
        <f>ROUND((D25*Trans_Inputs!$C$26),2)+ROUND((D25*Trans_Inputs!$K$26),2)+ROUND((D25*Trans_Inputs!$N$26),2)</f>
        <v>780.4</v>
      </c>
      <c r="P25" s="157">
        <f>ROUND((D25*Trans_Inputs!$Q$26),2)+ROUND((D25*Trans_Inputs!$AA$26),2)</f>
        <v>763.5</v>
      </c>
      <c r="Q25" s="157">
        <f t="shared" si="4"/>
        <v>-16.899999999999977</v>
      </c>
      <c r="R25" s="155">
        <f t="shared" si="5"/>
        <v>-2.1999999999999999E-2</v>
      </c>
      <c r="S25" s="157">
        <f t="shared" si="6"/>
        <v>4762.7</v>
      </c>
      <c r="T25" s="157">
        <f t="shared" si="7"/>
        <v>5763.5</v>
      </c>
      <c r="U25" s="155">
        <f t="shared" si="8"/>
        <v>0.21</v>
      </c>
      <c r="V25" s="164"/>
    </row>
    <row r="26" spans="1:22" ht="14.4" customHeight="1" x14ac:dyDescent="0.35">
      <c r="A26" s="152">
        <v>6</v>
      </c>
      <c r="B26" s="117"/>
      <c r="C26" s="117"/>
      <c r="D26" s="168">
        <v>3000</v>
      </c>
      <c r="E26" s="157">
        <f>Trans_Inputs!$H$26</f>
        <v>3982.3</v>
      </c>
      <c r="F26" s="157">
        <f>Trans_Inputs!$V$26</f>
        <v>5000</v>
      </c>
      <c r="G26" s="167">
        <f t="shared" si="0"/>
        <v>1017.6999999999998</v>
      </c>
      <c r="H26" s="155">
        <f t="shared" si="1"/>
        <v>0.25600000000000001</v>
      </c>
      <c r="I26" s="164"/>
      <c r="J26" s="157">
        <f>Trans_Inputs!$I$26</f>
        <v>0</v>
      </c>
      <c r="K26" s="157">
        <f>Trans_Inputs!$W$26</f>
        <v>0</v>
      </c>
      <c r="L26" s="157">
        <f t="shared" si="2"/>
        <v>0</v>
      </c>
      <c r="M26" s="155">
        <f t="shared" si="3"/>
        <v>0</v>
      </c>
      <c r="N26" s="164"/>
      <c r="O26" s="157">
        <f>ROUND((D26*Trans_Inputs!$C$26),2)+ROUND((D26*Trans_Inputs!$K$26),2)+ROUND((D26*Trans_Inputs!$N$26),2)</f>
        <v>2341.1999999999998</v>
      </c>
      <c r="P26" s="157">
        <f>ROUND((D26*Trans_Inputs!$Q$26),2)+ROUND((D26*Trans_Inputs!$AA$26),2)</f>
        <v>2290.5</v>
      </c>
      <c r="Q26" s="157">
        <f t="shared" si="4"/>
        <v>-50.699999999999818</v>
      </c>
      <c r="R26" s="155">
        <f t="shared" si="5"/>
        <v>-2.1999999999999999E-2</v>
      </c>
      <c r="S26" s="157">
        <f t="shared" si="6"/>
        <v>6323.5</v>
      </c>
      <c r="T26" s="157">
        <f t="shared" si="7"/>
        <v>7290.5</v>
      </c>
      <c r="U26" s="155">
        <f t="shared" si="8"/>
        <v>0.153</v>
      </c>
      <c r="V26" s="164"/>
    </row>
    <row r="27" spans="1:22" ht="14.4" customHeight="1" x14ac:dyDescent="0.35">
      <c r="A27" s="152">
        <v>7</v>
      </c>
      <c r="B27" s="117"/>
      <c r="C27" s="117"/>
      <c r="D27" s="168">
        <v>4000</v>
      </c>
      <c r="E27" s="157">
        <f>Trans_Inputs!$H$26</f>
        <v>3982.3</v>
      </c>
      <c r="F27" s="157">
        <f>Trans_Inputs!$V$26</f>
        <v>5000</v>
      </c>
      <c r="G27" s="167">
        <f t="shared" si="0"/>
        <v>1017.6999999999998</v>
      </c>
      <c r="H27" s="155">
        <f t="shared" si="1"/>
        <v>0.25600000000000001</v>
      </c>
      <c r="I27" s="164"/>
      <c r="J27" s="157">
        <f>Trans_Inputs!$I$26</f>
        <v>0</v>
      </c>
      <c r="K27" s="157">
        <f>Trans_Inputs!$W$26</f>
        <v>0</v>
      </c>
      <c r="L27" s="157">
        <f t="shared" si="2"/>
        <v>0</v>
      </c>
      <c r="M27" s="155">
        <f t="shared" si="3"/>
        <v>0</v>
      </c>
      <c r="N27" s="164"/>
      <c r="O27" s="157">
        <f>ROUND((D27*Trans_Inputs!$C$26),2)+ROUND((D27*Trans_Inputs!$K$26),2)+ROUND((D27*Trans_Inputs!$N$26),2)</f>
        <v>3121.6</v>
      </c>
      <c r="P27" s="157">
        <f>ROUND((D27*Trans_Inputs!$Q$26),2)+ROUND((D27*Trans_Inputs!$AA$26),2)</f>
        <v>3054</v>
      </c>
      <c r="Q27" s="157">
        <f t="shared" si="4"/>
        <v>-67.599999999999909</v>
      </c>
      <c r="R27" s="155">
        <f t="shared" si="5"/>
        <v>-2.1999999999999999E-2</v>
      </c>
      <c r="S27" s="157">
        <f t="shared" si="6"/>
        <v>7103.9</v>
      </c>
      <c r="T27" s="157">
        <f t="shared" si="7"/>
        <v>8054</v>
      </c>
      <c r="U27" s="155">
        <f t="shared" si="8"/>
        <v>0.13400000000000001</v>
      </c>
      <c r="V27" s="164"/>
    </row>
    <row r="28" spans="1:22" ht="14.4" customHeight="1" x14ac:dyDescent="0.35">
      <c r="A28" s="152">
        <v>8</v>
      </c>
      <c r="B28" s="117"/>
      <c r="C28" s="117"/>
      <c r="D28" s="168">
        <v>5000</v>
      </c>
      <c r="E28" s="157">
        <f>Trans_Inputs!$H$26</f>
        <v>3982.3</v>
      </c>
      <c r="F28" s="157">
        <f>Trans_Inputs!$V$26</f>
        <v>5000</v>
      </c>
      <c r="G28" s="167">
        <f t="shared" si="0"/>
        <v>1017.6999999999998</v>
      </c>
      <c r="H28" s="155">
        <f t="shared" si="1"/>
        <v>0.25600000000000001</v>
      </c>
      <c r="I28" s="164"/>
      <c r="J28" s="157">
        <f>Trans_Inputs!$I$26</f>
        <v>0</v>
      </c>
      <c r="K28" s="157">
        <f>Trans_Inputs!$W$26</f>
        <v>0</v>
      </c>
      <c r="L28" s="157">
        <f t="shared" si="2"/>
        <v>0</v>
      </c>
      <c r="M28" s="155">
        <f t="shared" si="3"/>
        <v>0</v>
      </c>
      <c r="N28" s="164"/>
      <c r="O28" s="157">
        <f>ROUND((D28*Trans_Inputs!$C$26),2)+ROUND((D28*Trans_Inputs!$K$26),2)+ROUND((D28*Trans_Inputs!$N$26),2)</f>
        <v>3902</v>
      </c>
      <c r="P28" s="157">
        <f>ROUND((D28*Trans_Inputs!$Q$26),2)+ROUND((D28*Trans_Inputs!$AA$26),2)</f>
        <v>3817.5</v>
      </c>
      <c r="Q28" s="157">
        <f t="shared" si="4"/>
        <v>-84.5</v>
      </c>
      <c r="R28" s="155">
        <f t="shared" si="5"/>
        <v>-2.1999999999999999E-2</v>
      </c>
      <c r="S28" s="157">
        <f t="shared" si="6"/>
        <v>7884.3</v>
      </c>
      <c r="T28" s="157">
        <f t="shared" si="7"/>
        <v>8817.5</v>
      </c>
      <c r="U28" s="155">
        <f t="shared" si="8"/>
        <v>0.11799999999999999</v>
      </c>
      <c r="V28" s="164"/>
    </row>
    <row r="29" spans="1:22" ht="14.4" customHeight="1" x14ac:dyDescent="0.35">
      <c r="A29" s="152">
        <v>9</v>
      </c>
      <c r="B29" s="152"/>
      <c r="C29" s="117"/>
      <c r="D29" s="168">
        <v>10000</v>
      </c>
      <c r="E29" s="157">
        <f>Trans_Inputs!$H$26</f>
        <v>3982.3</v>
      </c>
      <c r="F29" s="157">
        <f>Trans_Inputs!$V$26</f>
        <v>5000</v>
      </c>
      <c r="G29" s="167">
        <f t="shared" si="0"/>
        <v>1017.6999999999998</v>
      </c>
      <c r="H29" s="155">
        <f t="shared" si="1"/>
        <v>0.25600000000000001</v>
      </c>
      <c r="I29" s="164"/>
      <c r="J29" s="157">
        <f>Trans_Inputs!$I$26</f>
        <v>0</v>
      </c>
      <c r="K29" s="157">
        <f>Trans_Inputs!$W$26</f>
        <v>0</v>
      </c>
      <c r="L29" s="157">
        <f t="shared" si="2"/>
        <v>0</v>
      </c>
      <c r="M29" s="155">
        <f t="shared" si="3"/>
        <v>0</v>
      </c>
      <c r="N29" s="164"/>
      <c r="O29" s="157">
        <f>ROUND((D29*Trans_Inputs!$C$26),2)+ROUND((D29*Trans_Inputs!$K$26),2)+ROUND((D29*Trans_Inputs!$N$26),2)</f>
        <v>7804</v>
      </c>
      <c r="P29" s="157">
        <f>ROUND((D29*Trans_Inputs!$Q$26),2)+ROUND((D29*Trans_Inputs!$AA$26),2)</f>
        <v>7635</v>
      </c>
      <c r="Q29" s="157">
        <f t="shared" si="4"/>
        <v>-169</v>
      </c>
      <c r="R29" s="155">
        <f t="shared" si="5"/>
        <v>-2.1999999999999999E-2</v>
      </c>
      <c r="S29" s="157">
        <f t="shared" si="6"/>
        <v>11786.3</v>
      </c>
      <c r="T29" s="157">
        <f t="shared" si="7"/>
        <v>12635</v>
      </c>
      <c r="U29" s="155">
        <f t="shared" si="8"/>
        <v>7.1999999999999995E-2</v>
      </c>
      <c r="V29" s="164"/>
    </row>
    <row r="30" spans="1:22" ht="14.4" customHeight="1" x14ac:dyDescent="0.35">
      <c r="A30" s="152">
        <v>10</v>
      </c>
      <c r="B30" s="152"/>
      <c r="C30" s="117"/>
      <c r="D30" s="168">
        <v>15000</v>
      </c>
      <c r="E30" s="157">
        <f>Trans_Inputs!$H$26</f>
        <v>3982.3</v>
      </c>
      <c r="F30" s="157">
        <f>Trans_Inputs!$V$26</f>
        <v>5000</v>
      </c>
      <c r="G30" s="167">
        <f t="shared" si="0"/>
        <v>1017.6999999999998</v>
      </c>
      <c r="H30" s="155">
        <f t="shared" si="1"/>
        <v>0.25600000000000001</v>
      </c>
      <c r="I30" s="164"/>
      <c r="J30" s="157">
        <f>Trans_Inputs!$I$26</f>
        <v>0</v>
      </c>
      <c r="K30" s="157">
        <f>Trans_Inputs!$W$26</f>
        <v>0</v>
      </c>
      <c r="L30" s="157">
        <f t="shared" si="2"/>
        <v>0</v>
      </c>
      <c r="M30" s="155">
        <f t="shared" si="3"/>
        <v>0</v>
      </c>
      <c r="N30" s="164"/>
      <c r="O30" s="157">
        <f>ROUND((D30*Trans_Inputs!$C$26),2)+ROUND((D30*Trans_Inputs!$K$26),2)+ROUND((D30*Trans_Inputs!$N$26),2)</f>
        <v>11706</v>
      </c>
      <c r="P30" s="157">
        <f>ROUND((D30*Trans_Inputs!$Q$26),2)+ROUND((D30*Trans_Inputs!$AA$26),2)</f>
        <v>11452.5</v>
      </c>
      <c r="Q30" s="157">
        <f t="shared" si="4"/>
        <v>-253.5</v>
      </c>
      <c r="R30" s="155">
        <f t="shared" si="5"/>
        <v>-2.1999999999999999E-2</v>
      </c>
      <c r="S30" s="157">
        <f t="shared" si="6"/>
        <v>15688.3</v>
      </c>
      <c r="T30" s="157">
        <f t="shared" si="7"/>
        <v>16452.5</v>
      </c>
      <c r="U30" s="155">
        <f t="shared" si="8"/>
        <v>4.9000000000000002E-2</v>
      </c>
      <c r="V30" s="164"/>
    </row>
    <row r="31" spans="1:22" ht="14.4" customHeight="1" x14ac:dyDescent="0.35">
      <c r="A31" s="152">
        <v>11</v>
      </c>
      <c r="B31" s="117"/>
      <c r="C31" s="117"/>
      <c r="D31" s="168">
        <v>20000</v>
      </c>
      <c r="E31" s="157">
        <f>Trans_Inputs!$H$26</f>
        <v>3982.3</v>
      </c>
      <c r="F31" s="157">
        <f>Trans_Inputs!$V$26</f>
        <v>5000</v>
      </c>
      <c r="G31" s="167">
        <f t="shared" si="0"/>
        <v>1017.6999999999998</v>
      </c>
      <c r="H31" s="155">
        <f t="shared" si="1"/>
        <v>0.25600000000000001</v>
      </c>
      <c r="I31" s="164"/>
      <c r="J31" s="157">
        <f>Trans_Inputs!$I$26</f>
        <v>0</v>
      </c>
      <c r="K31" s="157">
        <f>Trans_Inputs!$W$26</f>
        <v>0</v>
      </c>
      <c r="L31" s="157">
        <f t="shared" si="2"/>
        <v>0</v>
      </c>
      <c r="M31" s="155">
        <f t="shared" si="3"/>
        <v>0</v>
      </c>
      <c r="N31" s="164"/>
      <c r="O31" s="157">
        <f>ROUND((D31*Trans_Inputs!$C$26),2)+ROUND((D31*Trans_Inputs!$K$26),2)+ROUND((D31*Trans_Inputs!$N$26),2)</f>
        <v>15608</v>
      </c>
      <c r="P31" s="157">
        <f>ROUND((D31*Trans_Inputs!$Q$26),2)+ROUND((D31*Trans_Inputs!$AA$26),2)</f>
        <v>15270</v>
      </c>
      <c r="Q31" s="157">
        <f t="shared" si="4"/>
        <v>-338</v>
      </c>
      <c r="R31" s="155">
        <f t="shared" si="5"/>
        <v>-2.1999999999999999E-2</v>
      </c>
      <c r="S31" s="157">
        <f t="shared" si="6"/>
        <v>19590.3</v>
      </c>
      <c r="T31" s="157">
        <f t="shared" si="7"/>
        <v>20270</v>
      </c>
      <c r="U31" s="155">
        <f t="shared" si="8"/>
        <v>3.5000000000000003E-2</v>
      </c>
      <c r="V31" s="164"/>
    </row>
    <row r="32" spans="1:22" ht="14.4" customHeight="1" x14ac:dyDescent="0.35">
      <c r="A32" s="152">
        <v>12</v>
      </c>
      <c r="B32" s="117"/>
      <c r="C32" s="117"/>
      <c r="D32" s="168">
        <v>25000</v>
      </c>
      <c r="E32" s="157">
        <f>Trans_Inputs!$H$26</f>
        <v>3982.3</v>
      </c>
      <c r="F32" s="157">
        <f>Trans_Inputs!$V$26</f>
        <v>5000</v>
      </c>
      <c r="G32" s="167">
        <f t="shared" si="0"/>
        <v>1017.6999999999998</v>
      </c>
      <c r="H32" s="155">
        <f t="shared" si="1"/>
        <v>0.25600000000000001</v>
      </c>
      <c r="I32" s="164"/>
      <c r="J32" s="157">
        <f>Trans_Inputs!$I$26</f>
        <v>0</v>
      </c>
      <c r="K32" s="157">
        <f>Trans_Inputs!$W$26</f>
        <v>0</v>
      </c>
      <c r="L32" s="157">
        <f t="shared" si="2"/>
        <v>0</v>
      </c>
      <c r="M32" s="155">
        <f t="shared" si="3"/>
        <v>0</v>
      </c>
      <c r="N32" s="164"/>
      <c r="O32" s="157">
        <f>ROUND((D32*Trans_Inputs!$C$26),2)+ROUND((D32*Trans_Inputs!$K$26),2)+ROUND((D32*Trans_Inputs!$N$26),2)</f>
        <v>19510</v>
      </c>
      <c r="P32" s="157">
        <f>ROUND((D32*Trans_Inputs!$Q$26),2)+ROUND((D32*Trans_Inputs!$AA$26),2)</f>
        <v>19087.5</v>
      </c>
      <c r="Q32" s="157">
        <f t="shared" si="4"/>
        <v>-422.5</v>
      </c>
      <c r="R32" s="155">
        <f t="shared" si="5"/>
        <v>-2.1999999999999999E-2</v>
      </c>
      <c r="S32" s="157">
        <f t="shared" si="6"/>
        <v>23492.3</v>
      </c>
      <c r="T32" s="157">
        <f t="shared" si="7"/>
        <v>24087.5</v>
      </c>
      <c r="U32" s="155">
        <f t="shared" si="8"/>
        <v>2.5000000000000001E-2</v>
      </c>
      <c r="V32" s="164"/>
    </row>
    <row r="33" spans="1:22" ht="14.4" customHeight="1" x14ac:dyDescent="0.35">
      <c r="A33" s="152">
        <v>13</v>
      </c>
      <c r="B33" s="117"/>
      <c r="C33" s="117"/>
      <c r="D33" s="168">
        <v>30000</v>
      </c>
      <c r="E33" s="157">
        <f>Trans_Inputs!$H$26</f>
        <v>3982.3</v>
      </c>
      <c r="F33" s="157">
        <f>Trans_Inputs!$V$26</f>
        <v>5000</v>
      </c>
      <c r="G33" s="167">
        <f t="shared" si="0"/>
        <v>1017.6999999999998</v>
      </c>
      <c r="H33" s="155">
        <f t="shared" si="1"/>
        <v>0.25600000000000001</v>
      </c>
      <c r="I33" s="164"/>
      <c r="J33" s="157">
        <f>Trans_Inputs!$I$26</f>
        <v>0</v>
      </c>
      <c r="K33" s="157">
        <f>Trans_Inputs!$W$26</f>
        <v>0</v>
      </c>
      <c r="L33" s="157">
        <f t="shared" si="2"/>
        <v>0</v>
      </c>
      <c r="M33" s="155">
        <f t="shared" si="3"/>
        <v>0</v>
      </c>
      <c r="N33" s="164"/>
      <c r="O33" s="157">
        <f>ROUND((D33*Trans_Inputs!$C$26),2)+ROUND((D33*Trans_Inputs!$K$26),2)+ROUND((D33*Trans_Inputs!$N$26),2)</f>
        <v>23412</v>
      </c>
      <c r="P33" s="157">
        <f>ROUND((D33*Trans_Inputs!$Q$26),2)+ROUND((D33*Trans_Inputs!$AA$26),2)</f>
        <v>22905</v>
      </c>
      <c r="Q33" s="157">
        <f t="shared" si="4"/>
        <v>-507</v>
      </c>
      <c r="R33" s="155">
        <f t="shared" si="5"/>
        <v>-2.1999999999999999E-2</v>
      </c>
      <c r="S33" s="157">
        <f t="shared" si="6"/>
        <v>27394.3</v>
      </c>
      <c r="T33" s="157">
        <f t="shared" si="7"/>
        <v>27905</v>
      </c>
      <c r="U33" s="155">
        <f t="shared" si="8"/>
        <v>1.9E-2</v>
      </c>
      <c r="V33" s="164"/>
    </row>
    <row r="34" spans="1:22" ht="14.4" customHeight="1" x14ac:dyDescent="0.35">
      <c r="A34" s="152">
        <v>14</v>
      </c>
      <c r="B34" s="117"/>
      <c r="C34" s="117"/>
      <c r="D34" s="168">
        <v>35000</v>
      </c>
      <c r="E34" s="157">
        <f>Trans_Inputs!$H$26</f>
        <v>3982.3</v>
      </c>
      <c r="F34" s="157">
        <f>Trans_Inputs!$V$26</f>
        <v>5000</v>
      </c>
      <c r="G34" s="167">
        <f t="shared" si="0"/>
        <v>1017.6999999999998</v>
      </c>
      <c r="H34" s="155">
        <f t="shared" si="1"/>
        <v>0.25600000000000001</v>
      </c>
      <c r="I34" s="164"/>
      <c r="J34" s="157">
        <f>Trans_Inputs!$I$26</f>
        <v>0</v>
      </c>
      <c r="K34" s="157">
        <f>Trans_Inputs!$W$26</f>
        <v>0</v>
      </c>
      <c r="L34" s="157">
        <f t="shared" si="2"/>
        <v>0</v>
      </c>
      <c r="M34" s="155">
        <f t="shared" si="3"/>
        <v>0</v>
      </c>
      <c r="N34" s="164"/>
      <c r="O34" s="157">
        <f>ROUND((Trans_Inputs!$C$26*Trans_Inputs!$AD$26),2)+ROUND((Trans_Inputs!$D$26*(D34-Trans_Inputs!$AD$26)),2)+ROUND((D34*Trans_Inputs!$K$26),2)+ROUND((D34*Trans_Inputs!$N$26),2)</f>
        <v>25956.5</v>
      </c>
      <c r="P34" s="157">
        <f>ROUND((Trans_Inputs!$Q$26*Trans_Inputs!$AK$26),2)+ROUND((Trans_Inputs!$R$26*(D34-Trans_Inputs!$AK$26)),2)+ROUND((D34*Trans_Inputs!$AA$26),2)</f>
        <v>25285.5</v>
      </c>
      <c r="Q34" s="157">
        <f t="shared" si="4"/>
        <v>-671</v>
      </c>
      <c r="R34" s="155">
        <f t="shared" si="5"/>
        <v>-2.5999999999999999E-2</v>
      </c>
      <c r="S34" s="157">
        <f t="shared" si="6"/>
        <v>29938.799999999999</v>
      </c>
      <c r="T34" s="157">
        <f t="shared" si="7"/>
        <v>30285.5</v>
      </c>
      <c r="U34" s="155">
        <f t="shared" si="8"/>
        <v>1.2E-2</v>
      </c>
      <c r="V34" s="164"/>
    </row>
    <row r="35" spans="1:22" ht="14.5" x14ac:dyDescent="0.35">
      <c r="A35" s="152">
        <v>15</v>
      </c>
      <c r="B35" s="117"/>
      <c r="C35" s="117"/>
      <c r="D35" s="168">
        <v>40000</v>
      </c>
      <c r="E35" s="157">
        <f>Trans_Inputs!$H$26</f>
        <v>3982.3</v>
      </c>
      <c r="F35" s="157">
        <f>Trans_Inputs!$V$26</f>
        <v>5000</v>
      </c>
      <c r="G35" s="167">
        <f t="shared" si="0"/>
        <v>1017.6999999999998</v>
      </c>
      <c r="H35" s="155">
        <f t="shared" si="1"/>
        <v>0.25600000000000001</v>
      </c>
      <c r="I35" s="164"/>
      <c r="J35" s="157">
        <f>Trans_Inputs!$I$26</f>
        <v>0</v>
      </c>
      <c r="K35" s="157">
        <f>Trans_Inputs!$W$26</f>
        <v>0</v>
      </c>
      <c r="L35" s="157">
        <f t="shared" si="2"/>
        <v>0</v>
      </c>
      <c r="M35" s="155">
        <f t="shared" si="3"/>
        <v>0</v>
      </c>
      <c r="N35" s="164"/>
      <c r="O35" s="157">
        <f>ROUND((Trans_Inputs!$C$26*Trans_Inputs!$AD$26),2)+ROUND((Trans_Inputs!$D$26*(D35-Trans_Inputs!$AD$26)),2)+ROUND((D35*Trans_Inputs!$K$26),2)+ROUND((D35*Trans_Inputs!$N$26),2)</f>
        <v>28501</v>
      </c>
      <c r="P35" s="157">
        <f>ROUND((Trans_Inputs!$Q$26*Trans_Inputs!$AK$26),2)+ROUND((Trans_Inputs!$R$26*(D35-Trans_Inputs!$AK$26)),2)+ROUND((D35*Trans_Inputs!$AA$26),2)</f>
        <v>27666</v>
      </c>
      <c r="Q35" s="157">
        <f t="shared" si="4"/>
        <v>-835</v>
      </c>
      <c r="R35" s="155">
        <f t="shared" si="5"/>
        <v>-2.9000000000000001E-2</v>
      </c>
      <c r="S35" s="157">
        <f t="shared" si="6"/>
        <v>32483.3</v>
      </c>
      <c r="T35" s="157">
        <f t="shared" si="7"/>
        <v>32666</v>
      </c>
      <c r="U35" s="155">
        <f t="shared" si="8"/>
        <v>6.0000000000000001E-3</v>
      </c>
      <c r="V35" s="164"/>
    </row>
    <row r="36" spans="1:22" ht="14.5" x14ac:dyDescent="0.35">
      <c r="A36" s="152">
        <v>16</v>
      </c>
      <c r="B36" s="117"/>
      <c r="C36" s="117"/>
      <c r="D36" s="168">
        <v>45000</v>
      </c>
      <c r="E36" s="157">
        <f>Trans_Inputs!$H$26</f>
        <v>3982.3</v>
      </c>
      <c r="F36" s="157">
        <f>Trans_Inputs!$V$26</f>
        <v>5000</v>
      </c>
      <c r="G36" s="167">
        <f t="shared" si="0"/>
        <v>1017.6999999999998</v>
      </c>
      <c r="H36" s="155">
        <f t="shared" si="1"/>
        <v>0.25600000000000001</v>
      </c>
      <c r="I36" s="164"/>
      <c r="J36" s="157">
        <f>Trans_Inputs!$I$26</f>
        <v>0</v>
      </c>
      <c r="K36" s="157">
        <f>Trans_Inputs!$W$26</f>
        <v>0</v>
      </c>
      <c r="L36" s="157">
        <f t="shared" si="2"/>
        <v>0</v>
      </c>
      <c r="M36" s="155">
        <f t="shared" si="3"/>
        <v>0</v>
      </c>
      <c r="N36" s="164"/>
      <c r="O36" s="157">
        <f>ROUND((Trans_Inputs!$C$26*Trans_Inputs!$AD$26),2)+ROUND((Trans_Inputs!$D$26*(D36-Trans_Inputs!$AD$26)),2)+ROUND((D36*Trans_Inputs!$K$26),2)+ROUND((D36*Trans_Inputs!$N$26),2)</f>
        <v>31045.5</v>
      </c>
      <c r="P36" s="157">
        <f>ROUND((Trans_Inputs!$Q$26*Trans_Inputs!$AK$26),2)+ROUND((Trans_Inputs!$R$26*(D36-Trans_Inputs!$AK$26)),2)+ROUND((D36*Trans_Inputs!$AA$26),2)</f>
        <v>30046.5</v>
      </c>
      <c r="Q36" s="157">
        <f t="shared" si="4"/>
        <v>-999</v>
      </c>
      <c r="R36" s="155">
        <f t="shared" si="5"/>
        <v>-3.2000000000000001E-2</v>
      </c>
      <c r="S36" s="157">
        <f t="shared" si="6"/>
        <v>35027.800000000003</v>
      </c>
      <c r="T36" s="157">
        <f t="shared" si="7"/>
        <v>35046.5</v>
      </c>
      <c r="U36" s="155">
        <f t="shared" si="8"/>
        <v>1E-3</v>
      </c>
      <c r="V36" s="164"/>
    </row>
    <row r="37" spans="1:22" ht="14.5" x14ac:dyDescent="0.35">
      <c r="A37" s="152">
        <v>17</v>
      </c>
      <c r="B37" s="117"/>
      <c r="C37" s="117"/>
      <c r="D37" s="168">
        <v>50000</v>
      </c>
      <c r="E37" s="157">
        <f>Trans_Inputs!$H$26</f>
        <v>3982.3</v>
      </c>
      <c r="F37" s="157">
        <f>Trans_Inputs!$V$26</f>
        <v>5000</v>
      </c>
      <c r="G37" s="167">
        <f t="shared" si="0"/>
        <v>1017.6999999999998</v>
      </c>
      <c r="H37" s="155">
        <f t="shared" si="1"/>
        <v>0.25600000000000001</v>
      </c>
      <c r="I37" s="164"/>
      <c r="J37" s="157">
        <f>Trans_Inputs!$I$26</f>
        <v>0</v>
      </c>
      <c r="K37" s="157">
        <f>Trans_Inputs!$W$26</f>
        <v>0</v>
      </c>
      <c r="L37" s="157">
        <f t="shared" si="2"/>
        <v>0</v>
      </c>
      <c r="M37" s="155">
        <f t="shared" si="3"/>
        <v>0</v>
      </c>
      <c r="N37" s="164"/>
      <c r="O37" s="157">
        <f>ROUND((Trans_Inputs!$C$26*Trans_Inputs!$AD$26),2)+ROUND((Trans_Inputs!$D$26*(D37-Trans_Inputs!$AD$26)),2)+ROUND((D37*Trans_Inputs!$K$26),2)+ROUND((D37*Trans_Inputs!$N$26),2)</f>
        <v>33590</v>
      </c>
      <c r="P37" s="157">
        <f>ROUND((Trans_Inputs!$Q$26*Trans_Inputs!$AK$26),2)+ROUND((Trans_Inputs!$R$26*(D37-Trans_Inputs!$AK$26)),2)+ROUND((D37*Trans_Inputs!$AA$26),2)</f>
        <v>32427</v>
      </c>
      <c r="Q37" s="157">
        <f t="shared" si="4"/>
        <v>-1163</v>
      </c>
      <c r="R37" s="155">
        <f t="shared" si="5"/>
        <v>-3.5000000000000003E-2</v>
      </c>
      <c r="S37" s="157">
        <f t="shared" si="6"/>
        <v>37572.300000000003</v>
      </c>
      <c r="T37" s="157">
        <f t="shared" si="7"/>
        <v>37427</v>
      </c>
      <c r="U37" s="155">
        <f t="shared" si="8"/>
        <v>-4.0000000000000001E-3</v>
      </c>
      <c r="V37" s="164"/>
    </row>
    <row r="38" spans="1:22" ht="14.5" x14ac:dyDescent="0.35">
      <c r="A38" s="152">
        <v>18</v>
      </c>
      <c r="B38" s="117"/>
      <c r="C38" s="117"/>
      <c r="D38" s="168">
        <v>55000</v>
      </c>
      <c r="E38" s="157">
        <f>Trans_Inputs!$H$26</f>
        <v>3982.3</v>
      </c>
      <c r="F38" s="157">
        <f>Trans_Inputs!$V$26</f>
        <v>5000</v>
      </c>
      <c r="G38" s="167">
        <f t="shared" si="0"/>
        <v>1017.6999999999998</v>
      </c>
      <c r="H38" s="155">
        <f t="shared" si="1"/>
        <v>0.25600000000000001</v>
      </c>
      <c r="I38" s="164"/>
      <c r="J38" s="157">
        <f>Trans_Inputs!$I$26</f>
        <v>0</v>
      </c>
      <c r="K38" s="157">
        <f>Trans_Inputs!$W$26</f>
        <v>0</v>
      </c>
      <c r="L38" s="157">
        <f t="shared" si="2"/>
        <v>0</v>
      </c>
      <c r="M38" s="155">
        <f t="shared" si="3"/>
        <v>0</v>
      </c>
      <c r="N38" s="164"/>
      <c r="O38" s="157">
        <f>ROUND((Trans_Inputs!$C$26*Trans_Inputs!$AD$26),2)+ROUND((Trans_Inputs!$D$26*(D38-Trans_Inputs!$AD$26)),2)+ROUND((D38*Trans_Inputs!$K$26),2)+ROUND((D38*Trans_Inputs!$N$26),2)</f>
        <v>36134.5</v>
      </c>
      <c r="P38" s="157">
        <f>ROUND((Trans_Inputs!$Q$26*Trans_Inputs!$AK$26),2)+ROUND((Trans_Inputs!$R$26*(D38-Trans_Inputs!$AK$26)),2)+ROUND((D38*Trans_Inputs!$AA$26),2)</f>
        <v>34807.5</v>
      </c>
      <c r="Q38" s="157">
        <f t="shared" si="4"/>
        <v>-1327</v>
      </c>
      <c r="R38" s="155">
        <f t="shared" si="5"/>
        <v>-3.6999999999999998E-2</v>
      </c>
      <c r="S38" s="157">
        <f t="shared" si="6"/>
        <v>40116.800000000003</v>
      </c>
      <c r="T38" s="157">
        <f t="shared" si="7"/>
        <v>39807.5</v>
      </c>
      <c r="U38" s="155">
        <f t="shared" si="8"/>
        <v>-8.0000000000000002E-3</v>
      </c>
      <c r="V38" s="164"/>
    </row>
    <row r="39" spans="1:22" ht="14.5" x14ac:dyDescent="0.35">
      <c r="A39" s="152">
        <v>19</v>
      </c>
      <c r="B39" s="117"/>
      <c r="C39" s="117"/>
      <c r="D39" s="168">
        <v>60000</v>
      </c>
      <c r="E39" s="157">
        <f>Trans_Inputs!$H$26</f>
        <v>3982.3</v>
      </c>
      <c r="F39" s="157">
        <f>Trans_Inputs!$V$26</f>
        <v>5000</v>
      </c>
      <c r="G39" s="167">
        <f t="shared" si="0"/>
        <v>1017.6999999999998</v>
      </c>
      <c r="H39" s="155">
        <f t="shared" si="1"/>
        <v>0.25600000000000001</v>
      </c>
      <c r="I39" s="164"/>
      <c r="J39" s="157">
        <f>Trans_Inputs!$I$26</f>
        <v>0</v>
      </c>
      <c r="K39" s="157">
        <f>Trans_Inputs!$W$26</f>
        <v>0</v>
      </c>
      <c r="L39" s="157">
        <f t="shared" si="2"/>
        <v>0</v>
      </c>
      <c r="M39" s="155">
        <f t="shared" si="3"/>
        <v>0</v>
      </c>
      <c r="N39" s="164"/>
      <c r="O39" s="157">
        <f>ROUND((Trans_Inputs!$C$26*Trans_Inputs!$AD$26),2)+ROUND((Trans_Inputs!$D$26*(D39-Trans_Inputs!$AD$26)),2)+ROUND((D39*Trans_Inputs!$K$26),2)+ROUND((D39*Trans_Inputs!$N$26),2)</f>
        <v>38679</v>
      </c>
      <c r="P39" s="157">
        <f>ROUND((Trans_Inputs!$Q$26*Trans_Inputs!$AK$26),2)+ROUND((Trans_Inputs!$R$26*(D39-Trans_Inputs!$AK$26)),2)+ROUND((D39*Trans_Inputs!$AA$26),2)</f>
        <v>37188</v>
      </c>
      <c r="Q39" s="157">
        <f t="shared" si="4"/>
        <v>-1491</v>
      </c>
      <c r="R39" s="155">
        <f t="shared" si="5"/>
        <v>-3.9E-2</v>
      </c>
      <c r="S39" s="157">
        <f t="shared" si="6"/>
        <v>42661.3</v>
      </c>
      <c r="T39" s="157">
        <f t="shared" si="7"/>
        <v>42188</v>
      </c>
      <c r="U39" s="155">
        <f t="shared" si="8"/>
        <v>-1.0999999999999999E-2</v>
      </c>
      <c r="V39" s="164"/>
    </row>
    <row r="40" spans="1:22" ht="14.5" x14ac:dyDescent="0.35">
      <c r="A40" s="152"/>
      <c r="B40" s="117"/>
      <c r="C40" s="117"/>
      <c r="D40" s="117"/>
      <c r="E40" s="117"/>
      <c r="F40" s="117"/>
      <c r="G40" s="152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52"/>
      <c r="T40" s="152"/>
      <c r="U40" s="152"/>
      <c r="V40" s="117"/>
    </row>
    <row r="41" spans="1:22" ht="14.5" x14ac:dyDescent="0.35">
      <c r="A41" s="152"/>
      <c r="B41" s="117" t="s">
        <v>142</v>
      </c>
      <c r="C41" s="117"/>
      <c r="D41" s="179">
        <f>ROUND(Trans_Inputs!AT26,0)</f>
        <v>0</v>
      </c>
      <c r="E41" s="117"/>
      <c r="F41" s="117"/>
      <c r="G41" s="152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52"/>
      <c r="T41" s="152"/>
      <c r="U41" s="152"/>
      <c r="V41" s="117"/>
    </row>
    <row r="42" spans="1:22" ht="14.5" x14ac:dyDescent="0.35">
      <c r="A42" s="152"/>
      <c r="B42" s="117"/>
      <c r="C42" s="117" t="s">
        <v>215</v>
      </c>
      <c r="D42" s="117"/>
      <c r="E42" s="117"/>
      <c r="F42" s="117"/>
      <c r="G42" s="152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52"/>
      <c r="T42" s="152"/>
      <c r="U42" s="152"/>
      <c r="V42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.1" top="0.75" bottom="0.75" header="0.5" footer="0.5"/>
  <pageSetup scale="7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848A-383B-478F-8A5D-5C926EBDBA37}">
  <sheetPr codeName="Sheet17">
    <tabColor theme="5" tint="0.79998168889431442"/>
    <pageSetUpPr fitToPage="1"/>
  </sheetPr>
  <dimension ref="A1:V41"/>
  <sheetViews>
    <sheetView workbookViewId="0">
      <selection sqref="A1:U1"/>
    </sheetView>
  </sheetViews>
  <sheetFormatPr defaultColWidth="7.1796875" defaultRowHeight="14.4" customHeight="1" x14ac:dyDescent="0.35"/>
  <cols>
    <col min="1" max="1" width="3.453125" customWidth="1"/>
    <col min="2" max="2" width="8.453125" customWidth="1"/>
    <col min="3" max="3" width="9.1796875" bestFit="1" customWidth="1"/>
    <col min="4" max="4" width="10.1796875" bestFit="1" customWidth="1"/>
    <col min="5" max="5" width="8.81640625" bestFit="1" customWidth="1"/>
    <col min="6" max="6" width="8.453125" bestFit="1" customWidth="1"/>
    <col min="7" max="8" width="9.453125" bestFit="1" customWidth="1"/>
    <col min="9" max="9" width="1.453125" customWidth="1"/>
    <col min="10" max="10" width="7.81640625" bestFit="1" customWidth="1"/>
    <col min="11" max="11" width="8.1796875" bestFit="1" customWidth="1"/>
    <col min="12" max="13" width="9.453125" bestFit="1" customWidth="1"/>
    <col min="14" max="14" width="1.453125" customWidth="1"/>
    <col min="15" max="16" width="10" bestFit="1" customWidth="1"/>
    <col min="17" max="18" width="9.453125" bestFit="1" customWidth="1"/>
    <col min="19" max="20" width="10.1796875" bestFit="1" customWidth="1"/>
    <col min="21" max="21" width="8.54296875" customWidth="1"/>
    <col min="23" max="23" width="11.54296875" customWidth="1"/>
    <col min="24" max="24" width="7.81640625" customWidth="1"/>
    <col min="25" max="25" width="8.453125" customWidth="1"/>
    <col min="26" max="27" width="7.1796875" customWidth="1"/>
    <col min="28" max="29" width="7.81640625" customWidth="1"/>
    <col min="30" max="30" width="7.1796875" customWidth="1"/>
  </cols>
  <sheetData>
    <row r="1" spans="1:22" ht="14.5" x14ac:dyDescent="0.35">
      <c r="A1" s="312" t="s">
        <v>56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117"/>
    </row>
    <row r="2" spans="1:22" ht="14.5" x14ac:dyDescent="0.35">
      <c r="A2" s="312" t="str">
        <f>Trans_Inputs!$B$1</f>
        <v>CASE NO. 2024-xxxxx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117"/>
    </row>
    <row r="3" spans="1:22" ht="14.5" x14ac:dyDescent="0.35">
      <c r="A3" s="312" t="s">
        <v>192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117"/>
    </row>
    <row r="4" spans="1:22" ht="14.5" x14ac:dyDescent="0.35">
      <c r="A4" s="312" t="s">
        <v>191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117"/>
    </row>
    <row r="5" spans="1:22" ht="14.5" x14ac:dyDescent="0.35">
      <c r="A5" s="312" t="str">
        <f>Trans_Inputs!$B$5</f>
        <v>TWELVE MONTHS ENDING DECEMBER 31, 2025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117"/>
    </row>
    <row r="6" spans="1:22" ht="14.5" x14ac:dyDescent="0.35">
      <c r="A6" s="152"/>
      <c r="B6" s="165"/>
      <c r="C6" s="165"/>
      <c r="D6" s="165"/>
      <c r="E6" s="165"/>
      <c r="F6" s="165"/>
      <c r="G6" s="152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52"/>
      <c r="T6" s="152"/>
      <c r="U6" s="152"/>
      <c r="V6" s="117"/>
    </row>
    <row r="7" spans="1:22" ht="14.5" x14ac:dyDescent="0.35">
      <c r="A7" s="152"/>
      <c r="B7" s="165"/>
      <c r="C7" s="165"/>
      <c r="D7" s="165"/>
      <c r="E7" s="165"/>
      <c r="F7" s="165"/>
      <c r="G7" s="152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52"/>
      <c r="T7" s="152"/>
      <c r="U7" s="152"/>
      <c r="V7" s="117"/>
    </row>
    <row r="8" spans="1:22" ht="14.5" x14ac:dyDescent="0.35">
      <c r="A8" s="117" t="s">
        <v>190</v>
      </c>
      <c r="B8" s="117"/>
      <c r="C8" s="117"/>
      <c r="D8" s="117"/>
      <c r="E8" s="117"/>
      <c r="F8" s="117"/>
      <c r="G8" s="15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52"/>
      <c r="T8" s="152"/>
      <c r="U8" s="164" t="s">
        <v>189</v>
      </c>
      <c r="V8" s="117"/>
    </row>
    <row r="9" spans="1:22" ht="14.5" x14ac:dyDescent="0.35">
      <c r="A9" s="117" t="s">
        <v>322</v>
      </c>
      <c r="B9" s="117"/>
      <c r="C9" s="117"/>
      <c r="D9" s="117"/>
      <c r="E9" s="117"/>
      <c r="F9" s="117"/>
      <c r="G9" s="152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52"/>
      <c r="T9" s="152"/>
      <c r="U9" s="164" t="s">
        <v>223</v>
      </c>
      <c r="V9" s="117"/>
    </row>
    <row r="10" spans="1:22" ht="14.5" x14ac:dyDescent="0.35">
      <c r="A10" s="117" t="s">
        <v>187</v>
      </c>
      <c r="B10" s="117"/>
      <c r="C10" s="117"/>
      <c r="D10" s="117"/>
      <c r="E10" s="117"/>
      <c r="F10" s="117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52"/>
      <c r="T10" s="152"/>
      <c r="U10" s="164" t="str">
        <f>Trans_Inputs!$B$3</f>
        <v>STIPULATION ATTACHMENT C</v>
      </c>
      <c r="V10" s="117"/>
    </row>
    <row r="11" spans="1:22" ht="14.5" x14ac:dyDescent="0.35">
      <c r="A11" s="117"/>
      <c r="B11" s="117"/>
      <c r="C11" s="117"/>
      <c r="D11" s="117"/>
      <c r="E11" s="117"/>
      <c r="F11" s="117"/>
      <c r="G11" s="152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52"/>
      <c r="T11" s="152"/>
      <c r="U11" s="152"/>
      <c r="V11" s="117"/>
    </row>
    <row r="12" spans="1:22" ht="14.5" x14ac:dyDescent="0.35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/>
      <c r="T12" s="162"/>
      <c r="U12" s="162"/>
      <c r="V12" s="117"/>
    </row>
    <row r="13" spans="1:22" ht="14.5" x14ac:dyDescent="0.35">
      <c r="A13" s="117"/>
      <c r="B13" s="117"/>
      <c r="C13" s="117"/>
      <c r="D13" s="117"/>
      <c r="E13" s="314" t="s">
        <v>186</v>
      </c>
      <c r="F13" s="314"/>
      <c r="G13" s="314"/>
      <c r="H13" s="314"/>
      <c r="I13" s="161"/>
      <c r="J13" s="314" t="s">
        <v>209</v>
      </c>
      <c r="K13" s="314"/>
      <c r="L13" s="314"/>
      <c r="M13" s="314"/>
      <c r="N13" s="161"/>
      <c r="O13" s="314" t="s">
        <v>185</v>
      </c>
      <c r="P13" s="314"/>
      <c r="Q13" s="314"/>
      <c r="R13" s="314"/>
      <c r="S13" s="152"/>
      <c r="T13" s="152"/>
      <c r="U13" s="152"/>
      <c r="V13" s="117"/>
    </row>
    <row r="14" spans="1:22" ht="14.5" x14ac:dyDescent="0.35">
      <c r="A14" s="117"/>
      <c r="B14" s="117"/>
      <c r="C14" s="117"/>
      <c r="D14" s="117"/>
      <c r="E14" s="152" t="s">
        <v>53</v>
      </c>
      <c r="F14" s="152" t="s">
        <v>19</v>
      </c>
      <c r="G14" s="152" t="s">
        <v>184</v>
      </c>
      <c r="H14" s="152" t="s">
        <v>21</v>
      </c>
      <c r="I14" s="152"/>
      <c r="J14" s="152" t="s">
        <v>53</v>
      </c>
      <c r="K14" s="152" t="s">
        <v>19</v>
      </c>
      <c r="L14" s="152" t="s">
        <v>184</v>
      </c>
      <c r="M14" s="152" t="s">
        <v>21</v>
      </c>
      <c r="N14" s="117"/>
      <c r="O14" s="117"/>
      <c r="P14" s="117"/>
      <c r="Q14" s="152" t="s">
        <v>184</v>
      </c>
      <c r="R14" s="152" t="s">
        <v>21</v>
      </c>
      <c r="S14" s="152" t="s">
        <v>17</v>
      </c>
      <c r="T14" s="152" t="s">
        <v>17</v>
      </c>
      <c r="U14" s="152" t="s">
        <v>21</v>
      </c>
      <c r="V14" s="117"/>
    </row>
    <row r="15" spans="1:22" ht="14.5" x14ac:dyDescent="0.35">
      <c r="A15" s="117"/>
      <c r="B15" s="117"/>
      <c r="C15" s="117"/>
      <c r="D15" s="152" t="s">
        <v>183</v>
      </c>
      <c r="E15" s="152" t="s">
        <v>183</v>
      </c>
      <c r="F15" s="152" t="s">
        <v>183</v>
      </c>
      <c r="G15" s="152" t="s">
        <v>52</v>
      </c>
      <c r="H15" s="152" t="s">
        <v>52</v>
      </c>
      <c r="I15" s="152"/>
      <c r="J15" s="152" t="s">
        <v>183</v>
      </c>
      <c r="K15" s="152" t="s">
        <v>183</v>
      </c>
      <c r="L15" s="152" t="s">
        <v>52</v>
      </c>
      <c r="M15" s="152" t="s">
        <v>52</v>
      </c>
      <c r="N15" s="152"/>
      <c r="O15" s="152" t="s">
        <v>53</v>
      </c>
      <c r="P15" s="152" t="s">
        <v>19</v>
      </c>
      <c r="Q15" s="152" t="s">
        <v>52</v>
      </c>
      <c r="R15" s="152" t="s">
        <v>52</v>
      </c>
      <c r="S15" s="152" t="s">
        <v>53</v>
      </c>
      <c r="T15" s="152" t="s">
        <v>19</v>
      </c>
      <c r="U15" s="152" t="s">
        <v>52</v>
      </c>
      <c r="V15" s="117"/>
    </row>
    <row r="16" spans="1:22" ht="14.5" x14ac:dyDescent="0.35">
      <c r="A16" s="152" t="s">
        <v>18</v>
      </c>
      <c r="B16" s="152" t="s">
        <v>71</v>
      </c>
      <c r="C16" s="152" t="s">
        <v>182</v>
      </c>
      <c r="D16" s="152" t="s">
        <v>181</v>
      </c>
      <c r="E16" s="152" t="s">
        <v>20</v>
      </c>
      <c r="F16" s="152" t="s">
        <v>20</v>
      </c>
      <c r="G16" s="152" t="s">
        <v>178</v>
      </c>
      <c r="H16" s="152" t="s">
        <v>178</v>
      </c>
      <c r="I16" s="152"/>
      <c r="J16" s="152" t="s">
        <v>330</v>
      </c>
      <c r="K16" s="152" t="s">
        <v>330</v>
      </c>
      <c r="L16" s="152" t="s">
        <v>178</v>
      </c>
      <c r="M16" s="152" t="s">
        <v>178</v>
      </c>
      <c r="N16" s="152"/>
      <c r="O16" s="152" t="s">
        <v>180</v>
      </c>
      <c r="P16" s="152" t="s">
        <v>180</v>
      </c>
      <c r="Q16" s="152" t="s">
        <v>178</v>
      </c>
      <c r="R16" s="152" t="s">
        <v>178</v>
      </c>
      <c r="S16" s="152" t="s">
        <v>109</v>
      </c>
      <c r="T16" s="152" t="s">
        <v>109</v>
      </c>
      <c r="U16" s="152" t="s">
        <v>178</v>
      </c>
      <c r="V16" s="117"/>
    </row>
    <row r="17" spans="1:22" ht="14.5" x14ac:dyDescent="0.35">
      <c r="A17" s="152" t="s">
        <v>177</v>
      </c>
      <c r="B17" s="152" t="s">
        <v>176</v>
      </c>
      <c r="C17" s="152" t="s">
        <v>175</v>
      </c>
      <c r="D17" s="152" t="s">
        <v>174</v>
      </c>
      <c r="E17" s="152" t="s">
        <v>173</v>
      </c>
      <c r="F17" s="152" t="s">
        <v>173</v>
      </c>
      <c r="G17" s="160" t="s">
        <v>167</v>
      </c>
      <c r="H17" s="160" t="s">
        <v>166</v>
      </c>
      <c r="I17" s="160"/>
      <c r="J17" s="152" t="s">
        <v>173</v>
      </c>
      <c r="K17" s="152" t="s">
        <v>173</v>
      </c>
      <c r="L17" s="160" t="s">
        <v>172</v>
      </c>
      <c r="M17" s="160" t="s">
        <v>171</v>
      </c>
      <c r="N17" s="160"/>
      <c r="O17" s="152" t="s">
        <v>173</v>
      </c>
      <c r="P17" s="152" t="s">
        <v>173</v>
      </c>
      <c r="Q17" s="160" t="s">
        <v>208</v>
      </c>
      <c r="R17" s="160" t="s">
        <v>207</v>
      </c>
      <c r="S17" s="160" t="s">
        <v>170</v>
      </c>
      <c r="T17" s="160" t="s">
        <v>206</v>
      </c>
      <c r="U17" s="160" t="s">
        <v>205</v>
      </c>
      <c r="V17" s="117"/>
    </row>
    <row r="18" spans="1:22" ht="14.5" x14ac:dyDescent="0.35">
      <c r="A18" s="117"/>
      <c r="B18" s="117"/>
      <c r="C18" s="117"/>
      <c r="D18" s="160" t="s">
        <v>164</v>
      </c>
      <c r="E18" s="160" t="s">
        <v>163</v>
      </c>
      <c r="F18" s="160" t="s">
        <v>163</v>
      </c>
      <c r="G18" s="160" t="s">
        <v>163</v>
      </c>
      <c r="H18" s="160" t="s">
        <v>162</v>
      </c>
      <c r="I18" s="160"/>
      <c r="J18" s="160" t="s">
        <v>163</v>
      </c>
      <c r="K18" s="160" t="s">
        <v>163</v>
      </c>
      <c r="L18" s="160" t="s">
        <v>163</v>
      </c>
      <c r="M18" s="160" t="s">
        <v>162</v>
      </c>
      <c r="N18" s="160"/>
      <c r="O18" s="160" t="s">
        <v>163</v>
      </c>
      <c r="P18" s="160" t="s">
        <v>163</v>
      </c>
      <c r="Q18" s="160" t="s">
        <v>163</v>
      </c>
      <c r="R18" s="160" t="s">
        <v>162</v>
      </c>
      <c r="S18" s="160" t="s">
        <v>163</v>
      </c>
      <c r="T18" s="160" t="s">
        <v>163</v>
      </c>
      <c r="U18" s="160" t="s">
        <v>162</v>
      </c>
      <c r="V18" s="117"/>
    </row>
    <row r="19" spans="1:22" ht="14.5" x14ac:dyDescent="0.35">
      <c r="A19" s="117"/>
      <c r="B19" s="117"/>
      <c r="C19" s="160" t="s">
        <v>161</v>
      </c>
      <c r="D19" s="160" t="s">
        <v>160</v>
      </c>
      <c r="E19" s="160" t="s">
        <v>155</v>
      </c>
      <c r="F19" s="160" t="s">
        <v>154</v>
      </c>
      <c r="G19" s="160" t="s">
        <v>153</v>
      </c>
      <c r="H19" s="160" t="s">
        <v>152</v>
      </c>
      <c r="I19" s="160"/>
      <c r="J19" s="160" t="s">
        <v>151</v>
      </c>
      <c r="K19" s="160" t="s">
        <v>150</v>
      </c>
      <c r="L19" s="160" t="s">
        <v>149</v>
      </c>
      <c r="M19" s="160" t="s">
        <v>148</v>
      </c>
      <c r="N19" s="160"/>
      <c r="O19" s="160" t="s">
        <v>159</v>
      </c>
      <c r="P19" s="160" t="s">
        <v>158</v>
      </c>
      <c r="Q19" s="160" t="s">
        <v>157</v>
      </c>
      <c r="R19" s="160" t="s">
        <v>156</v>
      </c>
      <c r="S19" s="160" t="s">
        <v>204</v>
      </c>
      <c r="T19" s="160" t="s">
        <v>203</v>
      </c>
      <c r="U19" s="160" t="s">
        <v>202</v>
      </c>
      <c r="V19" s="117"/>
    </row>
    <row r="20" spans="1:22" ht="14.5" x14ac:dyDescent="0.35">
      <c r="A20" s="117"/>
      <c r="B20" s="117"/>
      <c r="C20" s="117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60"/>
      <c r="Q20" s="160"/>
      <c r="R20" s="160"/>
      <c r="S20" s="152"/>
      <c r="T20" s="152"/>
      <c r="U20" s="152"/>
      <c r="V20" s="117"/>
    </row>
    <row r="21" spans="1:22" ht="14.5" x14ac:dyDescent="0.35">
      <c r="A21" s="152">
        <v>1</v>
      </c>
      <c r="B21" s="152" t="s">
        <v>87</v>
      </c>
      <c r="C21" s="152" t="s">
        <v>147</v>
      </c>
      <c r="D21" s="168">
        <f>+D40</f>
        <v>0</v>
      </c>
      <c r="E21" s="157">
        <f>Trans_Inputs!$H$27</f>
        <v>0</v>
      </c>
      <c r="F21" s="157">
        <f>Trans_Inputs!$V$27</f>
        <v>0</v>
      </c>
      <c r="G21" s="167">
        <f t="shared" ref="G21:G38" si="0">F21-E21</f>
        <v>0</v>
      </c>
      <c r="H21" s="155">
        <f t="shared" ref="H21:H38" si="1">IF(E21=0,0,ROUND(G21/E21,3))</f>
        <v>0</v>
      </c>
      <c r="I21" s="155"/>
      <c r="J21" s="157">
        <f>Trans_Inputs!$I$27</f>
        <v>0</v>
      </c>
      <c r="K21" s="157">
        <f>Trans_Inputs!$W$27</f>
        <v>0</v>
      </c>
      <c r="L21" s="157">
        <f t="shared" ref="L21:L38" si="2">K21-J21</f>
        <v>0</v>
      </c>
      <c r="M21" s="155">
        <f t="shared" ref="M21:M38" si="3">IF(J21=0,0,ROUND(L21/J21,3))</f>
        <v>0</v>
      </c>
      <c r="N21" s="158"/>
      <c r="O21" s="157">
        <f>ROUND((D21*Trans_Inputs!$C$27),2)</f>
        <v>0</v>
      </c>
      <c r="P21" s="157">
        <f>ROUND((D21*Trans_Inputs!$Q$27),2)</f>
        <v>0</v>
      </c>
      <c r="Q21" s="157">
        <f t="shared" ref="Q21:Q38" si="4">P21-O21</f>
        <v>0</v>
      </c>
      <c r="R21" s="155">
        <f t="shared" ref="R21:R38" si="5">IF(O21=0,0,ROUND(Q21/O21,3))</f>
        <v>0</v>
      </c>
      <c r="S21" s="157">
        <f t="shared" ref="S21:S38" si="6">E21+J21+O21</f>
        <v>0</v>
      </c>
      <c r="T21" s="157">
        <f t="shared" ref="T21:T38" si="7">F21+K21+P21</f>
        <v>0</v>
      </c>
      <c r="U21" s="155">
        <f t="shared" ref="U21:U38" si="8">IF(S21=0,0,ROUND((T21-S21)/S21,3))</f>
        <v>0</v>
      </c>
      <c r="V21" s="164"/>
    </row>
    <row r="22" spans="1:22" ht="14.5" x14ac:dyDescent="0.35">
      <c r="A22" s="152">
        <v>2</v>
      </c>
      <c r="B22" s="152" t="s">
        <v>146</v>
      </c>
      <c r="C22" s="152" t="s">
        <v>145</v>
      </c>
      <c r="D22" s="168">
        <v>100</v>
      </c>
      <c r="E22" s="157">
        <f>Trans_Inputs!$H$27</f>
        <v>0</v>
      </c>
      <c r="F22" s="157">
        <f>Trans_Inputs!$V$27</f>
        <v>0</v>
      </c>
      <c r="G22" s="167">
        <f t="shared" si="0"/>
        <v>0</v>
      </c>
      <c r="H22" s="155">
        <f t="shared" si="1"/>
        <v>0</v>
      </c>
      <c r="I22" s="155"/>
      <c r="J22" s="157">
        <f>Trans_Inputs!$I$27</f>
        <v>0</v>
      </c>
      <c r="K22" s="157">
        <f>Trans_Inputs!$W$27</f>
        <v>0</v>
      </c>
      <c r="L22" s="157">
        <f t="shared" si="2"/>
        <v>0</v>
      </c>
      <c r="M22" s="155">
        <f t="shared" si="3"/>
        <v>0</v>
      </c>
      <c r="N22" s="158"/>
      <c r="O22" s="157">
        <f>ROUND((D22*Trans_Inputs!$C$27),2)</f>
        <v>0</v>
      </c>
      <c r="P22" s="157">
        <f>ROUND((D22*Trans_Inputs!$Q$27),2)</f>
        <v>0</v>
      </c>
      <c r="Q22" s="157">
        <f t="shared" si="4"/>
        <v>0</v>
      </c>
      <c r="R22" s="155">
        <f t="shared" si="5"/>
        <v>0</v>
      </c>
      <c r="S22" s="157">
        <f t="shared" si="6"/>
        <v>0</v>
      </c>
      <c r="T22" s="157">
        <f t="shared" si="7"/>
        <v>0</v>
      </c>
      <c r="U22" s="155">
        <f t="shared" si="8"/>
        <v>0</v>
      </c>
      <c r="V22" s="164"/>
    </row>
    <row r="23" spans="1:22" ht="14.5" x14ac:dyDescent="0.35">
      <c r="A23" s="152">
        <v>3</v>
      </c>
      <c r="B23" s="152" t="s">
        <v>221</v>
      </c>
      <c r="C23" s="117"/>
      <c r="D23" s="168">
        <v>500</v>
      </c>
      <c r="E23" s="157">
        <f>Trans_Inputs!$H$27</f>
        <v>0</v>
      </c>
      <c r="F23" s="157">
        <f>Trans_Inputs!$V$27</f>
        <v>0</v>
      </c>
      <c r="G23" s="167">
        <f t="shared" si="0"/>
        <v>0</v>
      </c>
      <c r="H23" s="155">
        <f t="shared" si="1"/>
        <v>0</v>
      </c>
      <c r="I23" s="155"/>
      <c r="J23" s="157">
        <f>Trans_Inputs!$I$27</f>
        <v>0</v>
      </c>
      <c r="K23" s="157">
        <f>Trans_Inputs!$W$27</f>
        <v>0</v>
      </c>
      <c r="L23" s="157">
        <f t="shared" si="2"/>
        <v>0</v>
      </c>
      <c r="M23" s="155">
        <f t="shared" si="3"/>
        <v>0</v>
      </c>
      <c r="N23" s="158"/>
      <c r="O23" s="157">
        <f>ROUND((D23*Trans_Inputs!$C$27),2)</f>
        <v>0</v>
      </c>
      <c r="P23" s="157">
        <f>ROUND((D23*Trans_Inputs!$Q$27),2)</f>
        <v>0</v>
      </c>
      <c r="Q23" s="157">
        <f t="shared" si="4"/>
        <v>0</v>
      </c>
      <c r="R23" s="155">
        <f t="shared" si="5"/>
        <v>0</v>
      </c>
      <c r="S23" s="157">
        <f t="shared" si="6"/>
        <v>0</v>
      </c>
      <c r="T23" s="157">
        <f t="shared" si="7"/>
        <v>0</v>
      </c>
      <c r="U23" s="155">
        <f t="shared" si="8"/>
        <v>0</v>
      </c>
      <c r="V23" s="164"/>
    </row>
    <row r="24" spans="1:22" ht="14.5" x14ac:dyDescent="0.35">
      <c r="A24" s="152">
        <v>4</v>
      </c>
      <c r="B24" s="152" t="s">
        <v>71</v>
      </c>
      <c r="C24" s="117"/>
      <c r="D24" s="168">
        <v>1000</v>
      </c>
      <c r="E24" s="157">
        <f>Trans_Inputs!$H$27</f>
        <v>0</v>
      </c>
      <c r="F24" s="157">
        <f>Trans_Inputs!$V$27</f>
        <v>0</v>
      </c>
      <c r="G24" s="167">
        <f t="shared" si="0"/>
        <v>0</v>
      </c>
      <c r="H24" s="155">
        <f t="shared" si="1"/>
        <v>0</v>
      </c>
      <c r="I24" s="155"/>
      <c r="J24" s="157">
        <f>Trans_Inputs!$I$27</f>
        <v>0</v>
      </c>
      <c r="K24" s="157">
        <f>Trans_Inputs!$W$27</f>
        <v>0</v>
      </c>
      <c r="L24" s="157">
        <f t="shared" si="2"/>
        <v>0</v>
      </c>
      <c r="M24" s="155">
        <f t="shared" si="3"/>
        <v>0</v>
      </c>
      <c r="N24" s="158"/>
      <c r="O24" s="157">
        <f>ROUND((D24*Trans_Inputs!$C$27),2)</f>
        <v>0</v>
      </c>
      <c r="P24" s="157">
        <f>ROUND((D24*Trans_Inputs!$Q$27),2)</f>
        <v>0</v>
      </c>
      <c r="Q24" s="157">
        <f t="shared" si="4"/>
        <v>0</v>
      </c>
      <c r="R24" s="155">
        <f t="shared" si="5"/>
        <v>0</v>
      </c>
      <c r="S24" s="157">
        <f t="shared" si="6"/>
        <v>0</v>
      </c>
      <c r="T24" s="157">
        <f t="shared" si="7"/>
        <v>0</v>
      </c>
      <c r="U24" s="155">
        <f t="shared" si="8"/>
        <v>0</v>
      </c>
      <c r="V24" s="164"/>
    </row>
    <row r="25" spans="1:22" ht="14.5" x14ac:dyDescent="0.35">
      <c r="A25" s="152">
        <v>5</v>
      </c>
      <c r="B25" s="152" t="s">
        <v>195</v>
      </c>
      <c r="C25" s="117"/>
      <c r="D25" s="168">
        <v>3000</v>
      </c>
      <c r="E25" s="157">
        <f>Trans_Inputs!$H$27</f>
        <v>0</v>
      </c>
      <c r="F25" s="157">
        <f>Trans_Inputs!$V$27</f>
        <v>0</v>
      </c>
      <c r="G25" s="167">
        <f t="shared" si="0"/>
        <v>0</v>
      </c>
      <c r="H25" s="155">
        <f t="shared" si="1"/>
        <v>0</v>
      </c>
      <c r="I25" s="155"/>
      <c r="J25" s="157">
        <f>Trans_Inputs!$I$27</f>
        <v>0</v>
      </c>
      <c r="K25" s="157">
        <f>Trans_Inputs!$W$27</f>
        <v>0</v>
      </c>
      <c r="L25" s="157">
        <f t="shared" si="2"/>
        <v>0</v>
      </c>
      <c r="M25" s="155">
        <f t="shared" si="3"/>
        <v>0</v>
      </c>
      <c r="N25" s="158"/>
      <c r="O25" s="157">
        <f>ROUND((D25*Trans_Inputs!$C$27),2)</f>
        <v>0</v>
      </c>
      <c r="P25" s="157">
        <f>ROUND((D25*Trans_Inputs!$Q$27),2)</f>
        <v>0</v>
      </c>
      <c r="Q25" s="157">
        <f t="shared" si="4"/>
        <v>0</v>
      </c>
      <c r="R25" s="155">
        <f t="shared" si="5"/>
        <v>0</v>
      </c>
      <c r="S25" s="157">
        <f t="shared" si="6"/>
        <v>0</v>
      </c>
      <c r="T25" s="157">
        <f t="shared" si="7"/>
        <v>0</v>
      </c>
      <c r="U25" s="155">
        <f t="shared" si="8"/>
        <v>0</v>
      </c>
      <c r="V25" s="164"/>
    </row>
    <row r="26" spans="1:22" ht="14.5" x14ac:dyDescent="0.35">
      <c r="A26" s="152">
        <v>6</v>
      </c>
      <c r="B26" s="117"/>
      <c r="C26" s="117"/>
      <c r="D26" s="168">
        <v>5000</v>
      </c>
      <c r="E26" s="157">
        <f>Trans_Inputs!$H$27</f>
        <v>0</v>
      </c>
      <c r="F26" s="157">
        <f>Trans_Inputs!$V$27</f>
        <v>0</v>
      </c>
      <c r="G26" s="167">
        <f t="shared" si="0"/>
        <v>0</v>
      </c>
      <c r="H26" s="155">
        <f t="shared" si="1"/>
        <v>0</v>
      </c>
      <c r="I26" s="155"/>
      <c r="J26" s="157">
        <f>Trans_Inputs!$I$27</f>
        <v>0</v>
      </c>
      <c r="K26" s="157">
        <f>Trans_Inputs!$W$27</f>
        <v>0</v>
      </c>
      <c r="L26" s="157">
        <f t="shared" si="2"/>
        <v>0</v>
      </c>
      <c r="M26" s="155">
        <f t="shared" si="3"/>
        <v>0</v>
      </c>
      <c r="N26" s="158"/>
      <c r="O26" s="157">
        <f>ROUND((D26*Trans_Inputs!$C$27),2)</f>
        <v>0</v>
      </c>
      <c r="P26" s="157">
        <f>ROUND((D26*Trans_Inputs!$Q$27),2)</f>
        <v>0</v>
      </c>
      <c r="Q26" s="157">
        <f t="shared" si="4"/>
        <v>0</v>
      </c>
      <c r="R26" s="155">
        <f t="shared" si="5"/>
        <v>0</v>
      </c>
      <c r="S26" s="157">
        <f t="shared" si="6"/>
        <v>0</v>
      </c>
      <c r="T26" s="157">
        <f t="shared" si="7"/>
        <v>0</v>
      </c>
      <c r="U26" s="155">
        <f t="shared" si="8"/>
        <v>0</v>
      </c>
      <c r="V26" s="164"/>
    </row>
    <row r="27" spans="1:22" ht="14.5" x14ac:dyDescent="0.35">
      <c r="A27" s="152">
        <v>7</v>
      </c>
      <c r="B27" s="117"/>
      <c r="C27" s="117"/>
      <c r="D27" s="168">
        <v>10000</v>
      </c>
      <c r="E27" s="157">
        <f>Trans_Inputs!$H$27</f>
        <v>0</v>
      </c>
      <c r="F27" s="157">
        <f>Trans_Inputs!$V$27</f>
        <v>0</v>
      </c>
      <c r="G27" s="167">
        <f t="shared" si="0"/>
        <v>0</v>
      </c>
      <c r="H27" s="155">
        <f t="shared" si="1"/>
        <v>0</v>
      </c>
      <c r="I27" s="155"/>
      <c r="J27" s="157">
        <f>Trans_Inputs!$I$27</f>
        <v>0</v>
      </c>
      <c r="K27" s="157">
        <f>Trans_Inputs!$W$27</f>
        <v>0</v>
      </c>
      <c r="L27" s="157">
        <f t="shared" si="2"/>
        <v>0</v>
      </c>
      <c r="M27" s="155">
        <f t="shared" si="3"/>
        <v>0</v>
      </c>
      <c r="N27" s="158"/>
      <c r="O27" s="157">
        <f>ROUND((D27*Trans_Inputs!$C$27),2)</f>
        <v>0</v>
      </c>
      <c r="P27" s="157">
        <f>ROUND((D27*Trans_Inputs!$Q$27),2)</f>
        <v>0</v>
      </c>
      <c r="Q27" s="157">
        <f t="shared" si="4"/>
        <v>0</v>
      </c>
      <c r="R27" s="155">
        <f t="shared" si="5"/>
        <v>0</v>
      </c>
      <c r="S27" s="157">
        <f t="shared" si="6"/>
        <v>0</v>
      </c>
      <c r="T27" s="157">
        <f t="shared" si="7"/>
        <v>0</v>
      </c>
      <c r="U27" s="155">
        <f t="shared" si="8"/>
        <v>0</v>
      </c>
      <c r="V27" s="164"/>
    </row>
    <row r="28" spans="1:22" ht="14.5" x14ac:dyDescent="0.35">
      <c r="A28" s="152">
        <v>8</v>
      </c>
      <c r="B28" s="152"/>
      <c r="C28" s="117"/>
      <c r="D28" s="168">
        <v>20000</v>
      </c>
      <c r="E28" s="157">
        <f>Trans_Inputs!$H$27</f>
        <v>0</v>
      </c>
      <c r="F28" s="157">
        <f>Trans_Inputs!$V$27</f>
        <v>0</v>
      </c>
      <c r="G28" s="167">
        <f t="shared" si="0"/>
        <v>0</v>
      </c>
      <c r="H28" s="155">
        <f t="shared" si="1"/>
        <v>0</v>
      </c>
      <c r="I28" s="155"/>
      <c r="J28" s="157">
        <f>Trans_Inputs!$I$27</f>
        <v>0</v>
      </c>
      <c r="K28" s="157">
        <f>Trans_Inputs!$W$27</f>
        <v>0</v>
      </c>
      <c r="L28" s="157">
        <f t="shared" si="2"/>
        <v>0</v>
      </c>
      <c r="M28" s="155">
        <f t="shared" si="3"/>
        <v>0</v>
      </c>
      <c r="N28" s="158"/>
      <c r="O28" s="157">
        <f>ROUND((D28*Trans_Inputs!$C$27),2)</f>
        <v>0</v>
      </c>
      <c r="P28" s="157">
        <f>ROUND((D28*Trans_Inputs!$Q$27),2)</f>
        <v>0</v>
      </c>
      <c r="Q28" s="157">
        <f t="shared" si="4"/>
        <v>0</v>
      </c>
      <c r="R28" s="155">
        <f t="shared" si="5"/>
        <v>0</v>
      </c>
      <c r="S28" s="157">
        <f t="shared" si="6"/>
        <v>0</v>
      </c>
      <c r="T28" s="157">
        <f t="shared" si="7"/>
        <v>0</v>
      </c>
      <c r="U28" s="155">
        <f t="shared" si="8"/>
        <v>0</v>
      </c>
      <c r="V28" s="164"/>
    </row>
    <row r="29" spans="1:22" ht="14.5" x14ac:dyDescent="0.35">
      <c r="A29" s="152">
        <v>9</v>
      </c>
      <c r="B29" s="152"/>
      <c r="C29" s="117"/>
      <c r="D29" s="168">
        <v>40000</v>
      </c>
      <c r="E29" s="157">
        <f>Trans_Inputs!$H$27</f>
        <v>0</v>
      </c>
      <c r="F29" s="157">
        <f>Trans_Inputs!$V$27</f>
        <v>0</v>
      </c>
      <c r="G29" s="167">
        <f t="shared" si="0"/>
        <v>0</v>
      </c>
      <c r="H29" s="155">
        <f t="shared" si="1"/>
        <v>0</v>
      </c>
      <c r="I29" s="155"/>
      <c r="J29" s="157">
        <f>Trans_Inputs!$I$27</f>
        <v>0</v>
      </c>
      <c r="K29" s="157">
        <f>Trans_Inputs!$W$27</f>
        <v>0</v>
      </c>
      <c r="L29" s="157">
        <f t="shared" si="2"/>
        <v>0</v>
      </c>
      <c r="M29" s="155">
        <f t="shared" si="3"/>
        <v>0</v>
      </c>
      <c r="N29" s="158"/>
      <c r="O29" s="157">
        <f>ROUND((D29*Trans_Inputs!$C$27),2)</f>
        <v>0</v>
      </c>
      <c r="P29" s="157">
        <f>ROUND((D29*Trans_Inputs!$Q$27),2)</f>
        <v>0</v>
      </c>
      <c r="Q29" s="157">
        <f t="shared" si="4"/>
        <v>0</v>
      </c>
      <c r="R29" s="155">
        <f t="shared" si="5"/>
        <v>0</v>
      </c>
      <c r="S29" s="157">
        <f t="shared" si="6"/>
        <v>0</v>
      </c>
      <c r="T29" s="157">
        <f t="shared" si="7"/>
        <v>0</v>
      </c>
      <c r="U29" s="155">
        <f t="shared" si="8"/>
        <v>0</v>
      </c>
      <c r="V29" s="164"/>
    </row>
    <row r="30" spans="1:22" ht="14.5" x14ac:dyDescent="0.35">
      <c r="A30" s="152">
        <v>10</v>
      </c>
      <c r="B30" s="117"/>
      <c r="C30" s="117"/>
      <c r="D30" s="168">
        <v>60000</v>
      </c>
      <c r="E30" s="157">
        <f>Trans_Inputs!$H$27</f>
        <v>0</v>
      </c>
      <c r="F30" s="157">
        <f>Trans_Inputs!$V$27</f>
        <v>0</v>
      </c>
      <c r="G30" s="167">
        <f t="shared" si="0"/>
        <v>0</v>
      </c>
      <c r="H30" s="155">
        <f t="shared" si="1"/>
        <v>0</v>
      </c>
      <c r="I30" s="155"/>
      <c r="J30" s="157">
        <f>Trans_Inputs!$I$27</f>
        <v>0</v>
      </c>
      <c r="K30" s="157">
        <f>Trans_Inputs!$W$27</f>
        <v>0</v>
      </c>
      <c r="L30" s="157">
        <f t="shared" si="2"/>
        <v>0</v>
      </c>
      <c r="M30" s="155">
        <f t="shared" si="3"/>
        <v>0</v>
      </c>
      <c r="N30" s="158"/>
      <c r="O30" s="157">
        <f>ROUND((D30*Trans_Inputs!$C$27),2)</f>
        <v>0</v>
      </c>
      <c r="P30" s="157">
        <f>ROUND((D30*Trans_Inputs!$Q$27),2)</f>
        <v>0</v>
      </c>
      <c r="Q30" s="157">
        <f t="shared" si="4"/>
        <v>0</v>
      </c>
      <c r="R30" s="155">
        <f t="shared" si="5"/>
        <v>0</v>
      </c>
      <c r="S30" s="157">
        <f t="shared" si="6"/>
        <v>0</v>
      </c>
      <c r="T30" s="157">
        <f t="shared" si="7"/>
        <v>0</v>
      </c>
      <c r="U30" s="155">
        <f t="shared" si="8"/>
        <v>0</v>
      </c>
      <c r="V30" s="164"/>
    </row>
    <row r="31" spans="1:22" ht="14.5" x14ac:dyDescent="0.35">
      <c r="A31" s="152">
        <v>11</v>
      </c>
      <c r="B31" s="117"/>
      <c r="C31" s="117"/>
      <c r="D31" s="168">
        <v>80000</v>
      </c>
      <c r="E31" s="157">
        <f>Trans_Inputs!$H$27</f>
        <v>0</v>
      </c>
      <c r="F31" s="157">
        <f>Trans_Inputs!$V$27</f>
        <v>0</v>
      </c>
      <c r="G31" s="167">
        <f t="shared" si="0"/>
        <v>0</v>
      </c>
      <c r="H31" s="155">
        <f t="shared" si="1"/>
        <v>0</v>
      </c>
      <c r="I31" s="155"/>
      <c r="J31" s="157">
        <f>Trans_Inputs!$I$27</f>
        <v>0</v>
      </c>
      <c r="K31" s="157">
        <f>Trans_Inputs!$W$27</f>
        <v>0</v>
      </c>
      <c r="L31" s="157">
        <f t="shared" si="2"/>
        <v>0</v>
      </c>
      <c r="M31" s="155">
        <f t="shared" si="3"/>
        <v>0</v>
      </c>
      <c r="N31" s="158"/>
      <c r="O31" s="157">
        <f>ROUND((D31*Trans_Inputs!$C$27),2)</f>
        <v>0</v>
      </c>
      <c r="P31" s="157">
        <f>ROUND((D31*Trans_Inputs!$Q$27),2)</f>
        <v>0</v>
      </c>
      <c r="Q31" s="157">
        <f t="shared" si="4"/>
        <v>0</v>
      </c>
      <c r="R31" s="155">
        <f t="shared" si="5"/>
        <v>0</v>
      </c>
      <c r="S31" s="157">
        <f t="shared" si="6"/>
        <v>0</v>
      </c>
      <c r="T31" s="157">
        <f t="shared" si="7"/>
        <v>0</v>
      </c>
      <c r="U31" s="155">
        <f t="shared" si="8"/>
        <v>0</v>
      </c>
      <c r="V31" s="164"/>
    </row>
    <row r="32" spans="1:22" ht="14.5" x14ac:dyDescent="0.35">
      <c r="A32" s="152">
        <v>12</v>
      </c>
      <c r="B32" s="117"/>
      <c r="C32" s="117"/>
      <c r="D32" s="168">
        <v>100000</v>
      </c>
      <c r="E32" s="157">
        <f>Trans_Inputs!$H$27</f>
        <v>0</v>
      </c>
      <c r="F32" s="157">
        <f>Trans_Inputs!$V$27</f>
        <v>0</v>
      </c>
      <c r="G32" s="167">
        <f t="shared" si="0"/>
        <v>0</v>
      </c>
      <c r="H32" s="155">
        <f t="shared" si="1"/>
        <v>0</v>
      </c>
      <c r="I32" s="155"/>
      <c r="J32" s="157">
        <f>Trans_Inputs!$I$27</f>
        <v>0</v>
      </c>
      <c r="K32" s="157">
        <f>Trans_Inputs!$W$27</f>
        <v>0</v>
      </c>
      <c r="L32" s="157">
        <f t="shared" si="2"/>
        <v>0</v>
      </c>
      <c r="M32" s="155">
        <f t="shared" si="3"/>
        <v>0</v>
      </c>
      <c r="N32" s="164"/>
      <c r="O32" s="157">
        <f>ROUND((D32*Trans_Inputs!$C$27),2)</f>
        <v>0</v>
      </c>
      <c r="P32" s="157">
        <f>ROUND((D32*Trans_Inputs!$Q$27),2)</f>
        <v>0</v>
      </c>
      <c r="Q32" s="157">
        <f t="shared" si="4"/>
        <v>0</v>
      </c>
      <c r="R32" s="155">
        <f t="shared" si="5"/>
        <v>0</v>
      </c>
      <c r="S32" s="157">
        <f t="shared" si="6"/>
        <v>0</v>
      </c>
      <c r="T32" s="157">
        <f t="shared" si="7"/>
        <v>0</v>
      </c>
      <c r="U32" s="155">
        <f t="shared" si="8"/>
        <v>0</v>
      </c>
      <c r="V32" s="164"/>
    </row>
    <row r="33" spans="1:22" ht="14.5" x14ac:dyDescent="0.35">
      <c r="A33" s="152">
        <v>13</v>
      </c>
      <c r="B33" s="117"/>
      <c r="C33" s="117"/>
      <c r="D33" s="168">
        <v>125000</v>
      </c>
      <c r="E33" s="157">
        <f>Trans_Inputs!$H$27</f>
        <v>0</v>
      </c>
      <c r="F33" s="157">
        <f>Trans_Inputs!$V$27</f>
        <v>0</v>
      </c>
      <c r="G33" s="167">
        <f t="shared" si="0"/>
        <v>0</v>
      </c>
      <c r="H33" s="155">
        <f t="shared" si="1"/>
        <v>0</v>
      </c>
      <c r="I33" s="155"/>
      <c r="J33" s="157">
        <f>Trans_Inputs!$I$27</f>
        <v>0</v>
      </c>
      <c r="K33" s="157">
        <f>Trans_Inputs!$W$27</f>
        <v>0</v>
      </c>
      <c r="L33" s="157">
        <f t="shared" si="2"/>
        <v>0</v>
      </c>
      <c r="M33" s="155">
        <f t="shared" si="3"/>
        <v>0</v>
      </c>
      <c r="N33" s="164"/>
      <c r="O33" s="157">
        <f>ROUND((D33*Trans_Inputs!$C$27),2)</f>
        <v>0</v>
      </c>
      <c r="P33" s="157">
        <f>ROUND((D33*Trans_Inputs!$Q$27),2)</f>
        <v>0</v>
      </c>
      <c r="Q33" s="157">
        <f t="shared" si="4"/>
        <v>0</v>
      </c>
      <c r="R33" s="155">
        <f t="shared" si="5"/>
        <v>0</v>
      </c>
      <c r="S33" s="157">
        <f t="shared" si="6"/>
        <v>0</v>
      </c>
      <c r="T33" s="157">
        <f t="shared" si="7"/>
        <v>0</v>
      </c>
      <c r="U33" s="155">
        <f t="shared" si="8"/>
        <v>0</v>
      </c>
      <c r="V33" s="164"/>
    </row>
    <row r="34" spans="1:22" ht="14.5" x14ac:dyDescent="0.35">
      <c r="A34" s="152">
        <v>14</v>
      </c>
      <c r="B34" s="117"/>
      <c r="C34" s="117"/>
      <c r="D34" s="168">
        <v>150000</v>
      </c>
      <c r="E34" s="157">
        <f>Trans_Inputs!$H$27</f>
        <v>0</v>
      </c>
      <c r="F34" s="157">
        <f>Trans_Inputs!$V$27</f>
        <v>0</v>
      </c>
      <c r="G34" s="167">
        <f t="shared" si="0"/>
        <v>0</v>
      </c>
      <c r="H34" s="155">
        <f t="shared" si="1"/>
        <v>0</v>
      </c>
      <c r="I34" s="155"/>
      <c r="J34" s="157">
        <f>Trans_Inputs!$I$27</f>
        <v>0</v>
      </c>
      <c r="K34" s="157">
        <f>Trans_Inputs!$W$27</f>
        <v>0</v>
      </c>
      <c r="L34" s="157">
        <f t="shared" si="2"/>
        <v>0</v>
      </c>
      <c r="M34" s="155">
        <f t="shared" si="3"/>
        <v>0</v>
      </c>
      <c r="N34" s="164"/>
      <c r="O34" s="157">
        <f>ROUND((Trans_Inputs!$C$27*Trans_Inputs!$AD$27),2)+ROUND(Trans_Inputs!$D$27*(D34-Trans_Inputs!$AD$27),2)</f>
        <v>0</v>
      </c>
      <c r="P34" s="157">
        <f>ROUND((Trans_Inputs!$Q$27*Trans_Inputs!$AK$27),2)+ROUND(Trans_Inputs!$R$27*(D34-Trans_Inputs!$AK$27),2)</f>
        <v>0</v>
      </c>
      <c r="Q34" s="157">
        <f t="shared" si="4"/>
        <v>0</v>
      </c>
      <c r="R34" s="155">
        <f t="shared" si="5"/>
        <v>0</v>
      </c>
      <c r="S34" s="157">
        <f t="shared" si="6"/>
        <v>0</v>
      </c>
      <c r="T34" s="157">
        <f t="shared" si="7"/>
        <v>0</v>
      </c>
      <c r="U34" s="155">
        <f t="shared" si="8"/>
        <v>0</v>
      </c>
      <c r="V34" s="164"/>
    </row>
    <row r="35" spans="1:22" ht="14.5" x14ac:dyDescent="0.35">
      <c r="A35" s="152">
        <v>15</v>
      </c>
      <c r="B35" s="117"/>
      <c r="C35" s="117"/>
      <c r="D35" s="168">
        <v>175000</v>
      </c>
      <c r="E35" s="157">
        <f>Trans_Inputs!$H$27</f>
        <v>0</v>
      </c>
      <c r="F35" s="157">
        <f>Trans_Inputs!$V$27</f>
        <v>0</v>
      </c>
      <c r="G35" s="167">
        <f t="shared" si="0"/>
        <v>0</v>
      </c>
      <c r="H35" s="155">
        <f t="shared" si="1"/>
        <v>0</v>
      </c>
      <c r="I35" s="155"/>
      <c r="J35" s="157">
        <f>Trans_Inputs!$I$27</f>
        <v>0</v>
      </c>
      <c r="K35" s="157">
        <f>Trans_Inputs!$W$27</f>
        <v>0</v>
      </c>
      <c r="L35" s="157">
        <f t="shared" si="2"/>
        <v>0</v>
      </c>
      <c r="M35" s="155">
        <f t="shared" si="3"/>
        <v>0</v>
      </c>
      <c r="N35" s="164"/>
      <c r="O35" s="157">
        <f>ROUND((Trans_Inputs!$C$27*Trans_Inputs!$AD$27),2)+ROUND(Trans_Inputs!$D$27*(D35-Trans_Inputs!$AD$27),2)</f>
        <v>0</v>
      </c>
      <c r="P35" s="157">
        <f>ROUND((Trans_Inputs!$Q$27*Trans_Inputs!$AK$27),2)+ROUND(Trans_Inputs!$R$27*(D35-Trans_Inputs!$AK$27),2)</f>
        <v>0</v>
      </c>
      <c r="Q35" s="157">
        <f t="shared" si="4"/>
        <v>0</v>
      </c>
      <c r="R35" s="155">
        <f t="shared" si="5"/>
        <v>0</v>
      </c>
      <c r="S35" s="157">
        <f t="shared" si="6"/>
        <v>0</v>
      </c>
      <c r="T35" s="157">
        <f t="shared" si="7"/>
        <v>0</v>
      </c>
      <c r="U35" s="155">
        <f t="shared" si="8"/>
        <v>0</v>
      </c>
      <c r="V35" s="164"/>
    </row>
    <row r="36" spans="1:22" ht="14.5" x14ac:dyDescent="0.35">
      <c r="A36" s="152">
        <v>16</v>
      </c>
      <c r="B36" s="117"/>
      <c r="C36" s="117"/>
      <c r="D36" s="168">
        <v>200000</v>
      </c>
      <c r="E36" s="157">
        <f>Trans_Inputs!$H$27</f>
        <v>0</v>
      </c>
      <c r="F36" s="157">
        <f>Trans_Inputs!$V$27</f>
        <v>0</v>
      </c>
      <c r="G36" s="167">
        <f t="shared" si="0"/>
        <v>0</v>
      </c>
      <c r="H36" s="155">
        <f t="shared" si="1"/>
        <v>0</v>
      </c>
      <c r="I36" s="155"/>
      <c r="J36" s="157">
        <f>Trans_Inputs!$I$27</f>
        <v>0</v>
      </c>
      <c r="K36" s="157">
        <f>Trans_Inputs!$W$27</f>
        <v>0</v>
      </c>
      <c r="L36" s="157">
        <f t="shared" si="2"/>
        <v>0</v>
      </c>
      <c r="M36" s="155">
        <f t="shared" si="3"/>
        <v>0</v>
      </c>
      <c r="N36" s="164"/>
      <c r="O36" s="157">
        <f>ROUND((Trans_Inputs!$C$27*Trans_Inputs!$AD$27),2)+ROUND(Trans_Inputs!$D$27*(D36-Trans_Inputs!$AD$27),2)</f>
        <v>0</v>
      </c>
      <c r="P36" s="157">
        <f>ROUND((Trans_Inputs!$Q$27*Trans_Inputs!$AK$27),2)+ROUND(Trans_Inputs!$R$27*(D36-Trans_Inputs!$AK$27),2)</f>
        <v>0</v>
      </c>
      <c r="Q36" s="157">
        <f t="shared" si="4"/>
        <v>0</v>
      </c>
      <c r="R36" s="155">
        <f t="shared" si="5"/>
        <v>0</v>
      </c>
      <c r="S36" s="157">
        <f t="shared" si="6"/>
        <v>0</v>
      </c>
      <c r="T36" s="157">
        <f t="shared" si="7"/>
        <v>0</v>
      </c>
      <c r="U36" s="155">
        <f t="shared" si="8"/>
        <v>0</v>
      </c>
      <c r="V36" s="164"/>
    </row>
    <row r="37" spans="1:22" ht="14.5" x14ac:dyDescent="0.35">
      <c r="A37" s="152">
        <v>17</v>
      </c>
      <c r="B37" s="117"/>
      <c r="C37" s="117"/>
      <c r="D37" s="168">
        <v>225000</v>
      </c>
      <c r="E37" s="157">
        <f>Trans_Inputs!$H$27</f>
        <v>0</v>
      </c>
      <c r="F37" s="157">
        <f>Trans_Inputs!$V$27</f>
        <v>0</v>
      </c>
      <c r="G37" s="167">
        <f t="shared" si="0"/>
        <v>0</v>
      </c>
      <c r="H37" s="155">
        <f t="shared" si="1"/>
        <v>0</v>
      </c>
      <c r="I37" s="155"/>
      <c r="J37" s="157">
        <f>Trans_Inputs!$I$27</f>
        <v>0</v>
      </c>
      <c r="K37" s="157">
        <f>Trans_Inputs!$W$27</f>
        <v>0</v>
      </c>
      <c r="L37" s="157">
        <f t="shared" si="2"/>
        <v>0</v>
      </c>
      <c r="M37" s="155">
        <f t="shared" si="3"/>
        <v>0</v>
      </c>
      <c r="N37" s="164"/>
      <c r="O37" s="157">
        <f>ROUND((Trans_Inputs!$C$27*Trans_Inputs!$AD$27),2)+ROUND(Trans_Inputs!$D$27*(D37-Trans_Inputs!$AD$27),2)</f>
        <v>0</v>
      </c>
      <c r="P37" s="157">
        <f>ROUND((Trans_Inputs!$Q$27*Trans_Inputs!$AK$27),2)+ROUND(Trans_Inputs!$R$27*(D37-Trans_Inputs!$AK$27),2)</f>
        <v>0</v>
      </c>
      <c r="Q37" s="157">
        <f t="shared" si="4"/>
        <v>0</v>
      </c>
      <c r="R37" s="155">
        <f t="shared" si="5"/>
        <v>0</v>
      </c>
      <c r="S37" s="157">
        <f t="shared" si="6"/>
        <v>0</v>
      </c>
      <c r="T37" s="157">
        <f t="shared" si="7"/>
        <v>0</v>
      </c>
      <c r="U37" s="155">
        <f t="shared" si="8"/>
        <v>0</v>
      </c>
      <c r="V37" s="164"/>
    </row>
    <row r="38" spans="1:22" ht="14.5" x14ac:dyDescent="0.35">
      <c r="A38" s="152">
        <v>18</v>
      </c>
      <c r="B38" s="117"/>
      <c r="C38" s="117"/>
      <c r="D38" s="168">
        <v>250000</v>
      </c>
      <c r="E38" s="157">
        <f>Trans_Inputs!$H$27</f>
        <v>0</v>
      </c>
      <c r="F38" s="157">
        <f>Trans_Inputs!$V$27</f>
        <v>0</v>
      </c>
      <c r="G38" s="167">
        <f t="shared" si="0"/>
        <v>0</v>
      </c>
      <c r="H38" s="155">
        <f t="shared" si="1"/>
        <v>0</v>
      </c>
      <c r="I38" s="155"/>
      <c r="J38" s="157">
        <f>Trans_Inputs!$I$27</f>
        <v>0</v>
      </c>
      <c r="K38" s="157">
        <f>Trans_Inputs!$W$27</f>
        <v>0</v>
      </c>
      <c r="L38" s="157">
        <f t="shared" si="2"/>
        <v>0</v>
      </c>
      <c r="M38" s="155">
        <f t="shared" si="3"/>
        <v>0</v>
      </c>
      <c r="N38" s="164"/>
      <c r="O38" s="157">
        <f>ROUND((Trans_Inputs!$C$27*Trans_Inputs!$AD$27),2)+ROUND(Trans_Inputs!$D$27*(D38-Trans_Inputs!$AD$27),2)</f>
        <v>0</v>
      </c>
      <c r="P38" s="157">
        <f>ROUND((Trans_Inputs!$Q$27*Trans_Inputs!$AK$27),2)+ROUND(Trans_Inputs!$R$27*(D38-Trans_Inputs!$AK$27),2)</f>
        <v>0</v>
      </c>
      <c r="Q38" s="157">
        <f t="shared" si="4"/>
        <v>0</v>
      </c>
      <c r="R38" s="155">
        <f t="shared" si="5"/>
        <v>0</v>
      </c>
      <c r="S38" s="157">
        <f t="shared" si="6"/>
        <v>0</v>
      </c>
      <c r="T38" s="157">
        <f t="shared" si="7"/>
        <v>0</v>
      </c>
      <c r="U38" s="155">
        <f t="shared" si="8"/>
        <v>0</v>
      </c>
      <c r="V38" s="164"/>
    </row>
    <row r="39" spans="1:22" ht="12" customHeight="1" x14ac:dyDescent="0.35">
      <c r="A39" s="152"/>
      <c r="B39" s="117"/>
      <c r="C39" s="117"/>
      <c r="D39" s="180"/>
      <c r="E39" s="117"/>
      <c r="F39" s="117"/>
      <c r="G39" s="171"/>
      <c r="H39" s="170"/>
      <c r="I39" s="170"/>
      <c r="J39" s="170"/>
      <c r="K39" s="170"/>
      <c r="L39" s="170"/>
      <c r="M39" s="170"/>
      <c r="N39" s="152"/>
      <c r="O39" s="152"/>
      <c r="P39" s="117"/>
      <c r="Q39" s="171"/>
      <c r="R39" s="170"/>
      <c r="S39" s="171"/>
      <c r="T39" s="171"/>
      <c r="U39" s="170"/>
      <c r="V39" s="117"/>
    </row>
    <row r="40" spans="1:22" ht="14.5" x14ac:dyDescent="0.35">
      <c r="A40" s="152"/>
      <c r="B40" s="117" t="s">
        <v>142</v>
      </c>
      <c r="C40" s="117"/>
      <c r="D40" s="178">
        <f>ROUND(Trans_Inputs!AT27,0)</f>
        <v>0</v>
      </c>
      <c r="E40" s="117"/>
      <c r="F40" s="117"/>
      <c r="G40" s="152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52"/>
      <c r="T40" s="152"/>
      <c r="U40" s="152"/>
      <c r="V40" s="117"/>
    </row>
    <row r="41" spans="1:22" ht="14.5" x14ac:dyDescent="0.35">
      <c r="A41" s="152"/>
      <c r="B41" s="117"/>
      <c r="C41" s="117" t="s">
        <v>215</v>
      </c>
      <c r="D41" s="117"/>
      <c r="E41" s="117"/>
      <c r="F41" s="117"/>
      <c r="G41" s="152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52"/>
      <c r="T41" s="152"/>
      <c r="U41" s="152"/>
      <c r="V41" s="117"/>
    </row>
  </sheetData>
  <mergeCells count="8">
    <mergeCell ref="A5:U5"/>
    <mergeCell ref="E13:H13"/>
    <mergeCell ref="O13:R13"/>
    <mergeCell ref="A1:U1"/>
    <mergeCell ref="A2:U2"/>
    <mergeCell ref="A3:U3"/>
    <mergeCell ref="A4:U4"/>
    <mergeCell ref="J13:M13"/>
  </mergeCells>
  <printOptions horizontalCentered="1"/>
  <pageMargins left="0" right="0" top="0.75" bottom="0.75" header="0.5" footer="0.5"/>
  <pageSetup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28"/>
  <sheetViews>
    <sheetView workbookViewId="0"/>
  </sheetViews>
  <sheetFormatPr defaultColWidth="9.1796875" defaultRowHeight="14.9" customHeight="1" x14ac:dyDescent="0.35"/>
  <cols>
    <col min="1" max="1" width="2.54296875" customWidth="1"/>
    <col min="2" max="2" width="4.54296875" customWidth="1"/>
    <col min="3" max="3" width="33.81640625" bestFit="1" customWidth="1"/>
    <col min="4" max="8" width="16.54296875" customWidth="1"/>
    <col min="9" max="9" width="19.54296875" customWidth="1"/>
    <col min="10" max="10" width="2.54296875" customWidth="1"/>
    <col min="11" max="12" width="9.1796875" customWidth="1"/>
  </cols>
  <sheetData>
    <row r="1" spans="1:11" ht="14.5" x14ac:dyDescent="0.35">
      <c r="A1" s="2" t="str">
        <f>'Rate Design'!A2</f>
        <v>COLUMBIA GAS OF KENTUCKY, INC.</v>
      </c>
      <c r="B1" s="3"/>
      <c r="C1" s="3"/>
      <c r="D1" s="3"/>
      <c r="E1" s="3"/>
      <c r="F1" s="3"/>
      <c r="G1" s="3"/>
      <c r="H1" s="3"/>
      <c r="I1" s="3"/>
      <c r="J1" s="5"/>
      <c r="K1" s="3"/>
    </row>
    <row r="2" spans="1:11" ht="14.5" x14ac:dyDescent="0.35">
      <c r="A2" s="2" t="str">
        <f>'Rate Design'!A3</f>
        <v>FORECASTED PERIOD 12/31/2024 TO 12/31/2025</v>
      </c>
      <c r="B2" s="3"/>
      <c r="C2" s="3"/>
      <c r="D2" s="3"/>
      <c r="E2" s="3"/>
      <c r="F2" s="3"/>
      <c r="G2" s="3"/>
      <c r="H2" s="3"/>
      <c r="I2" s="3"/>
      <c r="J2" s="5" t="s">
        <v>22</v>
      </c>
      <c r="K2" s="3"/>
    </row>
    <row r="3" spans="1:11" ht="14.5" x14ac:dyDescent="0.35">
      <c r="A3" s="3"/>
      <c r="B3" s="3"/>
      <c r="C3" s="3"/>
      <c r="D3" s="3"/>
      <c r="E3" s="3"/>
      <c r="F3" s="3"/>
      <c r="G3" s="3"/>
      <c r="H3" s="3"/>
      <c r="I3" s="3"/>
      <c r="J3" s="5"/>
      <c r="K3" s="3"/>
    </row>
    <row r="4" spans="1:11" ht="15" thickBot="1" x14ac:dyDescent="0.4">
      <c r="A4" s="3"/>
      <c r="B4" s="3"/>
      <c r="C4" s="3"/>
      <c r="D4" s="3"/>
      <c r="E4" s="104"/>
      <c r="F4" s="104"/>
      <c r="G4" s="104"/>
      <c r="H4" s="104"/>
      <c r="I4" s="104"/>
      <c r="J4" s="3"/>
      <c r="K4" s="3"/>
    </row>
    <row r="5" spans="1:11" ht="15" thickBot="1" x14ac:dyDescent="0.4">
      <c r="A5" s="3"/>
      <c r="B5" s="97" t="s">
        <v>23</v>
      </c>
      <c r="C5" s="97"/>
      <c r="D5" s="97" t="s">
        <v>24</v>
      </c>
      <c r="E5" s="98" t="str">
        <f>'Rate Design'!B11</f>
        <v>GSR/GTR</v>
      </c>
      <c r="F5" s="99" t="str">
        <f>'Rate Design'!B25</f>
        <v>GSO/GTO/GDS</v>
      </c>
      <c r="G5" s="99" t="str">
        <f>'Rate Design'!B37</f>
        <v>IUS</v>
      </c>
      <c r="H5" s="100" t="str">
        <f>'Rate Design'!B44</f>
        <v>DS-ML</v>
      </c>
      <c r="I5" s="101" t="str">
        <f>'Rate Design'!B52</f>
        <v>IS/DS</v>
      </c>
      <c r="J5" s="3"/>
      <c r="K5" s="3"/>
    </row>
    <row r="6" spans="1:11" ht="14.5" x14ac:dyDescent="0.35">
      <c r="A6" s="3"/>
      <c r="B6" s="29"/>
      <c r="C6" s="30"/>
      <c r="D6" s="30"/>
      <c r="E6" s="30"/>
      <c r="F6" s="30"/>
      <c r="G6" s="30"/>
      <c r="H6" s="30"/>
      <c r="I6" s="31"/>
      <c r="J6" s="3"/>
      <c r="K6" s="3"/>
    </row>
    <row r="7" spans="1:11" ht="14.5" x14ac:dyDescent="0.35">
      <c r="A7" s="3"/>
      <c r="B7" s="32">
        <v>1</v>
      </c>
      <c r="C7" s="2" t="s">
        <v>25</v>
      </c>
      <c r="D7" s="20">
        <f>SUM(E7:I7)</f>
        <v>113745315.14</v>
      </c>
      <c r="E7" s="20">
        <f>'Rate Design'!E22</f>
        <v>73265642.86999999</v>
      </c>
      <c r="F7" s="20">
        <f>'Rate Design'!E34</f>
        <v>31302966.510000002</v>
      </c>
      <c r="G7" s="20">
        <f>'Rate Design'!E41</f>
        <v>35135.68</v>
      </c>
      <c r="H7" s="20">
        <f>'Rate Design'!E49</f>
        <v>668379.14</v>
      </c>
      <c r="I7" s="33">
        <f>'Rate Design'!E58</f>
        <v>8473190.9399999995</v>
      </c>
      <c r="J7" s="3"/>
      <c r="K7" s="3"/>
    </row>
    <row r="8" spans="1:11" ht="14.5" x14ac:dyDescent="0.35">
      <c r="A8" s="3"/>
      <c r="B8" s="34"/>
      <c r="C8" s="94"/>
      <c r="D8" s="20"/>
      <c r="E8" s="20"/>
      <c r="F8" s="20"/>
      <c r="G8" s="20"/>
      <c r="H8" s="20"/>
      <c r="I8" s="33"/>
      <c r="J8" s="3"/>
      <c r="K8" s="3"/>
    </row>
    <row r="9" spans="1:11" ht="14.5" x14ac:dyDescent="0.35">
      <c r="A9" s="3"/>
      <c r="B9" s="32">
        <v>2</v>
      </c>
      <c r="C9" s="2" t="s">
        <v>26</v>
      </c>
      <c r="D9" s="27">
        <f>SUM(E9:I9)</f>
        <v>137518334.84807333</v>
      </c>
      <c r="E9" s="27">
        <v>88616441.755114332</v>
      </c>
      <c r="F9" s="27">
        <v>37861641.701684915</v>
      </c>
      <c r="G9" s="27">
        <v>39541.7516075327</v>
      </c>
      <c r="H9" s="27">
        <v>752194.74950168375</v>
      </c>
      <c r="I9" s="35">
        <v>10248514.890164869</v>
      </c>
      <c r="J9" s="3"/>
      <c r="K9" s="3"/>
    </row>
    <row r="10" spans="1:11" ht="14.5" x14ac:dyDescent="0.35">
      <c r="A10" s="3"/>
      <c r="B10" s="32"/>
      <c r="C10" s="94" t="s">
        <v>75</v>
      </c>
      <c r="D10" s="20">
        <v>35413021.669999994</v>
      </c>
      <c r="E10" s="20">
        <v>21917977.089999996</v>
      </c>
      <c r="F10" s="20">
        <v>13464403.18</v>
      </c>
      <c r="G10" s="20">
        <v>30641.4</v>
      </c>
      <c r="H10" s="20">
        <v>0</v>
      </c>
      <c r="I10" s="33">
        <v>0</v>
      </c>
      <c r="J10" s="3"/>
      <c r="K10" s="3"/>
    </row>
    <row r="11" spans="1:11" ht="14.5" x14ac:dyDescent="0.35">
      <c r="A11" s="3"/>
      <c r="B11" s="32"/>
      <c r="C11" s="94" t="s">
        <v>64</v>
      </c>
      <c r="D11" s="20">
        <v>1199340.79</v>
      </c>
      <c r="E11" s="20">
        <v>1053868.7027582393</v>
      </c>
      <c r="F11" s="20">
        <v>130969.97283201243</v>
      </c>
      <c r="G11" s="20">
        <v>181.03499575147444</v>
      </c>
      <c r="H11" s="20">
        <v>311.53857019869264</v>
      </c>
      <c r="I11" s="33">
        <v>14009.540843798217</v>
      </c>
      <c r="J11" s="3"/>
      <c r="K11" s="3"/>
    </row>
    <row r="12" spans="1:11" ht="14.5" x14ac:dyDescent="0.35">
      <c r="A12" s="3"/>
      <c r="B12" s="32"/>
      <c r="C12" s="3" t="s">
        <v>65</v>
      </c>
      <c r="D12" s="95">
        <f>SUM(D9:D11)</f>
        <v>174130697.30807331</v>
      </c>
      <c r="E12" s="95">
        <f t="shared" ref="E12:I12" si="0">SUM(E9:E11)</f>
        <v>111588287.54787256</v>
      </c>
      <c r="F12" s="95">
        <f t="shared" si="0"/>
        <v>51457014.854516923</v>
      </c>
      <c r="G12" s="95">
        <f t="shared" si="0"/>
        <v>70364.186603284164</v>
      </c>
      <c r="H12" s="95">
        <f t="shared" si="0"/>
        <v>752506.28807188245</v>
      </c>
      <c r="I12" s="298">
        <f t="shared" si="0"/>
        <v>10262524.431008667</v>
      </c>
      <c r="J12" s="3"/>
      <c r="K12" s="3"/>
    </row>
    <row r="13" spans="1:11" ht="14.5" x14ac:dyDescent="0.35">
      <c r="A13" s="3"/>
      <c r="B13" s="32"/>
      <c r="C13" s="2"/>
      <c r="D13" s="20"/>
      <c r="E13" s="20"/>
      <c r="F13" s="20"/>
      <c r="G13" s="20"/>
      <c r="H13" s="20"/>
      <c r="I13" s="33"/>
      <c r="J13" s="3"/>
      <c r="K13" s="3"/>
    </row>
    <row r="14" spans="1:11" ht="14.5" x14ac:dyDescent="0.35">
      <c r="A14" s="3"/>
      <c r="B14" s="32">
        <v>3</v>
      </c>
      <c r="C14" s="2" t="s">
        <v>66</v>
      </c>
      <c r="D14" s="96">
        <v>170035955</v>
      </c>
      <c r="E14" s="102">
        <f>E9/$D9</f>
        <v>0.64439728602746293</v>
      </c>
      <c r="F14" s="102">
        <f t="shared" ref="F14:I14" si="1">F9/$D9</f>
        <v>0.27532068173682783</v>
      </c>
      <c r="G14" s="102">
        <f t="shared" si="1"/>
        <v>2.8753803375540721E-4</v>
      </c>
      <c r="H14" s="102">
        <f t="shared" si="1"/>
        <v>5.4697779051258062E-3</v>
      </c>
      <c r="I14" s="103">
        <f t="shared" si="1"/>
        <v>7.4524716296828067E-2</v>
      </c>
      <c r="J14" s="3"/>
      <c r="K14" s="11">
        <f>SUM(E14:I14)-1</f>
        <v>0</v>
      </c>
    </row>
    <row r="15" spans="1:11" ht="14.5" x14ac:dyDescent="0.35">
      <c r="A15" s="3"/>
      <c r="B15" s="32"/>
      <c r="C15" s="2" t="s">
        <v>63</v>
      </c>
      <c r="D15" s="27">
        <f>D14-D10-D11</f>
        <v>133423592.54000001</v>
      </c>
      <c r="E15" s="27">
        <f>$D15*E$9/$D$9</f>
        <v>85977800.924810052</v>
      </c>
      <c r="F15" s="27">
        <f t="shared" ref="F15:I15" si="2">$D15*F$9/$D$9</f>
        <v>36734274.457889535</v>
      </c>
      <c r="G15" s="27">
        <f t="shared" si="2"/>
        <v>38364.357455534213</v>
      </c>
      <c r="H15" s="27">
        <f t="shared" si="2"/>
        <v>729797.41849780048</v>
      </c>
      <c r="I15" s="35">
        <f t="shared" si="2"/>
        <v>9943355.3813470863</v>
      </c>
      <c r="J15" s="3"/>
      <c r="K15" s="11">
        <f>SUM(E15:I15)-D15</f>
        <v>0</v>
      </c>
    </row>
    <row r="16" spans="1:11" ht="14.5" x14ac:dyDescent="0.35">
      <c r="A16" s="3"/>
      <c r="B16" s="32"/>
      <c r="C16" s="2"/>
      <c r="D16" s="27"/>
      <c r="E16" s="27"/>
      <c r="F16" s="27"/>
      <c r="G16" s="27"/>
      <c r="H16" s="27"/>
      <c r="I16" s="35"/>
      <c r="J16" s="3"/>
      <c r="K16" s="3"/>
    </row>
    <row r="17" spans="1:11" ht="14.5" x14ac:dyDescent="0.35">
      <c r="A17" s="3"/>
      <c r="B17" s="32">
        <v>4</v>
      </c>
      <c r="C17" s="2" t="s">
        <v>338</v>
      </c>
      <c r="D17" s="96">
        <f>Input_Entry!D10</f>
        <v>164670677.59999999</v>
      </c>
      <c r="E17" s="105">
        <f>Input_Entry!E19</f>
        <v>0.64439728602746293</v>
      </c>
      <c r="F17" s="105">
        <f>Input_Entry!F19</f>
        <v>0.27532068173682783</v>
      </c>
      <c r="G17" s="105">
        <f>Input_Entry!G19</f>
        <v>2.8753803375540721E-4</v>
      </c>
      <c r="H17" s="105">
        <f>Input_Entry!H19</f>
        <v>5.4697779051258062E-3</v>
      </c>
      <c r="I17" s="106">
        <f>Input_Entry!I19</f>
        <v>7.4524716296828067E-2</v>
      </c>
      <c r="J17" s="3"/>
      <c r="K17" s="3"/>
    </row>
    <row r="18" spans="1:11" ht="14.5" x14ac:dyDescent="0.35">
      <c r="A18" s="3"/>
      <c r="B18" s="32"/>
      <c r="C18" s="2"/>
      <c r="D18" s="96">
        <f>Input_Entry!D23</f>
        <v>128058315.14</v>
      </c>
      <c r="E18" s="27">
        <f>$D18*E$9/$D$9</f>
        <v>82520430.729465559</v>
      </c>
      <c r="F18" s="27">
        <f t="shared" ref="F18:I18" si="3">$D18*F$9/$D$9</f>
        <v>35257102.626414344</v>
      </c>
      <c r="G18" s="27">
        <f t="shared" si="3"/>
        <v>36821.636141385898</v>
      </c>
      <c r="H18" s="27">
        <f t="shared" si="3"/>
        <v>700450.54272040946</v>
      </c>
      <c r="I18" s="35">
        <f t="shared" si="3"/>
        <v>9543509.6052583009</v>
      </c>
      <c r="J18" s="3"/>
      <c r="K18" s="11">
        <f>SUM(E18:I18)-D18</f>
        <v>0</v>
      </c>
    </row>
    <row r="19" spans="1:11" ht="14.5" x14ac:dyDescent="0.35">
      <c r="A19" s="3"/>
      <c r="B19" s="32"/>
      <c r="C19" s="2"/>
      <c r="D19" s="27"/>
      <c r="E19" s="27"/>
      <c r="F19" s="27"/>
      <c r="G19" s="27"/>
      <c r="H19" s="27"/>
      <c r="I19" s="35"/>
      <c r="J19" s="3"/>
      <c r="K19" s="3"/>
    </row>
    <row r="20" spans="1:11" ht="14.9" customHeight="1" x14ac:dyDescent="0.35">
      <c r="A20" s="3"/>
      <c r="B20" s="32">
        <v>5</v>
      </c>
      <c r="C20" s="2"/>
      <c r="D20" s="27"/>
      <c r="E20" s="27"/>
      <c r="F20" s="27"/>
      <c r="G20" s="27"/>
      <c r="H20" s="27"/>
      <c r="I20" s="35"/>
      <c r="J20" s="3"/>
      <c r="K20" s="11"/>
    </row>
    <row r="21" spans="1:11" ht="14.5" x14ac:dyDescent="0.35">
      <c r="A21" s="3"/>
      <c r="B21" s="32"/>
      <c r="C21" s="2"/>
      <c r="D21" s="27"/>
      <c r="E21" s="27"/>
      <c r="F21" s="27"/>
      <c r="G21" s="27"/>
      <c r="H21" s="27"/>
      <c r="I21" s="35"/>
      <c r="J21" s="3"/>
      <c r="K21" s="11"/>
    </row>
    <row r="22" spans="1:11" ht="14.9" customHeight="1" x14ac:dyDescent="0.35">
      <c r="A22" s="3"/>
      <c r="B22" s="32"/>
      <c r="C22" s="2"/>
      <c r="D22" s="27"/>
      <c r="E22" s="27"/>
      <c r="F22" s="27"/>
      <c r="G22" s="27"/>
      <c r="H22" s="27"/>
      <c r="I22" s="35"/>
      <c r="J22" s="3"/>
      <c r="K22" s="3"/>
    </row>
    <row r="23" spans="1:11" ht="14.9" customHeight="1" thickBot="1" x14ac:dyDescent="0.4">
      <c r="A23" s="3"/>
      <c r="B23" s="92"/>
      <c r="C23" s="93"/>
      <c r="D23" s="93"/>
      <c r="E23" s="93"/>
      <c r="F23" s="93"/>
      <c r="G23" s="93"/>
      <c r="H23" s="93"/>
      <c r="I23" s="78"/>
      <c r="J23" s="3"/>
      <c r="K23" s="3"/>
    </row>
    <row r="24" spans="1:11" ht="14.9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4.9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4.9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4.9" customHeight="1" x14ac:dyDescent="0.35">
      <c r="A27" s="3"/>
      <c r="B27" s="3"/>
      <c r="C27" s="3" t="s">
        <v>320</v>
      </c>
      <c r="D27" s="11">
        <f>D18-D7</f>
        <v>14313000</v>
      </c>
      <c r="E27" s="11">
        <f t="shared" ref="E27:I27" si="4">E18-E7</f>
        <v>9254787.8594655693</v>
      </c>
      <c r="F27" s="11">
        <f t="shared" si="4"/>
        <v>3954136.1164143421</v>
      </c>
      <c r="G27" s="11">
        <f t="shared" si="4"/>
        <v>1685.9561413858974</v>
      </c>
      <c r="H27" s="11">
        <f t="shared" si="4"/>
        <v>32071.402720409445</v>
      </c>
      <c r="I27" s="11">
        <f t="shared" si="4"/>
        <v>1070318.6652583014</v>
      </c>
      <c r="J27" s="3"/>
      <c r="K27" s="3"/>
    </row>
    <row r="28" spans="1:11" ht="14.9" customHeight="1" x14ac:dyDescent="0.35">
      <c r="A28" s="3"/>
      <c r="B28" s="3"/>
      <c r="C28" s="3"/>
      <c r="D28" s="8">
        <f>D27/SUM(D7,D10:D11)</f>
        <v>9.5193010616173551E-2</v>
      </c>
      <c r="E28" s="8">
        <f>E27/SUM(E7,E10:E11)</f>
        <v>9.6166140534867967E-2</v>
      </c>
      <c r="F28" s="8">
        <f t="shared" ref="F28:I28" si="5">F27/SUM(F7,F10:F11)</f>
        <v>8.8068648999234084E-2</v>
      </c>
      <c r="G28" s="8">
        <f t="shared" si="5"/>
        <v>2.5561011582797569E-2</v>
      </c>
      <c r="H28" s="8">
        <f t="shared" si="5"/>
        <v>4.7961492134128217E-2</v>
      </c>
      <c r="I28" s="8">
        <f t="shared" si="5"/>
        <v>0.12610974227297744</v>
      </c>
      <c r="J28" s="3"/>
      <c r="K28" s="3"/>
    </row>
  </sheetData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B19D-714D-4FEE-9084-BD0DE2698492}">
  <sheetPr codeName="Sheet18">
    <tabColor theme="4"/>
  </sheetPr>
  <dimension ref="A1:AF36"/>
  <sheetViews>
    <sheetView workbookViewId="0"/>
  </sheetViews>
  <sheetFormatPr defaultColWidth="8" defaultRowHeight="12.75" customHeight="1" x14ac:dyDescent="0.35"/>
  <cols>
    <col min="1" max="1" width="11.81640625" customWidth="1"/>
    <col min="2" max="2" width="40" customWidth="1"/>
    <col min="3" max="3" width="14.1796875" customWidth="1"/>
    <col min="4" max="4" width="15.81640625" customWidth="1"/>
    <col min="5" max="5" width="13.54296875" customWidth="1"/>
    <col min="6" max="6" width="14.54296875" customWidth="1"/>
    <col min="7" max="7" width="12.453125" customWidth="1"/>
    <col min="8" max="16" width="11.453125" customWidth="1"/>
    <col min="17" max="18" width="9.54296875" customWidth="1"/>
    <col min="19" max="19" width="1.54296875" customWidth="1"/>
    <col min="20" max="20" width="12.453125" customWidth="1"/>
    <col min="21" max="21" width="15.453125" customWidth="1"/>
    <col min="22" max="22" width="13.54296875" customWidth="1"/>
    <col min="23" max="23" width="14.54296875" customWidth="1"/>
    <col min="24" max="24" width="12.453125" customWidth="1"/>
    <col min="25" max="27" width="11.453125" customWidth="1"/>
    <col min="28" max="28" width="3" customWidth="1"/>
    <col min="29" max="29" width="1.81640625" customWidth="1"/>
    <col min="30" max="30" width="13" customWidth="1"/>
    <col min="31" max="31" width="14.54296875" customWidth="1"/>
    <col min="32" max="32" width="13" customWidth="1"/>
    <col min="33" max="33" width="8" customWidth="1"/>
  </cols>
  <sheetData>
    <row r="1" spans="1:32" ht="12.75" customHeight="1" x14ac:dyDescent="0.35">
      <c r="A1" s="181" t="s">
        <v>270</v>
      </c>
      <c r="B1" s="181"/>
      <c r="C1" s="181" t="s">
        <v>269</v>
      </c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2"/>
      <c r="AE1" s="182"/>
      <c r="AF1" s="181"/>
    </row>
    <row r="2" spans="1:32" ht="12.75" customHeight="1" x14ac:dyDescent="0.35">
      <c r="A2" s="181" t="s">
        <v>268</v>
      </c>
      <c r="B2" s="181"/>
      <c r="C2" s="181" t="s">
        <v>267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2"/>
      <c r="AE2" s="182"/>
      <c r="AF2" s="181"/>
    </row>
    <row r="3" spans="1:32" ht="12.75" customHeight="1" x14ac:dyDescent="0.35">
      <c r="A3" s="181" t="s">
        <v>266</v>
      </c>
      <c r="B3" s="181"/>
      <c r="C3" s="220" t="s">
        <v>265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2"/>
      <c r="AE3" s="182"/>
      <c r="AF3" s="181"/>
    </row>
    <row r="4" spans="1:32" ht="12.75" customHeight="1" x14ac:dyDescent="0.35">
      <c r="A4" s="181" t="s">
        <v>264</v>
      </c>
      <c r="B4" s="181"/>
      <c r="C4" s="220" t="s">
        <v>263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2"/>
      <c r="AE4" s="182"/>
      <c r="AF4" s="181"/>
    </row>
    <row r="5" spans="1:32" ht="12.75" customHeight="1" x14ac:dyDescent="0.35">
      <c r="A5" s="181" t="s">
        <v>262</v>
      </c>
      <c r="B5" s="181"/>
      <c r="C5" s="220" t="s">
        <v>261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2"/>
      <c r="AE5" s="182"/>
      <c r="AF5" s="181"/>
    </row>
    <row r="6" spans="1:32" ht="12.75" customHeight="1" x14ac:dyDescent="0.35">
      <c r="A6" s="181" t="s">
        <v>260</v>
      </c>
      <c r="B6" s="181"/>
      <c r="C6" s="219" t="s">
        <v>259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2"/>
      <c r="AE6" s="182"/>
      <c r="AF6" s="181"/>
    </row>
    <row r="7" spans="1:32" ht="12.75" customHeight="1" x14ac:dyDescent="0.35">
      <c r="A7" s="181" t="s">
        <v>258</v>
      </c>
      <c r="B7" s="181"/>
      <c r="C7" s="181" t="s">
        <v>257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215"/>
      <c r="U7" s="181"/>
      <c r="V7" s="181"/>
      <c r="W7" s="181"/>
      <c r="X7" s="181"/>
      <c r="Y7" s="181"/>
      <c r="Z7" s="181"/>
      <c r="AA7" s="181"/>
      <c r="AB7" s="181"/>
      <c r="AC7" s="181"/>
      <c r="AD7" s="182"/>
      <c r="AE7" s="182"/>
      <c r="AF7" s="181"/>
    </row>
    <row r="8" spans="1:32" ht="12.75" customHeight="1" x14ac:dyDescent="0.35">
      <c r="A8" s="181" t="s">
        <v>256</v>
      </c>
      <c r="B8" s="181"/>
      <c r="C8" s="218" t="s">
        <v>255</v>
      </c>
      <c r="D8" s="218"/>
      <c r="E8" s="218"/>
      <c r="F8" s="218"/>
      <c r="G8" s="218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215"/>
      <c r="U8" s="181"/>
      <c r="V8" s="181"/>
      <c r="W8" s="181"/>
      <c r="X8" s="181"/>
      <c r="Y8" s="181"/>
      <c r="Z8" s="181"/>
      <c r="AA8" s="181"/>
      <c r="AB8" s="181"/>
      <c r="AC8" s="181"/>
      <c r="AD8" s="182"/>
      <c r="AE8" s="182"/>
      <c r="AF8" s="181"/>
    </row>
    <row r="9" spans="1:32" ht="12.75" customHeight="1" x14ac:dyDescent="0.35">
      <c r="A9" s="181" t="s">
        <v>254</v>
      </c>
      <c r="B9" s="181"/>
      <c r="C9" s="217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215"/>
      <c r="U9" s="181"/>
      <c r="V9" s="181"/>
      <c r="W9" s="181"/>
      <c r="X9" s="181"/>
      <c r="Y9" s="181"/>
      <c r="Z9" s="181"/>
      <c r="AA9" s="181"/>
      <c r="AB9" s="181"/>
      <c r="AC9" s="181"/>
      <c r="AD9" s="182"/>
      <c r="AE9" s="182"/>
      <c r="AF9" s="181"/>
    </row>
    <row r="10" spans="1:32" ht="12.75" customHeight="1" x14ac:dyDescent="0.35">
      <c r="A10" s="214" t="s">
        <v>253</v>
      </c>
      <c r="B10" s="214"/>
      <c r="C10" s="216"/>
      <c r="D10" s="214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215"/>
      <c r="U10" s="181"/>
      <c r="V10" s="181"/>
      <c r="W10" s="181"/>
      <c r="X10" s="181"/>
      <c r="Y10" s="181"/>
      <c r="Z10" s="181"/>
      <c r="AA10" s="181"/>
      <c r="AB10" s="181"/>
      <c r="AC10" s="181"/>
      <c r="AD10" s="182"/>
      <c r="AE10" s="182"/>
      <c r="AF10" s="181"/>
    </row>
    <row r="11" spans="1:32" ht="12.75" customHeight="1" x14ac:dyDescent="0.35">
      <c r="A11" s="214" t="s">
        <v>252</v>
      </c>
      <c r="B11" s="214"/>
      <c r="C11" s="214"/>
      <c r="D11" s="214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2"/>
      <c r="AE11" s="182"/>
      <c r="AF11" s="181"/>
    </row>
    <row r="12" spans="1:32" ht="12.75" customHeight="1" x14ac:dyDescent="0.35">
      <c r="A12" s="182"/>
      <c r="B12" s="182"/>
      <c r="C12" s="182"/>
      <c r="D12" s="182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2"/>
      <c r="AE12" s="182"/>
      <c r="AF12" s="181"/>
    </row>
    <row r="13" spans="1:32" ht="12.75" customHeight="1" x14ac:dyDescent="0.35">
      <c r="A13" s="209" t="s">
        <v>140</v>
      </c>
      <c r="B13" s="213" t="s">
        <v>251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2"/>
      <c r="AE13" s="182"/>
      <c r="AF13" s="181"/>
    </row>
    <row r="14" spans="1:32" ht="12.75" customHeight="1" x14ac:dyDescent="0.35">
      <c r="A14" s="209"/>
      <c r="B14" s="212"/>
      <c r="C14" s="182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2"/>
      <c r="AE14" s="182"/>
      <c r="AF14" s="181"/>
    </row>
    <row r="15" spans="1:32" ht="12.75" customHeight="1" x14ac:dyDescent="0.35">
      <c r="A15" s="209" t="s">
        <v>138</v>
      </c>
      <c r="B15" s="280" t="s">
        <v>329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2"/>
      <c r="AE15" s="182"/>
      <c r="AF15" s="181"/>
    </row>
    <row r="16" spans="1:32" ht="12.75" customHeight="1" x14ac:dyDescent="0.35">
      <c r="A16" s="209"/>
      <c r="B16" s="21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2"/>
      <c r="AE16" s="182"/>
      <c r="AF16" s="181"/>
    </row>
    <row r="17" spans="1:32" ht="12.75" customHeight="1" x14ac:dyDescent="0.35">
      <c r="A17" s="209" t="s">
        <v>137</v>
      </c>
      <c r="B17" s="210" t="s">
        <v>136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2"/>
      <c r="AE17" s="182"/>
      <c r="AF17" s="181"/>
    </row>
    <row r="18" spans="1:32" ht="12.75" customHeight="1" x14ac:dyDescent="0.35">
      <c r="A18" s="209"/>
      <c r="B18" s="182"/>
      <c r="C18" s="182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2"/>
      <c r="AE18" s="182"/>
      <c r="AF18" s="181"/>
    </row>
    <row r="19" spans="1:32" ht="12.75" customHeight="1" x14ac:dyDescent="0.35">
      <c r="A19" s="209" t="s">
        <v>135</v>
      </c>
      <c r="B19" s="182"/>
      <c r="C19" s="182"/>
      <c r="D19" s="182"/>
      <c r="E19" s="182"/>
      <c r="F19" s="182"/>
      <c r="G19" s="182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8"/>
      <c r="T19" s="181"/>
      <c r="U19" s="181"/>
      <c r="V19" s="181"/>
      <c r="W19" s="181"/>
      <c r="X19" s="181"/>
      <c r="Y19" s="181"/>
      <c r="Z19" s="181"/>
      <c r="AA19" s="181"/>
      <c r="AB19" s="188"/>
      <c r="AC19" s="188"/>
      <c r="AD19" s="209" t="s">
        <v>128</v>
      </c>
      <c r="AE19" s="182"/>
      <c r="AF19" s="181"/>
    </row>
    <row r="20" spans="1:32" ht="12.75" customHeight="1" x14ac:dyDescent="0.35">
      <c r="A20" s="209"/>
      <c r="B20" s="182"/>
      <c r="C20" s="303" t="s">
        <v>134</v>
      </c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  <c r="O20" s="208"/>
      <c r="P20" s="208"/>
      <c r="Q20" s="208"/>
      <c r="R20" s="208"/>
      <c r="S20" s="188"/>
      <c r="T20" s="303" t="s">
        <v>5</v>
      </c>
      <c r="U20" s="303"/>
      <c r="V20" s="303"/>
      <c r="W20" s="303"/>
      <c r="X20" s="303"/>
      <c r="Y20" s="303"/>
      <c r="Z20" s="208"/>
      <c r="AA20" s="208"/>
      <c r="AB20" s="188"/>
      <c r="AC20" s="188"/>
      <c r="AD20" s="208" t="s">
        <v>131</v>
      </c>
      <c r="AE20" s="208" t="s">
        <v>131</v>
      </c>
      <c r="AF20" s="208" t="s">
        <v>130</v>
      </c>
    </row>
    <row r="21" spans="1:32" ht="12.75" customHeight="1" x14ac:dyDescent="0.35">
      <c r="A21" s="205" t="s">
        <v>127</v>
      </c>
      <c r="B21" s="205" t="s">
        <v>126</v>
      </c>
      <c r="C21" s="205" t="s">
        <v>116</v>
      </c>
      <c r="D21" s="205" t="s">
        <v>115</v>
      </c>
      <c r="E21" s="205" t="s">
        <v>114</v>
      </c>
      <c r="F21" s="205" t="s">
        <v>113</v>
      </c>
      <c r="G21" s="205" t="s">
        <v>112</v>
      </c>
      <c r="H21" s="206" t="s">
        <v>123</v>
      </c>
      <c r="I21" s="207" t="s">
        <v>250</v>
      </c>
      <c r="J21" s="207" t="s">
        <v>125</v>
      </c>
      <c r="K21" s="206" t="s">
        <v>124</v>
      </c>
      <c r="L21" s="206" t="s">
        <v>120</v>
      </c>
      <c r="M21" s="206" t="s">
        <v>249</v>
      </c>
      <c r="N21" s="206" t="s">
        <v>248</v>
      </c>
      <c r="O21" s="206" t="s">
        <v>245</v>
      </c>
      <c r="P21" s="206" t="s">
        <v>247</v>
      </c>
      <c r="Q21" s="206" t="s">
        <v>246</v>
      </c>
      <c r="R21" s="206" t="s">
        <v>246</v>
      </c>
      <c r="S21" s="188"/>
      <c r="T21" s="205" t="s">
        <v>116</v>
      </c>
      <c r="U21" s="205" t="s">
        <v>115</v>
      </c>
      <c r="V21" s="205" t="s">
        <v>114</v>
      </c>
      <c r="W21" s="205" t="s">
        <v>113</v>
      </c>
      <c r="X21" s="205" t="s">
        <v>112</v>
      </c>
      <c r="Y21" s="205" t="s">
        <v>123</v>
      </c>
      <c r="Z21" s="205" t="s">
        <v>121</v>
      </c>
      <c r="AA21" s="205" t="s">
        <v>245</v>
      </c>
      <c r="AB21" s="188"/>
      <c r="AC21" s="188"/>
      <c r="AD21" s="205" t="s">
        <v>111</v>
      </c>
      <c r="AE21" s="205" t="s">
        <v>110</v>
      </c>
      <c r="AF21" s="205" t="s">
        <v>109</v>
      </c>
    </row>
    <row r="22" spans="1:32" ht="12.75" customHeight="1" x14ac:dyDescent="0.35">
      <c r="A22" s="197" t="s">
        <v>244</v>
      </c>
      <c r="B22" s="197" t="s">
        <v>243</v>
      </c>
      <c r="C22" s="192">
        <v>5.2527999999999997</v>
      </c>
      <c r="D22" s="192"/>
      <c r="E22" s="192"/>
      <c r="F22" s="192"/>
      <c r="G22" s="192"/>
      <c r="H22" s="200">
        <v>19.75</v>
      </c>
      <c r="I22" s="200"/>
      <c r="J22" s="196">
        <v>0</v>
      </c>
      <c r="K22" s="192">
        <v>0.53010000000000002</v>
      </c>
      <c r="L22" s="194">
        <v>0.08</v>
      </c>
      <c r="M22" s="192">
        <v>0.3</v>
      </c>
      <c r="N22" s="192">
        <v>1.24E-2</v>
      </c>
      <c r="O22" s="192">
        <v>1.03E-2</v>
      </c>
      <c r="P22" s="192">
        <f>4.2343-1.285-0.006</f>
        <v>2.9433000000000002</v>
      </c>
      <c r="Q22" s="191">
        <v>0</v>
      </c>
      <c r="R22" s="191">
        <v>0</v>
      </c>
      <c r="S22" s="188"/>
      <c r="T22" s="265">
        <f>Input_Entry!E38</f>
        <v>6.0972999999999997</v>
      </c>
      <c r="U22" s="265"/>
      <c r="V22" s="265"/>
      <c r="W22" s="265"/>
      <c r="X22" s="265"/>
      <c r="Y22" s="266">
        <f>Input_Entry!E37</f>
        <v>21.25</v>
      </c>
      <c r="Z22" s="190">
        <v>0</v>
      </c>
      <c r="AA22" s="189">
        <v>5.7000000000000002E-3</v>
      </c>
      <c r="AB22" s="188"/>
      <c r="AC22" s="188"/>
      <c r="AD22" s="187">
        <v>1348617</v>
      </c>
      <c r="AE22" s="186">
        <v>7446384.0999999996</v>
      </c>
      <c r="AF22" s="204">
        <f>ROUND(AE22/AD22,1)</f>
        <v>5.5</v>
      </c>
    </row>
    <row r="23" spans="1:32" ht="12.75" customHeight="1" x14ac:dyDescent="0.35">
      <c r="A23" s="197" t="s">
        <v>242</v>
      </c>
      <c r="B23" s="197" t="s">
        <v>233</v>
      </c>
      <c r="C23" s="192">
        <v>3.8148</v>
      </c>
      <c r="D23" s="192"/>
      <c r="E23" s="203"/>
      <c r="F23" s="203"/>
      <c r="G23" s="203"/>
      <c r="H23" s="200">
        <v>79.09</v>
      </c>
      <c r="I23" s="200"/>
      <c r="J23" s="200"/>
      <c r="K23" s="194"/>
      <c r="L23" s="193"/>
      <c r="M23" s="193"/>
      <c r="N23" s="193"/>
      <c r="O23" s="193"/>
      <c r="P23" s="192">
        <v>4.2343000000000002</v>
      </c>
      <c r="Q23" s="191">
        <f>+Q22</f>
        <v>0</v>
      </c>
      <c r="R23" s="191"/>
      <c r="S23" s="188"/>
      <c r="T23" s="267">
        <v>3.8148</v>
      </c>
      <c r="U23" s="198"/>
      <c r="V23" s="198"/>
      <c r="W23" s="198"/>
      <c r="X23" s="198"/>
      <c r="Y23" s="268">
        <v>79.09</v>
      </c>
      <c r="Z23" s="190"/>
      <c r="AA23" s="189"/>
      <c r="AB23" s="188"/>
      <c r="AC23" s="188"/>
      <c r="AD23" s="187">
        <v>0</v>
      </c>
      <c r="AE23" s="186">
        <v>0</v>
      </c>
      <c r="AF23" s="185">
        <f>IF(AD23=0,0,ROUND(AE23/AD23,2))</f>
        <v>0</v>
      </c>
    </row>
    <row r="24" spans="1:32" ht="12.75" customHeight="1" x14ac:dyDescent="0.35">
      <c r="A24" s="197" t="s">
        <v>241</v>
      </c>
      <c r="B24" s="197" t="s">
        <v>230</v>
      </c>
      <c r="C24" s="192">
        <v>5.1319999999999997</v>
      </c>
      <c r="D24" s="192"/>
      <c r="E24" s="192"/>
      <c r="F24" s="192"/>
      <c r="G24" s="192"/>
      <c r="H24" s="200">
        <v>22.02</v>
      </c>
      <c r="I24" s="200"/>
      <c r="J24" s="200"/>
      <c r="K24" s="194"/>
      <c r="L24" s="194"/>
      <c r="M24" s="194"/>
      <c r="N24" s="194"/>
      <c r="O24" s="194"/>
      <c r="P24" s="192">
        <v>4.2343000000000002</v>
      </c>
      <c r="Q24" s="191">
        <f>+Q22</f>
        <v>0</v>
      </c>
      <c r="R24" s="191"/>
      <c r="S24" s="188"/>
      <c r="T24" s="267">
        <v>5.1319999999999997</v>
      </c>
      <c r="U24" s="198"/>
      <c r="V24" s="269"/>
      <c r="W24" s="269"/>
      <c r="X24" s="269"/>
      <c r="Y24" s="268">
        <v>22.02</v>
      </c>
      <c r="Z24" s="190"/>
      <c r="AA24" s="189"/>
      <c r="AB24" s="188"/>
      <c r="AC24" s="188"/>
      <c r="AD24" s="187">
        <v>25</v>
      </c>
      <c r="AE24" s="186">
        <v>310.99999999999994</v>
      </c>
      <c r="AF24" s="185">
        <f>ROUND(AE24/AD24,1)</f>
        <v>12.4</v>
      </c>
    </row>
    <row r="25" spans="1:32" ht="12.75" customHeight="1" x14ac:dyDescent="0.35">
      <c r="A25" s="197" t="s">
        <v>240</v>
      </c>
      <c r="B25" s="197" t="s">
        <v>236</v>
      </c>
      <c r="C25" s="192">
        <v>0.4</v>
      </c>
      <c r="D25" s="192"/>
      <c r="E25" s="192"/>
      <c r="F25" s="192"/>
      <c r="G25" s="192"/>
      <c r="H25" s="200">
        <v>0</v>
      </c>
      <c r="I25" s="200"/>
      <c r="J25" s="200"/>
      <c r="K25" s="194"/>
      <c r="L25" s="192"/>
      <c r="M25" s="192"/>
      <c r="N25" s="192">
        <v>1.24E-2</v>
      </c>
      <c r="O25" s="192"/>
      <c r="P25" s="192"/>
      <c r="Q25" s="191"/>
      <c r="R25" s="191">
        <v>0</v>
      </c>
      <c r="S25" s="188"/>
      <c r="T25" s="267">
        <v>0.4</v>
      </c>
      <c r="U25" s="198"/>
      <c r="V25" s="198"/>
      <c r="W25" s="198"/>
      <c r="X25" s="198"/>
      <c r="Y25" s="268">
        <v>0</v>
      </c>
      <c r="Z25" s="190"/>
      <c r="AA25" s="190"/>
      <c r="AB25" s="188"/>
      <c r="AC25" s="188"/>
      <c r="AD25" s="187">
        <v>84</v>
      </c>
      <c r="AE25" s="186">
        <v>963.1</v>
      </c>
      <c r="AF25" s="185">
        <f>ROUND(AE25/AD25,1)</f>
        <v>11.5</v>
      </c>
    </row>
    <row r="26" spans="1:32" ht="12.75" customHeight="1" x14ac:dyDescent="0.35">
      <c r="A26" s="197" t="s">
        <v>240</v>
      </c>
      <c r="B26" s="197" t="s">
        <v>239</v>
      </c>
      <c r="C26" s="192">
        <v>0.4</v>
      </c>
      <c r="D26" s="192"/>
      <c r="E26" s="192"/>
      <c r="F26" s="192"/>
      <c r="G26" s="192"/>
      <c r="H26" s="200">
        <v>0</v>
      </c>
      <c r="I26" s="200"/>
      <c r="J26" s="200"/>
      <c r="K26" s="194"/>
      <c r="L26" s="192"/>
      <c r="M26" s="192"/>
      <c r="N26" s="192">
        <v>1.24E-2</v>
      </c>
      <c r="O26" s="192"/>
      <c r="P26" s="192"/>
      <c r="Q26" s="191"/>
      <c r="R26" s="191">
        <v>0</v>
      </c>
      <c r="S26" s="188"/>
      <c r="T26" s="267">
        <v>0.4</v>
      </c>
      <c r="U26" s="198"/>
      <c r="V26" s="198"/>
      <c r="W26" s="198"/>
      <c r="X26" s="198"/>
      <c r="Y26" s="268">
        <v>0</v>
      </c>
      <c r="Z26" s="190"/>
      <c r="AA26" s="190"/>
      <c r="AB26" s="188"/>
      <c r="AC26" s="188"/>
      <c r="AD26" s="187">
        <v>0</v>
      </c>
      <c r="AE26" s="186">
        <v>0</v>
      </c>
      <c r="AF26" s="185">
        <f>IF(AD26=0,0,ROUND(AE26/AD26,2))</f>
        <v>0</v>
      </c>
    </row>
    <row r="27" spans="1:32" ht="12.75" customHeight="1" x14ac:dyDescent="0.35">
      <c r="A27" s="197" t="s">
        <v>238</v>
      </c>
      <c r="B27" s="197" t="s">
        <v>236</v>
      </c>
      <c r="C27" s="192">
        <v>0</v>
      </c>
      <c r="D27" s="192"/>
      <c r="E27" s="192"/>
      <c r="F27" s="192"/>
      <c r="G27" s="192"/>
      <c r="H27" s="200">
        <v>0</v>
      </c>
      <c r="I27" s="200"/>
      <c r="J27" s="200"/>
      <c r="K27" s="194"/>
      <c r="L27" s="192"/>
      <c r="M27" s="192"/>
      <c r="N27" s="192">
        <v>1.24E-2</v>
      </c>
      <c r="O27" s="192"/>
      <c r="P27" s="192"/>
      <c r="Q27" s="191"/>
      <c r="R27" s="191">
        <v>0</v>
      </c>
      <c r="S27" s="188"/>
      <c r="T27" s="267">
        <v>0</v>
      </c>
      <c r="U27" s="198"/>
      <c r="V27" s="198"/>
      <c r="W27" s="198"/>
      <c r="X27" s="198"/>
      <c r="Y27" s="268">
        <v>0</v>
      </c>
      <c r="Z27" s="190"/>
      <c r="AA27" s="190"/>
      <c r="AB27" s="188"/>
      <c r="AC27" s="188"/>
      <c r="AD27" s="187">
        <v>0</v>
      </c>
      <c r="AE27" s="186">
        <v>0</v>
      </c>
      <c r="AF27" s="185">
        <f>IF(AD27=0,0,ROUND(AE27/AD27,2))</f>
        <v>0</v>
      </c>
    </row>
    <row r="28" spans="1:32" ht="12.75" customHeight="1" x14ac:dyDescent="0.35">
      <c r="A28" s="197" t="s">
        <v>237</v>
      </c>
      <c r="B28" s="197" t="s">
        <v>236</v>
      </c>
      <c r="C28" s="192">
        <v>0.6</v>
      </c>
      <c r="D28" s="192"/>
      <c r="E28" s="192"/>
      <c r="F28" s="192"/>
      <c r="G28" s="192"/>
      <c r="H28" s="200">
        <v>0</v>
      </c>
      <c r="I28" s="200"/>
      <c r="J28" s="200"/>
      <c r="K28" s="194"/>
      <c r="L28" s="192"/>
      <c r="M28" s="192"/>
      <c r="N28" s="192">
        <v>1.24E-2</v>
      </c>
      <c r="O28" s="192"/>
      <c r="P28" s="192"/>
      <c r="Q28" s="191"/>
      <c r="R28" s="191">
        <v>0</v>
      </c>
      <c r="S28" s="188"/>
      <c r="T28" s="267">
        <v>0.6</v>
      </c>
      <c r="U28" s="198"/>
      <c r="V28" s="198"/>
      <c r="W28" s="198"/>
      <c r="X28" s="198"/>
      <c r="Y28" s="268">
        <v>0</v>
      </c>
      <c r="Z28" s="190"/>
      <c r="AA28" s="190"/>
      <c r="AB28" s="188"/>
      <c r="AC28" s="188"/>
      <c r="AD28" s="187">
        <v>24</v>
      </c>
      <c r="AE28" s="186">
        <v>197.40000000000003</v>
      </c>
      <c r="AF28" s="185">
        <f>ROUND(AE28/AD28,1)</f>
        <v>8.1999999999999993</v>
      </c>
    </row>
    <row r="29" spans="1:32" ht="12.75" customHeight="1" x14ac:dyDescent="0.35">
      <c r="A29" s="197" t="s">
        <v>234</v>
      </c>
      <c r="B29" s="197" t="s">
        <v>235</v>
      </c>
      <c r="C29" s="192">
        <v>0.35</v>
      </c>
      <c r="D29" s="192"/>
      <c r="E29" s="192"/>
      <c r="F29" s="192"/>
      <c r="G29" s="192"/>
      <c r="H29" s="200">
        <v>0</v>
      </c>
      <c r="I29" s="200"/>
      <c r="J29" s="200"/>
      <c r="K29" s="194"/>
      <c r="L29" s="193"/>
      <c r="M29" s="193"/>
      <c r="N29" s="193"/>
      <c r="O29" s="193"/>
      <c r="P29" s="192"/>
      <c r="Q29" s="191"/>
      <c r="R29" s="191"/>
      <c r="S29" s="188"/>
      <c r="T29" s="267">
        <v>0.35</v>
      </c>
      <c r="U29" s="198"/>
      <c r="V29" s="269"/>
      <c r="W29" s="269"/>
      <c r="X29" s="269"/>
      <c r="Y29" s="268">
        <v>0</v>
      </c>
      <c r="Z29" s="190"/>
      <c r="AA29" s="190"/>
      <c r="AB29" s="188"/>
      <c r="AC29" s="188"/>
      <c r="AD29" s="187">
        <v>12</v>
      </c>
      <c r="AE29" s="186">
        <v>544.19999999999993</v>
      </c>
      <c r="AF29" s="185">
        <f>ROUND(AE29/AD29,1)</f>
        <v>45.4</v>
      </c>
    </row>
    <row r="30" spans="1:32" ht="12.75" customHeight="1" x14ac:dyDescent="0.35">
      <c r="A30" s="197" t="s">
        <v>234</v>
      </c>
      <c r="B30" s="197" t="s">
        <v>233</v>
      </c>
      <c r="C30" s="192">
        <v>0.35</v>
      </c>
      <c r="D30" s="192"/>
      <c r="E30" s="192"/>
      <c r="F30" s="192"/>
      <c r="G30" s="192"/>
      <c r="H30" s="200">
        <v>0</v>
      </c>
      <c r="I30" s="200"/>
      <c r="J30" s="200"/>
      <c r="K30" s="194"/>
      <c r="L30" s="193"/>
      <c r="M30" s="193"/>
      <c r="N30" s="193"/>
      <c r="O30" s="193"/>
      <c r="P30" s="192"/>
      <c r="Q30" s="191"/>
      <c r="R30" s="191"/>
      <c r="S30" s="188"/>
      <c r="T30" s="267">
        <v>0.35</v>
      </c>
      <c r="U30" s="198"/>
      <c r="V30" s="269"/>
      <c r="W30" s="269"/>
      <c r="X30" s="269"/>
      <c r="Y30" s="268">
        <v>0</v>
      </c>
      <c r="Z30" s="190"/>
      <c r="AA30" s="190"/>
      <c r="AB30" s="188"/>
      <c r="AC30" s="188"/>
      <c r="AD30" s="187">
        <v>0</v>
      </c>
      <c r="AE30" s="186">
        <v>0</v>
      </c>
      <c r="AF30" s="185">
        <f>IF(AD30=0,0,ROUND(AE30/AD30,2))</f>
        <v>0</v>
      </c>
    </row>
    <row r="31" spans="1:32" ht="12.75" customHeight="1" x14ac:dyDescent="0.35">
      <c r="A31" s="197" t="s">
        <v>232</v>
      </c>
      <c r="B31" s="197" t="s">
        <v>230</v>
      </c>
      <c r="C31" s="192">
        <v>0</v>
      </c>
      <c r="D31" s="192">
        <v>0.35</v>
      </c>
      <c r="E31" s="203"/>
      <c r="F31" s="203"/>
      <c r="G31" s="203"/>
      <c r="H31" s="200">
        <v>1.2</v>
      </c>
      <c r="I31" s="200"/>
      <c r="J31" s="200"/>
      <c r="K31" s="194"/>
      <c r="L31" s="193"/>
      <c r="M31" s="193"/>
      <c r="N31" s="193"/>
      <c r="O31" s="193"/>
      <c r="P31" s="192"/>
      <c r="Q31" s="191"/>
      <c r="R31" s="191"/>
      <c r="S31" s="188"/>
      <c r="T31" s="267">
        <v>0</v>
      </c>
      <c r="U31" s="267">
        <v>0.35</v>
      </c>
      <c r="V31" s="269"/>
      <c r="W31" s="269"/>
      <c r="X31" s="269"/>
      <c r="Y31" s="268">
        <v>1.2</v>
      </c>
      <c r="Z31" s="190"/>
      <c r="AA31" s="190"/>
      <c r="AB31" s="188"/>
      <c r="AC31" s="188"/>
      <c r="AD31" s="187">
        <v>12</v>
      </c>
      <c r="AE31" s="186">
        <v>377.3</v>
      </c>
      <c r="AF31" s="185">
        <f>ROUND(AE31/AD31,1)</f>
        <v>31.4</v>
      </c>
    </row>
    <row r="32" spans="1:32" ht="12.75" customHeight="1" x14ac:dyDescent="0.35">
      <c r="A32" s="197" t="s">
        <v>231</v>
      </c>
      <c r="B32" s="197" t="s">
        <v>230</v>
      </c>
      <c r="C32" s="192">
        <v>0.4</v>
      </c>
      <c r="D32" s="192"/>
      <c r="E32" s="192"/>
      <c r="F32" s="192"/>
      <c r="G32" s="192"/>
      <c r="H32" s="200">
        <v>0</v>
      </c>
      <c r="I32" s="200"/>
      <c r="J32" s="200"/>
      <c r="K32" s="194"/>
      <c r="L32" s="193"/>
      <c r="M32" s="193"/>
      <c r="N32" s="193"/>
      <c r="O32" s="193"/>
      <c r="P32" s="192"/>
      <c r="Q32" s="191"/>
      <c r="R32" s="191"/>
      <c r="S32" s="188"/>
      <c r="T32" s="269">
        <v>0.4</v>
      </c>
      <c r="U32" s="269"/>
      <c r="V32" s="269"/>
      <c r="W32" s="269"/>
      <c r="X32" s="269"/>
      <c r="Y32" s="268">
        <v>0</v>
      </c>
      <c r="Z32" s="190"/>
      <c r="AA32" s="190"/>
      <c r="AB32" s="188"/>
      <c r="AC32" s="188"/>
      <c r="AD32" s="187">
        <v>0</v>
      </c>
      <c r="AE32" s="186">
        <v>0</v>
      </c>
      <c r="AF32" s="185">
        <f>IF(AD32=0,0,ROUND(AE32/AD32,2))</f>
        <v>0</v>
      </c>
    </row>
    <row r="33" spans="1:32" ht="12.75" customHeight="1" x14ac:dyDescent="0.35">
      <c r="A33" s="197" t="s">
        <v>228</v>
      </c>
      <c r="B33" s="197" t="s">
        <v>229</v>
      </c>
      <c r="C33" s="192">
        <v>3.2513000000000001</v>
      </c>
      <c r="D33" s="192">
        <v>2.5095999999999998</v>
      </c>
      <c r="E33" s="192">
        <v>2.3855</v>
      </c>
      <c r="F33" s="192">
        <v>2.17</v>
      </c>
      <c r="G33" s="192"/>
      <c r="H33" s="200">
        <v>83.71</v>
      </c>
      <c r="I33" s="200"/>
      <c r="J33" s="196">
        <v>0</v>
      </c>
      <c r="K33" s="192">
        <v>0.32100000000000001</v>
      </c>
      <c r="L33" s="193"/>
      <c r="M33" s="193"/>
      <c r="N33" s="192">
        <v>1.24E-2</v>
      </c>
      <c r="O33" s="192">
        <v>1.03E-2</v>
      </c>
      <c r="P33" s="192">
        <f>4.2343-1.285-0.006</f>
        <v>2.9433000000000002</v>
      </c>
      <c r="Q33" s="191">
        <f>+$Q$22</f>
        <v>0</v>
      </c>
      <c r="R33" s="191">
        <v>0</v>
      </c>
      <c r="S33" s="188"/>
      <c r="T33" s="265">
        <f>Input_Entry!$F$38</f>
        <v>3.1591</v>
      </c>
      <c r="U33" s="265">
        <f>Input_Entry!$F$39</f>
        <v>2.4384000000000001</v>
      </c>
      <c r="V33" s="265">
        <f>Input_Entry!$F$40</f>
        <v>2.3178999999999998</v>
      </c>
      <c r="W33" s="265">
        <f>Input_Entry!$F$41</f>
        <v>2.1084999999999998</v>
      </c>
      <c r="X33" s="265"/>
      <c r="Y33" s="266">
        <f>Input_Entry!F37</f>
        <v>110</v>
      </c>
      <c r="Z33" s="190">
        <v>0</v>
      </c>
      <c r="AA33" s="189">
        <v>5.7000000000000002E-3</v>
      </c>
      <c r="AB33" s="188"/>
      <c r="AC33" s="188"/>
      <c r="AD33" s="187">
        <v>143785</v>
      </c>
      <c r="AE33" s="186">
        <v>4366195.7</v>
      </c>
      <c r="AF33" s="185">
        <f>ROUND(AE33/AD33,1)</f>
        <v>30.4</v>
      </c>
    </row>
    <row r="34" spans="1:32" ht="12.75" customHeight="1" x14ac:dyDescent="0.35">
      <c r="A34" s="197" t="s">
        <v>228</v>
      </c>
      <c r="B34" s="197" t="s">
        <v>227</v>
      </c>
      <c r="C34" s="202">
        <f>C33</f>
        <v>3.2513000000000001</v>
      </c>
      <c r="D34" s="202">
        <f>D33</f>
        <v>2.5095999999999998</v>
      </c>
      <c r="E34" s="202">
        <f>E33</f>
        <v>2.3855</v>
      </c>
      <c r="F34" s="202">
        <f>F33</f>
        <v>2.17</v>
      </c>
      <c r="G34" s="192"/>
      <c r="H34" s="201">
        <f>H33</f>
        <v>83.71</v>
      </c>
      <c r="I34" s="200"/>
      <c r="J34" s="199">
        <f>J33</f>
        <v>0</v>
      </c>
      <c r="K34" s="192">
        <v>0.32100000000000001</v>
      </c>
      <c r="L34" s="193"/>
      <c r="M34" s="193"/>
      <c r="N34" s="192">
        <v>1.24E-2</v>
      </c>
      <c r="O34" s="192">
        <v>1.03E-2</v>
      </c>
      <c r="P34" s="192">
        <f>4.2343-1.285-0.006</f>
        <v>2.9433000000000002</v>
      </c>
      <c r="Q34" s="191">
        <f>+$Q$22</f>
        <v>0</v>
      </c>
      <c r="R34" s="191">
        <v>0</v>
      </c>
      <c r="S34" s="188"/>
      <c r="T34" s="184">
        <f>T33</f>
        <v>3.1591</v>
      </c>
      <c r="U34" s="184">
        <f t="shared" ref="U34:Y34" si="0">U33</f>
        <v>2.4384000000000001</v>
      </c>
      <c r="V34" s="184">
        <f t="shared" si="0"/>
        <v>2.3178999999999998</v>
      </c>
      <c r="W34" s="184">
        <f t="shared" si="0"/>
        <v>2.1084999999999998</v>
      </c>
      <c r="X34" s="265"/>
      <c r="Y34" s="183">
        <f t="shared" si="0"/>
        <v>110</v>
      </c>
      <c r="Z34" s="190">
        <v>0</v>
      </c>
      <c r="AA34" s="189">
        <v>5.7000000000000002E-3</v>
      </c>
      <c r="AB34" s="188"/>
      <c r="AC34" s="188"/>
      <c r="AD34" s="187">
        <v>618</v>
      </c>
      <c r="AE34" s="186">
        <v>208373.6</v>
      </c>
      <c r="AF34" s="185">
        <f>ROUNDUP(AE34/AD34,1)</f>
        <v>337.20000000000005</v>
      </c>
    </row>
    <row r="35" spans="1:32" ht="12.75" customHeight="1" x14ac:dyDescent="0.35">
      <c r="A35" s="197" t="s">
        <v>226</v>
      </c>
      <c r="B35" s="197" t="s">
        <v>225</v>
      </c>
      <c r="C35" s="196">
        <v>0.70930000000000004</v>
      </c>
      <c r="D35" s="196">
        <v>0.43780000000000002</v>
      </c>
      <c r="E35" s="198">
        <v>0.24229999999999999</v>
      </c>
      <c r="F35" s="195"/>
      <c r="G35" s="195"/>
      <c r="H35" s="194">
        <v>3982.3</v>
      </c>
      <c r="I35" s="194"/>
      <c r="J35" s="194">
        <v>0</v>
      </c>
      <c r="K35" s="192">
        <v>5.8700000000000002E-2</v>
      </c>
      <c r="L35" s="194"/>
      <c r="M35" s="193"/>
      <c r="N35" s="192">
        <v>1.24E-2</v>
      </c>
      <c r="O35" s="192">
        <v>1.03E-2</v>
      </c>
      <c r="P35" s="192">
        <f>4.2343-1.285-0.006</f>
        <v>2.9433000000000002</v>
      </c>
      <c r="Q35" s="191">
        <f>+$Q$22</f>
        <v>0</v>
      </c>
      <c r="R35" s="191">
        <v>0</v>
      </c>
      <c r="S35" s="188"/>
      <c r="T35" s="265">
        <f>Input_Entry!$I$38</f>
        <v>0.75109999999999999</v>
      </c>
      <c r="U35" s="265">
        <f>Input_Entry!$I$39</f>
        <v>0.4637</v>
      </c>
      <c r="V35" s="265">
        <f>Input_Entry!$I$40</f>
        <v>0.24229999999999999</v>
      </c>
      <c r="W35" s="265"/>
      <c r="X35" s="265"/>
      <c r="Y35" s="266">
        <f>Input_Entry!I37</f>
        <v>5000</v>
      </c>
      <c r="Z35" s="190">
        <v>0</v>
      </c>
      <c r="AA35" s="189">
        <v>5.7000000000000002E-3</v>
      </c>
      <c r="AB35" s="188"/>
      <c r="AC35" s="188"/>
      <c r="AD35" s="187">
        <v>0</v>
      </c>
      <c r="AE35" s="186">
        <v>0</v>
      </c>
      <c r="AF35" s="185">
        <f>IF(AD35=0,0,ROUND(AE35/AD35,2))</f>
        <v>0</v>
      </c>
    </row>
    <row r="36" spans="1:32" ht="12.75" customHeight="1" x14ac:dyDescent="0.35">
      <c r="A36" s="197" t="s">
        <v>30</v>
      </c>
      <c r="B36" s="197" t="s">
        <v>224</v>
      </c>
      <c r="C36" s="196">
        <v>1.1959</v>
      </c>
      <c r="D36" s="182"/>
      <c r="E36" s="195"/>
      <c r="F36" s="195"/>
      <c r="G36" s="195"/>
      <c r="H36" s="194">
        <v>945.24</v>
      </c>
      <c r="I36" s="194"/>
      <c r="J36" s="194">
        <v>0</v>
      </c>
      <c r="K36" s="192">
        <v>0.2011</v>
      </c>
      <c r="L36" s="194"/>
      <c r="M36" s="193"/>
      <c r="N36" s="192">
        <v>1.24E-2</v>
      </c>
      <c r="O36" s="192">
        <v>1.03E-2</v>
      </c>
      <c r="P36" s="192">
        <f>4.2343-1.285-0.006</f>
        <v>2.9433000000000002</v>
      </c>
      <c r="Q36" s="191">
        <f>+$Q$22</f>
        <v>0</v>
      </c>
      <c r="R36" s="191">
        <v>0</v>
      </c>
      <c r="S36" s="188"/>
      <c r="T36" s="265">
        <f>Input_Entry!G38</f>
        <v>0.9204</v>
      </c>
      <c r="U36" s="265"/>
      <c r="V36" s="265"/>
      <c r="W36" s="265"/>
      <c r="X36" s="265"/>
      <c r="Y36" s="266">
        <f>Input_Entry!G37</f>
        <v>1135</v>
      </c>
      <c r="Z36" s="190">
        <v>0</v>
      </c>
      <c r="AA36" s="189">
        <v>5.7000000000000002E-3</v>
      </c>
      <c r="AB36" s="188"/>
      <c r="AC36" s="188"/>
      <c r="AD36" s="187">
        <v>24</v>
      </c>
      <c r="AE36" s="186">
        <v>10410.5</v>
      </c>
      <c r="AF36" s="185">
        <f>ROUND(AE36/AD36,1)</f>
        <v>433.8</v>
      </c>
    </row>
  </sheetData>
  <mergeCells count="2">
    <mergeCell ref="C20:N20"/>
    <mergeCell ref="T20:Y20"/>
  </mergeCells>
  <pageMargins left="0.75" right="0.75" top="1" bottom="1" header="0.5" footer="0.5"/>
  <pageSetup scale="50" orientation="landscape" horizontalDpi="300" verticalDpi="300" r:id="rId1"/>
  <headerFooter alignWithMargins="0"/>
  <colBreaks count="1" manualBreakCount="1">
    <brk id="19" min="12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30941-02A6-40FF-B48C-F213BB42812D}">
  <sheetPr syncVertical="1" syncRef="A1" transitionEvaluation="1" codeName="Sheet19">
    <tabColor theme="4" tint="0.79998168889431442"/>
    <pageSetUpPr fitToPage="1"/>
  </sheetPr>
  <dimension ref="A1:C22"/>
  <sheetViews>
    <sheetView workbookViewId="0"/>
  </sheetViews>
  <sheetFormatPr defaultColWidth="9.453125" defaultRowHeight="14.4" customHeight="1" x14ac:dyDescent="0.35"/>
  <cols>
    <col min="1" max="1" width="24.453125" customWidth="1"/>
    <col min="2" max="2" width="2.453125" customWidth="1"/>
    <col min="3" max="3" width="75.1796875" customWidth="1"/>
    <col min="10" max="10" width="9.453125" customWidth="1"/>
    <col min="12" max="14" width="9.453125" customWidth="1"/>
  </cols>
  <sheetData>
    <row r="1" spans="1:3" ht="14.5" x14ac:dyDescent="0.35">
      <c r="A1" s="221"/>
      <c r="B1" s="221"/>
      <c r="C1" s="221"/>
    </row>
    <row r="2" spans="1:3" ht="14.5" x14ac:dyDescent="0.35">
      <c r="A2" s="222"/>
      <c r="B2" s="222"/>
      <c r="C2" s="222"/>
    </row>
    <row r="3" spans="1:3" ht="14.5" x14ac:dyDescent="0.35">
      <c r="A3" s="304" t="s">
        <v>280</v>
      </c>
      <c r="B3" s="304"/>
      <c r="C3" s="304"/>
    </row>
    <row r="4" spans="1:3" ht="14.5" x14ac:dyDescent="0.35">
      <c r="A4" s="222"/>
      <c r="B4" s="222"/>
      <c r="C4" s="222"/>
    </row>
    <row r="5" spans="1:3" ht="14.5" x14ac:dyDescent="0.35">
      <c r="A5" s="304" t="s">
        <v>272</v>
      </c>
      <c r="B5" s="304"/>
      <c r="C5" s="304"/>
    </row>
    <row r="6" spans="1:3" ht="14.5" x14ac:dyDescent="0.35">
      <c r="A6" s="222"/>
      <c r="B6" s="222"/>
      <c r="C6" s="222"/>
    </row>
    <row r="7" spans="1:3" ht="14.5" x14ac:dyDescent="0.35">
      <c r="A7" s="304" t="s">
        <v>56</v>
      </c>
      <c r="B7" s="304"/>
      <c r="C7" s="304"/>
    </row>
    <row r="8" spans="1:3" ht="14.5" x14ac:dyDescent="0.35">
      <c r="A8" s="222"/>
      <c r="B8" s="222"/>
      <c r="C8" s="222"/>
    </row>
    <row r="9" spans="1:3" ht="14.5" x14ac:dyDescent="0.35">
      <c r="A9" s="304" t="str">
        <f>Sales_Input!B13</f>
        <v>CASE NO. 2024-00092</v>
      </c>
      <c r="B9" s="304"/>
      <c r="C9" s="304"/>
    </row>
    <row r="10" spans="1:3" ht="14.5" x14ac:dyDescent="0.35">
      <c r="A10" s="222"/>
      <c r="B10" s="222"/>
      <c r="C10" s="222"/>
    </row>
    <row r="11" spans="1:3" ht="14.5" x14ac:dyDescent="0.35">
      <c r="A11" s="222"/>
      <c r="B11" s="222"/>
      <c r="C11" s="222"/>
    </row>
    <row r="12" spans="1:3" ht="14.5" x14ac:dyDescent="0.35">
      <c r="A12" s="222"/>
      <c r="B12" s="222"/>
      <c r="C12" s="222"/>
    </row>
    <row r="13" spans="1:3" ht="14.5" x14ac:dyDescent="0.35">
      <c r="A13" s="223" t="s">
        <v>279</v>
      </c>
      <c r="B13" s="222"/>
      <c r="C13" s="223" t="s">
        <v>278</v>
      </c>
    </row>
    <row r="14" spans="1:3" ht="14.5" x14ac:dyDescent="0.35">
      <c r="A14" s="222"/>
      <c r="B14" s="222"/>
      <c r="C14" s="222"/>
    </row>
    <row r="15" spans="1:3" ht="14.5" x14ac:dyDescent="0.35">
      <c r="A15" s="223" t="s">
        <v>277</v>
      </c>
      <c r="B15" s="222"/>
      <c r="C15" s="223" t="s">
        <v>276</v>
      </c>
    </row>
    <row r="16" spans="1:3" ht="14.5" x14ac:dyDescent="0.35">
      <c r="A16" s="222"/>
      <c r="B16" s="222"/>
      <c r="C16" s="222"/>
    </row>
    <row r="17" spans="1:3" ht="14.5" x14ac:dyDescent="0.35">
      <c r="A17" s="222"/>
      <c r="B17" s="222"/>
      <c r="C17" s="222"/>
    </row>
    <row r="18" spans="1:3" ht="14.5" x14ac:dyDescent="0.35">
      <c r="A18" s="226" t="s">
        <v>275</v>
      </c>
      <c r="B18" s="225"/>
      <c r="C18" s="224" t="s">
        <v>274</v>
      </c>
    </row>
    <row r="19" spans="1:3" ht="14.5" x14ac:dyDescent="0.35">
      <c r="A19" s="222"/>
      <c r="B19" s="222"/>
      <c r="C19" s="222"/>
    </row>
    <row r="20" spans="1:3" ht="14.5" x14ac:dyDescent="0.35">
      <c r="A20" s="222"/>
      <c r="B20" s="222"/>
      <c r="C20" s="222"/>
    </row>
    <row r="21" spans="1:3" ht="14.5" x14ac:dyDescent="0.35">
      <c r="A21" s="223" t="s">
        <v>273</v>
      </c>
      <c r="B21" s="222"/>
      <c r="C21" s="223" t="s">
        <v>272</v>
      </c>
    </row>
    <row r="22" spans="1:3" ht="14.5" x14ac:dyDescent="0.35">
      <c r="A22" s="223"/>
      <c r="B22" s="222"/>
      <c r="C22" s="223" t="s">
        <v>271</v>
      </c>
    </row>
  </sheetData>
  <mergeCells count="4">
    <mergeCell ref="A3:C3"/>
    <mergeCell ref="A5:C5"/>
    <mergeCell ref="A7:C7"/>
    <mergeCell ref="A9:C9"/>
  </mergeCells>
  <printOptions horizontalCentered="1"/>
  <pageMargins left="1" right="0.5" top="1" bottom="1" header="0.5" footer="0.5"/>
  <pageSetup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6F5C6-4BCF-4D4B-BB49-564F3FAC42DB}">
  <sheetPr codeName="Sheet20">
    <tabColor theme="4" tint="0.79998168889431442"/>
    <pageSetUpPr fitToPage="1"/>
  </sheetPr>
  <dimension ref="A1:L33"/>
  <sheetViews>
    <sheetView workbookViewId="0">
      <selection sqref="A1:L1"/>
    </sheetView>
  </sheetViews>
  <sheetFormatPr defaultColWidth="10.1796875" defaultRowHeight="14.4" customHeight="1" x14ac:dyDescent="0.35"/>
  <cols>
    <col min="2" max="2" width="11.453125" customWidth="1"/>
    <col min="3" max="3" width="10.54296875" customWidth="1"/>
    <col min="6" max="6" width="14.54296875" customWidth="1"/>
    <col min="11" max="11" width="14" customWidth="1"/>
    <col min="12" max="12" width="11.453125" customWidth="1"/>
  </cols>
  <sheetData>
    <row r="1" spans="1:12" ht="14.4" customHeight="1" x14ac:dyDescent="0.35">
      <c r="A1" s="305" t="s">
        <v>56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</row>
    <row r="2" spans="1:12" ht="14.4" customHeight="1" x14ac:dyDescent="0.35">
      <c r="A2" s="305" t="str">
        <f>Sales_Input!$B$13</f>
        <v>CASE NO. 2024-00092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14.4" customHeight="1" x14ac:dyDescent="0.35">
      <c r="A3" s="305" t="s">
        <v>288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</row>
    <row r="4" spans="1:12" ht="14.4" customHeight="1" x14ac:dyDescent="0.35">
      <c r="A4" s="305" t="s">
        <v>191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</row>
    <row r="5" spans="1:12" ht="14.4" customHeight="1" x14ac:dyDescent="0.35">
      <c r="A5" s="307" t="str">
        <f>Sales_Input!B17</f>
        <v>TWELVE MONTHS ENDING DECEMBER 31, 2025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</row>
    <row r="6" spans="1:12" ht="14.4" customHeight="1" x14ac:dyDescent="0.35">
      <c r="A6" s="232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</row>
    <row r="7" spans="1:12" ht="14.4" customHeight="1" x14ac:dyDescent="0.35">
      <c r="A7" s="232"/>
      <c r="B7" s="236"/>
      <c r="C7" s="236"/>
      <c r="D7" s="236"/>
      <c r="E7" s="236"/>
      <c r="F7" s="236"/>
      <c r="G7" s="236"/>
      <c r="H7" s="236"/>
      <c r="I7" s="236"/>
      <c r="J7" s="236"/>
      <c r="K7" s="244"/>
      <c r="L7" s="236"/>
    </row>
    <row r="8" spans="1:12" ht="14.4" customHeight="1" x14ac:dyDescent="0.35">
      <c r="A8" s="227" t="s">
        <v>287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31" t="s">
        <v>189</v>
      </c>
    </row>
    <row r="9" spans="1:12" ht="14.4" customHeight="1" x14ac:dyDescent="0.35">
      <c r="A9" s="227" t="s">
        <v>322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43" t="s">
        <v>286</v>
      </c>
    </row>
    <row r="10" spans="1:12" ht="14.4" customHeight="1" x14ac:dyDescent="0.35">
      <c r="A10" s="242" t="s">
        <v>187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241" t="str">
        <f>Sales_Input!B15</f>
        <v>STIPULATION ATTACHMENT C</v>
      </c>
    </row>
    <row r="11" spans="1:12" ht="14.4" customHeight="1" x14ac:dyDescent="0.35">
      <c r="A11" s="227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</row>
    <row r="12" spans="1:12" ht="14.4" customHeight="1" x14ac:dyDescent="0.35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</row>
    <row r="13" spans="1:12" ht="14.4" customHeight="1" x14ac:dyDescent="0.35">
      <c r="A13" s="227"/>
      <c r="B13" s="227"/>
      <c r="C13" s="227"/>
      <c r="D13" s="232"/>
      <c r="E13" s="232"/>
      <c r="F13" s="232"/>
      <c r="G13" s="232"/>
      <c r="H13" s="232"/>
      <c r="I13" s="232"/>
      <c r="J13" s="232" t="s">
        <v>17</v>
      </c>
      <c r="K13" s="232" t="s">
        <v>17</v>
      </c>
      <c r="L13" s="232"/>
    </row>
    <row r="14" spans="1:12" ht="14.4" customHeight="1" x14ac:dyDescent="0.35">
      <c r="A14" s="232" t="s">
        <v>18</v>
      </c>
      <c r="B14" s="232" t="s">
        <v>71</v>
      </c>
      <c r="C14" s="232" t="s">
        <v>182</v>
      </c>
      <c r="D14" s="232" t="s">
        <v>182</v>
      </c>
      <c r="E14" s="232" t="s">
        <v>53</v>
      </c>
      <c r="F14" s="232" t="s">
        <v>19</v>
      </c>
      <c r="G14" s="232" t="s">
        <v>52</v>
      </c>
      <c r="H14" s="232" t="s">
        <v>52</v>
      </c>
      <c r="I14" s="232" t="s">
        <v>179</v>
      </c>
      <c r="J14" s="232" t="s">
        <v>53</v>
      </c>
      <c r="K14" s="232" t="s">
        <v>19</v>
      </c>
      <c r="L14" s="232" t="s">
        <v>21</v>
      </c>
    </row>
    <row r="15" spans="1:12" ht="14.4" customHeight="1" x14ac:dyDescent="0.35">
      <c r="A15" s="239" t="s">
        <v>177</v>
      </c>
      <c r="B15" s="239" t="s">
        <v>176</v>
      </c>
      <c r="C15" s="239" t="s">
        <v>175</v>
      </c>
      <c r="D15" s="239" t="s">
        <v>285</v>
      </c>
      <c r="E15" s="239" t="s">
        <v>109</v>
      </c>
      <c r="F15" s="239" t="s">
        <v>109</v>
      </c>
      <c r="G15" s="240" t="s">
        <v>167</v>
      </c>
      <c r="H15" s="240" t="s">
        <v>166</v>
      </c>
      <c r="I15" s="239" t="s">
        <v>284</v>
      </c>
      <c r="J15" s="239" t="s">
        <v>109</v>
      </c>
      <c r="K15" s="239" t="s">
        <v>109</v>
      </c>
      <c r="L15" s="239" t="s">
        <v>52</v>
      </c>
    </row>
    <row r="16" spans="1:12" ht="14.4" customHeight="1" x14ac:dyDescent="0.35">
      <c r="A16" s="227"/>
      <c r="B16" s="227"/>
      <c r="C16" s="227"/>
      <c r="D16" s="238" t="s">
        <v>164</v>
      </c>
      <c r="E16" s="238" t="s">
        <v>163</v>
      </c>
      <c r="F16" s="238" t="s">
        <v>163</v>
      </c>
      <c r="G16" s="238" t="s">
        <v>163</v>
      </c>
      <c r="H16" s="238" t="s">
        <v>162</v>
      </c>
      <c r="I16" s="238" t="s">
        <v>163</v>
      </c>
      <c r="J16" s="238" t="s">
        <v>163</v>
      </c>
      <c r="K16" s="238" t="s">
        <v>163</v>
      </c>
      <c r="L16" s="238" t="s">
        <v>162</v>
      </c>
    </row>
    <row r="17" spans="1:12" ht="14.4" customHeight="1" x14ac:dyDescent="0.35">
      <c r="A17" s="227"/>
      <c r="B17" s="227"/>
      <c r="C17" s="238" t="s">
        <v>161</v>
      </c>
      <c r="D17" s="238" t="s">
        <v>160</v>
      </c>
      <c r="E17" s="238" t="s">
        <v>155</v>
      </c>
      <c r="F17" s="238" t="s">
        <v>154</v>
      </c>
      <c r="G17" s="238" t="s">
        <v>153</v>
      </c>
      <c r="H17" s="238" t="s">
        <v>152</v>
      </c>
      <c r="I17" s="238" t="s">
        <v>151</v>
      </c>
      <c r="J17" s="238" t="s">
        <v>150</v>
      </c>
      <c r="K17" s="238" t="s">
        <v>149</v>
      </c>
      <c r="L17" s="238" t="s">
        <v>148</v>
      </c>
    </row>
    <row r="18" spans="1:12" ht="14.4" customHeight="1" x14ac:dyDescent="0.35">
      <c r="A18" s="227"/>
      <c r="B18" s="227"/>
      <c r="C18" s="227"/>
      <c r="D18" s="232"/>
      <c r="E18" s="232"/>
      <c r="F18" s="232"/>
      <c r="G18" s="232"/>
      <c r="H18" s="232"/>
      <c r="I18" s="232"/>
      <c r="J18" s="238" t="s">
        <v>283</v>
      </c>
      <c r="K18" s="238" t="s">
        <v>282</v>
      </c>
      <c r="L18" s="238" t="s">
        <v>281</v>
      </c>
    </row>
    <row r="19" spans="1:12" ht="14.4" customHeight="1" x14ac:dyDescent="0.35">
      <c r="A19" s="232"/>
      <c r="B19" s="227"/>
      <c r="C19" s="227"/>
      <c r="D19" s="232"/>
      <c r="E19" s="237"/>
      <c r="F19" s="232"/>
      <c r="G19" s="232"/>
      <c r="H19" s="232"/>
      <c r="I19" s="232"/>
      <c r="J19" s="232"/>
      <c r="K19" s="232"/>
      <c r="L19" s="232"/>
    </row>
    <row r="20" spans="1:12" ht="14.4" customHeight="1" x14ac:dyDescent="0.35">
      <c r="A20" s="232">
        <v>1</v>
      </c>
      <c r="B20" s="232" t="s">
        <v>244</v>
      </c>
      <c r="C20" s="232" t="s">
        <v>147</v>
      </c>
      <c r="D20" s="168">
        <v>1</v>
      </c>
      <c r="E20" s="234">
        <f>Sales_Input!$H$22+Sales_Input!$L$22+Sales_Input!$M$22+ROUND((+Sales_Input!$N$22+Sales_Input!$J$22+Sales_Input!$K$22)*GSR!D20,2)+ROUND(Sales_Input!$C$22*GSR!D20,2)</f>
        <v>25.919999999999998</v>
      </c>
      <c r="F20" s="234">
        <f>Sales_Input!$Y$22+Sales_Input!$L$22+Sales_Input!$M$22+ROUND((+Sales_Input!$N$22+Sales_Input!$Z$22)*GSR!D20,2)+ROUND(Sales_Input!$T$22*GSR!D20,2)</f>
        <v>27.740000000000002</v>
      </c>
      <c r="G20" s="234">
        <f t="shared" ref="G20:G31" si="0">F20-E20</f>
        <v>1.8200000000000038</v>
      </c>
      <c r="H20" s="233">
        <f t="shared" ref="H20:H31" si="1">ROUND(G20/E20,3)</f>
        <v>7.0000000000000007E-2</v>
      </c>
      <c r="I20" s="235">
        <f>ROUND(D20*SUM(Sales_Input!$O$36:$R$36),2)</f>
        <v>2.95</v>
      </c>
      <c r="J20" s="234">
        <f t="shared" ref="J20:J31" si="2">E20+I20</f>
        <v>28.869999999999997</v>
      </c>
      <c r="K20" s="234">
        <f t="shared" ref="K20:K31" si="3">F20+I20</f>
        <v>30.69</v>
      </c>
      <c r="L20" s="233">
        <f t="shared" ref="L20:L31" si="4">ROUND((K20-J20)/J20,3)</f>
        <v>6.3E-2</v>
      </c>
    </row>
    <row r="21" spans="1:12" ht="14.4" customHeight="1" x14ac:dyDescent="0.35">
      <c r="A21" s="232">
        <v>2</v>
      </c>
      <c r="B21" s="232" t="s">
        <v>211</v>
      </c>
      <c r="C21" s="232" t="s">
        <v>145</v>
      </c>
      <c r="D21" s="168">
        <v>2</v>
      </c>
      <c r="E21" s="234">
        <f>Sales_Input!$H$22+Sales_Input!$L$22+Sales_Input!$M$22+ROUND((+Sales_Input!$N$22+Sales_Input!$J$22+Sales_Input!$K$22)*GSR!D21,2)+ROUND(Sales_Input!$C$22*GSR!D21,2)</f>
        <v>31.729999999999997</v>
      </c>
      <c r="F21" s="234">
        <f>Sales_Input!$Y$22+Sales_Input!$L$22+Sales_Input!$M$22+ROUND((+Sales_Input!$N$22+Sales_Input!$Z$22)*GSR!D21,2)+ROUND(Sales_Input!$T$22*GSR!D21,2)</f>
        <v>33.839999999999996</v>
      </c>
      <c r="G21" s="234">
        <f t="shared" si="0"/>
        <v>2.1099999999999994</v>
      </c>
      <c r="H21" s="233">
        <f t="shared" si="1"/>
        <v>6.6000000000000003E-2</v>
      </c>
      <c r="I21" s="235">
        <f>ROUND(D21*SUM(Sales_Input!$O$36:$R$36),2)</f>
        <v>5.91</v>
      </c>
      <c r="J21" s="234">
        <f t="shared" si="2"/>
        <v>37.64</v>
      </c>
      <c r="K21" s="234">
        <f t="shared" si="3"/>
        <v>39.75</v>
      </c>
      <c r="L21" s="233">
        <f t="shared" si="4"/>
        <v>5.6000000000000001E-2</v>
      </c>
    </row>
    <row r="22" spans="1:12" ht="14.4" customHeight="1" x14ac:dyDescent="0.35">
      <c r="A22" s="232">
        <v>3</v>
      </c>
      <c r="B22" s="232" t="s">
        <v>200</v>
      </c>
      <c r="C22" s="227"/>
      <c r="D22" s="168">
        <v>4</v>
      </c>
      <c r="E22" s="234">
        <f>Sales_Input!$H$22+Sales_Input!$L$22+Sales_Input!$M$22+ROUND((+Sales_Input!$N$22+Sales_Input!$J$22+Sales_Input!$K$22)*GSR!D22,2)+ROUND(Sales_Input!$C$22*GSR!D22,2)</f>
        <v>43.31</v>
      </c>
      <c r="F22" s="234">
        <f>Sales_Input!$Y$22+Sales_Input!$L$22+Sales_Input!$M$22+ROUND((+Sales_Input!$N$22+Sales_Input!$Z$22)*GSR!D22,2)+ROUND(Sales_Input!$T$22*GSR!D22,2)</f>
        <v>46.07</v>
      </c>
      <c r="G22" s="234">
        <f t="shared" si="0"/>
        <v>2.759999999999998</v>
      </c>
      <c r="H22" s="233">
        <f t="shared" si="1"/>
        <v>6.4000000000000001E-2</v>
      </c>
      <c r="I22" s="235">
        <f>ROUND(D22*SUM(Sales_Input!$O$36:$R$36),2)</f>
        <v>11.81</v>
      </c>
      <c r="J22" s="234">
        <f t="shared" si="2"/>
        <v>55.120000000000005</v>
      </c>
      <c r="K22" s="234">
        <f t="shared" si="3"/>
        <v>57.88</v>
      </c>
      <c r="L22" s="233">
        <f t="shared" si="4"/>
        <v>0.05</v>
      </c>
    </row>
    <row r="23" spans="1:12" ht="14.4" customHeight="1" x14ac:dyDescent="0.35">
      <c r="A23" s="232">
        <v>4</v>
      </c>
      <c r="B23" s="232" t="s">
        <v>143</v>
      </c>
      <c r="C23" s="227"/>
      <c r="D23" s="275">
        <f>Sales_Input!AF22</f>
        <v>5.5</v>
      </c>
      <c r="E23" s="276">
        <f>Sales_Input!$H$22+Sales_Input!$L$22+Sales_Input!$M$22+ROUND((+Sales_Input!$N$22+Sales_Input!$J$22+Sales_Input!$K$22)*GSR!D23,2)+ROUND(Sales_Input!$C$22*GSR!D23,2)</f>
        <v>52</v>
      </c>
      <c r="F23" s="276">
        <f>Sales_Input!$Y$22+Sales_Input!$L$22+Sales_Input!$M$22+ROUND((+Sales_Input!$N$22+Sales_Input!$Z$22)*GSR!D23,2)+ROUND(Sales_Input!$T$22*GSR!D23,2)</f>
        <v>55.239999999999995</v>
      </c>
      <c r="G23" s="276">
        <f t="shared" si="0"/>
        <v>3.2399999999999949</v>
      </c>
      <c r="H23" s="277">
        <f t="shared" si="1"/>
        <v>6.2E-2</v>
      </c>
      <c r="I23" s="278">
        <f>ROUND(D23*SUM(Sales_Input!$O$36:$R$36),2)</f>
        <v>16.239999999999998</v>
      </c>
      <c r="J23" s="276">
        <f t="shared" si="2"/>
        <v>68.239999999999995</v>
      </c>
      <c r="K23" s="276">
        <f t="shared" si="3"/>
        <v>71.47999999999999</v>
      </c>
      <c r="L23" s="279">
        <f t="shared" si="4"/>
        <v>4.7E-2</v>
      </c>
    </row>
    <row r="24" spans="1:12" ht="14.4" customHeight="1" x14ac:dyDescent="0.35">
      <c r="A24" s="232">
        <v>5</v>
      </c>
      <c r="B24" s="227"/>
      <c r="C24" s="227"/>
      <c r="D24" s="168">
        <v>6</v>
      </c>
      <c r="E24" s="234">
        <f>Sales_Input!$H$22+Sales_Input!$L$22+Sales_Input!$M$22+ROUND((+Sales_Input!$N$22+Sales_Input!$J$22+Sales_Input!$K$22)*GSR!D24,2)+ROUND(Sales_Input!$C$22*GSR!D24,2)</f>
        <v>54.91</v>
      </c>
      <c r="F24" s="234">
        <f>Sales_Input!$Y$22+Sales_Input!$L$22+Sales_Input!$M$22+ROUND((+Sales_Input!$N$22+Sales_Input!$Z$22)*GSR!D24,2)+ROUND(Sales_Input!$T$22*GSR!D24,2)</f>
        <v>58.28</v>
      </c>
      <c r="G24" s="234">
        <f t="shared" si="0"/>
        <v>3.3700000000000045</v>
      </c>
      <c r="H24" s="233">
        <f t="shared" si="1"/>
        <v>6.0999999999999999E-2</v>
      </c>
      <c r="I24" s="235">
        <f>ROUND(D24*SUM(Sales_Input!$O$36:$R$36),2)</f>
        <v>17.72</v>
      </c>
      <c r="J24" s="234">
        <f t="shared" si="2"/>
        <v>72.63</v>
      </c>
      <c r="K24" s="234">
        <f t="shared" si="3"/>
        <v>76</v>
      </c>
      <c r="L24" s="233">
        <f t="shared" si="4"/>
        <v>4.5999999999999999E-2</v>
      </c>
    </row>
    <row r="25" spans="1:12" ht="14.4" customHeight="1" x14ac:dyDescent="0.35">
      <c r="A25" s="232">
        <v>6</v>
      </c>
      <c r="B25" s="232"/>
      <c r="C25" s="227"/>
      <c r="D25" s="168">
        <v>8</v>
      </c>
      <c r="E25" s="234">
        <f>Sales_Input!$H$22+Sales_Input!$L$22+Sales_Input!$M$22+ROUND((+Sales_Input!$N$22+Sales_Input!$J$22+Sales_Input!$K$22)*GSR!D25,2)+ROUND(Sales_Input!$C$22*GSR!D25,2)</f>
        <v>66.490000000000009</v>
      </c>
      <c r="F25" s="234">
        <f>Sales_Input!$Y$22+Sales_Input!$L$22+Sales_Input!$M$22+ROUND((+Sales_Input!$N$22+Sales_Input!$Z$22)*GSR!D25,2)+ROUND(Sales_Input!$T$22*GSR!D25,2)</f>
        <v>70.510000000000005</v>
      </c>
      <c r="G25" s="234">
        <f t="shared" si="0"/>
        <v>4.019999999999996</v>
      </c>
      <c r="H25" s="233">
        <f t="shared" si="1"/>
        <v>0.06</v>
      </c>
      <c r="I25" s="235">
        <f>ROUND(D25*SUM(Sales_Input!$O$36:$R$36),2)</f>
        <v>23.63</v>
      </c>
      <c r="J25" s="234">
        <f t="shared" si="2"/>
        <v>90.12</v>
      </c>
      <c r="K25" s="234">
        <f t="shared" si="3"/>
        <v>94.14</v>
      </c>
      <c r="L25" s="233">
        <f t="shared" si="4"/>
        <v>4.4999999999999998E-2</v>
      </c>
    </row>
    <row r="26" spans="1:12" ht="14.4" customHeight="1" x14ac:dyDescent="0.35">
      <c r="A26" s="232">
        <v>7</v>
      </c>
      <c r="B26" s="236"/>
      <c r="C26" s="227"/>
      <c r="D26" s="168">
        <v>10</v>
      </c>
      <c r="E26" s="234">
        <f>Sales_Input!$H$22+Sales_Input!$L$22+Sales_Input!$M$22+ROUND((+Sales_Input!$N$22+Sales_Input!$J$22+Sales_Input!$K$22)*GSR!D26,2)+ROUND(Sales_Input!$C$22*GSR!D26,2)</f>
        <v>78.09</v>
      </c>
      <c r="F26" s="234">
        <f>Sales_Input!$Y$22+Sales_Input!$L$22+Sales_Input!$M$22+ROUND((+Sales_Input!$N$22+Sales_Input!$Z$22)*GSR!D26,2)+ROUND(Sales_Input!$T$22*GSR!D26,2)</f>
        <v>82.72</v>
      </c>
      <c r="G26" s="234">
        <f t="shared" si="0"/>
        <v>4.6299999999999955</v>
      </c>
      <c r="H26" s="233">
        <f t="shared" si="1"/>
        <v>5.8999999999999997E-2</v>
      </c>
      <c r="I26" s="235">
        <f>ROUND(D26*SUM(Sales_Input!$O$36:$R$36),2)</f>
        <v>29.54</v>
      </c>
      <c r="J26" s="234">
        <f t="shared" si="2"/>
        <v>107.63</v>
      </c>
      <c r="K26" s="234">
        <f t="shared" si="3"/>
        <v>112.25999999999999</v>
      </c>
      <c r="L26" s="233">
        <f t="shared" si="4"/>
        <v>4.2999999999999997E-2</v>
      </c>
    </row>
    <row r="27" spans="1:12" ht="14.4" customHeight="1" x14ac:dyDescent="0.35">
      <c r="A27" s="232">
        <v>8</v>
      </c>
      <c r="B27" s="227"/>
      <c r="C27" s="227"/>
      <c r="D27" s="168">
        <v>12</v>
      </c>
      <c r="E27" s="234">
        <f>Sales_Input!$H$22+Sales_Input!$L$22+Sales_Input!$M$22+ROUND((+Sales_Input!$N$22+Sales_Input!$J$22+Sales_Input!$K$22)*GSR!D27,2)+ROUND(Sales_Input!$C$22*GSR!D27,2)</f>
        <v>89.67</v>
      </c>
      <c r="F27" s="234">
        <f>Sales_Input!$Y$22+Sales_Input!$L$22+Sales_Input!$M$22+ROUND((+Sales_Input!$N$22+Sales_Input!$Z$22)*GSR!D27,2)+ROUND(Sales_Input!$T$22*GSR!D27,2)</f>
        <v>94.95</v>
      </c>
      <c r="G27" s="234">
        <f t="shared" si="0"/>
        <v>5.2800000000000011</v>
      </c>
      <c r="H27" s="233">
        <f t="shared" si="1"/>
        <v>5.8999999999999997E-2</v>
      </c>
      <c r="I27" s="235">
        <f>ROUND(D27*SUM(Sales_Input!$O$36:$R$36),2)</f>
        <v>35.44</v>
      </c>
      <c r="J27" s="234">
        <f t="shared" si="2"/>
        <v>125.11</v>
      </c>
      <c r="K27" s="234">
        <f t="shared" si="3"/>
        <v>130.38999999999999</v>
      </c>
      <c r="L27" s="233">
        <f t="shared" si="4"/>
        <v>4.2000000000000003E-2</v>
      </c>
    </row>
    <row r="28" spans="1:12" ht="14.4" customHeight="1" x14ac:dyDescent="0.35">
      <c r="A28" s="232">
        <v>9</v>
      </c>
      <c r="B28" s="227"/>
      <c r="C28" s="227"/>
      <c r="D28" s="168">
        <v>16</v>
      </c>
      <c r="E28" s="234">
        <f>Sales_Input!$H$22+Sales_Input!$L$22+Sales_Input!$M$22+ROUND((+Sales_Input!$N$22+Sales_Input!$J$22+Sales_Input!$K$22)*GSR!D28,2)+ROUND(Sales_Input!$C$22*GSR!D28,2)</f>
        <v>112.85000000000001</v>
      </c>
      <c r="F28" s="234">
        <f>Sales_Input!$Y$22+Sales_Input!$L$22+Sales_Input!$M$22+ROUND((+Sales_Input!$N$22+Sales_Input!$Z$22)*GSR!D28,2)+ROUND(Sales_Input!$T$22*GSR!D28,2)</f>
        <v>119.39</v>
      </c>
      <c r="G28" s="234">
        <f t="shared" si="0"/>
        <v>6.539999999999992</v>
      </c>
      <c r="H28" s="233">
        <f t="shared" si="1"/>
        <v>5.8000000000000003E-2</v>
      </c>
      <c r="I28" s="235">
        <f>ROUND(D28*SUM(Sales_Input!$O$36:$R$36),2)</f>
        <v>47.26</v>
      </c>
      <c r="J28" s="234">
        <f t="shared" si="2"/>
        <v>160.11000000000001</v>
      </c>
      <c r="K28" s="234">
        <f t="shared" si="3"/>
        <v>166.65</v>
      </c>
      <c r="L28" s="233">
        <f t="shared" si="4"/>
        <v>4.1000000000000002E-2</v>
      </c>
    </row>
    <row r="29" spans="1:12" ht="14.4" customHeight="1" x14ac:dyDescent="0.35">
      <c r="A29" s="232">
        <v>10</v>
      </c>
      <c r="B29" s="227"/>
      <c r="C29" s="227"/>
      <c r="D29" s="168">
        <v>18</v>
      </c>
      <c r="E29" s="234">
        <f>Sales_Input!$H$22+Sales_Input!$L$22+Sales_Input!$M$22+ROUND((+Sales_Input!$N$22+Sales_Input!$J$22+Sales_Input!$K$22)*GSR!D29,2)+ROUND(Sales_Input!$C$22*GSR!D29,2)</f>
        <v>124.44999999999999</v>
      </c>
      <c r="F29" s="234">
        <f>Sales_Input!$Y$22+Sales_Input!$L$22+Sales_Input!$M$22+ROUND((+Sales_Input!$N$22+Sales_Input!$Z$22)*GSR!D29,2)+ROUND(Sales_Input!$T$22*GSR!D29,2)</f>
        <v>131.6</v>
      </c>
      <c r="G29" s="234">
        <f t="shared" si="0"/>
        <v>7.1500000000000057</v>
      </c>
      <c r="H29" s="233">
        <f t="shared" si="1"/>
        <v>5.7000000000000002E-2</v>
      </c>
      <c r="I29" s="235">
        <f>ROUND(D29*SUM(Sales_Input!$O$36:$R$36),2)</f>
        <v>53.16</v>
      </c>
      <c r="J29" s="234">
        <f t="shared" si="2"/>
        <v>177.60999999999999</v>
      </c>
      <c r="K29" s="234">
        <f t="shared" si="3"/>
        <v>184.76</v>
      </c>
      <c r="L29" s="233">
        <f t="shared" si="4"/>
        <v>0.04</v>
      </c>
    </row>
    <row r="30" spans="1:12" ht="14.4" customHeight="1" x14ac:dyDescent="0.35">
      <c r="A30" s="232">
        <v>11</v>
      </c>
      <c r="B30" s="227"/>
      <c r="C30" s="227"/>
      <c r="D30" s="168">
        <v>22</v>
      </c>
      <c r="E30" s="234">
        <f>Sales_Input!$H$22+Sales_Input!$L$22+Sales_Input!$M$22+ROUND((+Sales_Input!$N$22+Sales_Input!$J$22+Sales_Input!$K$22)*GSR!D30,2)+ROUND(Sales_Input!$C$22*GSR!D30,2)</f>
        <v>147.63</v>
      </c>
      <c r="F30" s="234">
        <f>Sales_Input!$Y$22+Sales_Input!$L$22+Sales_Input!$M$22+ROUND((+Sales_Input!$N$22+Sales_Input!$Z$22)*GSR!D30,2)+ROUND(Sales_Input!$T$22*GSR!D30,2)</f>
        <v>156.04</v>
      </c>
      <c r="G30" s="234">
        <f t="shared" si="0"/>
        <v>8.4099999999999966</v>
      </c>
      <c r="H30" s="233">
        <f t="shared" si="1"/>
        <v>5.7000000000000002E-2</v>
      </c>
      <c r="I30" s="235">
        <f>ROUND(D30*SUM(Sales_Input!$O$36:$R$36),2)</f>
        <v>64.98</v>
      </c>
      <c r="J30" s="234">
        <f t="shared" si="2"/>
        <v>212.61</v>
      </c>
      <c r="K30" s="234">
        <f t="shared" si="3"/>
        <v>221.01999999999998</v>
      </c>
      <c r="L30" s="233">
        <f t="shared" si="4"/>
        <v>0.04</v>
      </c>
    </row>
    <row r="31" spans="1:12" ht="14.4" customHeight="1" x14ac:dyDescent="0.35">
      <c r="A31" s="232">
        <v>12</v>
      </c>
      <c r="B31" s="227"/>
      <c r="C31" s="227"/>
      <c r="D31" s="168">
        <v>25</v>
      </c>
      <c r="E31" s="234">
        <f>Sales_Input!$H$22+Sales_Input!$L$22+Sales_Input!$M$22+ROUND((+Sales_Input!$N$22+Sales_Input!$J$22+Sales_Input!$K$22)*GSR!D31,2)+ROUND(Sales_Input!$C$22*GSR!D31,2)</f>
        <v>165.01</v>
      </c>
      <c r="F31" s="234">
        <f>Sales_Input!$Y$22+Sales_Input!$L$22+Sales_Input!$M$22+ROUND((+Sales_Input!$N$22+Sales_Input!$Z$22)*GSR!D31,2)+ROUND(Sales_Input!$T$22*GSR!D31,2)</f>
        <v>174.37</v>
      </c>
      <c r="G31" s="234">
        <f t="shared" si="0"/>
        <v>9.3600000000000136</v>
      </c>
      <c r="H31" s="233">
        <f t="shared" si="1"/>
        <v>5.7000000000000002E-2</v>
      </c>
      <c r="I31" s="235">
        <f>ROUND(D31*SUM(Sales_Input!$O$36:$R$36),2)</f>
        <v>73.84</v>
      </c>
      <c r="J31" s="234">
        <f t="shared" si="2"/>
        <v>238.85</v>
      </c>
      <c r="K31" s="234">
        <f t="shared" si="3"/>
        <v>248.21</v>
      </c>
      <c r="L31" s="233">
        <f t="shared" si="4"/>
        <v>3.9E-2</v>
      </c>
    </row>
    <row r="32" spans="1:12" ht="14.4" customHeight="1" x14ac:dyDescent="0.35">
      <c r="A32" s="232"/>
      <c r="B32" s="227"/>
      <c r="C32" s="227"/>
      <c r="D32" s="231"/>
      <c r="E32" s="231"/>
      <c r="F32" s="231"/>
      <c r="G32" s="231"/>
      <c r="H32" s="231"/>
      <c r="I32" s="231"/>
      <c r="J32" s="231"/>
      <c r="K32" s="231"/>
      <c r="L32" s="231"/>
    </row>
    <row r="33" spans="1:12" ht="14.4" customHeight="1" x14ac:dyDescent="0.35">
      <c r="A33" s="230"/>
      <c r="B33" s="227"/>
      <c r="C33" s="227" t="s">
        <v>142</v>
      </c>
      <c r="D33" s="227"/>
      <c r="E33" s="229">
        <f>Sales_Input!AF22</f>
        <v>5.5</v>
      </c>
      <c r="F33" s="227"/>
      <c r="G33" s="227"/>
      <c r="H33" s="227"/>
      <c r="I33" s="227"/>
      <c r="J33" s="227"/>
      <c r="K33" s="227"/>
      <c r="L33" s="227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75" right="0.75" top="1" bottom="0.75" header="0.5" footer="0.5"/>
  <pageSetup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DBCD-3259-4A14-AD1E-43DAFE269A23}">
  <sheetPr codeName="Sheet22">
    <tabColor theme="4" tint="0.79998168889431442"/>
    <pageSetUpPr fitToPage="1"/>
  </sheetPr>
  <dimension ref="A1:L34"/>
  <sheetViews>
    <sheetView workbookViewId="0">
      <selection sqref="A1:L1"/>
    </sheetView>
  </sheetViews>
  <sheetFormatPr defaultColWidth="10.1796875" defaultRowHeight="14.4" customHeight="1" x14ac:dyDescent="0.35"/>
  <cols>
    <col min="2" max="2" width="12" customWidth="1"/>
    <col min="3" max="3" width="10.54296875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292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242</v>
      </c>
      <c r="C20" s="251" t="s">
        <v>147</v>
      </c>
      <c r="D20" s="259">
        <f>+E33</f>
        <v>0</v>
      </c>
      <c r="E20" s="235">
        <f>Sales_Input!$H$23+ROUND((Sales_Input!$C$23*G1C!D20),2)</f>
        <v>79.09</v>
      </c>
      <c r="F20" s="235">
        <f>Sales_Input!$Y$23+ROUND((Sales_Input!$T$23*G1C!D20),2)</f>
        <v>79.09</v>
      </c>
      <c r="G20" s="235">
        <f t="shared" ref="G20:G31" si="0">F20-E20</f>
        <v>0</v>
      </c>
      <c r="H20" s="249">
        <f t="shared" ref="H20:H31" si="1">ROUND(G20/E20,3)</f>
        <v>0</v>
      </c>
      <c r="I20" s="235">
        <f>ROUND(D20*SUM(Sales_Input!$O$23:$R$23),2)</f>
        <v>0</v>
      </c>
      <c r="J20" s="235">
        <f t="shared" ref="J20:J31" si="2">E20+I20</f>
        <v>79.09</v>
      </c>
      <c r="K20" s="235">
        <f t="shared" ref="K20:K31" si="3">F20+I20</f>
        <v>79.09</v>
      </c>
      <c r="L20" s="249">
        <f t="shared" ref="L20:L31" si="4">ROUND((K20-J20)/J20,3)</f>
        <v>0</v>
      </c>
    </row>
    <row r="21" spans="1:12" ht="14.4" customHeight="1" x14ac:dyDescent="0.35">
      <c r="A21" s="251">
        <v>2</v>
      </c>
      <c r="B21" s="251" t="s">
        <v>291</v>
      </c>
      <c r="C21" s="251" t="s">
        <v>145</v>
      </c>
      <c r="D21" s="259">
        <v>11</v>
      </c>
      <c r="E21" s="235">
        <f>Sales_Input!$H$23+ROUND((Sales_Input!$C$23*G1C!D21),2)</f>
        <v>121.05000000000001</v>
      </c>
      <c r="F21" s="235">
        <f>Sales_Input!$Y$23+ROUND((Sales_Input!$T$23*G1C!D21),2)</f>
        <v>121.05000000000001</v>
      </c>
      <c r="G21" s="235">
        <f t="shared" si="0"/>
        <v>0</v>
      </c>
      <c r="H21" s="249">
        <f t="shared" si="1"/>
        <v>0</v>
      </c>
      <c r="I21" s="235">
        <f>ROUND(D21*SUM(Sales_Input!$O$23:$R$23),2)</f>
        <v>46.58</v>
      </c>
      <c r="J21" s="235">
        <f t="shared" si="2"/>
        <v>167.63</v>
      </c>
      <c r="K21" s="235">
        <f t="shared" si="3"/>
        <v>167.63</v>
      </c>
      <c r="L21" s="249">
        <f t="shared" si="4"/>
        <v>0</v>
      </c>
    </row>
    <row r="22" spans="1:12" ht="14.4" customHeight="1" x14ac:dyDescent="0.35">
      <c r="A22" s="251">
        <v>3</v>
      </c>
      <c r="B22" s="251" t="s">
        <v>197</v>
      </c>
      <c r="C22" s="245"/>
      <c r="D22" s="259">
        <v>30</v>
      </c>
      <c r="E22" s="235">
        <f>Sales_Input!$H$23+ROUND((Sales_Input!$C$23*G1C!D22),2)</f>
        <v>193.53</v>
      </c>
      <c r="F22" s="235">
        <f>Sales_Input!$Y$23+ROUND((Sales_Input!$T$23*G1C!D22),2)</f>
        <v>193.53</v>
      </c>
      <c r="G22" s="235">
        <f t="shared" si="0"/>
        <v>0</v>
      </c>
      <c r="H22" s="249">
        <f t="shared" si="1"/>
        <v>0</v>
      </c>
      <c r="I22" s="235">
        <f>ROUND(D22*SUM(Sales_Input!$O$23:$R$23),2)</f>
        <v>127.03</v>
      </c>
      <c r="J22" s="235">
        <f t="shared" si="2"/>
        <v>320.56</v>
      </c>
      <c r="K22" s="235">
        <f t="shared" si="3"/>
        <v>320.56</v>
      </c>
      <c r="L22" s="249">
        <f t="shared" si="4"/>
        <v>0</v>
      </c>
    </row>
    <row r="23" spans="1:12" ht="14.4" customHeight="1" x14ac:dyDescent="0.35">
      <c r="A23" s="251">
        <v>4</v>
      </c>
      <c r="B23" s="251"/>
      <c r="C23" s="245"/>
      <c r="D23" s="259">
        <v>50</v>
      </c>
      <c r="E23" s="235">
        <f>Sales_Input!$H$23+ROUND((Sales_Input!$C$23*G1C!D23),2)</f>
        <v>269.83000000000004</v>
      </c>
      <c r="F23" s="235">
        <f>Sales_Input!$Y$23+ROUND((Sales_Input!$T$23*G1C!D23),2)</f>
        <v>269.83000000000004</v>
      </c>
      <c r="G23" s="235">
        <f t="shared" si="0"/>
        <v>0</v>
      </c>
      <c r="H23" s="249">
        <f t="shared" si="1"/>
        <v>0</v>
      </c>
      <c r="I23" s="235">
        <f>ROUND(D23*SUM(Sales_Input!$O$23:$R$23),2)</f>
        <v>211.72</v>
      </c>
      <c r="J23" s="235">
        <f t="shared" si="2"/>
        <v>481.55000000000007</v>
      </c>
      <c r="K23" s="235">
        <f t="shared" si="3"/>
        <v>481.55000000000007</v>
      </c>
      <c r="L23" s="249">
        <f t="shared" si="4"/>
        <v>0</v>
      </c>
    </row>
    <row r="24" spans="1:12" ht="14.4" customHeight="1" x14ac:dyDescent="0.35">
      <c r="A24" s="251">
        <v>5</v>
      </c>
      <c r="B24" s="251"/>
      <c r="C24" s="245"/>
      <c r="D24" s="259">
        <v>60</v>
      </c>
      <c r="E24" s="235">
        <f>Sales_Input!$H$23+ROUND((Sales_Input!$C$23*G1C!D24),2)</f>
        <v>307.98</v>
      </c>
      <c r="F24" s="235">
        <f>Sales_Input!$Y$23+ROUND((Sales_Input!$T$23*G1C!D24),2)</f>
        <v>307.98</v>
      </c>
      <c r="G24" s="235">
        <f t="shared" si="0"/>
        <v>0</v>
      </c>
      <c r="H24" s="249">
        <f t="shared" si="1"/>
        <v>0</v>
      </c>
      <c r="I24" s="235">
        <f>ROUND(D24*SUM(Sales_Input!$O$23:$R$23),2)</f>
        <v>254.06</v>
      </c>
      <c r="J24" s="235">
        <f t="shared" si="2"/>
        <v>562.04</v>
      </c>
      <c r="K24" s="235">
        <f t="shared" si="3"/>
        <v>562.04</v>
      </c>
      <c r="L24" s="249">
        <f t="shared" si="4"/>
        <v>0</v>
      </c>
    </row>
    <row r="25" spans="1:12" ht="14.4" customHeight="1" x14ac:dyDescent="0.35">
      <c r="A25" s="251">
        <v>6</v>
      </c>
      <c r="B25" s="252"/>
      <c r="C25" s="245"/>
      <c r="D25" s="259">
        <v>80</v>
      </c>
      <c r="E25" s="235">
        <f>Sales_Input!$H$23+ROUND((Sales_Input!$C$23*G1C!D25),2)</f>
        <v>384.27</v>
      </c>
      <c r="F25" s="235">
        <f>Sales_Input!$Y$23+ROUND((Sales_Input!$T$23*G1C!D25),2)</f>
        <v>384.27</v>
      </c>
      <c r="G25" s="235">
        <f t="shared" si="0"/>
        <v>0</v>
      </c>
      <c r="H25" s="249">
        <f t="shared" si="1"/>
        <v>0</v>
      </c>
      <c r="I25" s="235">
        <f>ROUND(D25*SUM(Sales_Input!$O$23:$R$23),2)</f>
        <v>338.74</v>
      </c>
      <c r="J25" s="235">
        <f t="shared" si="2"/>
        <v>723.01</v>
      </c>
      <c r="K25" s="235">
        <f t="shared" si="3"/>
        <v>723.01</v>
      </c>
      <c r="L25" s="249">
        <f t="shared" si="4"/>
        <v>0</v>
      </c>
    </row>
    <row r="26" spans="1:12" ht="14.4" customHeight="1" x14ac:dyDescent="0.35">
      <c r="A26" s="251">
        <v>7</v>
      </c>
      <c r="B26" s="245"/>
      <c r="C26" s="245"/>
      <c r="D26" s="259">
        <v>90</v>
      </c>
      <c r="E26" s="235">
        <f>Sales_Input!$H$23+ROUND((Sales_Input!$C$23*G1C!D26),2)</f>
        <v>422.41999999999996</v>
      </c>
      <c r="F26" s="235">
        <f>Sales_Input!$Y$23+ROUND((Sales_Input!$T$23*G1C!D26),2)</f>
        <v>422.41999999999996</v>
      </c>
      <c r="G26" s="235">
        <f t="shared" si="0"/>
        <v>0</v>
      </c>
      <c r="H26" s="249">
        <f t="shared" si="1"/>
        <v>0</v>
      </c>
      <c r="I26" s="235">
        <f>ROUND(D26*SUM(Sales_Input!$O$23:$R$23),2)</f>
        <v>381.09</v>
      </c>
      <c r="J26" s="235">
        <f t="shared" si="2"/>
        <v>803.51</v>
      </c>
      <c r="K26" s="235">
        <f t="shared" si="3"/>
        <v>803.51</v>
      </c>
      <c r="L26" s="249">
        <f t="shared" si="4"/>
        <v>0</v>
      </c>
    </row>
    <row r="27" spans="1:12" ht="14.4" customHeight="1" x14ac:dyDescent="0.35">
      <c r="A27" s="251">
        <v>8</v>
      </c>
      <c r="B27" s="245"/>
      <c r="C27" s="245"/>
      <c r="D27" s="259">
        <v>100</v>
      </c>
      <c r="E27" s="235">
        <f>Sales_Input!$H$23+ROUND((Sales_Input!$C$23*G1C!D27),2)</f>
        <v>460.57000000000005</v>
      </c>
      <c r="F27" s="235">
        <f>Sales_Input!$Y$23+ROUND((Sales_Input!$T$23*G1C!D27),2)</f>
        <v>460.57000000000005</v>
      </c>
      <c r="G27" s="235">
        <f t="shared" si="0"/>
        <v>0</v>
      </c>
      <c r="H27" s="249">
        <f t="shared" si="1"/>
        <v>0</v>
      </c>
      <c r="I27" s="235">
        <f>ROUND(D27*SUM(Sales_Input!$O$23:$R$23),2)</f>
        <v>423.43</v>
      </c>
      <c r="J27" s="235">
        <f t="shared" si="2"/>
        <v>884</v>
      </c>
      <c r="K27" s="235">
        <f t="shared" si="3"/>
        <v>884</v>
      </c>
      <c r="L27" s="249">
        <f t="shared" si="4"/>
        <v>0</v>
      </c>
    </row>
    <row r="28" spans="1:12" ht="14.4" customHeight="1" x14ac:dyDescent="0.35">
      <c r="A28" s="251">
        <v>9</v>
      </c>
      <c r="B28" s="245"/>
      <c r="C28" s="245"/>
      <c r="D28" s="259">
        <v>120</v>
      </c>
      <c r="E28" s="235">
        <f>Sales_Input!$H$23+ROUND((Sales_Input!$C$23*G1C!D28),2)</f>
        <v>536.87</v>
      </c>
      <c r="F28" s="235">
        <f>Sales_Input!$Y$23+ROUND((Sales_Input!$T$23*G1C!D28),2)</f>
        <v>536.87</v>
      </c>
      <c r="G28" s="235">
        <f t="shared" si="0"/>
        <v>0</v>
      </c>
      <c r="H28" s="249">
        <f t="shared" si="1"/>
        <v>0</v>
      </c>
      <c r="I28" s="235">
        <f>ROUND(D28*SUM(Sales_Input!$O$23:$R$23),2)</f>
        <v>508.12</v>
      </c>
      <c r="J28" s="235">
        <f t="shared" si="2"/>
        <v>1044.99</v>
      </c>
      <c r="K28" s="235">
        <f t="shared" si="3"/>
        <v>1044.99</v>
      </c>
      <c r="L28" s="249">
        <f t="shared" si="4"/>
        <v>0</v>
      </c>
    </row>
    <row r="29" spans="1:12" ht="14.4" customHeight="1" x14ac:dyDescent="0.35">
      <c r="A29" s="251">
        <v>10</v>
      </c>
      <c r="B29" s="245"/>
      <c r="C29" s="245"/>
      <c r="D29" s="259">
        <v>140</v>
      </c>
      <c r="E29" s="235">
        <f>Sales_Input!$H$23+ROUND((Sales_Input!$C$23*G1C!D29),2)</f>
        <v>613.16000000000008</v>
      </c>
      <c r="F29" s="235">
        <f>Sales_Input!$Y$23+ROUND((Sales_Input!$T$23*G1C!D29),2)</f>
        <v>613.16000000000008</v>
      </c>
      <c r="G29" s="235">
        <f t="shared" si="0"/>
        <v>0</v>
      </c>
      <c r="H29" s="249">
        <f t="shared" si="1"/>
        <v>0</v>
      </c>
      <c r="I29" s="235">
        <f>ROUND(D29*SUM(Sales_Input!$O$23:$R$23),2)</f>
        <v>592.79999999999995</v>
      </c>
      <c r="J29" s="235">
        <f t="shared" si="2"/>
        <v>1205.96</v>
      </c>
      <c r="K29" s="235">
        <f t="shared" si="3"/>
        <v>1205.96</v>
      </c>
      <c r="L29" s="249">
        <f t="shared" si="4"/>
        <v>0</v>
      </c>
    </row>
    <row r="30" spans="1:12" ht="14.4" customHeight="1" x14ac:dyDescent="0.35">
      <c r="A30" s="251">
        <v>11</v>
      </c>
      <c r="B30" s="245"/>
      <c r="C30" s="245"/>
      <c r="D30" s="259">
        <v>160</v>
      </c>
      <c r="E30" s="235">
        <f>Sales_Input!$H$23+ROUND((Sales_Input!$C$23*G1C!D30),2)</f>
        <v>689.46</v>
      </c>
      <c r="F30" s="235">
        <f>Sales_Input!$Y$23+ROUND((Sales_Input!$T$23*G1C!D30),2)</f>
        <v>689.46</v>
      </c>
      <c r="G30" s="235">
        <f t="shared" si="0"/>
        <v>0</v>
      </c>
      <c r="H30" s="249">
        <f t="shared" si="1"/>
        <v>0</v>
      </c>
      <c r="I30" s="235">
        <f>ROUND(D30*SUM(Sales_Input!$O$23:$R$23),2)</f>
        <v>677.49</v>
      </c>
      <c r="J30" s="235">
        <f t="shared" si="2"/>
        <v>1366.95</v>
      </c>
      <c r="K30" s="235">
        <f t="shared" si="3"/>
        <v>1366.95</v>
      </c>
      <c r="L30" s="249">
        <f t="shared" si="4"/>
        <v>0</v>
      </c>
    </row>
    <row r="31" spans="1:12" ht="14.4" customHeight="1" x14ac:dyDescent="0.35">
      <c r="A31" s="251">
        <v>12</v>
      </c>
      <c r="B31" s="245"/>
      <c r="C31" s="245"/>
      <c r="D31" s="259">
        <v>180</v>
      </c>
      <c r="E31" s="235">
        <f>Sales_Input!$H$23+ROUND((Sales_Input!$C$23*G1C!D31),2)</f>
        <v>765.75</v>
      </c>
      <c r="F31" s="235">
        <f>Sales_Input!$Y$23+ROUND((Sales_Input!$T$23*G1C!D31),2)</f>
        <v>765.75</v>
      </c>
      <c r="G31" s="235">
        <f t="shared" si="0"/>
        <v>0</v>
      </c>
      <c r="H31" s="249">
        <f t="shared" si="1"/>
        <v>0</v>
      </c>
      <c r="I31" s="235">
        <f>ROUND(D31*SUM(Sales_Input!$O$23:$R$23),2)</f>
        <v>762.17</v>
      </c>
      <c r="J31" s="235">
        <f t="shared" si="2"/>
        <v>1527.92</v>
      </c>
      <c r="K31" s="235">
        <f t="shared" si="3"/>
        <v>1527.92</v>
      </c>
      <c r="L31" s="249">
        <f t="shared" si="4"/>
        <v>0</v>
      </c>
    </row>
    <row r="32" spans="1:12" ht="14.4" customHeight="1" x14ac:dyDescent="0.35">
      <c r="A32" s="251"/>
      <c r="B32" s="245"/>
      <c r="C32" s="245"/>
      <c r="D32" s="243"/>
      <c r="E32" s="243"/>
      <c r="F32" s="243"/>
      <c r="G32" s="243"/>
      <c r="H32" s="243"/>
      <c r="I32" s="243"/>
      <c r="J32" s="243"/>
      <c r="K32" s="243"/>
      <c r="L32" s="243"/>
    </row>
    <row r="33" spans="1:12" ht="14.4" customHeight="1" x14ac:dyDescent="0.35">
      <c r="A33" s="248"/>
      <c r="B33" s="245"/>
      <c r="C33" s="245" t="s">
        <v>142</v>
      </c>
      <c r="D33" s="245"/>
      <c r="E33" s="247">
        <f>Sales_Input!AF23</f>
        <v>0</v>
      </c>
      <c r="F33" s="245"/>
      <c r="G33" s="245"/>
      <c r="H33" s="245"/>
      <c r="I33" s="245"/>
      <c r="J33" s="245"/>
      <c r="K33" s="245"/>
      <c r="L33" s="245"/>
    </row>
    <row r="34" spans="1:12" ht="14.4" customHeight="1" x14ac:dyDescent="0.35">
      <c r="A34" s="245"/>
      <c r="B34" s="245"/>
      <c r="C34" s="245" t="s">
        <v>215</v>
      </c>
      <c r="D34" s="245"/>
      <c r="E34" s="245"/>
      <c r="F34" s="245"/>
      <c r="G34" s="245"/>
      <c r="H34" s="245"/>
      <c r="I34" s="245"/>
      <c r="J34" s="245"/>
      <c r="K34" s="245"/>
      <c r="L34" s="245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75" right="0.75" top="1" bottom="0.75" header="0.5" footer="0.5"/>
  <pageSetup scale="9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9C30-CE50-4045-B7DF-FD83BEEB3EC0}">
  <sheetPr codeName="Sheet23">
    <tabColor theme="4" tint="0.79998168889431442"/>
    <pageSetUpPr fitToPage="1"/>
  </sheetPr>
  <dimension ref="A1:L33"/>
  <sheetViews>
    <sheetView workbookViewId="0">
      <selection sqref="A1:L1"/>
    </sheetView>
  </sheetViews>
  <sheetFormatPr defaultColWidth="10.1796875" defaultRowHeight="14.4" customHeight="1" x14ac:dyDescent="0.35"/>
  <cols>
    <col min="2" max="2" width="11.453125" customWidth="1"/>
    <col min="3" max="3" width="10.54296875" customWidth="1"/>
    <col min="11" max="12" width="11.453125" customWidth="1"/>
  </cols>
  <sheetData>
    <row r="1" spans="1:12" ht="14.4" customHeight="1" x14ac:dyDescent="0.35">
      <c r="A1" s="308" t="s">
        <v>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4.4" customHeight="1" x14ac:dyDescent="0.35">
      <c r="A2" s="308" t="str">
        <f>Sales_Input!$B$13</f>
        <v>CASE NO. 2024-00092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2" ht="14.4" customHeight="1" x14ac:dyDescent="0.35">
      <c r="A3" s="308" t="s">
        <v>288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1:12" ht="14.4" customHeight="1" x14ac:dyDescent="0.35">
      <c r="A4" s="308" t="s">
        <v>191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</row>
    <row r="5" spans="1:12" ht="14.4" customHeight="1" x14ac:dyDescent="0.35">
      <c r="A5" s="308" t="str">
        <f>Sales_Input!B17</f>
        <v>TWELVE MONTHS ENDING DECEMBER 31, 2025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</row>
    <row r="6" spans="1:12" ht="14.4" customHeight="1" x14ac:dyDescent="0.3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</row>
    <row r="7" spans="1:12" ht="14.4" customHeight="1" x14ac:dyDescent="0.35">
      <c r="A7" s="251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14.4" customHeight="1" x14ac:dyDescent="0.35">
      <c r="A8" s="245" t="s">
        <v>287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3" t="s">
        <v>189</v>
      </c>
    </row>
    <row r="9" spans="1:12" ht="14.4" customHeight="1" x14ac:dyDescent="0.35">
      <c r="A9" s="245" t="s">
        <v>322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3" t="s">
        <v>293</v>
      </c>
    </row>
    <row r="10" spans="1:12" ht="14.4" customHeight="1" x14ac:dyDescent="0.35">
      <c r="A10" s="257" t="s">
        <v>187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6" t="str">
        <f>Sales_Input!B15</f>
        <v>STIPULATION ATTACHMENT C</v>
      </c>
    </row>
    <row r="11" spans="1:12" ht="14.4" customHeight="1" x14ac:dyDescent="0.35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</row>
    <row r="12" spans="1:12" ht="14.4" customHeight="1" x14ac:dyDescent="0.35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</row>
    <row r="13" spans="1:12" ht="14.4" customHeight="1" x14ac:dyDescent="0.35">
      <c r="A13" s="245"/>
      <c r="B13" s="245"/>
      <c r="C13" s="245"/>
      <c r="D13" s="251"/>
      <c r="E13" s="251"/>
      <c r="F13" s="251"/>
      <c r="G13" s="251"/>
      <c r="H13" s="251"/>
      <c r="I13" s="251"/>
      <c r="J13" s="251" t="s">
        <v>17</v>
      </c>
      <c r="K13" s="251" t="s">
        <v>17</v>
      </c>
      <c r="L13" s="251"/>
    </row>
    <row r="14" spans="1:12" ht="14.4" customHeight="1" x14ac:dyDescent="0.35">
      <c r="A14" s="251" t="s">
        <v>18</v>
      </c>
      <c r="B14" s="251" t="s">
        <v>71</v>
      </c>
      <c r="C14" s="251" t="s">
        <v>182</v>
      </c>
      <c r="D14" s="251" t="s">
        <v>182</v>
      </c>
      <c r="E14" s="251" t="s">
        <v>53</v>
      </c>
      <c r="F14" s="251" t="s">
        <v>19</v>
      </c>
      <c r="G14" s="251" t="s">
        <v>52</v>
      </c>
      <c r="H14" s="251" t="s">
        <v>52</v>
      </c>
      <c r="I14" s="251" t="s">
        <v>179</v>
      </c>
      <c r="J14" s="251" t="s">
        <v>53</v>
      </c>
      <c r="K14" s="251" t="s">
        <v>19</v>
      </c>
      <c r="L14" s="251" t="s">
        <v>21</v>
      </c>
    </row>
    <row r="15" spans="1:12" ht="14.4" customHeight="1" x14ac:dyDescent="0.35">
      <c r="A15" s="254" t="s">
        <v>177</v>
      </c>
      <c r="B15" s="254" t="s">
        <v>176</v>
      </c>
      <c r="C15" s="254" t="s">
        <v>175</v>
      </c>
      <c r="D15" s="254" t="s">
        <v>285</v>
      </c>
      <c r="E15" s="254" t="s">
        <v>109</v>
      </c>
      <c r="F15" s="254" t="s">
        <v>109</v>
      </c>
      <c r="G15" s="255" t="s">
        <v>167</v>
      </c>
      <c r="H15" s="255" t="s">
        <v>166</v>
      </c>
      <c r="I15" s="254" t="s">
        <v>284</v>
      </c>
      <c r="J15" s="254" t="s">
        <v>109</v>
      </c>
      <c r="K15" s="254" t="s">
        <v>109</v>
      </c>
      <c r="L15" s="254" t="s">
        <v>52</v>
      </c>
    </row>
    <row r="16" spans="1:12" ht="14.4" customHeight="1" x14ac:dyDescent="0.35">
      <c r="A16" s="245"/>
      <c r="B16" s="245"/>
      <c r="C16" s="245"/>
      <c r="D16" s="253" t="s">
        <v>164</v>
      </c>
      <c r="E16" s="253" t="s">
        <v>163</v>
      </c>
      <c r="F16" s="253" t="s">
        <v>163</v>
      </c>
      <c r="G16" s="253" t="s">
        <v>163</v>
      </c>
      <c r="H16" s="253" t="s">
        <v>162</v>
      </c>
      <c r="I16" s="253" t="s">
        <v>163</v>
      </c>
      <c r="J16" s="253" t="s">
        <v>163</v>
      </c>
      <c r="K16" s="253" t="s">
        <v>163</v>
      </c>
      <c r="L16" s="253" t="s">
        <v>162</v>
      </c>
    </row>
    <row r="17" spans="1:12" ht="14.4" customHeight="1" x14ac:dyDescent="0.35">
      <c r="A17" s="245"/>
      <c r="B17" s="245"/>
      <c r="C17" s="253" t="s">
        <v>161</v>
      </c>
      <c r="D17" s="253" t="s">
        <v>160</v>
      </c>
      <c r="E17" s="253" t="s">
        <v>155</v>
      </c>
      <c r="F17" s="253" t="s">
        <v>154</v>
      </c>
      <c r="G17" s="253" t="s">
        <v>153</v>
      </c>
      <c r="H17" s="253" t="s">
        <v>152</v>
      </c>
      <c r="I17" s="253" t="s">
        <v>151</v>
      </c>
      <c r="J17" s="253" t="s">
        <v>150</v>
      </c>
      <c r="K17" s="253" t="s">
        <v>149</v>
      </c>
      <c r="L17" s="253" t="s">
        <v>148</v>
      </c>
    </row>
    <row r="18" spans="1:12" ht="14.4" customHeight="1" x14ac:dyDescent="0.35">
      <c r="A18" s="245"/>
      <c r="B18" s="245"/>
      <c r="C18" s="245"/>
      <c r="D18" s="251"/>
      <c r="E18" s="251"/>
      <c r="F18" s="251"/>
      <c r="G18" s="251"/>
      <c r="H18" s="251"/>
      <c r="I18" s="251"/>
      <c r="J18" s="253" t="s">
        <v>283</v>
      </c>
      <c r="K18" s="253" t="s">
        <v>282</v>
      </c>
      <c r="L18" s="253" t="s">
        <v>281</v>
      </c>
    </row>
    <row r="19" spans="1:12" ht="14.4" customHeight="1" x14ac:dyDescent="0.35">
      <c r="A19" s="251"/>
      <c r="B19" s="245"/>
      <c r="C19" s="245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ht="14.4" customHeight="1" x14ac:dyDescent="0.35">
      <c r="A20" s="251">
        <v>1</v>
      </c>
      <c r="B20" s="251" t="s">
        <v>241</v>
      </c>
      <c r="C20" s="251" t="s">
        <v>147</v>
      </c>
      <c r="D20" s="259">
        <v>1</v>
      </c>
      <c r="E20" s="235">
        <f>Sales_Input!$H$24+ROUND((Sales_Input!$C$24*G1R!D20),2)</f>
        <v>27.15</v>
      </c>
      <c r="F20" s="235">
        <f>Sales_Input!$Y$24+ROUND((Sales_Input!$T$24*G1R!D20),2)</f>
        <v>27.15</v>
      </c>
      <c r="G20" s="235">
        <f t="shared" ref="G20:G31" si="0">F20-E20</f>
        <v>0</v>
      </c>
      <c r="H20" s="249">
        <f t="shared" ref="H20:H31" si="1">ROUND(G20/E20,3)</f>
        <v>0</v>
      </c>
      <c r="I20" s="235">
        <f>ROUND(D20*SUM(Sales_Input!$O$24:$R$24),2)</f>
        <v>4.2300000000000004</v>
      </c>
      <c r="J20" s="235">
        <f t="shared" ref="J20:J31" si="2">E20+I20</f>
        <v>31.38</v>
      </c>
      <c r="K20" s="235">
        <f t="shared" ref="K20:K31" si="3">F20+I20</f>
        <v>31.38</v>
      </c>
      <c r="L20" s="249">
        <f t="shared" ref="L20:L31" si="4">ROUND((K20-J20)/J20,3)</f>
        <v>0</v>
      </c>
    </row>
    <row r="21" spans="1:12" ht="14.4" customHeight="1" x14ac:dyDescent="0.35">
      <c r="A21" s="251">
        <v>2</v>
      </c>
      <c r="B21" s="251" t="s">
        <v>291</v>
      </c>
      <c r="C21" s="251" t="s">
        <v>145</v>
      </c>
      <c r="D21" s="259">
        <v>3</v>
      </c>
      <c r="E21" s="235">
        <f>Sales_Input!$H$24+ROUND((Sales_Input!$C$24*G1R!D21),2)</f>
        <v>37.42</v>
      </c>
      <c r="F21" s="235">
        <f>Sales_Input!$Y$24+ROUND((Sales_Input!$T$24*G1R!D21),2)</f>
        <v>37.42</v>
      </c>
      <c r="G21" s="235">
        <f t="shared" si="0"/>
        <v>0</v>
      </c>
      <c r="H21" s="249">
        <f t="shared" si="1"/>
        <v>0</v>
      </c>
      <c r="I21" s="235">
        <f>ROUND(D21*SUM(Sales_Input!$O$24:$R$24),2)</f>
        <v>12.7</v>
      </c>
      <c r="J21" s="235">
        <f t="shared" si="2"/>
        <v>50.120000000000005</v>
      </c>
      <c r="K21" s="235">
        <f t="shared" si="3"/>
        <v>50.120000000000005</v>
      </c>
      <c r="L21" s="249">
        <f t="shared" si="4"/>
        <v>0</v>
      </c>
    </row>
    <row r="22" spans="1:12" ht="14.4" customHeight="1" x14ac:dyDescent="0.35">
      <c r="A22" s="251">
        <v>3</v>
      </c>
      <c r="B22" s="251" t="s">
        <v>143</v>
      </c>
      <c r="C22" s="245"/>
      <c r="D22" s="259">
        <v>6</v>
      </c>
      <c r="E22" s="235">
        <f>Sales_Input!$H$24+ROUND((Sales_Input!$C$24*G1R!D22),2)</f>
        <v>52.81</v>
      </c>
      <c r="F22" s="235">
        <f>Sales_Input!$Y$24+ROUND((Sales_Input!$T$24*G1R!D22),2)</f>
        <v>52.81</v>
      </c>
      <c r="G22" s="235">
        <f t="shared" si="0"/>
        <v>0</v>
      </c>
      <c r="H22" s="249">
        <f t="shared" si="1"/>
        <v>0</v>
      </c>
      <c r="I22" s="235">
        <f>ROUND(D22*SUM(Sales_Input!$O$24:$R$24),2)</f>
        <v>25.41</v>
      </c>
      <c r="J22" s="235">
        <f t="shared" si="2"/>
        <v>78.22</v>
      </c>
      <c r="K22" s="235">
        <f t="shared" si="3"/>
        <v>78.22</v>
      </c>
      <c r="L22" s="249">
        <f t="shared" si="4"/>
        <v>0</v>
      </c>
    </row>
    <row r="23" spans="1:12" ht="14.4" customHeight="1" x14ac:dyDescent="0.35">
      <c r="A23" s="251">
        <v>4</v>
      </c>
      <c r="B23" s="251"/>
      <c r="C23" s="245"/>
      <c r="D23" s="259">
        <v>10</v>
      </c>
      <c r="E23" s="235">
        <f>Sales_Input!$H$24+ROUND((Sales_Input!$C$24*G1R!D23),2)</f>
        <v>73.34</v>
      </c>
      <c r="F23" s="235">
        <f>Sales_Input!$Y$24+ROUND((Sales_Input!$T$24*G1R!D23),2)</f>
        <v>73.34</v>
      </c>
      <c r="G23" s="235">
        <f t="shared" si="0"/>
        <v>0</v>
      </c>
      <c r="H23" s="249">
        <f t="shared" si="1"/>
        <v>0</v>
      </c>
      <c r="I23" s="235">
        <f>ROUND(D23*SUM(Sales_Input!$O$24:$R$24),2)</f>
        <v>42.34</v>
      </c>
      <c r="J23" s="235">
        <f t="shared" si="2"/>
        <v>115.68</v>
      </c>
      <c r="K23" s="235">
        <f t="shared" si="3"/>
        <v>115.68</v>
      </c>
      <c r="L23" s="249">
        <f t="shared" si="4"/>
        <v>0</v>
      </c>
    </row>
    <row r="24" spans="1:12" ht="14.4" customHeight="1" x14ac:dyDescent="0.35">
      <c r="A24" s="251">
        <v>5</v>
      </c>
      <c r="B24" s="251"/>
      <c r="C24" s="245"/>
      <c r="D24" s="259">
        <v>12</v>
      </c>
      <c r="E24" s="235">
        <f>Sales_Input!$H$24+ROUND((Sales_Input!$C$24*G1R!D24),2)</f>
        <v>83.6</v>
      </c>
      <c r="F24" s="235">
        <f>Sales_Input!$Y$24+ROUND((Sales_Input!$T$24*G1R!D24),2)</f>
        <v>83.6</v>
      </c>
      <c r="G24" s="235">
        <f t="shared" si="0"/>
        <v>0</v>
      </c>
      <c r="H24" s="249">
        <f t="shared" si="1"/>
        <v>0</v>
      </c>
      <c r="I24" s="235">
        <f>ROUND(D24*SUM(Sales_Input!$O$24:$R$24),2)</f>
        <v>50.81</v>
      </c>
      <c r="J24" s="235">
        <f t="shared" si="2"/>
        <v>134.41</v>
      </c>
      <c r="K24" s="235">
        <f t="shared" si="3"/>
        <v>134.41</v>
      </c>
      <c r="L24" s="249">
        <f t="shared" si="4"/>
        <v>0</v>
      </c>
    </row>
    <row r="25" spans="1:12" ht="14.4" customHeight="1" x14ac:dyDescent="0.35">
      <c r="A25" s="251">
        <v>6</v>
      </c>
      <c r="B25" s="252"/>
      <c r="C25" s="245"/>
      <c r="D25" s="259">
        <f>+E33</f>
        <v>12.4</v>
      </c>
      <c r="E25" s="235">
        <f>Sales_Input!$H$24+ROUND((Sales_Input!$C$24*G1R!D25),2)</f>
        <v>85.66</v>
      </c>
      <c r="F25" s="235">
        <f>Sales_Input!$Y$24+ROUND((Sales_Input!$T$24*G1R!D25),2)</f>
        <v>85.66</v>
      </c>
      <c r="G25" s="235">
        <f t="shared" si="0"/>
        <v>0</v>
      </c>
      <c r="H25" s="249">
        <f t="shared" si="1"/>
        <v>0</v>
      </c>
      <c r="I25" s="235">
        <f>ROUND(D25*SUM(Sales_Input!$O$24:$R$24),2)</f>
        <v>52.51</v>
      </c>
      <c r="J25" s="235">
        <f t="shared" si="2"/>
        <v>138.16999999999999</v>
      </c>
      <c r="K25" s="235">
        <f t="shared" si="3"/>
        <v>138.16999999999999</v>
      </c>
      <c r="L25" s="249">
        <f t="shared" si="4"/>
        <v>0</v>
      </c>
    </row>
    <row r="26" spans="1:12" ht="14.4" customHeight="1" x14ac:dyDescent="0.35">
      <c r="A26" s="251">
        <v>7</v>
      </c>
      <c r="B26" s="252"/>
      <c r="C26" s="245"/>
      <c r="D26" s="259">
        <v>14</v>
      </c>
      <c r="E26" s="235">
        <f>Sales_Input!$H$24+ROUND((Sales_Input!$C$24*G1R!D26),2)</f>
        <v>93.86999999999999</v>
      </c>
      <c r="F26" s="235">
        <f>Sales_Input!$Y$24+ROUND((Sales_Input!$T$24*G1R!D26),2)</f>
        <v>93.86999999999999</v>
      </c>
      <c r="G26" s="235">
        <f t="shared" si="0"/>
        <v>0</v>
      </c>
      <c r="H26" s="249">
        <f t="shared" si="1"/>
        <v>0</v>
      </c>
      <c r="I26" s="235">
        <f>ROUND(D26*SUM(Sales_Input!$O$24:$R$24),2)</f>
        <v>59.28</v>
      </c>
      <c r="J26" s="235">
        <f t="shared" si="2"/>
        <v>153.14999999999998</v>
      </c>
      <c r="K26" s="235">
        <f t="shared" si="3"/>
        <v>153.14999999999998</v>
      </c>
      <c r="L26" s="249">
        <f t="shared" si="4"/>
        <v>0</v>
      </c>
    </row>
    <row r="27" spans="1:12" ht="14.4" customHeight="1" x14ac:dyDescent="0.35">
      <c r="A27" s="251">
        <v>8</v>
      </c>
      <c r="B27" s="245"/>
      <c r="C27" s="245"/>
      <c r="D27" s="259">
        <v>16</v>
      </c>
      <c r="E27" s="235">
        <f>Sales_Input!$H$24+ROUND((Sales_Input!$C$24*G1R!D27),2)</f>
        <v>104.13</v>
      </c>
      <c r="F27" s="235">
        <f>Sales_Input!$Y$24+ROUND((Sales_Input!$T$24*G1R!D27),2)</f>
        <v>104.13</v>
      </c>
      <c r="G27" s="235">
        <f t="shared" si="0"/>
        <v>0</v>
      </c>
      <c r="H27" s="249">
        <f t="shared" si="1"/>
        <v>0</v>
      </c>
      <c r="I27" s="235">
        <f>ROUND(D27*SUM(Sales_Input!$O$24:$R$24),2)</f>
        <v>67.75</v>
      </c>
      <c r="J27" s="235">
        <f t="shared" si="2"/>
        <v>171.88</v>
      </c>
      <c r="K27" s="235">
        <f t="shared" si="3"/>
        <v>171.88</v>
      </c>
      <c r="L27" s="249">
        <f t="shared" si="4"/>
        <v>0</v>
      </c>
    </row>
    <row r="28" spans="1:12" ht="14.4" customHeight="1" x14ac:dyDescent="0.35">
      <c r="A28" s="251">
        <v>9</v>
      </c>
      <c r="B28" s="245"/>
      <c r="C28" s="245"/>
      <c r="D28" s="259">
        <v>20</v>
      </c>
      <c r="E28" s="235">
        <f>Sales_Input!$H$24+ROUND((Sales_Input!$C$24*G1R!D28),2)</f>
        <v>124.66</v>
      </c>
      <c r="F28" s="235">
        <f>Sales_Input!$Y$24+ROUND((Sales_Input!$T$24*G1R!D28),2)</f>
        <v>124.66</v>
      </c>
      <c r="G28" s="235">
        <f t="shared" si="0"/>
        <v>0</v>
      </c>
      <c r="H28" s="249">
        <f t="shared" si="1"/>
        <v>0</v>
      </c>
      <c r="I28" s="235">
        <f>ROUND(D28*SUM(Sales_Input!$O$24:$R$24),2)</f>
        <v>84.69</v>
      </c>
      <c r="J28" s="235">
        <f t="shared" si="2"/>
        <v>209.35</v>
      </c>
      <c r="K28" s="235">
        <f t="shared" si="3"/>
        <v>209.35</v>
      </c>
      <c r="L28" s="249">
        <f t="shared" si="4"/>
        <v>0</v>
      </c>
    </row>
    <row r="29" spans="1:12" ht="14.4" customHeight="1" x14ac:dyDescent="0.35">
      <c r="A29" s="251">
        <v>10</v>
      </c>
      <c r="B29" s="245"/>
      <c r="C29" s="245"/>
      <c r="D29" s="259">
        <v>30</v>
      </c>
      <c r="E29" s="235">
        <f>Sales_Input!$H$24+ROUND((Sales_Input!$C$24*G1R!D29),2)</f>
        <v>175.98000000000002</v>
      </c>
      <c r="F29" s="235">
        <f>Sales_Input!$Y$24+ROUND((Sales_Input!$T$24*G1R!D29),2)</f>
        <v>175.98000000000002</v>
      </c>
      <c r="G29" s="235">
        <f t="shared" si="0"/>
        <v>0</v>
      </c>
      <c r="H29" s="249">
        <f t="shared" si="1"/>
        <v>0</v>
      </c>
      <c r="I29" s="235">
        <f>ROUND(D29*SUM(Sales_Input!$O$24:$R$24),2)</f>
        <v>127.03</v>
      </c>
      <c r="J29" s="235">
        <f t="shared" si="2"/>
        <v>303.01</v>
      </c>
      <c r="K29" s="235">
        <f t="shared" si="3"/>
        <v>303.01</v>
      </c>
      <c r="L29" s="249">
        <f t="shared" si="4"/>
        <v>0</v>
      </c>
    </row>
    <row r="30" spans="1:12" ht="14.4" customHeight="1" x14ac:dyDescent="0.35">
      <c r="A30" s="251">
        <v>11</v>
      </c>
      <c r="B30" s="245"/>
      <c r="C30" s="245"/>
      <c r="D30" s="259">
        <v>40</v>
      </c>
      <c r="E30" s="235">
        <f>Sales_Input!$H$24+ROUND((Sales_Input!$C$24*G1R!D30),2)</f>
        <v>227.3</v>
      </c>
      <c r="F30" s="235">
        <f>Sales_Input!$Y$24+ROUND((Sales_Input!$T$24*G1R!D30),2)</f>
        <v>227.3</v>
      </c>
      <c r="G30" s="235">
        <f t="shared" si="0"/>
        <v>0</v>
      </c>
      <c r="H30" s="249">
        <f t="shared" si="1"/>
        <v>0</v>
      </c>
      <c r="I30" s="235">
        <f>ROUND(D30*SUM(Sales_Input!$O$24:$R$24),2)</f>
        <v>169.37</v>
      </c>
      <c r="J30" s="235">
        <f t="shared" si="2"/>
        <v>396.67</v>
      </c>
      <c r="K30" s="235">
        <f t="shared" si="3"/>
        <v>396.67</v>
      </c>
      <c r="L30" s="249">
        <f t="shared" si="4"/>
        <v>0</v>
      </c>
    </row>
    <row r="31" spans="1:12" ht="14.4" customHeight="1" x14ac:dyDescent="0.35">
      <c r="A31" s="251">
        <v>12</v>
      </c>
      <c r="B31" s="245"/>
      <c r="C31" s="245"/>
      <c r="D31" s="259">
        <v>50</v>
      </c>
      <c r="E31" s="235">
        <f>Sales_Input!$H$24+ROUND((Sales_Input!$C$24*G1R!D31),2)</f>
        <v>278.62</v>
      </c>
      <c r="F31" s="235">
        <f>Sales_Input!$Y$24+ROUND((Sales_Input!$T$24*G1R!D31),2)</f>
        <v>278.62</v>
      </c>
      <c r="G31" s="235">
        <f t="shared" si="0"/>
        <v>0</v>
      </c>
      <c r="H31" s="249">
        <f t="shared" si="1"/>
        <v>0</v>
      </c>
      <c r="I31" s="235">
        <f>ROUND(D31*SUM(Sales_Input!$O$24:$R$24),2)</f>
        <v>211.72</v>
      </c>
      <c r="J31" s="235">
        <f t="shared" si="2"/>
        <v>490.34000000000003</v>
      </c>
      <c r="K31" s="235">
        <f t="shared" si="3"/>
        <v>490.34000000000003</v>
      </c>
      <c r="L31" s="249">
        <f t="shared" si="4"/>
        <v>0</v>
      </c>
    </row>
    <row r="32" spans="1:12" ht="14.4" customHeight="1" x14ac:dyDescent="0.35">
      <c r="A32" s="251"/>
      <c r="B32" s="245"/>
      <c r="C32" s="245"/>
      <c r="D32" s="251"/>
      <c r="E32" s="251"/>
      <c r="F32" s="251"/>
      <c r="G32" s="251"/>
      <c r="H32" s="251"/>
      <c r="I32" s="251"/>
      <c r="J32" s="260"/>
      <c r="K32" s="260"/>
      <c r="L32" s="251"/>
    </row>
    <row r="33" spans="1:12" ht="14.4" customHeight="1" x14ac:dyDescent="0.35">
      <c r="A33" s="248"/>
      <c r="B33" s="245"/>
      <c r="C33" s="245" t="s">
        <v>142</v>
      </c>
      <c r="D33" s="245"/>
      <c r="E33" s="247">
        <f>Sales_Input!AF24</f>
        <v>12.4</v>
      </c>
      <c r="F33" s="245"/>
      <c r="G33" s="245"/>
      <c r="H33" s="245"/>
      <c r="I33" s="245"/>
      <c r="J33" s="245"/>
      <c r="K33" s="245"/>
      <c r="L33" s="245"/>
    </row>
  </sheetData>
  <mergeCells count="5">
    <mergeCell ref="A1:L1"/>
    <mergeCell ref="A2:L2"/>
    <mergeCell ref="A4:L4"/>
    <mergeCell ref="A5:L5"/>
    <mergeCell ref="A3:L3"/>
  </mergeCells>
  <printOptions horizontalCentered="1"/>
  <pageMargins left="0.75" right="0.75" top="1" bottom="0.75" header="0.5" footer="0.5"/>
  <pageSetup scale="97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0B72A8B9FD9441A045BE4D65925954" ma:contentTypeVersion="6" ma:contentTypeDescription="Create a new document." ma:contentTypeScope="" ma:versionID="dad291741505183d73003936f2ba8ffe">
  <xsd:schema xmlns:xsd="http://www.w3.org/2001/XMLSchema" xmlns:xs="http://www.w3.org/2001/XMLSchema" xmlns:p="http://schemas.microsoft.com/office/2006/metadata/properties" xmlns:ns2="6bec63c5-7005-460f-9e35-624454017d73" xmlns:ns3="41f51831-4435-4781-bf4a-49effccf5732" targetNamespace="http://schemas.microsoft.com/office/2006/metadata/properties" ma:root="true" ma:fieldsID="d7fc067983e619d655389f97ee19475f" ns2:_="" ns3:_="">
    <xsd:import namespace="6bec63c5-7005-460f-9e35-624454017d73"/>
    <xsd:import namespace="41f51831-4435-4781-bf4a-49effccf57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c63c5-7005-460f-9e35-624454017d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51831-4435-4781-bf4a-49effccf57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CB320A-713C-492F-9B23-02A29A9B05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C267F5-1E30-4713-8A86-501662A00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ec63c5-7005-460f-9e35-624454017d73"/>
    <ds:schemaRef ds:uri="41f51831-4435-4781-bf4a-49effccf57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F69892-9C1C-4768-815B-D8D76EEE59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19</vt:i4>
      </vt:variant>
    </vt:vector>
  </HeadingPairs>
  <TitlesOfParts>
    <vt:vector size="51" baseType="lpstr">
      <vt:lpstr>Contents</vt:lpstr>
      <vt:lpstr>Input_Entry</vt:lpstr>
      <vt:lpstr>Rate Design</vt:lpstr>
      <vt:lpstr>Revenue Spread</vt:lpstr>
      <vt:lpstr>Sales_Input</vt:lpstr>
      <vt:lpstr>INDEX N</vt:lpstr>
      <vt:lpstr>GSR</vt:lpstr>
      <vt:lpstr>G1C</vt:lpstr>
      <vt:lpstr>G1R</vt:lpstr>
      <vt:lpstr>IN3R</vt:lpstr>
      <vt:lpstr>IN3C</vt:lpstr>
      <vt:lpstr>IN4</vt:lpstr>
      <vt:lpstr>IN5</vt:lpstr>
      <vt:lpstr>LG2R</vt:lpstr>
      <vt:lpstr>LG2C</vt:lpstr>
      <vt:lpstr>LG3</vt:lpstr>
      <vt:lpstr>LG4</vt:lpstr>
      <vt:lpstr>IS</vt:lpstr>
      <vt:lpstr>GSO</vt:lpstr>
      <vt:lpstr>IUS</vt:lpstr>
      <vt:lpstr>Trans_Inputs</vt:lpstr>
      <vt:lpstr>GTR</vt:lpstr>
      <vt:lpstr>GTO</vt:lpstr>
      <vt:lpstr>DS</vt:lpstr>
      <vt:lpstr>GDS</vt:lpstr>
      <vt:lpstr>DS3</vt:lpstr>
      <vt:lpstr>FX1</vt:lpstr>
      <vt:lpstr>FX2</vt:lpstr>
      <vt:lpstr>FX5</vt:lpstr>
      <vt:lpstr>FX7</vt:lpstr>
      <vt:lpstr>SAS</vt:lpstr>
      <vt:lpstr>SC3</vt:lpstr>
      <vt:lpstr>DS!Print_Area</vt:lpstr>
      <vt:lpstr>'DS3'!Print_Area</vt:lpstr>
      <vt:lpstr>'FX1'!Print_Area</vt:lpstr>
      <vt:lpstr>'FX2'!Print_Area</vt:lpstr>
      <vt:lpstr>'FX5'!Print_Area</vt:lpstr>
      <vt:lpstr>'FX7'!Print_Area</vt:lpstr>
      <vt:lpstr>GDS!Print_Area</vt:lpstr>
      <vt:lpstr>GTO!Print_Area</vt:lpstr>
      <vt:lpstr>GTR!Print_Area</vt:lpstr>
      <vt:lpstr>IN3C!Print_Area</vt:lpstr>
      <vt:lpstr>'IN4'!Print_Area</vt:lpstr>
      <vt:lpstr>'INDEX N'!Print_Area</vt:lpstr>
      <vt:lpstr>Input_Entry!Print_Area</vt:lpstr>
      <vt:lpstr>LG2C!Print_Area</vt:lpstr>
      <vt:lpstr>'Rate Design'!Print_Area</vt:lpstr>
      <vt:lpstr>Sales_Input!Print_Area</vt:lpstr>
      <vt:lpstr>SAS!Print_Area</vt:lpstr>
      <vt:lpstr>Trans_Inputs!Print_Area</vt:lpstr>
      <vt:lpstr>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Ryan \ John \ Robert</cp:lastModifiedBy>
  <cp:revision>1</cp:revision>
  <dcterms:created xsi:type="dcterms:W3CDTF">2024-10-13T18:34:34Z</dcterms:created>
  <dcterms:modified xsi:type="dcterms:W3CDTF">2024-10-13T20:25:28Z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0x010100B30B72A8B9FD9441A045BE4D65925954</vt:lpwstr>
  </property>
</Properties>
</file>