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John Ryan\CKY\2024 Rate Case\Settlement\"/>
    </mc:Choice>
  </mc:AlternateContent>
  <xr:revisionPtr revIDLastSave="0" documentId="8_{DB2E1EC0-16DA-42F6-851D-804417583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enue Proof" sheetId="1" r:id="rId1"/>
  </sheets>
  <externalReferences>
    <externalReference r:id="rId2"/>
  </externalReferences>
  <definedNames>
    <definedName name="Bank">[1]Input!#REF!</definedName>
    <definedName name="firmcom">[1]Input!$C$18</definedName>
    <definedName name="firmdem">[1]Input!$C$19</definedName>
    <definedName name="_xlnm.Print_Area" localSheetId="0">'Revenue Proof'!$A$1:$L$293</definedName>
    <definedName name="SAS_GasCost">[1]Input!#REF!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G16" i="1"/>
  <c r="K176" i="1"/>
  <c r="K228" i="1"/>
  <c r="H87" i="1"/>
  <c r="K87" i="1" s="1"/>
  <c r="A52" i="1" l="1"/>
  <c r="A104" i="1" s="1"/>
  <c r="A149" i="1" s="1"/>
  <c r="A195" i="1" s="1"/>
  <c r="A248" i="1" s="1"/>
  <c r="G53" i="1"/>
  <c r="G105" i="1" s="1"/>
  <c r="G150" i="1" s="1"/>
  <c r="G196" i="1" s="1"/>
  <c r="G249" i="1" s="1"/>
  <c r="A148" i="1" l="1"/>
  <c r="A145" i="1" l="1"/>
  <c r="D177" i="1" l="1"/>
  <c r="C282" i="1"/>
  <c r="I168" i="1"/>
  <c r="J168" i="1" s="1"/>
  <c r="F115" i="1"/>
  <c r="H115" i="1" s="1"/>
  <c r="J115" i="1"/>
  <c r="F168" i="1"/>
  <c r="H168" i="1" s="1"/>
  <c r="F175" i="1"/>
  <c r="H175" i="1" s="1"/>
  <c r="K168" i="1" l="1"/>
  <c r="I175" i="1"/>
  <c r="J175" i="1" s="1"/>
  <c r="K175" i="1" s="1"/>
  <c r="K115" i="1"/>
  <c r="F132" i="1" l="1"/>
  <c r="F117" i="1"/>
  <c r="F116" i="1"/>
  <c r="J116" i="1"/>
  <c r="I45" i="1"/>
  <c r="J45" i="1" s="1"/>
  <c r="F45" i="1"/>
  <c r="I44" i="1"/>
  <c r="J44" i="1" s="1"/>
  <c r="F44" i="1"/>
  <c r="H44" i="1" s="1"/>
  <c r="I40" i="1"/>
  <c r="J40" i="1" s="1"/>
  <c r="F40" i="1"/>
  <c r="H40" i="1" s="1"/>
  <c r="I39" i="1"/>
  <c r="J39" i="1" s="1"/>
  <c r="F39" i="1"/>
  <c r="F15" i="1"/>
  <c r="J46" i="1" l="1"/>
  <c r="H45" i="1"/>
  <c r="H46" i="1" s="1"/>
  <c r="F46" i="1"/>
  <c r="K44" i="1"/>
  <c r="F41" i="1"/>
  <c r="K40" i="1"/>
  <c r="H39" i="1"/>
  <c r="H41" i="1" s="1"/>
  <c r="J41" i="1"/>
  <c r="K45" i="1" l="1"/>
  <c r="K46" i="1" s="1"/>
  <c r="K39" i="1"/>
  <c r="K41" i="1" s="1"/>
  <c r="J264" i="1" l="1"/>
  <c r="J265" i="1"/>
  <c r="J266" i="1"/>
  <c r="J267" i="1"/>
  <c r="J263" i="1"/>
  <c r="I258" i="1" l="1"/>
  <c r="I257" i="1"/>
  <c r="I256" i="1"/>
  <c r="I234" i="1"/>
  <c r="I233" i="1"/>
  <c r="I232" i="1"/>
  <c r="I222" i="1" l="1"/>
  <c r="I221" i="1"/>
  <c r="I217" i="1"/>
  <c r="I216" i="1"/>
  <c r="I132" i="1"/>
  <c r="J132" i="1" s="1"/>
  <c r="I131" i="1"/>
  <c r="I124" i="1"/>
  <c r="I117" i="1"/>
  <c r="J117" i="1" s="1"/>
  <c r="I86" i="1"/>
  <c r="I14" i="1"/>
  <c r="I129" i="1" l="1"/>
  <c r="I167" i="1"/>
  <c r="I166" i="1"/>
  <c r="I173" i="1" s="1"/>
  <c r="I137" i="1"/>
  <c r="I181" i="1" s="1"/>
  <c r="I204" i="1" s="1"/>
  <c r="I138" i="1"/>
  <c r="I182" i="1" s="1"/>
  <c r="I205" i="1" s="1"/>
  <c r="I139" i="1"/>
  <c r="I183" i="1" s="1"/>
  <c r="I206" i="1" s="1"/>
  <c r="I140" i="1"/>
  <c r="I184" i="1" s="1"/>
  <c r="I207" i="1" s="1"/>
  <c r="I136" i="1"/>
  <c r="I180" i="1" s="1"/>
  <c r="I203" i="1" s="1"/>
  <c r="I130" i="1"/>
  <c r="I174" i="1" l="1"/>
  <c r="J258" i="1" l="1"/>
  <c r="J257" i="1"/>
  <c r="J256" i="1"/>
  <c r="F258" i="1"/>
  <c r="F257" i="1"/>
  <c r="F256" i="1"/>
  <c r="J239" i="1"/>
  <c r="J234" i="1"/>
  <c r="J233" i="1"/>
  <c r="J232" i="1"/>
  <c r="J227" i="1"/>
  <c r="J226" i="1"/>
  <c r="J229" i="1" s="1"/>
  <c r="J222" i="1"/>
  <c r="J221" i="1"/>
  <c r="J217" i="1"/>
  <c r="J216" i="1"/>
  <c r="J212" i="1"/>
  <c r="J211" i="1"/>
  <c r="F239" i="1"/>
  <c r="F238" i="1"/>
  <c r="F234" i="1"/>
  <c r="F233" i="1"/>
  <c r="F232" i="1"/>
  <c r="F227" i="1"/>
  <c r="F226" i="1"/>
  <c r="F222" i="1"/>
  <c r="F221" i="1"/>
  <c r="F217" i="1"/>
  <c r="F216" i="1"/>
  <c r="F212" i="1"/>
  <c r="F211" i="1"/>
  <c r="J203" i="1"/>
  <c r="J180" i="1"/>
  <c r="J174" i="1"/>
  <c r="J173" i="1"/>
  <c r="J166" i="1"/>
  <c r="F184" i="1"/>
  <c r="F183" i="1"/>
  <c r="F182" i="1"/>
  <c r="F181" i="1"/>
  <c r="F180" i="1"/>
  <c r="F174" i="1"/>
  <c r="F173" i="1"/>
  <c r="F172" i="1"/>
  <c r="F177" i="1" s="1"/>
  <c r="F165" i="1"/>
  <c r="J137" i="1"/>
  <c r="J136" i="1"/>
  <c r="F140" i="1"/>
  <c r="F139" i="1"/>
  <c r="F138" i="1"/>
  <c r="F137" i="1"/>
  <c r="F136" i="1"/>
  <c r="J131" i="1"/>
  <c r="J130" i="1"/>
  <c r="J129" i="1"/>
  <c r="F131" i="1"/>
  <c r="F129" i="1"/>
  <c r="J124" i="1"/>
  <c r="J123" i="1"/>
  <c r="J122" i="1"/>
  <c r="J121" i="1"/>
  <c r="J114" i="1"/>
  <c r="J113" i="1"/>
  <c r="F124" i="1"/>
  <c r="F123" i="1"/>
  <c r="F122" i="1"/>
  <c r="F121" i="1"/>
  <c r="F114" i="1"/>
  <c r="F113" i="1"/>
  <c r="F112" i="1"/>
  <c r="J86" i="1"/>
  <c r="J85" i="1"/>
  <c r="J84" i="1"/>
  <c r="J83" i="1"/>
  <c r="J82" i="1"/>
  <c r="J81" i="1"/>
  <c r="J80" i="1"/>
  <c r="F86" i="1"/>
  <c r="F85" i="1"/>
  <c r="F84" i="1"/>
  <c r="F83" i="1"/>
  <c r="F82" i="1"/>
  <c r="F81" i="1"/>
  <c r="F80" i="1"/>
  <c r="F76" i="1"/>
  <c r="F75" i="1"/>
  <c r="F71" i="1"/>
  <c r="F70" i="1"/>
  <c r="F69" i="1"/>
  <c r="F65" i="1"/>
  <c r="F64" i="1"/>
  <c r="F60" i="1"/>
  <c r="F59" i="1"/>
  <c r="F35" i="1"/>
  <c r="F34" i="1"/>
  <c r="F30" i="1"/>
  <c r="F29" i="1"/>
  <c r="F28" i="1"/>
  <c r="F24" i="1"/>
  <c r="F23" i="1"/>
  <c r="F22" i="1"/>
  <c r="J16" i="1"/>
  <c r="J14" i="1"/>
  <c r="J275" i="1" s="1"/>
  <c r="J13" i="1"/>
  <c r="J12" i="1"/>
  <c r="F17" i="1"/>
  <c r="F16" i="1"/>
  <c r="F14" i="1"/>
  <c r="F13" i="1"/>
  <c r="K292" i="1"/>
  <c r="K291" i="1"/>
  <c r="A244" i="1"/>
  <c r="A191" i="1"/>
  <c r="A100" i="1"/>
  <c r="A48" i="1"/>
  <c r="J138" i="1"/>
  <c r="I159" i="1"/>
  <c r="J205" i="1" s="1"/>
  <c r="I160" i="1"/>
  <c r="J183" i="1" s="1"/>
  <c r="I161" i="1"/>
  <c r="J184" i="1" s="1"/>
  <c r="I158" i="1"/>
  <c r="J204" i="1" s="1"/>
  <c r="J139" i="1"/>
  <c r="J140" i="1"/>
  <c r="I94" i="1"/>
  <c r="J94" i="1" s="1"/>
  <c r="I95" i="1"/>
  <c r="J95" i="1" s="1"/>
  <c r="I93" i="1"/>
  <c r="J93" i="1" s="1"/>
  <c r="F229" i="1" l="1"/>
  <c r="J88" i="1"/>
  <c r="F88" i="1"/>
  <c r="F275" i="1"/>
  <c r="F213" i="1"/>
  <c r="J213" i="1"/>
  <c r="F36" i="1"/>
  <c r="F259" i="1"/>
  <c r="J259" i="1"/>
  <c r="J161" i="1"/>
  <c r="J160" i="1"/>
  <c r="J182" i="1"/>
  <c r="J159" i="1"/>
  <c r="J181" i="1"/>
  <c r="J158" i="1"/>
  <c r="J207" i="1"/>
  <c r="J206" i="1"/>
  <c r="H262" i="1" l="1"/>
  <c r="H267" i="1"/>
  <c r="K267" i="1" s="1"/>
  <c r="H264" i="1"/>
  <c r="K264" i="1" s="1"/>
  <c r="H263" i="1"/>
  <c r="K263" i="1" s="1"/>
  <c r="G272" i="1"/>
  <c r="J262" i="1" l="1"/>
  <c r="K262" i="1" s="1"/>
  <c r="D118" i="1"/>
  <c r="D283" i="1"/>
  <c r="C285" i="1"/>
  <c r="C284" i="1"/>
  <c r="C283" i="1"/>
  <c r="C281" i="1"/>
  <c r="E159" i="1" l="1"/>
  <c r="F159" i="1" s="1"/>
  <c r="E160" i="1"/>
  <c r="F160" i="1" s="1"/>
  <c r="E161" i="1"/>
  <c r="F161" i="1" s="1"/>
  <c r="E158" i="1"/>
  <c r="F158" i="1" s="1"/>
  <c r="E157" i="1"/>
  <c r="F157" i="1" s="1"/>
  <c r="H114" i="1"/>
  <c r="H113" i="1"/>
  <c r="H112" i="1"/>
  <c r="H117" i="1"/>
  <c r="H116" i="1"/>
  <c r="E205" i="1"/>
  <c r="F205" i="1" s="1"/>
  <c r="E206" i="1"/>
  <c r="F206" i="1" s="1"/>
  <c r="E207" i="1"/>
  <c r="F207" i="1" s="1"/>
  <c r="E204" i="1"/>
  <c r="F204" i="1" s="1"/>
  <c r="E203" i="1"/>
  <c r="F203" i="1" s="1"/>
  <c r="I157" i="1"/>
  <c r="J157" i="1" s="1"/>
  <c r="D141" i="1"/>
  <c r="H131" i="1"/>
  <c r="I92" i="1"/>
  <c r="J92" i="1" s="1"/>
  <c r="I96" i="1"/>
  <c r="I97" i="1"/>
  <c r="J97" i="1" s="1"/>
  <c r="I91" i="1"/>
  <c r="J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1" i="1"/>
  <c r="F91" i="1" s="1"/>
  <c r="I76" i="1"/>
  <c r="J76" i="1" s="1"/>
  <c r="I75" i="1"/>
  <c r="J75" i="1" s="1"/>
  <c r="I71" i="1"/>
  <c r="J71" i="1" s="1"/>
  <c r="I70" i="1"/>
  <c r="J70" i="1" s="1"/>
  <c r="I69" i="1"/>
  <c r="J69" i="1" s="1"/>
  <c r="I65" i="1"/>
  <c r="J65" i="1" s="1"/>
  <c r="I64" i="1"/>
  <c r="J64" i="1" s="1"/>
  <c r="I60" i="1"/>
  <c r="J60" i="1" s="1"/>
  <c r="I59" i="1"/>
  <c r="J59" i="1" s="1"/>
  <c r="I35" i="1"/>
  <c r="J35" i="1" s="1"/>
  <c r="I34" i="1"/>
  <c r="J34" i="1" s="1"/>
  <c r="I29" i="1"/>
  <c r="J29" i="1" s="1"/>
  <c r="I28" i="1"/>
  <c r="J28" i="1" s="1"/>
  <c r="I23" i="1"/>
  <c r="J23" i="1" s="1"/>
  <c r="I22" i="1"/>
  <c r="J22" i="1" s="1"/>
  <c r="H14" i="1"/>
  <c r="I15" i="1"/>
  <c r="J15" i="1" s="1"/>
  <c r="K14" i="1" l="1"/>
  <c r="H275" i="1"/>
  <c r="K275" i="1" s="1"/>
  <c r="J36" i="1"/>
  <c r="K131" i="1"/>
  <c r="K116" i="1"/>
  <c r="K114" i="1"/>
  <c r="H118" i="1"/>
  <c r="K117" i="1"/>
  <c r="K113" i="1"/>
  <c r="F118" i="1"/>
  <c r="A247" i="1" l="1"/>
  <c r="A194" i="1"/>
  <c r="A103" i="1"/>
  <c r="A51" i="1"/>
  <c r="F12" i="1"/>
  <c r="H13" i="1"/>
  <c r="K13" i="1" s="1"/>
  <c r="H15" i="1"/>
  <c r="K15" i="1" s="1"/>
  <c r="I17" i="1"/>
  <c r="J17" i="1" s="1"/>
  <c r="J19" i="1" s="1"/>
  <c r="H22" i="1"/>
  <c r="H23" i="1"/>
  <c r="I24" i="1"/>
  <c r="J24" i="1" s="1"/>
  <c r="H29" i="1"/>
  <c r="I30" i="1"/>
  <c r="J30" i="1" s="1"/>
  <c r="H34" i="1"/>
  <c r="H60" i="1"/>
  <c r="H64" i="1"/>
  <c r="H65" i="1"/>
  <c r="H70" i="1"/>
  <c r="H71" i="1"/>
  <c r="H75" i="1"/>
  <c r="H76" i="1"/>
  <c r="H80" i="1"/>
  <c r="H82" i="1"/>
  <c r="K82" i="1" s="1"/>
  <c r="H86" i="1"/>
  <c r="H84" i="1"/>
  <c r="K84" i="1" s="1"/>
  <c r="H85" i="1"/>
  <c r="D88" i="1"/>
  <c r="D98" i="1"/>
  <c r="F130" i="1"/>
  <c r="H160" i="1"/>
  <c r="K160" i="1" s="1"/>
  <c r="F166" i="1"/>
  <c r="J167" i="1"/>
  <c r="H181" i="1"/>
  <c r="H211" i="1"/>
  <c r="H226" i="1"/>
  <c r="H265" i="1"/>
  <c r="H266" i="1"/>
  <c r="K266" i="1" s="1"/>
  <c r="H12" i="1" l="1"/>
  <c r="F19" i="1"/>
  <c r="F167" i="1"/>
  <c r="H167" i="1" s="1"/>
  <c r="J240" i="1"/>
  <c r="F240" i="1"/>
  <c r="H240" i="1" s="1"/>
  <c r="H66" i="1"/>
  <c r="K60" i="1"/>
  <c r="K23" i="1"/>
  <c r="K80" i="1"/>
  <c r="K75" i="1"/>
  <c r="K70" i="1"/>
  <c r="K85" i="1"/>
  <c r="K76" i="1"/>
  <c r="K71" i="1"/>
  <c r="K65" i="1"/>
  <c r="K29" i="1"/>
  <c r="K12" i="1"/>
  <c r="J274" i="1"/>
  <c r="H16" i="1"/>
  <c r="K16" i="1" s="1"/>
  <c r="H77" i="1"/>
  <c r="K64" i="1"/>
  <c r="K34" i="1"/>
  <c r="K22" i="1"/>
  <c r="H268" i="1"/>
  <c r="K265" i="1"/>
  <c r="H239" i="1"/>
  <c r="D241" i="1"/>
  <c r="D259" i="1"/>
  <c r="H174" i="1"/>
  <c r="K174" i="1" s="1"/>
  <c r="H232" i="1"/>
  <c r="H227" i="1"/>
  <c r="K227" i="1" s="1"/>
  <c r="H138" i="1"/>
  <c r="K138" i="1" s="1"/>
  <c r="H157" i="1"/>
  <c r="H139" i="1"/>
  <c r="K139" i="1" s="1"/>
  <c r="H121" i="1"/>
  <c r="H97" i="1"/>
  <c r="H173" i="1"/>
  <c r="K173" i="1" s="1"/>
  <c r="H184" i="1"/>
  <c r="K184" i="1" s="1"/>
  <c r="K181" i="1"/>
  <c r="H158" i="1"/>
  <c r="K158" i="1" s="1"/>
  <c r="H96" i="1"/>
  <c r="H182" i="1"/>
  <c r="K182" i="1" s="1"/>
  <c r="H238" i="1"/>
  <c r="D235" i="1"/>
  <c r="D284" i="1" s="1"/>
  <c r="K226" i="1"/>
  <c r="H221" i="1"/>
  <c r="H216" i="1"/>
  <c r="K211" i="1"/>
  <c r="H203" i="1"/>
  <c r="H130" i="1"/>
  <c r="H123" i="1"/>
  <c r="K123" i="1" s="1"/>
  <c r="H222" i="1"/>
  <c r="H206" i="1"/>
  <c r="K206" i="1" s="1"/>
  <c r="H161" i="1"/>
  <c r="K161" i="1" s="1"/>
  <c r="H69" i="1"/>
  <c r="H256" i="1"/>
  <c r="H234" i="1"/>
  <c r="H233" i="1"/>
  <c r="H159" i="1"/>
  <c r="H129" i="1"/>
  <c r="H93" i="1"/>
  <c r="K93" i="1" s="1"/>
  <c r="H205" i="1"/>
  <c r="K205" i="1" s="1"/>
  <c r="H137" i="1"/>
  <c r="H217" i="1"/>
  <c r="H95" i="1"/>
  <c r="K95" i="1" s="1"/>
  <c r="H91" i="1"/>
  <c r="H258" i="1"/>
  <c r="H257" i="1"/>
  <c r="H204" i="1"/>
  <c r="H180" i="1"/>
  <c r="H140" i="1"/>
  <c r="K140" i="1" s="1"/>
  <c r="H122" i="1"/>
  <c r="K122" i="1" s="1"/>
  <c r="H94" i="1"/>
  <c r="K94" i="1" s="1"/>
  <c r="K86" i="1"/>
  <c r="H81" i="1"/>
  <c r="H59" i="1"/>
  <c r="H61" i="1" s="1"/>
  <c r="H28" i="1"/>
  <c r="K28" i="1" s="1"/>
  <c r="F268" i="1"/>
  <c r="H212" i="1"/>
  <c r="H213" i="1" s="1"/>
  <c r="H207" i="1"/>
  <c r="K207" i="1" s="1"/>
  <c r="D185" i="1"/>
  <c r="H183" i="1"/>
  <c r="K183" i="1" s="1"/>
  <c r="H172" i="1"/>
  <c r="H166" i="1"/>
  <c r="H165" i="1"/>
  <c r="H136" i="1"/>
  <c r="H92" i="1"/>
  <c r="H83" i="1"/>
  <c r="K83" i="1" s="1"/>
  <c r="D72" i="1"/>
  <c r="D281" i="1" s="1"/>
  <c r="J72" i="1"/>
  <c r="F61" i="1"/>
  <c r="F77" i="1"/>
  <c r="J268" i="1"/>
  <c r="D208" i="1"/>
  <c r="D169" i="1"/>
  <c r="J66" i="1"/>
  <c r="J31" i="1"/>
  <c r="F66" i="1"/>
  <c r="J25" i="1"/>
  <c r="D162" i="1"/>
  <c r="H124" i="1"/>
  <c r="J77" i="1"/>
  <c r="J61" i="1"/>
  <c r="H30" i="1"/>
  <c r="K30" i="1" s="1"/>
  <c r="H88" i="1" l="1"/>
  <c r="H177" i="1"/>
  <c r="K229" i="1"/>
  <c r="H229" i="1"/>
  <c r="D282" i="1"/>
  <c r="F276" i="1"/>
  <c r="H276" i="1" s="1"/>
  <c r="H286" i="1" s="1"/>
  <c r="H259" i="1"/>
  <c r="J96" i="1"/>
  <c r="J272" i="1" s="1"/>
  <c r="K77" i="1"/>
  <c r="K257" i="1"/>
  <c r="K221" i="1"/>
  <c r="K203" i="1"/>
  <c r="D285" i="1"/>
  <c r="K157" i="1"/>
  <c r="K256" i="1"/>
  <c r="K217" i="1"/>
  <c r="K222" i="1"/>
  <c r="H218" i="1"/>
  <c r="K121" i="1"/>
  <c r="K91" i="1"/>
  <c r="K232" i="1"/>
  <c r="K239" i="1"/>
  <c r="K166" i="1"/>
  <c r="F274" i="1"/>
  <c r="H274" i="1" s="1"/>
  <c r="K274" i="1" s="1"/>
  <c r="H132" i="1"/>
  <c r="K132" i="1" s="1"/>
  <c r="K81" i="1"/>
  <c r="H35" i="1"/>
  <c r="H36" i="1" s="1"/>
  <c r="K69" i="1"/>
  <c r="K72" i="1" s="1"/>
  <c r="H72" i="1"/>
  <c r="K212" i="1"/>
  <c r="K213" i="1" s="1"/>
  <c r="K129" i="1"/>
  <c r="K59" i="1"/>
  <c r="K61" i="1" s="1"/>
  <c r="F272" i="1"/>
  <c r="H272" i="1" s="1"/>
  <c r="K124" i="1"/>
  <c r="K92" i="1"/>
  <c r="H141" i="1"/>
  <c r="K159" i="1"/>
  <c r="H208" i="1"/>
  <c r="K216" i="1"/>
  <c r="K258" i="1"/>
  <c r="H125" i="1"/>
  <c r="H283" i="1" s="1"/>
  <c r="K136" i="1"/>
  <c r="H235" i="1"/>
  <c r="K180" i="1"/>
  <c r="H241" i="1"/>
  <c r="H185" i="1"/>
  <c r="K137" i="1"/>
  <c r="K204" i="1"/>
  <c r="H31" i="1"/>
  <c r="H17" i="1"/>
  <c r="K17" i="1" s="1"/>
  <c r="F273" i="1"/>
  <c r="H273" i="1" s="1"/>
  <c r="F25" i="1"/>
  <c r="H24" i="1"/>
  <c r="H98" i="1"/>
  <c r="H223" i="1"/>
  <c r="K234" i="1"/>
  <c r="H162" i="1"/>
  <c r="K233" i="1"/>
  <c r="K97" i="1"/>
  <c r="J273" i="1"/>
  <c r="K130" i="1"/>
  <c r="H169" i="1"/>
  <c r="K167" i="1"/>
  <c r="K240" i="1"/>
  <c r="J276" i="1"/>
  <c r="F241" i="1"/>
  <c r="F208" i="1"/>
  <c r="J208" i="1"/>
  <c r="F235" i="1"/>
  <c r="F185" i="1"/>
  <c r="J185" i="1"/>
  <c r="F169" i="1"/>
  <c r="J141" i="1"/>
  <c r="J162" i="1"/>
  <c r="F162" i="1"/>
  <c r="F141" i="1"/>
  <c r="C287" i="1"/>
  <c r="K268" i="1"/>
  <c r="J133" i="1"/>
  <c r="F223" i="1"/>
  <c r="J223" i="1"/>
  <c r="J235" i="1"/>
  <c r="J125" i="1"/>
  <c r="F98" i="1"/>
  <c r="F133" i="1"/>
  <c r="F72" i="1"/>
  <c r="J218" i="1"/>
  <c r="K66" i="1"/>
  <c r="F218" i="1"/>
  <c r="K31" i="1"/>
  <c r="F31" i="1"/>
  <c r="F125" i="1"/>
  <c r="H19" i="1" l="1"/>
  <c r="K19" i="1" s="1"/>
  <c r="F286" i="1"/>
  <c r="F282" i="1"/>
  <c r="F277" i="1"/>
  <c r="F271" i="1" s="1"/>
  <c r="H271" i="1" s="1"/>
  <c r="K272" i="1"/>
  <c r="K276" i="1"/>
  <c r="J286" i="1"/>
  <c r="K286" i="1" s="1"/>
  <c r="J98" i="1"/>
  <c r="K96" i="1"/>
  <c r="K259" i="1"/>
  <c r="J281" i="1"/>
  <c r="D287" i="1"/>
  <c r="K208" i="1"/>
  <c r="K185" i="1"/>
  <c r="K88" i="1"/>
  <c r="K273" i="1"/>
  <c r="H133" i="1"/>
  <c r="H285" i="1"/>
  <c r="K162" i="1"/>
  <c r="J284" i="1"/>
  <c r="H284" i="1"/>
  <c r="F284" i="1"/>
  <c r="F281" i="1"/>
  <c r="K125" i="1"/>
  <c r="J283" i="1"/>
  <c r="K283" i="1" s="1"/>
  <c r="K35" i="1"/>
  <c r="K36" i="1" s="1"/>
  <c r="F285" i="1"/>
  <c r="K24" i="1"/>
  <c r="K25" i="1" s="1"/>
  <c r="H25" i="1"/>
  <c r="H282" i="1" s="1"/>
  <c r="F283" i="1"/>
  <c r="K141" i="1"/>
  <c r="K223" i="1"/>
  <c r="K218" i="1"/>
  <c r="K235" i="1"/>
  <c r="K133" i="1"/>
  <c r="J282" i="1" l="1"/>
  <c r="F287" i="1"/>
  <c r="H277" i="1"/>
  <c r="K98" i="1"/>
  <c r="K284" i="1"/>
  <c r="H281" i="1"/>
  <c r="H287" i="1" s="1"/>
  <c r="K282" i="1"/>
  <c r="K281" i="1" l="1"/>
  <c r="J112" i="1"/>
  <c r="K112" i="1" s="1"/>
  <c r="I165" i="1"/>
  <c r="I172" i="1" s="1"/>
  <c r="J172" i="1" s="1"/>
  <c r="J177" i="1" s="1"/>
  <c r="J165" i="1" l="1"/>
  <c r="J169" i="1" s="1"/>
  <c r="J238" i="1"/>
  <c r="K238" i="1" s="1"/>
  <c r="K241" i="1" s="1"/>
  <c r="K172" i="1"/>
  <c r="K177" i="1" s="1"/>
  <c r="J118" i="1"/>
  <c r="K165" i="1" l="1"/>
  <c r="K169" i="1" s="1"/>
  <c r="J241" i="1"/>
  <c r="J277" i="1" s="1"/>
  <c r="J271" i="1" s="1"/>
  <c r="K118" i="1"/>
  <c r="J285" i="1"/>
  <c r="J287" i="1" s="1"/>
  <c r="K285" i="1" l="1"/>
  <c r="K287" i="1" l="1"/>
  <c r="K271" i="1"/>
  <c r="K277" i="1" s="1"/>
</calcChain>
</file>

<file path=xl/sharedStrings.xml><?xml version="1.0" encoding="utf-8"?>
<sst xmlns="http://schemas.openxmlformats.org/spreadsheetml/2006/main" count="413" uniqueCount="121">
  <si>
    <t>Columbia Gas of Kentucky, Inc.</t>
  </si>
  <si>
    <t>Rate</t>
  </si>
  <si>
    <t>Class</t>
  </si>
  <si>
    <t>Number</t>
  </si>
  <si>
    <t>Volumes</t>
  </si>
  <si>
    <t>Present</t>
  </si>
  <si>
    <t xml:space="preserve">Present </t>
  </si>
  <si>
    <t>Proposed</t>
  </si>
  <si>
    <t xml:space="preserve">Proposed </t>
  </si>
  <si>
    <t>Revenue</t>
  </si>
  <si>
    <t>Code</t>
  </si>
  <si>
    <t>Description</t>
  </si>
  <si>
    <t>of Bills</t>
  </si>
  <si>
    <t>(Mcf)</t>
  </si>
  <si>
    <t>Rates</t>
  </si>
  <si>
    <t>Increase</t>
  </si>
  <si>
    <t>($/Mcf)</t>
  </si>
  <si>
    <t>($)</t>
  </si>
  <si>
    <t xml:space="preserve">Sales Service </t>
  </si>
  <si>
    <t>GSR</t>
  </si>
  <si>
    <t>General Service - Residential</t>
  </si>
  <si>
    <t xml:space="preserve">   All Gas Consumed</t>
  </si>
  <si>
    <t>Gas Cost Uncollectible Accounts in GCA</t>
  </si>
  <si>
    <t>Total</t>
  </si>
  <si>
    <t>G1C</t>
  </si>
  <si>
    <t>LG&amp;E Commercial</t>
  </si>
  <si>
    <t>G1R</t>
  </si>
  <si>
    <t>LG&amp;E Residential</t>
  </si>
  <si>
    <t>IN3</t>
  </si>
  <si>
    <t>Inland Gas General Service - Residential</t>
  </si>
  <si>
    <t>IN4</t>
  </si>
  <si>
    <t>IN5</t>
  </si>
  <si>
    <t>LG2</t>
  </si>
  <si>
    <t xml:space="preserve">LG&amp;E Residential </t>
  </si>
  <si>
    <t>LG3</t>
  </si>
  <si>
    <t xml:space="preserve">   First 2 Mcf</t>
  </si>
  <si>
    <t xml:space="preserve">   Over 2 Mcf</t>
  </si>
  <si>
    <t>LG4</t>
  </si>
  <si>
    <t>GSO</t>
  </si>
  <si>
    <t>General Service - Commercial</t>
  </si>
  <si>
    <t>General Service - Industrial</t>
  </si>
  <si>
    <t>IUS</t>
  </si>
  <si>
    <t>Intrastate Utility Service - Wholesale</t>
  </si>
  <si>
    <t>Transportation Service</t>
  </si>
  <si>
    <t>GTR</t>
  </si>
  <si>
    <t xml:space="preserve">GTS Choice - Residential </t>
  </si>
  <si>
    <t>GTO</t>
  </si>
  <si>
    <t>GTS Choice - Commercial</t>
  </si>
  <si>
    <t>GTS Choice - Industrial</t>
  </si>
  <si>
    <t>DS</t>
  </si>
  <si>
    <t>GTS Delivery Service - Commercial</t>
  </si>
  <si>
    <t xml:space="preserve">   First 30,000 Mcf</t>
  </si>
  <si>
    <t>GTS Delivery Service -  Industrial</t>
  </si>
  <si>
    <t>GDS</t>
  </si>
  <si>
    <t>GTS Grandfathered Delivery Service - Commercial</t>
  </si>
  <si>
    <t>GTS Grandfathered Delivery Service - Industrial</t>
  </si>
  <si>
    <t>DS3</t>
  </si>
  <si>
    <t>GTS Main Line Service - Industrial</t>
  </si>
  <si>
    <t>FX1</t>
  </si>
  <si>
    <t>GTS Flex Rate - Commercial</t>
  </si>
  <si>
    <t>FX2</t>
  </si>
  <si>
    <t>GTS Flex Rate - Industrial</t>
  </si>
  <si>
    <t>FX5</t>
  </si>
  <si>
    <t>FX7</t>
  </si>
  <si>
    <t>SAS</t>
  </si>
  <si>
    <t>GTS Special Agency Service</t>
  </si>
  <si>
    <t>GTS Special Rate - Industrial</t>
  </si>
  <si>
    <t>SC3</t>
  </si>
  <si>
    <t>Other Gas Department Revenues</t>
  </si>
  <si>
    <t>Acct. 487 Forfeited Discounts</t>
  </si>
  <si>
    <t>Acct. 488 Miscellaneous Service Revenue</t>
  </si>
  <si>
    <t>Acct. 495 Non-Traditional Sales</t>
  </si>
  <si>
    <t>Acct. 495 Prior Yr. Rate Refund - Net.</t>
  </si>
  <si>
    <t>Acct. 495 Other Gas Revenues - Other</t>
  </si>
  <si>
    <t>Summary</t>
  </si>
  <si>
    <t>Base Revenue</t>
  </si>
  <si>
    <t>Other Gas Department Revenue</t>
  </si>
  <si>
    <t>TOTAL REVENUE</t>
  </si>
  <si>
    <t>Summary by Rate Class</t>
  </si>
  <si>
    <t>General Service - Other</t>
  </si>
  <si>
    <t>Intrastate Utility Service</t>
  </si>
  <si>
    <t>Mainline Delivery Service / Special Contract</t>
  </si>
  <si>
    <t>Delivery Service / Interruptible Service</t>
  </si>
  <si>
    <t>Average Monthly Customer Bill Increase</t>
  </si>
  <si>
    <t>Acct. 493 Rent from Gas Property</t>
  </si>
  <si>
    <t>IS</t>
  </si>
  <si>
    <t>Interruptible Service - Industrial</t>
  </si>
  <si>
    <t xml:space="preserve">Ratemaking </t>
  </si>
  <si>
    <t>Adjustment</t>
  </si>
  <si>
    <t>Adjusted</t>
  </si>
  <si>
    <t>Page 1 of 6</t>
  </si>
  <si>
    <t>Page 2 of 6</t>
  </si>
  <si>
    <t>Page 3 of 6</t>
  </si>
  <si>
    <t>Page 4 of 6</t>
  </si>
  <si>
    <t>Page 5 of 6</t>
  </si>
  <si>
    <t>Page 6 of 6</t>
  </si>
  <si>
    <t xml:space="preserve">   Over 100,000 Mcf</t>
  </si>
  <si>
    <t xml:space="preserve">   Next 70,000 Mcf</t>
  </si>
  <si>
    <t>Customer Charge per billing period</t>
  </si>
  <si>
    <t>EECPRC per billing periodRC per billing period</t>
  </si>
  <si>
    <t>EAP per billing period</t>
  </si>
  <si>
    <t>Gas Cost Adjustment (GCA) (Per filed Schedule M)</t>
  </si>
  <si>
    <t xml:space="preserve">  First 50 Mcf or less per billing period</t>
  </si>
  <si>
    <t xml:space="preserve">  Next 350 Mcf per billing period</t>
  </si>
  <si>
    <t xml:space="preserve">  Next 600 Mcf per billing period</t>
  </si>
  <si>
    <t xml:space="preserve">  Over 1,000 Mcf per billing period</t>
  </si>
  <si>
    <t>EECPRC per billing period</t>
  </si>
  <si>
    <t xml:space="preserve">   First 30,000 Mcf per billing period</t>
  </si>
  <si>
    <t xml:space="preserve">   Next 70,000 Mcf per billing period</t>
  </si>
  <si>
    <t xml:space="preserve">   Over 100,000 Mcf per billing period</t>
  </si>
  <si>
    <t xml:space="preserve">   Over 30,000 Mcf per billing period</t>
  </si>
  <si>
    <t xml:space="preserve">   First 150,000 Mcf per billing period</t>
  </si>
  <si>
    <t xml:space="preserve">   Over 150,000 Mcf per billing period</t>
  </si>
  <si>
    <t>PSC Case No. 2024-00092</t>
  </si>
  <si>
    <t>Case No. 2024-00092</t>
  </si>
  <si>
    <t>D-2.6</t>
  </si>
  <si>
    <t>Rounding</t>
  </si>
  <si>
    <t>General Service - Residential @ 5.5 Mcf</t>
  </si>
  <si>
    <t>General Service - Commercial @ 30.4 Mcf</t>
  </si>
  <si>
    <t>Revenue Proof - Stipulation</t>
  </si>
  <si>
    <t>Per Stipulation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</si>
</sst>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0_);\(#,##0.0000\)"/>
    <numFmt numFmtId="166" formatCode="#,##0.0"/>
    <numFmt numFmtId="167" formatCode="&quot;$&quot;#,##0"/>
    <numFmt numFmtId="168" formatCode="&quot;$&quot;#,##0.0000_);\(&quot;$&quot;#,##0.0000\)"/>
    <numFmt numFmtId="169" formatCode="&quot;$&quot;#,##0.00"/>
    <numFmt numFmtId="170" formatCode="&quot;$&quot;#,##0.0000"/>
    <numFmt numFmtId="171" formatCode="_(&quot;$&quot;* #,##0_);_(&quot;$&quot;* \(#,##0\);_(&quot;$&quot;* &quot;-&quot;??_);_(@_)"/>
    <numFmt numFmtId="172" formatCode="0.0%"/>
  </numFmts>
  <fonts count="8" x14ac:knownFonts="1">
    <font>
      <sz val="8"/>
      <name val="Tms Rmn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Tms Rmn"/>
    </font>
    <font>
      <sz val="8"/>
      <name val="Tms Rm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3" fillId="0" borderId="0" xfId="0" applyNumberFormat="1" applyFont="1"/>
    <xf numFmtId="166" fontId="3" fillId="0" borderId="0" xfId="0" applyNumberFormat="1" applyFont="1"/>
    <xf numFmtId="0" fontId="3" fillId="0" borderId="0" xfId="0" quotePrefix="1" applyFont="1" applyAlignment="1">
      <alignment horizontal="center"/>
    </xf>
    <xf numFmtId="0" fontId="2" fillId="0" borderId="0" xfId="0" applyFont="1"/>
    <xf numFmtId="37" fontId="3" fillId="0" borderId="0" xfId="0" applyNumberFormat="1" applyFont="1"/>
    <xf numFmtId="170" fontId="3" fillId="0" borderId="0" xfId="0" applyNumberFormat="1" applyFont="1"/>
    <xf numFmtId="167" fontId="3" fillId="0" borderId="0" xfId="0" applyNumberFormat="1" applyFont="1"/>
    <xf numFmtId="164" fontId="3" fillId="0" borderId="0" xfId="0" applyNumberFormat="1" applyFont="1"/>
    <xf numFmtId="7" fontId="3" fillId="0" borderId="0" xfId="0" applyNumberFormat="1" applyFont="1"/>
    <xf numFmtId="5" fontId="3" fillId="0" borderId="0" xfId="0" applyNumberFormat="1" applyFont="1"/>
    <xf numFmtId="168" fontId="3" fillId="0" borderId="0" xfId="0" applyNumberFormat="1" applyFont="1"/>
    <xf numFmtId="5" fontId="3" fillId="0" borderId="0" xfId="1" applyNumberFormat="1" applyFont="1"/>
    <xf numFmtId="5" fontId="5" fillId="0" borderId="0" xfId="1" applyNumberFormat="1" applyFont="1"/>
    <xf numFmtId="5" fontId="5" fillId="0" borderId="0" xfId="0" applyNumberFormat="1" applyFont="1"/>
    <xf numFmtId="165" fontId="3" fillId="0" borderId="0" xfId="0" applyNumberFormat="1" applyFont="1"/>
    <xf numFmtId="172" fontId="3" fillId="0" borderId="0" xfId="0" applyNumberFormat="1" applyFont="1"/>
    <xf numFmtId="171" fontId="3" fillId="0" borderId="0" xfId="0" applyNumberFormat="1" applyFont="1"/>
    <xf numFmtId="171" fontId="3" fillId="0" borderId="0" xfId="1" applyNumberFormat="1" applyFont="1"/>
    <xf numFmtId="164" fontId="5" fillId="0" borderId="0" xfId="0" applyNumberFormat="1" applyFont="1"/>
    <xf numFmtId="0" fontId="3" fillId="0" borderId="0" xfId="0" quotePrefix="1" applyFont="1"/>
    <xf numFmtId="171" fontId="3" fillId="0" borderId="0" xfId="1" applyNumberFormat="1" applyFont="1" applyFill="1"/>
    <xf numFmtId="0" fontId="4" fillId="0" borderId="0" xfId="0" applyFont="1"/>
    <xf numFmtId="3" fontId="4" fillId="0" borderId="0" xfId="0" applyNumberFormat="1" applyFont="1"/>
    <xf numFmtId="166" fontId="4" fillId="0" borderId="0" xfId="0" applyNumberFormat="1" applyFont="1"/>
    <xf numFmtId="169" fontId="3" fillId="0" borderId="0" xfId="0" applyNumberFormat="1" applyFont="1"/>
    <xf numFmtId="3" fontId="2" fillId="0" borderId="0" xfId="0" applyNumberFormat="1" applyFont="1"/>
    <xf numFmtId="166" fontId="2" fillId="0" borderId="0" xfId="0" applyNumberFormat="1" applyFont="1"/>
    <xf numFmtId="37" fontId="2" fillId="0" borderId="0" xfId="0" applyNumberFormat="1" applyFont="1"/>
    <xf numFmtId="170" fontId="2" fillId="0" borderId="0" xfId="0" applyNumberFormat="1" applyFont="1"/>
    <xf numFmtId="167" fontId="2" fillId="0" borderId="0" xfId="0" applyNumberFormat="1" applyFont="1"/>
    <xf numFmtId="172" fontId="2" fillId="0" borderId="0" xfId="0" applyNumberFormat="1" applyFont="1"/>
    <xf numFmtId="5" fontId="3" fillId="0" borderId="0" xfId="1" applyNumberFormat="1" applyFont="1" applyFill="1"/>
    <xf numFmtId="37" fontId="3" fillId="0" borderId="0" xfId="1" applyNumberFormat="1" applyFont="1" applyFill="1"/>
    <xf numFmtId="37" fontId="5" fillId="0" borderId="0" xfId="0" applyNumberFormat="1" applyFont="1"/>
    <xf numFmtId="0" fontId="6" fillId="0" borderId="0" xfId="0" applyFont="1"/>
    <xf numFmtId="5" fontId="2" fillId="0" borderId="0" xfId="0" applyNumberFormat="1" applyFont="1"/>
    <xf numFmtId="10" fontId="2" fillId="0" borderId="0" xfId="0" applyNumberFormat="1" applyFont="1"/>
    <xf numFmtId="5" fontId="5" fillId="0" borderId="0" xfId="1" applyNumberFormat="1" applyFont="1" applyFill="1"/>
    <xf numFmtId="0" fontId="2" fillId="0" borderId="1" xfId="0" applyFont="1" applyBorder="1"/>
    <xf numFmtId="3" fontId="3" fillId="0" borderId="1" xfId="0" applyNumberFormat="1" applyFont="1" applyBorder="1"/>
    <xf numFmtId="166" fontId="3" fillId="0" borderId="1" xfId="0" applyNumberFormat="1" applyFont="1" applyBorder="1"/>
    <xf numFmtId="170" fontId="2" fillId="0" borderId="1" xfId="0" applyNumberFormat="1" applyFont="1" applyBorder="1"/>
    <xf numFmtId="171" fontId="2" fillId="0" borderId="0" xfId="1" applyNumberFormat="1" applyFont="1" applyFill="1"/>
    <xf numFmtId="164" fontId="2" fillId="0" borderId="0" xfId="0" applyNumberFormat="1" applyFont="1"/>
    <xf numFmtId="167" fontId="2" fillId="0" borderId="1" xfId="0" applyNumberFormat="1" applyFont="1" applyBorder="1"/>
    <xf numFmtId="43" fontId="3" fillId="0" borderId="0" xfId="2" applyFont="1"/>
    <xf numFmtId="43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Outcome%20Studies\Settlement%20Offer\Schedule%20M%20-%20Revenue,%20Final%20Rate%20Design,%20and%20Revennue%20Proof%20at%206125000%209-11-09%20backup%20by%20rate%20c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D-2.1 Output"/>
      <sheetName val="Input"/>
      <sheetName val="A"/>
      <sheetName val="B"/>
      <sheetName val="C"/>
      <sheetName val="D"/>
      <sheetName val="E pg 1 and 2"/>
      <sheetName val="E pg 3 to 6"/>
      <sheetName val="E pg 7"/>
      <sheetName val="Sch M 2.1"/>
      <sheetName val="Sch M 2.2"/>
      <sheetName val="Sch M 2.3"/>
      <sheetName val="Sch M"/>
      <sheetName val="MPB-6 Rate Design"/>
      <sheetName val="MPB-6 Page 4"/>
      <sheetName val="Revenue Proof"/>
      <sheetName val="Macros"/>
    </sheetNames>
    <sheetDataSet>
      <sheetData sheetId="0"/>
      <sheetData sheetId="1">
        <row r="18">
          <cell r="C18">
            <v>8.8880999999999997</v>
          </cell>
        </row>
        <row r="19">
          <cell r="C19">
            <v>1.2343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6">
          <cell r="M96">
            <v>0</v>
          </cell>
        </row>
      </sheetData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02"/>
  <sheetViews>
    <sheetView tabSelected="1" zoomScale="110" zoomScaleNormal="110" zoomScaleSheetLayoutView="80" workbookViewId="0">
      <selection sqref="A1:L1"/>
    </sheetView>
  </sheetViews>
  <sheetFormatPr defaultColWidth="9.59765625" defaultRowHeight="12.75" x14ac:dyDescent="0.2"/>
  <cols>
    <col min="1" max="1" width="8" style="2" customWidth="1"/>
    <col min="2" max="2" width="59.19921875" style="2" bestFit="1" customWidth="1"/>
    <col min="3" max="3" width="14.796875" style="2" bestFit="1" customWidth="1"/>
    <col min="4" max="4" width="18.796875" style="2" bestFit="1" customWidth="1"/>
    <col min="5" max="5" width="13.796875" style="2" bestFit="1" customWidth="1"/>
    <col min="6" max="6" width="18" style="2" bestFit="1" customWidth="1"/>
    <col min="7" max="7" width="16.3984375" style="2" bestFit="1" customWidth="1"/>
    <col min="8" max="8" width="18" style="2" bestFit="1" customWidth="1"/>
    <col min="9" max="9" width="12.796875" style="2" bestFit="1" customWidth="1"/>
    <col min="10" max="10" width="19.3984375" style="2" bestFit="1" customWidth="1"/>
    <col min="11" max="11" width="19.796875" style="2" bestFit="1" customWidth="1"/>
    <col min="12" max="12" width="3.59765625" style="2" customWidth="1"/>
    <col min="13" max="13" width="19.19921875" style="2" bestFit="1" customWidth="1"/>
    <col min="14" max="14" width="19.59765625" style="2" bestFit="1" customWidth="1"/>
    <col min="15" max="15" width="12.59765625" style="2" bestFit="1" customWidth="1"/>
    <col min="16" max="16384" width="9.59765625" style="2"/>
  </cols>
  <sheetData>
    <row r="1" spans="1:12" x14ac:dyDescent="0.2">
      <c r="A1" s="56" t="s">
        <v>113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56" t="s">
        <v>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x14ac:dyDescent="0.2">
      <c r="A4" s="55" t="s">
        <v>114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x14ac:dyDescent="0.2">
      <c r="A5" s="55" t="s">
        <v>119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x14ac:dyDescent="0.2">
      <c r="G6" s="1" t="s">
        <v>115</v>
      </c>
    </row>
    <row r="7" spans="1:12" x14ac:dyDescent="0.2">
      <c r="A7" s="1" t="s">
        <v>1</v>
      </c>
      <c r="B7" s="1" t="s">
        <v>2</v>
      </c>
      <c r="C7" s="3" t="s">
        <v>3</v>
      </c>
      <c r="D7" s="4" t="s">
        <v>4</v>
      </c>
      <c r="E7" s="1" t="s">
        <v>5</v>
      </c>
      <c r="F7" s="1" t="s">
        <v>6</v>
      </c>
      <c r="G7" s="1" t="s">
        <v>87</v>
      </c>
      <c r="H7" s="1" t="s">
        <v>9</v>
      </c>
      <c r="I7" s="1" t="s">
        <v>7</v>
      </c>
      <c r="J7" s="1" t="s">
        <v>8</v>
      </c>
      <c r="K7" s="1" t="s">
        <v>9</v>
      </c>
      <c r="L7" s="1"/>
    </row>
    <row r="8" spans="1:12" x14ac:dyDescent="0.2">
      <c r="A8" s="5" t="s">
        <v>10</v>
      </c>
      <c r="B8" s="5" t="s">
        <v>11</v>
      </c>
      <c r="C8" s="6" t="s">
        <v>12</v>
      </c>
      <c r="D8" s="7" t="s">
        <v>13</v>
      </c>
      <c r="E8" s="5" t="s">
        <v>14</v>
      </c>
      <c r="F8" s="5" t="s">
        <v>9</v>
      </c>
      <c r="G8" s="5" t="s">
        <v>88</v>
      </c>
      <c r="H8" s="5" t="s">
        <v>89</v>
      </c>
      <c r="I8" s="5" t="s">
        <v>14</v>
      </c>
      <c r="J8" s="5" t="s">
        <v>9</v>
      </c>
      <c r="K8" s="5" t="s">
        <v>15</v>
      </c>
      <c r="L8" s="5"/>
    </row>
    <row r="9" spans="1:12" x14ac:dyDescent="0.2">
      <c r="C9" s="8"/>
      <c r="D9" s="9"/>
      <c r="E9" s="10" t="s">
        <v>16</v>
      </c>
      <c r="F9" s="10" t="s">
        <v>17</v>
      </c>
      <c r="G9" s="10" t="s">
        <v>17</v>
      </c>
      <c r="H9" s="10" t="s">
        <v>17</v>
      </c>
      <c r="I9" s="10" t="s">
        <v>16</v>
      </c>
      <c r="J9" s="10" t="s">
        <v>17</v>
      </c>
      <c r="K9" s="10" t="s">
        <v>17</v>
      </c>
      <c r="L9" s="10"/>
    </row>
    <row r="10" spans="1:12" x14ac:dyDescent="0.2">
      <c r="B10" s="5" t="s">
        <v>18</v>
      </c>
      <c r="C10" s="6"/>
      <c r="D10" s="7"/>
    </row>
    <row r="11" spans="1:12" x14ac:dyDescent="0.2">
      <c r="A11" s="11" t="s">
        <v>19</v>
      </c>
      <c r="B11" s="2" t="s">
        <v>20</v>
      </c>
      <c r="C11" s="12"/>
      <c r="D11" s="9"/>
      <c r="E11" s="13"/>
      <c r="F11" s="14"/>
      <c r="G11" s="14"/>
      <c r="H11" s="14"/>
      <c r="I11" s="13"/>
    </row>
    <row r="12" spans="1:12" x14ac:dyDescent="0.2">
      <c r="A12" s="11"/>
      <c r="B12" s="2" t="s">
        <v>98</v>
      </c>
      <c r="C12" s="12">
        <v>1368429</v>
      </c>
      <c r="D12" s="15"/>
      <c r="E12" s="16">
        <v>19.75</v>
      </c>
      <c r="F12" s="17">
        <f>ROUND(C12*E12,2)</f>
        <v>27026472.75</v>
      </c>
      <c r="G12" s="17"/>
      <c r="H12" s="17">
        <f>F12+G12</f>
        <v>27026472.75</v>
      </c>
      <c r="I12" s="16">
        <v>21.25</v>
      </c>
      <c r="J12" s="17">
        <f>ROUND(I12*C12,2)</f>
        <v>29079116.25</v>
      </c>
      <c r="K12" s="17">
        <f t="shared" ref="K12:K18" si="0">J12-H12</f>
        <v>2052643.5</v>
      </c>
    </row>
    <row r="13" spans="1:12" x14ac:dyDescent="0.2">
      <c r="A13" s="11"/>
      <c r="B13" s="12" t="s">
        <v>21</v>
      </c>
      <c r="C13" s="12"/>
      <c r="D13" s="15">
        <v>7446384.0999999996</v>
      </c>
      <c r="E13" s="18">
        <v>5.2527999999999997</v>
      </c>
      <c r="F13" s="17">
        <f>ROUND(D13*E13,2)</f>
        <v>39114366.399999999</v>
      </c>
      <c r="G13" s="17"/>
      <c r="H13" s="17">
        <f t="shared" ref="H13:H17" si="1">F13+G13</f>
        <v>39114366.399999999</v>
      </c>
      <c r="I13" s="18">
        <v>6.0972999999999997</v>
      </c>
      <c r="J13" s="17">
        <f>ROUND(I13*D13,2)</f>
        <v>45402837.770000003</v>
      </c>
      <c r="K13" s="17">
        <f t="shared" si="0"/>
        <v>6288471.3700000048</v>
      </c>
    </row>
    <row r="14" spans="1:12" x14ac:dyDescent="0.2">
      <c r="A14" s="11"/>
      <c r="B14" s="12" t="s">
        <v>99</v>
      </c>
      <c r="C14" s="12"/>
      <c r="D14" s="15"/>
      <c r="E14" s="16">
        <v>0.08</v>
      </c>
      <c r="F14" s="17">
        <f>ROUND(C12*E14,2)</f>
        <v>109474.32</v>
      </c>
      <c r="G14" s="17"/>
      <c r="H14" s="17">
        <f t="shared" si="1"/>
        <v>109474.32</v>
      </c>
      <c r="I14" s="16">
        <f>E14</f>
        <v>0.08</v>
      </c>
      <c r="J14" s="17">
        <f>ROUND(C12*I14,2)</f>
        <v>109474.32</v>
      </c>
      <c r="K14" s="17">
        <f t="shared" si="0"/>
        <v>0</v>
      </c>
    </row>
    <row r="15" spans="1:12" x14ac:dyDescent="0.2">
      <c r="A15" s="11"/>
      <c r="B15" s="12" t="s">
        <v>100</v>
      </c>
      <c r="C15" s="12"/>
      <c r="D15" s="15"/>
      <c r="E15" s="16">
        <v>0.3</v>
      </c>
      <c r="F15" s="17">
        <f>ROUND(E15*C12,2)</f>
        <v>410528.7</v>
      </c>
      <c r="G15" s="17"/>
      <c r="H15" s="17">
        <f t="shared" si="1"/>
        <v>410528.7</v>
      </c>
      <c r="I15" s="16">
        <f>E15</f>
        <v>0.3</v>
      </c>
      <c r="J15" s="17">
        <f>ROUND(I15*C12,2)</f>
        <v>410528.7</v>
      </c>
      <c r="K15" s="17">
        <f t="shared" si="0"/>
        <v>0</v>
      </c>
    </row>
    <row r="16" spans="1:12" x14ac:dyDescent="0.2">
      <c r="A16" s="11"/>
      <c r="B16" s="12" t="s">
        <v>22</v>
      </c>
      <c r="C16" s="12"/>
      <c r="D16" s="15"/>
      <c r="E16" s="18">
        <v>1.03E-2</v>
      </c>
      <c r="F16" s="19">
        <f>ROUND(E16*D13,2)</f>
        <v>76697.759999999995</v>
      </c>
      <c r="G16" s="19">
        <f>-34251</f>
        <v>-34251</v>
      </c>
      <c r="H16" s="17">
        <f t="shared" si="1"/>
        <v>42446.759999999995</v>
      </c>
      <c r="I16" s="18">
        <v>5.7000000000000002E-3</v>
      </c>
      <c r="J16" s="19">
        <f>ROUND(I16*D13,2)</f>
        <v>42444.39</v>
      </c>
      <c r="K16" s="17">
        <f t="shared" si="0"/>
        <v>-2.3699999999953434</v>
      </c>
    </row>
    <row r="17" spans="1:12" x14ac:dyDescent="0.2">
      <c r="A17" s="11"/>
      <c r="B17" s="12" t="s">
        <v>101</v>
      </c>
      <c r="C17" s="12"/>
      <c r="D17" s="15"/>
      <c r="E17" s="18">
        <v>2.9433160357655703</v>
      </c>
      <c r="F17" s="19">
        <f>ROUND(D13*E17,2)</f>
        <v>21917061.73</v>
      </c>
      <c r="G17" s="19"/>
      <c r="H17" s="17">
        <f t="shared" si="1"/>
        <v>21917061.73</v>
      </c>
      <c r="I17" s="18">
        <f>E17</f>
        <v>2.9433160357655703</v>
      </c>
      <c r="J17" s="19">
        <f>ROUND(I17*D13,2)</f>
        <v>21917061.73</v>
      </c>
      <c r="K17" s="17">
        <f t="shared" si="0"/>
        <v>0</v>
      </c>
    </row>
    <row r="18" spans="1:12" x14ac:dyDescent="0.2">
      <c r="A18" s="11"/>
      <c r="B18" s="12" t="s">
        <v>116</v>
      </c>
      <c r="C18" s="12"/>
      <c r="D18" s="15"/>
      <c r="E18" s="18"/>
      <c r="F18" s="20">
        <v>0</v>
      </c>
      <c r="G18" s="20"/>
      <c r="H18" s="21">
        <v>0</v>
      </c>
      <c r="I18" s="18"/>
      <c r="J18" s="20">
        <f>83+2.37</f>
        <v>85.37</v>
      </c>
      <c r="K18" s="21">
        <f t="shared" si="0"/>
        <v>85.37</v>
      </c>
    </row>
    <row r="19" spans="1:12" x14ac:dyDescent="0.2">
      <c r="A19" s="11"/>
      <c r="B19" s="12" t="s">
        <v>23</v>
      </c>
      <c r="C19" s="12"/>
      <c r="D19" s="15"/>
      <c r="E19" s="22"/>
      <c r="F19" s="17">
        <f>SUM(F12:F18)</f>
        <v>88654601.659999996</v>
      </c>
      <c r="G19" s="17"/>
      <c r="H19" s="17">
        <f>SUM(H12:H18)</f>
        <v>88620350.659999996</v>
      </c>
      <c r="I19" s="18"/>
      <c r="J19" s="17">
        <f>SUM(J12:J18)</f>
        <v>96961548.530000016</v>
      </c>
      <c r="K19" s="17">
        <f>J19-H19</f>
        <v>8341197.8700000197</v>
      </c>
      <c r="L19" s="23"/>
    </row>
    <row r="20" spans="1:12" x14ac:dyDescent="0.2">
      <c r="A20" s="11"/>
      <c r="B20" s="12"/>
      <c r="C20" s="12"/>
      <c r="D20" s="15"/>
      <c r="E20" s="22"/>
      <c r="F20" s="17"/>
      <c r="G20" s="17"/>
      <c r="H20" s="17"/>
      <c r="I20" s="18"/>
      <c r="J20" s="17"/>
      <c r="K20" s="17"/>
      <c r="L20" s="23"/>
    </row>
    <row r="21" spans="1:12" x14ac:dyDescent="0.2">
      <c r="A21" s="11" t="s">
        <v>24</v>
      </c>
      <c r="B21" s="2" t="s">
        <v>25</v>
      </c>
      <c r="C21" s="12"/>
      <c r="D21" s="15"/>
      <c r="E21" s="13"/>
      <c r="F21" s="14"/>
      <c r="G21" s="14"/>
      <c r="H21" s="14"/>
      <c r="I21" s="13"/>
      <c r="K21" s="24"/>
    </row>
    <row r="22" spans="1:12" x14ac:dyDescent="0.2">
      <c r="A22" s="11"/>
      <c r="B22" s="2" t="s">
        <v>98</v>
      </c>
      <c r="C22" s="12">
        <v>0</v>
      </c>
      <c r="D22" s="15"/>
      <c r="E22" s="16">
        <v>79.09</v>
      </c>
      <c r="F22" s="17">
        <f>ROUND(E22*C22,2)</f>
        <v>0</v>
      </c>
      <c r="G22" s="17"/>
      <c r="H22" s="17">
        <f t="shared" ref="H22:H24" si="2">F22+G22</f>
        <v>0</v>
      </c>
      <c r="I22" s="16">
        <f>E22</f>
        <v>79.09</v>
      </c>
      <c r="J22" s="17">
        <f>ROUND(I22*C22,2)</f>
        <v>0</v>
      </c>
      <c r="K22" s="17">
        <f>J22-H22</f>
        <v>0</v>
      </c>
    </row>
    <row r="23" spans="1:12" x14ac:dyDescent="0.2">
      <c r="A23" s="11"/>
      <c r="B23" s="12" t="s">
        <v>21</v>
      </c>
      <c r="C23" s="12"/>
      <c r="D23" s="15">
        <v>0</v>
      </c>
      <c r="E23" s="18">
        <v>3.8148</v>
      </c>
      <c r="F23" s="17">
        <f>ROUND(E23*D23,2)</f>
        <v>0</v>
      </c>
      <c r="G23" s="17"/>
      <c r="H23" s="17">
        <f t="shared" si="2"/>
        <v>0</v>
      </c>
      <c r="I23" s="18">
        <f>E23</f>
        <v>3.8148</v>
      </c>
      <c r="J23" s="17">
        <f>ROUND(I23*D23,2)</f>
        <v>0</v>
      </c>
      <c r="K23" s="17">
        <f>J23-H23</f>
        <v>0</v>
      </c>
    </row>
    <row r="24" spans="1:12" x14ac:dyDescent="0.2">
      <c r="A24" s="11"/>
      <c r="B24" s="12" t="s">
        <v>101</v>
      </c>
      <c r="C24" s="12"/>
      <c r="D24" s="15"/>
      <c r="E24" s="18">
        <v>2.9432999999999998</v>
      </c>
      <c r="F24" s="20">
        <f>ROUND(D23*E24,2)</f>
        <v>0</v>
      </c>
      <c r="G24" s="20"/>
      <c r="H24" s="21">
        <f t="shared" si="2"/>
        <v>0</v>
      </c>
      <c r="I24" s="18">
        <f>E24</f>
        <v>2.9432999999999998</v>
      </c>
      <c r="J24" s="20">
        <f>ROUND(I24*D23,2)</f>
        <v>0</v>
      </c>
      <c r="K24" s="21">
        <f>J24-H24</f>
        <v>0</v>
      </c>
    </row>
    <row r="25" spans="1:12" x14ac:dyDescent="0.2">
      <c r="A25" s="11"/>
      <c r="B25" s="12" t="s">
        <v>23</v>
      </c>
      <c r="C25" s="12"/>
      <c r="D25" s="15"/>
      <c r="E25" s="18"/>
      <c r="F25" s="17">
        <f>SUM(F22:F24)</f>
        <v>0</v>
      </c>
      <c r="G25" s="17"/>
      <c r="H25" s="17">
        <f>SUM(H22:H24)</f>
        <v>0</v>
      </c>
      <c r="I25" s="28"/>
      <c r="J25" s="17">
        <f>SUM(J22:J24)</f>
        <v>0</v>
      </c>
      <c r="K25" s="17">
        <f>SUM(K22:K24)</f>
        <v>0</v>
      </c>
      <c r="L25" s="23"/>
    </row>
    <row r="26" spans="1:12" x14ac:dyDescent="0.2">
      <c r="A26" s="11"/>
      <c r="B26" s="12"/>
      <c r="C26" s="12"/>
      <c r="D26" s="15"/>
      <c r="E26" s="18"/>
      <c r="F26" s="17"/>
      <c r="G26" s="17"/>
      <c r="H26" s="17"/>
      <c r="I26" s="28"/>
      <c r="J26" s="17"/>
      <c r="K26" s="17"/>
      <c r="L26" s="23"/>
    </row>
    <row r="27" spans="1:12" x14ac:dyDescent="0.2">
      <c r="A27" s="11" t="s">
        <v>26</v>
      </c>
      <c r="B27" s="2" t="s">
        <v>27</v>
      </c>
      <c r="C27" s="12"/>
      <c r="D27" s="15"/>
      <c r="E27" s="13"/>
    </row>
    <row r="28" spans="1:12" x14ac:dyDescent="0.2">
      <c r="A28" s="11"/>
      <c r="B28" s="2" t="s">
        <v>98</v>
      </c>
      <c r="C28" s="12">
        <v>26</v>
      </c>
      <c r="D28" s="15"/>
      <c r="E28" s="16">
        <v>22.02</v>
      </c>
      <c r="F28" s="17">
        <f>ROUND(E28*C28,2)</f>
        <v>572.52</v>
      </c>
      <c r="G28" s="17"/>
      <c r="H28" s="17">
        <f t="shared" ref="H28:H30" si="3">F28+G28</f>
        <v>572.52</v>
      </c>
      <c r="I28" s="16">
        <f>E28</f>
        <v>22.02</v>
      </c>
      <c r="J28" s="17">
        <f>ROUND(I28*C28,2)</f>
        <v>572.52</v>
      </c>
      <c r="K28" s="17">
        <f>J28-H28</f>
        <v>0</v>
      </c>
    </row>
    <row r="29" spans="1:12" x14ac:dyDescent="0.2">
      <c r="A29" s="11"/>
      <c r="B29" s="12" t="s">
        <v>21</v>
      </c>
      <c r="C29" s="12"/>
      <c r="D29" s="15">
        <v>311</v>
      </c>
      <c r="E29" s="18">
        <v>5.1319999999999997</v>
      </c>
      <c r="F29" s="17">
        <f>ROUND(E29*D29,2)</f>
        <v>1596.05</v>
      </c>
      <c r="G29" s="17"/>
      <c r="H29" s="17">
        <f t="shared" si="3"/>
        <v>1596.05</v>
      </c>
      <c r="I29" s="18">
        <f>E29</f>
        <v>5.1319999999999997</v>
      </c>
      <c r="J29" s="17">
        <f>ROUND(I29*D29,2)</f>
        <v>1596.05</v>
      </c>
      <c r="K29" s="17">
        <f>J29-H29</f>
        <v>0</v>
      </c>
    </row>
    <row r="30" spans="1:12" x14ac:dyDescent="0.2">
      <c r="A30" s="11"/>
      <c r="B30" s="12" t="s">
        <v>101</v>
      </c>
      <c r="C30" s="12"/>
      <c r="D30" s="15"/>
      <c r="E30" s="18">
        <v>2.9432999999999998</v>
      </c>
      <c r="F30" s="20">
        <f>ROUND(D29*E30,2)</f>
        <v>915.37</v>
      </c>
      <c r="G30" s="20"/>
      <c r="H30" s="21">
        <f t="shared" si="3"/>
        <v>915.37</v>
      </c>
      <c r="I30" s="18">
        <f>E30</f>
        <v>2.9432999999999998</v>
      </c>
      <c r="J30" s="20">
        <f>ROUND(I30*D29,2)</f>
        <v>915.37</v>
      </c>
      <c r="K30" s="21">
        <f>J30-H30</f>
        <v>0</v>
      </c>
    </row>
    <row r="31" spans="1:12" x14ac:dyDescent="0.2">
      <c r="A31" s="11"/>
      <c r="B31" s="12" t="s">
        <v>23</v>
      </c>
      <c r="C31" s="12"/>
      <c r="D31" s="15"/>
      <c r="E31" s="18"/>
      <c r="F31" s="17">
        <f>SUM(F28:F30)</f>
        <v>3083.9399999999996</v>
      </c>
      <c r="G31" s="17"/>
      <c r="H31" s="17">
        <f>SUM(H28:H30)</f>
        <v>3083.9399999999996</v>
      </c>
      <c r="I31" s="28"/>
      <c r="J31" s="17">
        <f>SUM(J28:J30)</f>
        <v>3083.9399999999996</v>
      </c>
      <c r="K31" s="17">
        <f>SUM(K28:K30)</f>
        <v>0</v>
      </c>
      <c r="L31" s="23"/>
    </row>
    <row r="32" spans="1:12" x14ac:dyDescent="0.2">
      <c r="A32" s="11"/>
      <c r="B32" s="12"/>
      <c r="C32" s="12"/>
      <c r="D32" s="15"/>
      <c r="E32" s="18"/>
      <c r="F32" s="17"/>
      <c r="G32" s="17"/>
      <c r="H32" s="17"/>
      <c r="I32" s="28"/>
      <c r="J32" s="17"/>
      <c r="K32" s="17"/>
      <c r="L32" s="23"/>
    </row>
    <row r="33" spans="1:12" x14ac:dyDescent="0.2">
      <c r="A33" s="11" t="s">
        <v>28</v>
      </c>
      <c r="B33" s="2" t="s">
        <v>29</v>
      </c>
      <c r="C33" s="12"/>
      <c r="D33" s="15"/>
      <c r="E33" s="13"/>
      <c r="I33" s="28"/>
      <c r="J33" s="25"/>
      <c r="K33" s="24"/>
    </row>
    <row r="34" spans="1:12" x14ac:dyDescent="0.2">
      <c r="A34" s="11"/>
      <c r="B34" s="2" t="s">
        <v>98</v>
      </c>
      <c r="C34" s="12">
        <v>84</v>
      </c>
      <c r="D34" s="15"/>
      <c r="E34" s="16">
        <v>0</v>
      </c>
      <c r="F34" s="17">
        <f>ROUND(E34*C34,2)</f>
        <v>0</v>
      </c>
      <c r="G34" s="17"/>
      <c r="H34" s="17">
        <f t="shared" ref="H34:H35" si="4">F34+G34</f>
        <v>0</v>
      </c>
      <c r="I34" s="16">
        <f>E34</f>
        <v>0</v>
      </c>
      <c r="J34" s="17">
        <f>ROUND(I34*C34,2)</f>
        <v>0</v>
      </c>
      <c r="K34" s="17">
        <f>J34-H34</f>
        <v>0</v>
      </c>
    </row>
    <row r="35" spans="1:12" x14ac:dyDescent="0.2">
      <c r="B35" s="12" t="s">
        <v>21</v>
      </c>
      <c r="C35" s="12"/>
      <c r="D35" s="15">
        <v>963.1</v>
      </c>
      <c r="E35" s="18">
        <v>0.4</v>
      </c>
      <c r="F35" s="21">
        <f>ROUND(E35*D35,2)</f>
        <v>385.24</v>
      </c>
      <c r="G35" s="17"/>
      <c r="H35" s="21">
        <f t="shared" si="4"/>
        <v>385.24</v>
      </c>
      <c r="I35" s="18">
        <f>E35</f>
        <v>0.4</v>
      </c>
      <c r="J35" s="21">
        <f>ROUND(I35*D35,2)</f>
        <v>385.24</v>
      </c>
      <c r="K35" s="21">
        <f>J35-H35</f>
        <v>0</v>
      </c>
    </row>
    <row r="36" spans="1:12" x14ac:dyDescent="0.2">
      <c r="B36" s="12" t="s">
        <v>23</v>
      </c>
      <c r="C36" s="12"/>
      <c r="D36" s="15"/>
      <c r="E36" s="18"/>
      <c r="F36" s="17">
        <f>SUM(F34:F35)</f>
        <v>385.24</v>
      </c>
      <c r="G36" s="17"/>
      <c r="H36" s="17">
        <f>SUM(H34:H35)</f>
        <v>385.24</v>
      </c>
      <c r="I36" s="28"/>
      <c r="J36" s="17">
        <f>SUM(J34:J35)</f>
        <v>385.24</v>
      </c>
      <c r="K36" s="17">
        <f>SUM(K34:K35)</f>
        <v>0</v>
      </c>
      <c r="L36" s="23"/>
    </row>
    <row r="37" spans="1:12" x14ac:dyDescent="0.2">
      <c r="B37" s="12"/>
      <c r="C37" s="12"/>
      <c r="D37" s="15"/>
      <c r="E37" s="18"/>
      <c r="F37" s="17"/>
      <c r="G37" s="17"/>
      <c r="H37" s="17"/>
      <c r="I37" s="28"/>
      <c r="J37" s="17"/>
      <c r="K37" s="17"/>
      <c r="L37" s="23"/>
    </row>
    <row r="38" spans="1:12" x14ac:dyDescent="0.2">
      <c r="A38" s="11" t="s">
        <v>30</v>
      </c>
      <c r="B38" s="2" t="s">
        <v>29</v>
      </c>
      <c r="C38" s="12"/>
      <c r="D38" s="15"/>
      <c r="E38" s="13"/>
      <c r="I38" s="28"/>
      <c r="J38" s="25"/>
      <c r="K38" s="24"/>
    </row>
    <row r="39" spans="1:12" x14ac:dyDescent="0.2">
      <c r="A39" s="11"/>
      <c r="B39" s="2" t="s">
        <v>98</v>
      </c>
      <c r="C39" s="12">
        <v>0</v>
      </c>
      <c r="D39" s="15"/>
      <c r="E39" s="16">
        <v>0</v>
      </c>
      <c r="F39" s="17">
        <f>ROUND(E39*C39,2)</f>
        <v>0</v>
      </c>
      <c r="G39" s="17"/>
      <c r="H39" s="17">
        <f t="shared" ref="H39:H40" si="5">F39+G39</f>
        <v>0</v>
      </c>
      <c r="I39" s="16">
        <f>E39</f>
        <v>0</v>
      </c>
      <c r="J39" s="17">
        <f>ROUND(I39*C39,2)</f>
        <v>0</v>
      </c>
      <c r="K39" s="17">
        <f>J39-H39</f>
        <v>0</v>
      </c>
    </row>
    <row r="40" spans="1:12" x14ac:dyDescent="0.2">
      <c r="A40" s="11"/>
      <c r="B40" s="12" t="s">
        <v>21</v>
      </c>
      <c r="C40" s="12"/>
      <c r="D40" s="15">
        <v>0</v>
      </c>
      <c r="E40" s="18">
        <v>0</v>
      </c>
      <c r="F40" s="21">
        <f>ROUND(E40*D40,2)</f>
        <v>0</v>
      </c>
      <c r="G40" s="17"/>
      <c r="H40" s="21">
        <f t="shared" si="5"/>
        <v>0</v>
      </c>
      <c r="I40" s="18">
        <f>E40</f>
        <v>0</v>
      </c>
      <c r="J40" s="21">
        <f>ROUND(I40*D40,2)</f>
        <v>0</v>
      </c>
      <c r="K40" s="21">
        <f>J40-H40</f>
        <v>0</v>
      </c>
    </row>
    <row r="41" spans="1:12" x14ac:dyDescent="0.2">
      <c r="A41" s="11"/>
      <c r="B41" s="12" t="s">
        <v>23</v>
      </c>
      <c r="C41" s="12"/>
      <c r="D41" s="15"/>
      <c r="E41" s="18"/>
      <c r="F41" s="17">
        <f>SUM(F39:F40)</f>
        <v>0</v>
      </c>
      <c r="G41" s="17"/>
      <c r="H41" s="17">
        <f>SUM(H39:H40)</f>
        <v>0</v>
      </c>
      <c r="I41" s="28"/>
      <c r="J41" s="17">
        <f>SUM(J39:J40)</f>
        <v>0</v>
      </c>
      <c r="K41" s="17">
        <f>SUM(K39:K40)</f>
        <v>0</v>
      </c>
      <c r="L41" s="23"/>
    </row>
    <row r="42" spans="1:12" x14ac:dyDescent="0.2">
      <c r="A42" s="11"/>
      <c r="B42" s="12"/>
      <c r="C42" s="12"/>
      <c r="D42" s="15"/>
      <c r="E42" s="18"/>
      <c r="F42" s="17"/>
      <c r="G42" s="17"/>
      <c r="H42" s="17"/>
      <c r="I42" s="28"/>
      <c r="J42" s="17"/>
      <c r="K42" s="17"/>
      <c r="L42" s="23"/>
    </row>
    <row r="43" spans="1:12" x14ac:dyDescent="0.2">
      <c r="A43" s="11" t="s">
        <v>31</v>
      </c>
      <c r="B43" s="2" t="s">
        <v>29</v>
      </c>
      <c r="C43" s="12"/>
      <c r="D43" s="15"/>
      <c r="E43" s="13"/>
      <c r="I43" s="28"/>
      <c r="J43" s="25"/>
      <c r="K43" s="24"/>
    </row>
    <row r="44" spans="1:12" x14ac:dyDescent="0.2">
      <c r="A44" s="11"/>
      <c r="B44" s="2" t="s">
        <v>98</v>
      </c>
      <c r="C44" s="12">
        <v>24</v>
      </c>
      <c r="D44" s="15"/>
      <c r="E44" s="16">
        <v>0</v>
      </c>
      <c r="F44" s="17">
        <f>ROUND(E44*C44,2)</f>
        <v>0</v>
      </c>
      <c r="G44" s="17"/>
      <c r="H44" s="17">
        <f t="shared" ref="H44:H45" si="6">F44+G44</f>
        <v>0</v>
      </c>
      <c r="I44" s="16">
        <f>E44</f>
        <v>0</v>
      </c>
      <c r="J44" s="17">
        <f>ROUND(I44*C44,2)</f>
        <v>0</v>
      </c>
      <c r="K44" s="17">
        <f>J44-H44</f>
        <v>0</v>
      </c>
    </row>
    <row r="45" spans="1:12" x14ac:dyDescent="0.2">
      <c r="B45" s="12" t="s">
        <v>21</v>
      </c>
      <c r="C45" s="12"/>
      <c r="D45" s="15">
        <v>197.4</v>
      </c>
      <c r="E45" s="18">
        <v>0.6</v>
      </c>
      <c r="F45" s="21">
        <f>ROUND(E45*D45,2)</f>
        <v>118.44</v>
      </c>
      <c r="G45" s="17"/>
      <c r="H45" s="21">
        <f t="shared" si="6"/>
        <v>118.44</v>
      </c>
      <c r="I45" s="18">
        <f>E45</f>
        <v>0.6</v>
      </c>
      <c r="J45" s="21">
        <f>ROUND(I45*D45,2)</f>
        <v>118.44</v>
      </c>
      <c r="K45" s="21">
        <f>J45-H45</f>
        <v>0</v>
      </c>
    </row>
    <row r="46" spans="1:12" x14ac:dyDescent="0.2">
      <c r="B46" s="12" t="s">
        <v>23</v>
      </c>
      <c r="C46" s="12"/>
      <c r="D46" s="15"/>
      <c r="E46" s="18"/>
      <c r="F46" s="17">
        <f>SUM(F44:F45)</f>
        <v>118.44</v>
      </c>
      <c r="G46" s="17"/>
      <c r="H46" s="17">
        <f>SUM(H44:H45)</f>
        <v>118.44</v>
      </c>
      <c r="I46" s="28"/>
      <c r="J46" s="17">
        <f>SUM(J44:J45)</f>
        <v>118.44</v>
      </c>
      <c r="K46" s="17">
        <f>SUM(K44:K45)</f>
        <v>0</v>
      </c>
    </row>
    <row r="47" spans="1:12" x14ac:dyDescent="0.2">
      <c r="B47" s="12"/>
      <c r="C47" s="12"/>
      <c r="D47" s="15"/>
      <c r="E47" s="18"/>
      <c r="F47" s="17"/>
      <c r="G47" s="17"/>
      <c r="H47" s="17"/>
      <c r="I47" s="28"/>
      <c r="J47" s="17"/>
      <c r="K47" s="17"/>
      <c r="L47" s="23"/>
    </row>
    <row r="48" spans="1:12" x14ac:dyDescent="0.2">
      <c r="A48" s="56" t="str">
        <f>$A$1</f>
        <v>PSC Case No. 2024-00092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x14ac:dyDescent="0.2">
      <c r="A49" s="56" t="s">
        <v>91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x14ac:dyDescent="0.2">
      <c r="A50" s="55" t="s">
        <v>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2" x14ac:dyDescent="0.2">
      <c r="A51" s="55" t="str">
        <f>A4</f>
        <v>Case No. 2024-00092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2" x14ac:dyDescent="0.2">
      <c r="A52" s="55" t="str">
        <f>+A5</f>
        <v>Revenue Proof - Stipulation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2" x14ac:dyDescent="0.2">
      <c r="G53" s="1" t="str">
        <f>+G6</f>
        <v>D-2.6</v>
      </c>
    </row>
    <row r="54" spans="1:12" x14ac:dyDescent="0.2">
      <c r="A54" s="1" t="s">
        <v>1</v>
      </c>
      <c r="B54" s="1" t="s">
        <v>2</v>
      </c>
      <c r="C54" s="3" t="s">
        <v>3</v>
      </c>
      <c r="D54" s="4" t="s">
        <v>4</v>
      </c>
      <c r="E54" s="1" t="s">
        <v>5</v>
      </c>
      <c r="F54" s="1" t="s">
        <v>6</v>
      </c>
      <c r="G54" s="1" t="s">
        <v>87</v>
      </c>
      <c r="H54" s="1" t="s">
        <v>9</v>
      </c>
      <c r="I54" s="1" t="s">
        <v>7</v>
      </c>
      <c r="J54" s="1" t="s">
        <v>8</v>
      </c>
      <c r="K54" s="1" t="s">
        <v>9</v>
      </c>
      <c r="L54" s="1"/>
    </row>
    <row r="55" spans="1:12" x14ac:dyDescent="0.2">
      <c r="A55" s="5" t="s">
        <v>10</v>
      </c>
      <c r="B55" s="5" t="s">
        <v>11</v>
      </c>
      <c r="C55" s="6" t="s">
        <v>12</v>
      </c>
      <c r="D55" s="7" t="s">
        <v>13</v>
      </c>
      <c r="E55" s="5" t="s">
        <v>14</v>
      </c>
      <c r="F55" s="5" t="s">
        <v>9</v>
      </c>
      <c r="G55" s="5" t="s">
        <v>88</v>
      </c>
      <c r="H55" s="5" t="s">
        <v>89</v>
      </c>
      <c r="I55" s="5" t="s">
        <v>14</v>
      </c>
      <c r="J55" s="5" t="s">
        <v>9</v>
      </c>
      <c r="K55" s="5" t="s">
        <v>15</v>
      </c>
      <c r="L55" s="5"/>
    </row>
    <row r="56" spans="1:12" x14ac:dyDescent="0.2">
      <c r="C56" s="8"/>
      <c r="D56" s="9"/>
      <c r="E56" s="10" t="s">
        <v>16</v>
      </c>
      <c r="F56" s="10" t="s">
        <v>17</v>
      </c>
      <c r="G56" s="10" t="s">
        <v>17</v>
      </c>
      <c r="H56" s="10" t="s">
        <v>17</v>
      </c>
      <c r="I56" s="10" t="s">
        <v>16</v>
      </c>
      <c r="J56" s="10" t="s">
        <v>17</v>
      </c>
      <c r="K56" s="10" t="s">
        <v>17</v>
      </c>
      <c r="L56" s="10"/>
    </row>
    <row r="57" spans="1:12" x14ac:dyDescent="0.2">
      <c r="B57" s="5" t="s">
        <v>18</v>
      </c>
      <c r="C57" s="12"/>
      <c r="D57" s="15"/>
      <c r="E57" s="18"/>
      <c r="F57" s="17"/>
      <c r="G57" s="17"/>
      <c r="H57" s="17"/>
      <c r="I57" s="28"/>
      <c r="J57" s="17"/>
      <c r="K57" s="17"/>
      <c r="L57" s="23"/>
    </row>
    <row r="58" spans="1:12" x14ac:dyDescent="0.2">
      <c r="A58" s="11" t="s">
        <v>32</v>
      </c>
      <c r="B58" s="2" t="s">
        <v>33</v>
      </c>
      <c r="C58" s="12"/>
      <c r="D58" s="15"/>
      <c r="E58" s="13"/>
      <c r="F58" s="14"/>
      <c r="G58" s="14"/>
      <c r="H58" s="14"/>
      <c r="I58" s="28"/>
      <c r="J58" s="25"/>
      <c r="K58" s="24"/>
    </row>
    <row r="59" spans="1:12" x14ac:dyDescent="0.2">
      <c r="A59" s="11"/>
      <c r="B59" s="2" t="s">
        <v>98</v>
      </c>
      <c r="C59" s="12">
        <v>12</v>
      </c>
      <c r="D59" s="15"/>
      <c r="E59" s="16">
        <v>0</v>
      </c>
      <c r="F59" s="17">
        <f>ROUND(E59*C59,2)</f>
        <v>0</v>
      </c>
      <c r="G59" s="17"/>
      <c r="H59" s="17">
        <f t="shared" ref="H59:H60" si="7">F59+G59</f>
        <v>0</v>
      </c>
      <c r="I59" s="16">
        <f>E59</f>
        <v>0</v>
      </c>
      <c r="J59" s="17">
        <f>ROUND(I59*C59,2)</f>
        <v>0</v>
      </c>
      <c r="K59" s="17">
        <f>J59-H59</f>
        <v>0</v>
      </c>
    </row>
    <row r="60" spans="1:12" x14ac:dyDescent="0.2">
      <c r="A60" s="11"/>
      <c r="B60" s="12" t="s">
        <v>21</v>
      </c>
      <c r="C60" s="12"/>
      <c r="D60" s="15">
        <v>544.20000000000005</v>
      </c>
      <c r="E60" s="18">
        <v>0.35</v>
      </c>
      <c r="F60" s="21">
        <f>ROUND(E60*D60,2)</f>
        <v>190.47</v>
      </c>
      <c r="G60" s="21"/>
      <c r="H60" s="21">
        <f t="shared" si="7"/>
        <v>190.47</v>
      </c>
      <c r="I60" s="18">
        <f>E60</f>
        <v>0.35</v>
      </c>
      <c r="J60" s="21">
        <f>ROUND(I60*D60,2)</f>
        <v>190.47</v>
      </c>
      <c r="K60" s="21">
        <f>J60-H60</f>
        <v>0</v>
      </c>
    </row>
    <row r="61" spans="1:12" x14ac:dyDescent="0.2">
      <c r="A61" s="11"/>
      <c r="B61" s="12" t="s">
        <v>23</v>
      </c>
      <c r="C61" s="12"/>
      <c r="D61" s="15"/>
      <c r="E61" s="18"/>
      <c r="F61" s="17">
        <f>SUM(F59:F60)</f>
        <v>190.47</v>
      </c>
      <c r="G61" s="17"/>
      <c r="H61" s="17">
        <f>SUM(H59:H60)</f>
        <v>190.47</v>
      </c>
      <c r="I61" s="28"/>
      <c r="J61" s="17">
        <f>SUM(J59:J60)</f>
        <v>190.47</v>
      </c>
      <c r="K61" s="17">
        <f>SUM(K59:K60)</f>
        <v>0</v>
      </c>
      <c r="L61" s="23"/>
    </row>
    <row r="62" spans="1:12" x14ac:dyDescent="0.2">
      <c r="A62" s="11"/>
      <c r="B62" s="12"/>
      <c r="C62" s="12"/>
      <c r="D62" s="15"/>
      <c r="E62" s="18"/>
      <c r="F62" s="17"/>
      <c r="G62" s="17"/>
      <c r="H62" s="17"/>
      <c r="I62" s="28"/>
      <c r="J62" s="17"/>
      <c r="K62" s="17"/>
      <c r="L62" s="23"/>
    </row>
    <row r="63" spans="1:12" x14ac:dyDescent="0.2">
      <c r="A63" s="11" t="s">
        <v>32</v>
      </c>
      <c r="B63" s="2" t="s">
        <v>25</v>
      </c>
      <c r="C63" s="12"/>
      <c r="D63" s="15"/>
      <c r="F63" s="14"/>
      <c r="G63" s="14"/>
      <c r="H63" s="14"/>
      <c r="I63" s="28"/>
      <c r="J63" s="25"/>
      <c r="K63" s="24"/>
    </row>
    <row r="64" spans="1:12" x14ac:dyDescent="0.2">
      <c r="A64" s="11"/>
      <c r="B64" s="2" t="s">
        <v>98</v>
      </c>
      <c r="C64" s="12">
        <v>0</v>
      </c>
      <c r="D64" s="15"/>
      <c r="E64" s="16">
        <v>0</v>
      </c>
      <c r="F64" s="17">
        <f>ROUND(E64*C64,2)</f>
        <v>0</v>
      </c>
      <c r="G64" s="17"/>
      <c r="H64" s="17">
        <f t="shared" ref="H64:H65" si="8">F64+G64</f>
        <v>0</v>
      </c>
      <c r="I64" s="16">
        <f>E64</f>
        <v>0</v>
      </c>
      <c r="J64" s="17">
        <f>ROUND(I64*C64,2)</f>
        <v>0</v>
      </c>
      <c r="K64" s="17">
        <f>J64-H64</f>
        <v>0</v>
      </c>
    </row>
    <row r="65" spans="1:12" x14ac:dyDescent="0.2">
      <c r="A65" s="11"/>
      <c r="B65" s="12" t="s">
        <v>21</v>
      </c>
      <c r="C65" s="12"/>
      <c r="D65" s="15">
        <v>0</v>
      </c>
      <c r="E65" s="18">
        <v>0.35</v>
      </c>
      <c r="F65" s="21">
        <f>ROUND(E65*D65,2)</f>
        <v>0</v>
      </c>
      <c r="G65" s="21"/>
      <c r="H65" s="21">
        <f t="shared" si="8"/>
        <v>0</v>
      </c>
      <c r="I65" s="18">
        <f>E65</f>
        <v>0.35</v>
      </c>
      <c r="J65" s="21">
        <f>ROUND(I65*D65,2)</f>
        <v>0</v>
      </c>
      <c r="K65" s="21">
        <f>J65-H65</f>
        <v>0</v>
      </c>
    </row>
    <row r="66" spans="1:12" x14ac:dyDescent="0.2">
      <c r="A66" s="11"/>
      <c r="B66" s="12" t="s">
        <v>23</v>
      </c>
      <c r="C66" s="12"/>
      <c r="D66" s="15"/>
      <c r="E66" s="18"/>
      <c r="F66" s="17">
        <f>SUM(F64:F65)</f>
        <v>0</v>
      </c>
      <c r="G66" s="17"/>
      <c r="H66" s="17">
        <f>SUM(H64:H65)</f>
        <v>0</v>
      </c>
      <c r="I66" s="28"/>
      <c r="J66" s="17">
        <f>SUM(J64:J65)</f>
        <v>0</v>
      </c>
      <c r="K66" s="17">
        <f>SUM(K64:K65)</f>
        <v>0</v>
      </c>
      <c r="L66" s="23"/>
    </row>
    <row r="67" spans="1:12" x14ac:dyDescent="0.2">
      <c r="A67" s="11"/>
      <c r="B67" s="12"/>
      <c r="C67" s="12"/>
      <c r="D67" s="15"/>
      <c r="E67" s="18"/>
      <c r="F67" s="17"/>
      <c r="G67" s="17"/>
      <c r="H67" s="17"/>
      <c r="I67" s="28"/>
      <c r="J67" s="17"/>
      <c r="K67" s="17"/>
      <c r="L67" s="23"/>
    </row>
    <row r="68" spans="1:12" x14ac:dyDescent="0.2">
      <c r="A68" s="11" t="s">
        <v>34</v>
      </c>
      <c r="B68" s="2" t="s">
        <v>27</v>
      </c>
      <c r="C68" s="12"/>
      <c r="D68" s="15"/>
      <c r="F68" s="14"/>
      <c r="G68" s="14"/>
      <c r="H68" s="14"/>
      <c r="I68" s="28"/>
      <c r="J68" s="25"/>
      <c r="K68" s="24"/>
    </row>
    <row r="69" spans="1:12" x14ac:dyDescent="0.2">
      <c r="B69" s="2" t="s">
        <v>98</v>
      </c>
      <c r="C69" s="12">
        <v>12</v>
      </c>
      <c r="D69" s="15"/>
      <c r="E69" s="16">
        <v>1.2</v>
      </c>
      <c r="F69" s="17">
        <f>ROUND(E69*C69,2)</f>
        <v>14.4</v>
      </c>
      <c r="G69" s="17"/>
      <c r="H69" s="17">
        <f t="shared" ref="H69:H71" si="9">F69+G69</f>
        <v>14.4</v>
      </c>
      <c r="I69" s="16">
        <f>E69</f>
        <v>1.2</v>
      </c>
      <c r="J69" s="17">
        <f>ROUND(I69*C69,2)</f>
        <v>14.4</v>
      </c>
      <c r="K69" s="17">
        <f>J69-H69</f>
        <v>0</v>
      </c>
    </row>
    <row r="70" spans="1:12" x14ac:dyDescent="0.2">
      <c r="B70" s="2" t="s">
        <v>35</v>
      </c>
      <c r="C70" s="12"/>
      <c r="D70" s="15">
        <v>24.4</v>
      </c>
      <c r="E70" s="18">
        <v>0</v>
      </c>
      <c r="F70" s="17">
        <f>ROUND(E70*D70,2)</f>
        <v>0</v>
      </c>
      <c r="G70" s="17"/>
      <c r="H70" s="17">
        <f t="shared" si="9"/>
        <v>0</v>
      </c>
      <c r="I70" s="18">
        <f>E70</f>
        <v>0</v>
      </c>
      <c r="J70" s="17">
        <f>ROUND(I70*E70,2)</f>
        <v>0</v>
      </c>
      <c r="K70" s="17">
        <f>J70-H70</f>
        <v>0</v>
      </c>
    </row>
    <row r="71" spans="1:12" x14ac:dyDescent="0.2">
      <c r="B71" s="2" t="s">
        <v>36</v>
      </c>
      <c r="C71" s="12"/>
      <c r="D71" s="26">
        <v>352.9</v>
      </c>
      <c r="E71" s="18">
        <v>0.35</v>
      </c>
      <c r="F71" s="21">
        <f>ROUND(E71*D71,2)</f>
        <v>123.52</v>
      </c>
      <c r="G71" s="21"/>
      <c r="H71" s="21">
        <f t="shared" si="9"/>
        <v>123.52</v>
      </c>
      <c r="I71" s="18">
        <f>E71</f>
        <v>0.35</v>
      </c>
      <c r="J71" s="21">
        <f>ROUND(I71*D71,2)</f>
        <v>123.52</v>
      </c>
      <c r="K71" s="21">
        <f>J71-H71</f>
        <v>0</v>
      </c>
      <c r="L71" s="23"/>
    </row>
    <row r="72" spans="1:12" x14ac:dyDescent="0.2">
      <c r="B72" s="2" t="s">
        <v>23</v>
      </c>
      <c r="C72" s="12"/>
      <c r="D72" s="15">
        <f>SUM(D70:D71)</f>
        <v>377.29999999999995</v>
      </c>
      <c r="E72" s="18"/>
      <c r="F72" s="17">
        <f>SUM(F69:F71)</f>
        <v>137.91999999999999</v>
      </c>
      <c r="G72" s="17"/>
      <c r="H72" s="17">
        <f>SUM(H69:H71)</f>
        <v>137.91999999999999</v>
      </c>
      <c r="I72" s="28"/>
      <c r="J72" s="17">
        <f>SUM(J69:J71)</f>
        <v>137.91999999999999</v>
      </c>
      <c r="K72" s="17">
        <f>SUM(K69:K71)</f>
        <v>0</v>
      </c>
      <c r="L72" s="23"/>
    </row>
    <row r="73" spans="1:12" x14ac:dyDescent="0.2">
      <c r="C73" s="12"/>
      <c r="D73" s="15"/>
      <c r="E73" s="18"/>
      <c r="F73" s="17"/>
      <c r="G73" s="17"/>
      <c r="H73" s="17"/>
      <c r="I73" s="28"/>
      <c r="J73" s="17"/>
      <c r="K73" s="17"/>
      <c r="L73" s="23"/>
    </row>
    <row r="74" spans="1:12" x14ac:dyDescent="0.2">
      <c r="A74" s="11" t="s">
        <v>37</v>
      </c>
      <c r="B74" s="2" t="s">
        <v>27</v>
      </c>
      <c r="C74" s="8"/>
      <c r="D74" s="15"/>
      <c r="F74" s="14"/>
      <c r="G74" s="14"/>
      <c r="H74" s="14"/>
      <c r="I74" s="28"/>
      <c r="J74" s="25"/>
      <c r="K74" s="24"/>
    </row>
    <row r="75" spans="1:12" x14ac:dyDescent="0.2">
      <c r="A75" s="11"/>
      <c r="B75" s="2" t="s">
        <v>98</v>
      </c>
      <c r="C75" s="12">
        <v>0</v>
      </c>
      <c r="D75" s="15"/>
      <c r="E75" s="16">
        <v>0</v>
      </c>
      <c r="F75" s="17">
        <f>ROUND(E75*C75,2)</f>
        <v>0</v>
      </c>
      <c r="G75" s="17"/>
      <c r="H75" s="17">
        <f t="shared" ref="H75:H76" si="10">F75+G75</f>
        <v>0</v>
      </c>
      <c r="I75" s="16">
        <f>E75</f>
        <v>0</v>
      </c>
      <c r="J75" s="17">
        <f>ROUND(I75*C75,2)</f>
        <v>0</v>
      </c>
      <c r="K75" s="17">
        <f>J75-H75</f>
        <v>0</v>
      </c>
    </row>
    <row r="76" spans="1:12" x14ac:dyDescent="0.2">
      <c r="A76" s="11"/>
      <c r="B76" s="12" t="s">
        <v>21</v>
      </c>
      <c r="C76" s="8"/>
      <c r="D76" s="15">
        <v>0</v>
      </c>
      <c r="E76" s="18">
        <v>0.4</v>
      </c>
      <c r="F76" s="21">
        <f>ROUND(E76*D76,2)</f>
        <v>0</v>
      </c>
      <c r="G76" s="21"/>
      <c r="H76" s="21">
        <f t="shared" si="10"/>
        <v>0</v>
      </c>
      <c r="I76" s="18">
        <f>E76</f>
        <v>0.4</v>
      </c>
      <c r="J76" s="21">
        <f>ROUND(I76*D76,2)</f>
        <v>0</v>
      </c>
      <c r="K76" s="21">
        <f>J76-H76</f>
        <v>0</v>
      </c>
    </row>
    <row r="77" spans="1:12" x14ac:dyDescent="0.2">
      <c r="A77" s="11"/>
      <c r="B77" s="12" t="s">
        <v>23</v>
      </c>
      <c r="C77" s="8"/>
      <c r="D77" s="9"/>
      <c r="E77" s="13"/>
      <c r="F77" s="17">
        <f>SUM(F75:F76)</f>
        <v>0</v>
      </c>
      <c r="G77" s="17"/>
      <c r="H77" s="17">
        <f>SUM(H75:H76)</f>
        <v>0</v>
      </c>
      <c r="I77" s="28"/>
      <c r="J77" s="17">
        <f>SUM(J75:J76)</f>
        <v>0</v>
      </c>
      <c r="K77" s="17">
        <f>SUM(K75:K76)</f>
        <v>0</v>
      </c>
      <c r="L77" s="23"/>
    </row>
    <row r="78" spans="1:12" x14ac:dyDescent="0.2">
      <c r="A78" s="11"/>
      <c r="B78" s="12"/>
      <c r="C78" s="8"/>
      <c r="D78" s="9"/>
      <c r="E78" s="13"/>
      <c r="F78" s="17"/>
      <c r="G78" s="17"/>
      <c r="H78" s="17"/>
      <c r="I78" s="28"/>
      <c r="J78" s="17"/>
      <c r="K78" s="17"/>
      <c r="L78" s="23"/>
    </row>
    <row r="79" spans="1:12" x14ac:dyDescent="0.2">
      <c r="A79" s="11" t="s">
        <v>38</v>
      </c>
      <c r="B79" s="2" t="s">
        <v>39</v>
      </c>
      <c r="C79" s="8"/>
      <c r="D79" s="9"/>
      <c r="E79" s="13"/>
      <c r="F79" s="14"/>
      <c r="G79" s="14"/>
      <c r="H79" s="14"/>
      <c r="I79" s="28"/>
      <c r="J79" s="25"/>
      <c r="K79" s="24"/>
    </row>
    <row r="80" spans="1:12" x14ac:dyDescent="0.2">
      <c r="A80" s="11"/>
      <c r="B80" s="2" t="s">
        <v>98</v>
      </c>
      <c r="C80" s="12">
        <v>145108</v>
      </c>
      <c r="D80" s="9"/>
      <c r="E80" s="16">
        <v>83.71</v>
      </c>
      <c r="F80" s="17">
        <f>ROUND(E80*C80,2)</f>
        <v>12146990.68</v>
      </c>
      <c r="G80" s="17"/>
      <c r="H80" s="17">
        <f>F80+G80</f>
        <v>12146990.68</v>
      </c>
      <c r="I80" s="16">
        <v>110</v>
      </c>
      <c r="J80" s="17">
        <f>ROUND(I80*C80,2)</f>
        <v>15961880</v>
      </c>
      <c r="K80" s="17">
        <f t="shared" ref="K80:K88" si="11">J80-H80</f>
        <v>3814889.3200000003</v>
      </c>
    </row>
    <row r="81" spans="1:12" x14ac:dyDescent="0.2">
      <c r="A81" s="11"/>
      <c r="B81" s="27" t="s">
        <v>102</v>
      </c>
      <c r="C81" s="8"/>
      <c r="D81" s="15">
        <v>2022842.6</v>
      </c>
      <c r="E81" s="18">
        <v>3.2513000000000001</v>
      </c>
      <c r="F81" s="17">
        <f>ROUND(E81*D81,2)</f>
        <v>6576868.1500000004</v>
      </c>
      <c r="G81" s="17"/>
      <c r="H81" s="17">
        <f t="shared" ref="H81:H87" si="12">F81+G81</f>
        <v>6576868.1500000004</v>
      </c>
      <c r="I81" s="18">
        <v>3.1591</v>
      </c>
      <c r="J81" s="17">
        <f>ROUND(I81*D81,2)</f>
        <v>6390362.0599999996</v>
      </c>
      <c r="K81" s="17">
        <f t="shared" si="11"/>
        <v>-186506.09000000078</v>
      </c>
    </row>
    <row r="82" spans="1:12" x14ac:dyDescent="0.2">
      <c r="A82" s="11"/>
      <c r="B82" s="27" t="s">
        <v>103</v>
      </c>
      <c r="C82" s="8"/>
      <c r="D82" s="15">
        <v>1720934.5000000002</v>
      </c>
      <c r="E82" s="18">
        <v>2.5095999999999998</v>
      </c>
      <c r="F82" s="17">
        <f>ROUND(E82*D82,2)</f>
        <v>4318857.22</v>
      </c>
      <c r="G82" s="17"/>
      <c r="H82" s="17">
        <f t="shared" si="12"/>
        <v>4318857.22</v>
      </c>
      <c r="I82" s="18">
        <v>2.4384000000000001</v>
      </c>
      <c r="J82" s="17">
        <f>ROUND(I82*D82,2)</f>
        <v>4196326.68</v>
      </c>
      <c r="K82" s="17">
        <f t="shared" si="11"/>
        <v>-122530.54000000004</v>
      </c>
    </row>
    <row r="83" spans="1:12" x14ac:dyDescent="0.2">
      <c r="A83" s="11"/>
      <c r="B83" s="27" t="s">
        <v>104</v>
      </c>
      <c r="C83" s="8"/>
      <c r="D83" s="15">
        <v>375076.3000000001</v>
      </c>
      <c r="E83" s="18">
        <v>2.3855</v>
      </c>
      <c r="F83" s="17">
        <f>ROUND(E83*D83,2)</f>
        <v>894744.51</v>
      </c>
      <c r="G83" s="17"/>
      <c r="H83" s="17">
        <f t="shared" si="12"/>
        <v>894744.51</v>
      </c>
      <c r="I83" s="18">
        <v>2.3178999999999998</v>
      </c>
      <c r="J83" s="17">
        <f>ROUND(I83*D83,2)</f>
        <v>869389.36</v>
      </c>
      <c r="K83" s="17">
        <f t="shared" si="11"/>
        <v>-25355.150000000023</v>
      </c>
    </row>
    <row r="84" spans="1:12" x14ac:dyDescent="0.2">
      <c r="A84" s="11"/>
      <c r="B84" s="2" t="s">
        <v>105</v>
      </c>
      <c r="C84" s="8"/>
      <c r="D84" s="15">
        <v>247342.3</v>
      </c>
      <c r="E84" s="18">
        <v>2.17</v>
      </c>
      <c r="F84" s="17">
        <f>ROUND(E84*D84,2)</f>
        <v>536732.79</v>
      </c>
      <c r="G84" s="17"/>
      <c r="H84" s="17">
        <f t="shared" si="12"/>
        <v>536732.79</v>
      </c>
      <c r="I84" s="18">
        <v>2.1084999999999998</v>
      </c>
      <c r="J84" s="17">
        <f>ROUND(I84*D84,2)</f>
        <v>521521.24</v>
      </c>
      <c r="K84" s="17">
        <f t="shared" si="11"/>
        <v>-15211.550000000047</v>
      </c>
    </row>
    <row r="85" spans="1:12" x14ac:dyDescent="0.2">
      <c r="A85" s="11"/>
      <c r="B85" s="12" t="s">
        <v>22</v>
      </c>
      <c r="C85" s="12"/>
      <c r="D85" s="15"/>
      <c r="E85" s="18">
        <v>1.03E-2</v>
      </c>
      <c r="F85" s="19">
        <f>ROUND(E85*SUM(D81:D84),2)</f>
        <v>44971.82</v>
      </c>
      <c r="G85" s="19">
        <v>-20084.5</v>
      </c>
      <c r="H85" s="17">
        <f t="shared" si="12"/>
        <v>24887.32</v>
      </c>
      <c r="I85" s="18">
        <v>5.7000000000000002E-3</v>
      </c>
      <c r="J85" s="39">
        <f>ROUND(I85*SUM(D81:D84),2)</f>
        <v>24887.32</v>
      </c>
      <c r="K85" s="17">
        <f t="shared" si="11"/>
        <v>0</v>
      </c>
    </row>
    <row r="86" spans="1:12" x14ac:dyDescent="0.2">
      <c r="A86" s="11"/>
      <c r="B86" s="12" t="s">
        <v>101</v>
      </c>
      <c r="C86" s="12"/>
      <c r="D86" s="15"/>
      <c r="E86" s="18">
        <v>2.9433160357655703</v>
      </c>
      <c r="F86" s="19">
        <f>ROUND(SUM(D81:D84)*E86,2)</f>
        <v>12851093.82</v>
      </c>
      <c r="G86" s="19"/>
      <c r="H86" s="17">
        <f t="shared" si="12"/>
        <v>12851093.82</v>
      </c>
      <c r="I86" s="18">
        <f>E86</f>
        <v>2.9433160357655703</v>
      </c>
      <c r="J86" s="39">
        <f>ROUND(SUM(D81:D84)*I86,2)</f>
        <v>12851093.82</v>
      </c>
      <c r="K86" s="17">
        <f t="shared" si="11"/>
        <v>0</v>
      </c>
    </row>
    <row r="87" spans="1:12" x14ac:dyDescent="0.2">
      <c r="A87" s="11"/>
      <c r="B87" s="12" t="s">
        <v>116</v>
      </c>
      <c r="C87" s="12"/>
      <c r="D87" s="15"/>
      <c r="E87" s="18"/>
      <c r="F87" s="20">
        <v>0</v>
      </c>
      <c r="G87" s="20"/>
      <c r="H87" s="21">
        <f t="shared" si="12"/>
        <v>0</v>
      </c>
      <c r="I87" s="18"/>
      <c r="J87" s="45">
        <v>32</v>
      </c>
      <c r="K87" s="21">
        <f t="shared" si="11"/>
        <v>32</v>
      </c>
    </row>
    <row r="88" spans="1:12" x14ac:dyDescent="0.2">
      <c r="A88" s="11"/>
      <c r="B88" s="12" t="s">
        <v>23</v>
      </c>
      <c r="C88" s="12"/>
      <c r="D88" s="15">
        <f>SUM(D81:D84)</f>
        <v>4366195.7000000011</v>
      </c>
      <c r="E88" s="22"/>
      <c r="F88" s="17">
        <f>SUM(F80:F87)</f>
        <v>37370258.989999995</v>
      </c>
      <c r="G88" s="17"/>
      <c r="H88" s="17">
        <f>SUM(H80:H87)</f>
        <v>37350174.489999995</v>
      </c>
      <c r="I88" s="18"/>
      <c r="J88" s="17">
        <f>SUM(J80:J87)</f>
        <v>40815492.479999997</v>
      </c>
      <c r="K88" s="17">
        <f t="shared" si="11"/>
        <v>3465317.9900000021</v>
      </c>
      <c r="L88" s="23"/>
    </row>
    <row r="89" spans="1:12" x14ac:dyDescent="0.2">
      <c r="A89" s="11"/>
      <c r="B89" s="12"/>
      <c r="C89" s="12"/>
      <c r="D89" s="15"/>
      <c r="E89" s="22"/>
      <c r="F89" s="17"/>
      <c r="G89" s="17"/>
      <c r="H89" s="17"/>
      <c r="I89" s="18"/>
      <c r="J89" s="17"/>
      <c r="K89" s="17"/>
      <c r="L89" s="23"/>
    </row>
    <row r="90" spans="1:12" x14ac:dyDescent="0.2">
      <c r="A90" s="11" t="s">
        <v>38</v>
      </c>
      <c r="B90" s="2" t="s">
        <v>40</v>
      </c>
      <c r="C90" s="8"/>
      <c r="D90" s="9"/>
      <c r="E90" s="13"/>
      <c r="F90" s="14"/>
      <c r="G90" s="14"/>
      <c r="H90" s="14"/>
      <c r="I90" s="28"/>
      <c r="J90" s="28"/>
      <c r="K90" s="24"/>
    </row>
    <row r="91" spans="1:12" x14ac:dyDescent="0.2">
      <c r="A91" s="11"/>
      <c r="B91" s="2" t="s">
        <v>98</v>
      </c>
      <c r="C91" s="12">
        <v>624</v>
      </c>
      <c r="D91" s="9"/>
      <c r="E91" s="16">
        <f t="shared" ref="E91:E97" si="13">E80</f>
        <v>83.71</v>
      </c>
      <c r="F91" s="17">
        <f>ROUND(E91*C91,2)</f>
        <v>52235.040000000001</v>
      </c>
      <c r="G91" s="17"/>
      <c r="H91" s="17">
        <f>F91+G91</f>
        <v>52235.040000000001</v>
      </c>
      <c r="I91" s="16">
        <f t="shared" ref="I91:I97" si="14">I80</f>
        <v>110</v>
      </c>
      <c r="J91" s="17">
        <f>ROUND(I91*C91,2)</f>
        <v>68640</v>
      </c>
      <c r="K91" s="17">
        <f t="shared" ref="K91:K98" si="15">J91-H91</f>
        <v>16404.96</v>
      </c>
    </row>
    <row r="92" spans="1:12" x14ac:dyDescent="0.2">
      <c r="A92" s="11"/>
      <c r="B92" s="27" t="s">
        <v>102</v>
      </c>
      <c r="C92" s="8"/>
      <c r="D92" s="15">
        <v>17105.699999999997</v>
      </c>
      <c r="E92" s="18">
        <f t="shared" si="13"/>
        <v>3.2513000000000001</v>
      </c>
      <c r="F92" s="17">
        <f>ROUND(E92*D92,2)</f>
        <v>55615.76</v>
      </c>
      <c r="G92" s="17"/>
      <c r="H92" s="17">
        <f t="shared" ref="H92:H97" si="16">F92+G92</f>
        <v>55615.76</v>
      </c>
      <c r="I92" s="18">
        <f t="shared" si="14"/>
        <v>3.1591</v>
      </c>
      <c r="J92" s="17">
        <f>ROUND(I92*D92,2)</f>
        <v>54038.62</v>
      </c>
      <c r="K92" s="17">
        <f t="shared" si="15"/>
        <v>-1577.1399999999994</v>
      </c>
    </row>
    <row r="93" spans="1:12" x14ac:dyDescent="0.2">
      <c r="A93" s="11"/>
      <c r="B93" s="27" t="s">
        <v>103</v>
      </c>
      <c r="C93" s="8"/>
      <c r="D93" s="15">
        <v>70288.600000000006</v>
      </c>
      <c r="E93" s="18">
        <f t="shared" si="13"/>
        <v>2.5095999999999998</v>
      </c>
      <c r="F93" s="17">
        <f>ROUND(E93*D93,2)</f>
        <v>176396.27</v>
      </c>
      <c r="G93" s="17"/>
      <c r="H93" s="17">
        <f t="shared" si="16"/>
        <v>176396.27</v>
      </c>
      <c r="I93" s="18">
        <f t="shared" si="14"/>
        <v>2.4384000000000001</v>
      </c>
      <c r="J93" s="17">
        <f>ROUND(I93*D93,2)</f>
        <v>171391.72</v>
      </c>
      <c r="K93" s="17">
        <f t="shared" si="15"/>
        <v>-5004.5499999999884</v>
      </c>
    </row>
    <row r="94" spans="1:12" x14ac:dyDescent="0.2">
      <c r="A94" s="11"/>
      <c r="B94" s="27" t="s">
        <v>104</v>
      </c>
      <c r="C94" s="8"/>
      <c r="D94" s="15">
        <v>60937.8</v>
      </c>
      <c r="E94" s="18">
        <f t="shared" si="13"/>
        <v>2.3855</v>
      </c>
      <c r="F94" s="17">
        <f>ROUND(E94*D94,2)</f>
        <v>145367.12</v>
      </c>
      <c r="G94" s="17"/>
      <c r="H94" s="17">
        <f t="shared" si="16"/>
        <v>145367.12</v>
      </c>
      <c r="I94" s="18">
        <f t="shared" si="14"/>
        <v>2.3178999999999998</v>
      </c>
      <c r="J94" s="17">
        <f>ROUND(I94*D94,2)</f>
        <v>141247.73000000001</v>
      </c>
      <c r="K94" s="17">
        <f t="shared" si="15"/>
        <v>-4119.3899999999849</v>
      </c>
    </row>
    <row r="95" spans="1:12" x14ac:dyDescent="0.2">
      <c r="A95" s="11"/>
      <c r="B95" s="2" t="s">
        <v>105</v>
      </c>
      <c r="C95" s="8"/>
      <c r="D95" s="15">
        <v>60041.5</v>
      </c>
      <c r="E95" s="18">
        <f t="shared" si="13"/>
        <v>2.17</v>
      </c>
      <c r="F95" s="17">
        <f>ROUND(E95*D95,2)</f>
        <v>130290.06</v>
      </c>
      <c r="G95" s="17"/>
      <c r="H95" s="17">
        <f t="shared" si="16"/>
        <v>130290.06</v>
      </c>
      <c r="I95" s="18">
        <f t="shared" si="14"/>
        <v>2.1084999999999998</v>
      </c>
      <c r="J95" s="17">
        <f>ROUND(I95*D95,2)</f>
        <v>126597.5</v>
      </c>
      <c r="K95" s="17">
        <f t="shared" si="15"/>
        <v>-3692.5599999999977</v>
      </c>
    </row>
    <row r="96" spans="1:12" x14ac:dyDescent="0.2">
      <c r="A96" s="11"/>
      <c r="B96" s="12" t="s">
        <v>22</v>
      </c>
      <c r="C96" s="12"/>
      <c r="D96" s="15"/>
      <c r="E96" s="18">
        <f t="shared" si="13"/>
        <v>1.03E-2</v>
      </c>
      <c r="F96" s="19">
        <f>ROUND(E96*SUM(D92:D95),2)</f>
        <v>2146.25</v>
      </c>
      <c r="G96" s="19">
        <v>-958.52</v>
      </c>
      <c r="H96" s="17">
        <f t="shared" si="16"/>
        <v>1187.73</v>
      </c>
      <c r="I96" s="18">
        <f t="shared" si="14"/>
        <v>5.7000000000000002E-3</v>
      </c>
      <c r="J96" s="39">
        <f>H96</f>
        <v>1187.73</v>
      </c>
      <c r="K96" s="17">
        <f t="shared" si="15"/>
        <v>0</v>
      </c>
    </row>
    <row r="97" spans="1:12" x14ac:dyDescent="0.2">
      <c r="A97" s="11"/>
      <c r="B97" s="12" t="s">
        <v>101</v>
      </c>
      <c r="C97" s="12"/>
      <c r="D97" s="26"/>
      <c r="E97" s="18">
        <f t="shared" si="13"/>
        <v>2.9433160357655703</v>
      </c>
      <c r="F97" s="20">
        <f>ROUND(SUM(D92:D95)*E97,2)</f>
        <v>613309.36</v>
      </c>
      <c r="G97" s="20"/>
      <c r="H97" s="21">
        <f t="shared" si="16"/>
        <v>613309.36</v>
      </c>
      <c r="I97" s="18">
        <f t="shared" si="14"/>
        <v>2.9433160357655703</v>
      </c>
      <c r="J97" s="45">
        <f>ROUND(SUM(D92:D95)*I97,2)</f>
        <v>613309.36</v>
      </c>
      <c r="K97" s="21">
        <f t="shared" si="15"/>
        <v>0</v>
      </c>
    </row>
    <row r="98" spans="1:12" x14ac:dyDescent="0.2">
      <c r="A98" s="11"/>
      <c r="B98" s="12" t="s">
        <v>23</v>
      </c>
      <c r="C98" s="12"/>
      <c r="D98" s="15">
        <f>SUM(D92:D95)</f>
        <v>208373.6</v>
      </c>
      <c r="E98" s="22"/>
      <c r="F98" s="17">
        <f>SUM(F91:F97)</f>
        <v>1175359.8599999999</v>
      </c>
      <c r="G98" s="17"/>
      <c r="H98" s="17">
        <f>SUM(H91:H97)</f>
        <v>1174401.3399999999</v>
      </c>
      <c r="I98" s="18"/>
      <c r="J98" s="17">
        <f>SUM(J91:J97)</f>
        <v>1176412.6599999999</v>
      </c>
      <c r="K98" s="17">
        <f t="shared" si="15"/>
        <v>2011.3200000000652</v>
      </c>
      <c r="L98" s="23"/>
    </row>
    <row r="99" spans="1:12" x14ac:dyDescent="0.2">
      <c r="A99" s="11"/>
      <c r="B99" s="12"/>
      <c r="C99" s="12"/>
      <c r="D99" s="15"/>
      <c r="E99" s="22"/>
      <c r="F99" s="17"/>
      <c r="G99" s="17"/>
      <c r="H99" s="17"/>
      <c r="I99" s="18"/>
      <c r="J99" s="17"/>
      <c r="K99" s="17"/>
      <c r="L99" s="23"/>
    </row>
    <row r="100" spans="1:12" x14ac:dyDescent="0.2">
      <c r="A100" s="56" t="str">
        <f>$A$1</f>
        <v>PSC Case No. 2024-00092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</row>
    <row r="101" spans="1:12" x14ac:dyDescent="0.2">
      <c r="A101" s="56" t="s">
        <v>92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</row>
    <row r="102" spans="1:12" x14ac:dyDescent="0.2">
      <c r="A102" s="55" t="s">
        <v>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</row>
    <row r="103" spans="1:12" x14ac:dyDescent="0.2">
      <c r="A103" s="55" t="str">
        <f>A4</f>
        <v>Case No. 2024-00092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</row>
    <row r="104" spans="1:12" x14ac:dyDescent="0.2">
      <c r="A104" s="55" t="str">
        <f>+A52</f>
        <v>Revenue Proof - Stipulation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</row>
    <row r="105" spans="1:12" x14ac:dyDescent="0.2">
      <c r="G105" s="1" t="str">
        <f>+G53</f>
        <v>D-2.6</v>
      </c>
    </row>
    <row r="106" spans="1:12" x14ac:dyDescent="0.2">
      <c r="A106" s="1" t="s">
        <v>1</v>
      </c>
      <c r="B106" s="1" t="s">
        <v>2</v>
      </c>
      <c r="C106" s="3" t="s">
        <v>3</v>
      </c>
      <c r="D106" s="4" t="s">
        <v>4</v>
      </c>
      <c r="E106" s="1" t="s">
        <v>5</v>
      </c>
      <c r="F106" s="1" t="s">
        <v>6</v>
      </c>
      <c r="G106" s="1" t="s">
        <v>87</v>
      </c>
      <c r="H106" s="1" t="s">
        <v>9</v>
      </c>
      <c r="I106" s="1" t="s">
        <v>7</v>
      </c>
      <c r="J106" s="1" t="s">
        <v>8</v>
      </c>
      <c r="K106" s="1" t="s">
        <v>9</v>
      </c>
      <c r="L106" s="1"/>
    </row>
    <row r="107" spans="1:12" x14ac:dyDescent="0.2">
      <c r="A107" s="5" t="s">
        <v>10</v>
      </c>
      <c r="B107" s="5" t="s">
        <v>11</v>
      </c>
      <c r="C107" s="6" t="s">
        <v>12</v>
      </c>
      <c r="D107" s="7" t="s">
        <v>13</v>
      </c>
      <c r="E107" s="5" t="s">
        <v>14</v>
      </c>
      <c r="F107" s="5" t="s">
        <v>9</v>
      </c>
      <c r="G107" s="5" t="s">
        <v>88</v>
      </c>
      <c r="H107" s="5" t="s">
        <v>89</v>
      </c>
      <c r="I107" s="5" t="s">
        <v>14</v>
      </c>
      <c r="J107" s="5" t="s">
        <v>9</v>
      </c>
      <c r="K107" s="5" t="s">
        <v>15</v>
      </c>
      <c r="L107" s="5"/>
    </row>
    <row r="108" spans="1:12" x14ac:dyDescent="0.2">
      <c r="C108" s="8"/>
      <c r="D108" s="9"/>
      <c r="E108" s="10" t="s">
        <v>16</v>
      </c>
      <c r="F108" s="10" t="s">
        <v>17</v>
      </c>
      <c r="G108" s="10" t="s">
        <v>17</v>
      </c>
      <c r="H108" s="10" t="s">
        <v>17</v>
      </c>
      <c r="I108" s="10" t="s">
        <v>16</v>
      </c>
      <c r="J108" s="10" t="s">
        <v>17</v>
      </c>
      <c r="K108" s="10" t="s">
        <v>17</v>
      </c>
      <c r="L108" s="10"/>
    </row>
    <row r="109" spans="1:12" x14ac:dyDescent="0.2">
      <c r="B109" s="5" t="s">
        <v>18</v>
      </c>
      <c r="C109" s="12"/>
      <c r="D109" s="15"/>
      <c r="E109" s="18"/>
      <c r="F109" s="17"/>
      <c r="G109" s="17"/>
      <c r="H109" s="17"/>
      <c r="I109" s="28"/>
      <c r="J109" s="17"/>
      <c r="K109" s="17"/>
      <c r="L109" s="23"/>
    </row>
    <row r="110" spans="1:12" x14ac:dyDescent="0.2">
      <c r="A110" s="11"/>
      <c r="B110" s="12"/>
      <c r="C110" s="12"/>
      <c r="D110" s="15"/>
      <c r="E110" s="22"/>
      <c r="F110" s="17"/>
      <c r="G110" s="17"/>
      <c r="H110" s="17"/>
      <c r="I110" s="18"/>
      <c r="J110" s="17"/>
      <c r="K110" s="17"/>
      <c r="L110" s="23"/>
    </row>
    <row r="111" spans="1:12" x14ac:dyDescent="0.2">
      <c r="A111" s="11" t="s">
        <v>85</v>
      </c>
      <c r="B111" s="2" t="s">
        <v>86</v>
      </c>
      <c r="C111" s="8"/>
      <c r="D111" s="9"/>
      <c r="E111" s="13"/>
      <c r="F111" s="14"/>
      <c r="G111" s="14"/>
      <c r="H111" s="14"/>
      <c r="I111" s="28"/>
      <c r="J111" s="25"/>
      <c r="K111" s="24"/>
    </row>
    <row r="112" spans="1:12" x14ac:dyDescent="0.2">
      <c r="A112" s="11"/>
      <c r="B112" s="2" t="s">
        <v>98</v>
      </c>
      <c r="C112" s="12">
        <v>0</v>
      </c>
      <c r="D112" s="15"/>
      <c r="E112" s="16">
        <v>3982.3</v>
      </c>
      <c r="F112" s="17">
        <f>ROUND(E112*C112,2)</f>
        <v>0</v>
      </c>
      <c r="G112" s="17"/>
      <c r="H112" s="17">
        <f t="shared" ref="H112:H117" si="17">F112+G112</f>
        <v>0</v>
      </c>
      <c r="I112" s="16">
        <v>5000</v>
      </c>
      <c r="J112" s="17">
        <f>ROUND(I112*C112,2)</f>
        <v>0</v>
      </c>
      <c r="K112" s="17">
        <f t="shared" ref="K112:K118" si="18">J112-H112</f>
        <v>0</v>
      </c>
    </row>
    <row r="113" spans="1:12" x14ac:dyDescent="0.2">
      <c r="A113" s="11"/>
      <c r="B113" s="2" t="s">
        <v>51</v>
      </c>
      <c r="C113" s="8"/>
      <c r="D113" s="15">
        <v>0</v>
      </c>
      <c r="E113" s="18">
        <v>0.70930000000000004</v>
      </c>
      <c r="F113" s="17">
        <f>ROUND(E113*D113,2)</f>
        <v>0</v>
      </c>
      <c r="G113" s="17"/>
      <c r="H113" s="17">
        <f t="shared" si="17"/>
        <v>0</v>
      </c>
      <c r="I113" s="18">
        <v>0.75109999999999999</v>
      </c>
      <c r="J113" s="17">
        <f>ROUND(I113*D113,2)</f>
        <v>0</v>
      </c>
      <c r="K113" s="17">
        <f t="shared" si="18"/>
        <v>0</v>
      </c>
    </row>
    <row r="114" spans="1:12" x14ac:dyDescent="0.2">
      <c r="A114" s="11"/>
      <c r="B114" s="2" t="s">
        <v>97</v>
      </c>
      <c r="C114" s="8"/>
      <c r="D114" s="15">
        <v>0</v>
      </c>
      <c r="E114" s="18">
        <v>0.43780000000000002</v>
      </c>
      <c r="F114" s="17">
        <f>ROUND(E114*D114,2)</f>
        <v>0</v>
      </c>
      <c r="G114" s="17"/>
      <c r="H114" s="17">
        <f t="shared" si="17"/>
        <v>0</v>
      </c>
      <c r="I114" s="18">
        <v>0.4637</v>
      </c>
      <c r="J114" s="17">
        <f>ROUND(I114*D114,2)</f>
        <v>0</v>
      </c>
      <c r="K114" s="17">
        <f t="shared" si="18"/>
        <v>0</v>
      </c>
    </row>
    <row r="115" spans="1:12" x14ac:dyDescent="0.2">
      <c r="A115" s="11"/>
      <c r="B115" s="2" t="s">
        <v>96</v>
      </c>
      <c r="C115" s="8"/>
      <c r="D115" s="15">
        <v>0</v>
      </c>
      <c r="E115" s="18">
        <v>0.24229999999999999</v>
      </c>
      <c r="F115" s="17">
        <f>ROUND(E115*D115,2)</f>
        <v>0</v>
      </c>
      <c r="G115" s="17"/>
      <c r="H115" s="17">
        <f t="shared" ref="H115" si="19">F115+G115</f>
        <v>0</v>
      </c>
      <c r="I115" s="18">
        <v>0.24229999999999999</v>
      </c>
      <c r="J115" s="17">
        <f>ROUND(I115*D115,2)</f>
        <v>0</v>
      </c>
      <c r="K115" s="17">
        <f t="shared" ref="K115" si="20">J115-H115</f>
        <v>0</v>
      </c>
    </row>
    <row r="116" spans="1:12" x14ac:dyDescent="0.2">
      <c r="A116" s="11"/>
      <c r="B116" s="12" t="s">
        <v>22</v>
      </c>
      <c r="C116" s="12"/>
      <c r="D116" s="15"/>
      <c r="E116" s="18">
        <v>1.03E-2</v>
      </c>
      <c r="F116" s="19">
        <f>ROUND(E116*(D113+D114),2)</f>
        <v>0</v>
      </c>
      <c r="G116" s="19">
        <v>0</v>
      </c>
      <c r="H116" s="17">
        <f t="shared" si="17"/>
        <v>0</v>
      </c>
      <c r="I116" s="18">
        <v>5.7000000000000002E-3</v>
      </c>
      <c r="J116" s="19">
        <f>ROUND(I116*(D113+D114),2)</f>
        <v>0</v>
      </c>
      <c r="K116" s="17">
        <f t="shared" si="18"/>
        <v>0</v>
      </c>
    </row>
    <row r="117" spans="1:12" x14ac:dyDescent="0.2">
      <c r="A117" s="11"/>
      <c r="B117" s="12" t="s">
        <v>101</v>
      </c>
      <c r="C117" s="12"/>
      <c r="D117" s="15"/>
      <c r="E117" s="18">
        <v>2.9433160357655703</v>
      </c>
      <c r="F117" s="20">
        <f>ROUND((D113+D114)*E117,2)</f>
        <v>0</v>
      </c>
      <c r="G117" s="20"/>
      <c r="H117" s="21">
        <f t="shared" si="17"/>
        <v>0</v>
      </c>
      <c r="I117" s="18">
        <f>E117</f>
        <v>2.9433160357655703</v>
      </c>
      <c r="J117" s="20">
        <f>ROUND((D113+D114)*I117,2)</f>
        <v>0</v>
      </c>
      <c r="K117" s="21">
        <f t="shared" si="18"/>
        <v>0</v>
      </c>
    </row>
    <row r="118" spans="1:12" x14ac:dyDescent="0.2">
      <c r="A118" s="11"/>
      <c r="B118" s="12" t="s">
        <v>23</v>
      </c>
      <c r="C118" s="12"/>
      <c r="D118" s="15">
        <f>SUM(D113:D114)</f>
        <v>0</v>
      </c>
      <c r="E118" s="22"/>
      <c r="F118" s="17">
        <f>SUM(F112:F117)</f>
        <v>0</v>
      </c>
      <c r="G118" s="17"/>
      <c r="H118" s="17">
        <f>SUM(H112:H117)</f>
        <v>0</v>
      </c>
      <c r="I118" s="18"/>
      <c r="J118" s="17">
        <f>SUM(J112:J117)</f>
        <v>0</v>
      </c>
      <c r="K118" s="17">
        <f t="shared" si="18"/>
        <v>0</v>
      </c>
      <c r="L118" s="23"/>
    </row>
    <row r="119" spans="1:12" x14ac:dyDescent="0.2">
      <c r="A119" s="11"/>
      <c r="B119" s="12"/>
      <c r="C119" s="12"/>
      <c r="D119" s="15"/>
      <c r="E119" s="22"/>
      <c r="F119" s="17"/>
      <c r="G119" s="17"/>
      <c r="H119" s="17"/>
      <c r="I119" s="18"/>
      <c r="J119" s="17"/>
      <c r="K119" s="17"/>
      <c r="L119" s="23"/>
    </row>
    <row r="120" spans="1:12" x14ac:dyDescent="0.2">
      <c r="A120" s="11" t="s">
        <v>41</v>
      </c>
      <c r="B120" s="2" t="s">
        <v>42</v>
      </c>
      <c r="C120" s="8"/>
      <c r="D120" s="9"/>
      <c r="E120" s="13"/>
      <c r="F120" s="14"/>
      <c r="G120" s="14"/>
      <c r="H120" s="14"/>
      <c r="I120" s="28"/>
      <c r="J120" s="25"/>
      <c r="K120" s="24"/>
    </row>
    <row r="121" spans="1:12" x14ac:dyDescent="0.2">
      <c r="A121" s="11"/>
      <c r="B121" s="2" t="s">
        <v>98</v>
      </c>
      <c r="C121" s="12">
        <v>24</v>
      </c>
      <c r="D121" s="15"/>
      <c r="E121" s="16">
        <v>945.24</v>
      </c>
      <c r="F121" s="17">
        <f>ROUND(E121*C121,2)</f>
        <v>22685.759999999998</v>
      </c>
      <c r="G121" s="17"/>
      <c r="H121" s="17">
        <f t="shared" ref="H121:H124" si="21">F121+G121</f>
        <v>22685.759999999998</v>
      </c>
      <c r="I121" s="16">
        <v>1135</v>
      </c>
      <c r="J121" s="17">
        <f>ROUND(I121*C121,2)</f>
        <v>27240</v>
      </c>
      <c r="K121" s="17">
        <f t="shared" ref="K121:K125" si="22">J121-H121</f>
        <v>4554.2400000000016</v>
      </c>
    </row>
    <row r="122" spans="1:12" x14ac:dyDescent="0.2">
      <c r="A122" s="11"/>
      <c r="B122" s="12" t="s">
        <v>21</v>
      </c>
      <c r="C122" s="8"/>
      <c r="D122" s="15">
        <v>10410.5</v>
      </c>
      <c r="E122" s="18">
        <v>1.1959</v>
      </c>
      <c r="F122" s="17">
        <f>ROUND(E122*D122,2)</f>
        <v>12449.92</v>
      </c>
      <c r="G122" s="17"/>
      <c r="H122" s="17">
        <f t="shared" si="21"/>
        <v>12449.92</v>
      </c>
      <c r="I122" s="18">
        <v>0.9204</v>
      </c>
      <c r="J122" s="17">
        <f>ROUND(I122*D122,2)</f>
        <v>9581.82</v>
      </c>
      <c r="K122" s="17">
        <f t="shared" si="22"/>
        <v>-2868.1000000000004</v>
      </c>
    </row>
    <row r="123" spans="1:12" x14ac:dyDescent="0.2">
      <c r="A123" s="11"/>
      <c r="B123" s="12" t="s">
        <v>22</v>
      </c>
      <c r="C123" s="12"/>
      <c r="D123" s="15"/>
      <c r="E123" s="18">
        <v>1.03E-2</v>
      </c>
      <c r="F123" s="19">
        <f>ROUND(E123*D122,2)</f>
        <v>107.23</v>
      </c>
      <c r="G123" s="19">
        <v>-47.89</v>
      </c>
      <c r="H123" s="17">
        <f t="shared" si="21"/>
        <v>59.34</v>
      </c>
      <c r="I123" s="18">
        <v>5.7000000000000002E-3</v>
      </c>
      <c r="J123" s="19">
        <f>ROUND(I123*D122,2)</f>
        <v>59.34</v>
      </c>
      <c r="K123" s="17">
        <f t="shared" si="22"/>
        <v>0</v>
      </c>
    </row>
    <row r="124" spans="1:12" x14ac:dyDescent="0.2">
      <c r="A124" s="11"/>
      <c r="B124" s="12" t="s">
        <v>101</v>
      </c>
      <c r="C124" s="12"/>
      <c r="D124" s="15"/>
      <c r="E124" s="18">
        <v>2.9433160357655703</v>
      </c>
      <c r="F124" s="20">
        <f>ROUND(D122*E124,2)</f>
        <v>30641.39</v>
      </c>
      <c r="G124" s="20"/>
      <c r="H124" s="21">
        <f t="shared" si="21"/>
        <v>30641.39</v>
      </c>
      <c r="I124" s="18">
        <f>E124</f>
        <v>2.9433160357655703</v>
      </c>
      <c r="J124" s="20">
        <f>ROUND(D122*I124,2)</f>
        <v>30641.39</v>
      </c>
      <c r="K124" s="21">
        <f t="shared" si="22"/>
        <v>0</v>
      </c>
    </row>
    <row r="125" spans="1:12" x14ac:dyDescent="0.2">
      <c r="A125" s="11"/>
      <c r="B125" s="12" t="s">
        <v>23</v>
      </c>
      <c r="C125" s="12"/>
      <c r="D125" s="15"/>
      <c r="E125" s="22"/>
      <c r="F125" s="17">
        <f>SUM(F121:F124)</f>
        <v>65884.3</v>
      </c>
      <c r="G125" s="17"/>
      <c r="H125" s="17">
        <f>SUM(H121:H124)</f>
        <v>65836.41</v>
      </c>
      <c r="I125" s="18"/>
      <c r="J125" s="17">
        <f>SUM(J121:J124)</f>
        <v>67522.549999999988</v>
      </c>
      <c r="K125" s="17">
        <f t="shared" si="22"/>
        <v>1686.1399999999849</v>
      </c>
      <c r="L125" s="23"/>
    </row>
    <row r="126" spans="1:12" x14ac:dyDescent="0.2">
      <c r="A126" s="11"/>
      <c r="B126" s="12"/>
      <c r="C126" s="8"/>
      <c r="D126" s="9"/>
      <c r="E126" s="13"/>
      <c r="F126" s="17"/>
      <c r="G126" s="17"/>
      <c r="H126" s="17"/>
      <c r="I126" s="28"/>
      <c r="J126" s="17"/>
      <c r="K126" s="17"/>
      <c r="L126" s="23"/>
    </row>
    <row r="127" spans="1:12" x14ac:dyDescent="0.2">
      <c r="B127" s="29" t="s">
        <v>43</v>
      </c>
      <c r="C127" s="30"/>
      <c r="D127" s="31"/>
      <c r="E127" s="13"/>
      <c r="F127" s="14"/>
      <c r="G127" s="14"/>
      <c r="H127" s="14"/>
      <c r="I127" s="28"/>
      <c r="J127" s="25"/>
      <c r="K127" s="24"/>
    </row>
    <row r="128" spans="1:12" x14ac:dyDescent="0.2">
      <c r="A128" s="11" t="s">
        <v>44</v>
      </c>
      <c r="B128" s="2" t="s">
        <v>45</v>
      </c>
      <c r="C128" s="8"/>
      <c r="D128" s="9"/>
      <c r="E128" s="13"/>
      <c r="F128" s="14"/>
      <c r="G128" s="14"/>
      <c r="H128" s="14"/>
      <c r="I128" s="28"/>
      <c r="J128" s="25"/>
      <c r="K128" s="24"/>
    </row>
    <row r="129" spans="1:12" x14ac:dyDescent="0.2">
      <c r="A129" s="11"/>
      <c r="B129" s="2" t="s">
        <v>98</v>
      </c>
      <c r="C129" s="12">
        <v>138125</v>
      </c>
      <c r="D129" s="15"/>
      <c r="E129" s="16">
        <v>19.75</v>
      </c>
      <c r="F129" s="17">
        <f>ROUND(E129*C129,2)</f>
        <v>2727968.75</v>
      </c>
      <c r="G129" s="17"/>
      <c r="H129" s="17">
        <f t="shared" ref="H129:H132" si="23">F129+G129</f>
        <v>2727968.75</v>
      </c>
      <c r="I129" s="16">
        <f>I12</f>
        <v>21.25</v>
      </c>
      <c r="J129" s="17">
        <f>ROUND(I129*C129,2)</f>
        <v>2935156.25</v>
      </c>
      <c r="K129" s="17">
        <f t="shared" ref="K129:K132" si="24">J129-H129</f>
        <v>207187.5</v>
      </c>
    </row>
    <row r="130" spans="1:12" x14ac:dyDescent="0.2">
      <c r="A130" s="11"/>
      <c r="B130" s="12" t="s">
        <v>21</v>
      </c>
      <c r="C130" s="12"/>
      <c r="D130" s="15">
        <v>836474.7</v>
      </c>
      <c r="E130" s="18">
        <v>5.2527999999999997</v>
      </c>
      <c r="F130" s="17">
        <f>ROUND(E130*D130,2)</f>
        <v>4393834.3</v>
      </c>
      <c r="G130" s="17"/>
      <c r="H130" s="17">
        <f t="shared" si="23"/>
        <v>4393834.3</v>
      </c>
      <c r="I130" s="18">
        <f>I13</f>
        <v>6.0972999999999997</v>
      </c>
      <c r="J130" s="17">
        <f>ROUND(I130*D130,2)</f>
        <v>5100237.1900000004</v>
      </c>
      <c r="K130" s="17">
        <f t="shared" si="24"/>
        <v>706402.8900000006</v>
      </c>
    </row>
    <row r="131" spans="1:12" x14ac:dyDescent="0.2">
      <c r="A131" s="11"/>
      <c r="B131" s="12" t="s">
        <v>106</v>
      </c>
      <c r="C131" s="12"/>
      <c r="D131" s="15"/>
      <c r="E131" s="16">
        <v>0.08</v>
      </c>
      <c r="F131" s="17">
        <f>ROUND(E131*C129,2)</f>
        <v>11050</v>
      </c>
      <c r="G131" s="17"/>
      <c r="H131" s="17">
        <f t="shared" si="23"/>
        <v>11050</v>
      </c>
      <c r="I131" s="16">
        <f>E131</f>
        <v>0.08</v>
      </c>
      <c r="J131" s="17">
        <f>ROUND(C129*I131,2)</f>
        <v>11050</v>
      </c>
      <c r="K131" s="17">
        <f t="shared" si="24"/>
        <v>0</v>
      </c>
    </row>
    <row r="132" spans="1:12" x14ac:dyDescent="0.2">
      <c r="A132" s="11"/>
      <c r="B132" s="12" t="s">
        <v>100</v>
      </c>
      <c r="C132" s="12"/>
      <c r="D132" s="26"/>
      <c r="E132" s="16">
        <v>0.3</v>
      </c>
      <c r="F132" s="21">
        <f>ROUND(E132*C129,2)</f>
        <v>41437.5</v>
      </c>
      <c r="G132" s="21"/>
      <c r="H132" s="21">
        <f t="shared" si="23"/>
        <v>41437.5</v>
      </c>
      <c r="I132" s="16">
        <f>E132</f>
        <v>0.3</v>
      </c>
      <c r="J132" s="21">
        <f>ROUND(I132*C129,2)</f>
        <v>41437.5</v>
      </c>
      <c r="K132" s="21">
        <f t="shared" si="24"/>
        <v>0</v>
      </c>
      <c r="L132" s="23"/>
    </row>
    <row r="133" spans="1:12" x14ac:dyDescent="0.2">
      <c r="A133" s="11"/>
      <c r="B133" s="12" t="s">
        <v>23</v>
      </c>
      <c r="C133" s="12"/>
      <c r="D133" s="15"/>
      <c r="E133" s="18"/>
      <c r="F133" s="17">
        <f>SUM(F129:F132)</f>
        <v>7174290.5499999998</v>
      </c>
      <c r="G133" s="17"/>
      <c r="H133" s="17">
        <f>SUM(H129:H132)</f>
        <v>7174290.5499999998</v>
      </c>
      <c r="I133" s="28"/>
      <c r="J133" s="17">
        <f>SUM(J129:J132)</f>
        <v>8087880.9400000004</v>
      </c>
      <c r="K133" s="17">
        <f>SUM(K129:K132)</f>
        <v>913590.3900000006</v>
      </c>
      <c r="L133" s="23"/>
    </row>
    <row r="134" spans="1:12" x14ac:dyDescent="0.2">
      <c r="A134" s="11"/>
      <c r="B134" s="12"/>
      <c r="C134" s="12"/>
      <c r="D134" s="15"/>
      <c r="E134" s="18"/>
      <c r="F134" s="17"/>
      <c r="G134" s="17"/>
      <c r="H134" s="17"/>
      <c r="I134" s="28"/>
      <c r="J134" s="17"/>
      <c r="K134" s="17"/>
      <c r="L134" s="23"/>
    </row>
    <row r="135" spans="1:12" x14ac:dyDescent="0.2">
      <c r="A135" s="11" t="s">
        <v>46</v>
      </c>
      <c r="B135" s="2" t="s">
        <v>47</v>
      </c>
      <c r="C135" s="8"/>
      <c r="D135" s="9"/>
      <c r="E135" s="13"/>
      <c r="F135" s="14"/>
      <c r="G135" s="14"/>
      <c r="H135" s="14"/>
      <c r="I135" s="28"/>
      <c r="J135" s="25"/>
      <c r="K135" s="24"/>
    </row>
    <row r="136" spans="1:12" x14ac:dyDescent="0.2">
      <c r="A136" s="11"/>
      <c r="B136" s="2" t="s">
        <v>98</v>
      </c>
      <c r="C136" s="12">
        <v>22804</v>
      </c>
      <c r="D136" s="9"/>
      <c r="E136" s="16">
        <v>83.71</v>
      </c>
      <c r="F136" s="17">
        <f>ROUND(E136*C136,2)</f>
        <v>1908922.84</v>
      </c>
      <c r="G136" s="17"/>
      <c r="H136" s="17">
        <f t="shared" ref="H136:H140" si="25">F136+G136</f>
        <v>1908922.84</v>
      </c>
      <c r="I136" s="16">
        <f>I80</f>
        <v>110</v>
      </c>
      <c r="J136" s="17">
        <f>ROUND(I136*C136,2)</f>
        <v>2508440</v>
      </c>
      <c r="K136" s="17">
        <f t="shared" ref="K136:K141" si="26">J136-H136</f>
        <v>599517.15999999992</v>
      </c>
    </row>
    <row r="137" spans="1:12" x14ac:dyDescent="0.2">
      <c r="A137" s="11"/>
      <c r="B137" s="27" t="s">
        <v>102</v>
      </c>
      <c r="C137" s="8"/>
      <c r="D137" s="15">
        <v>407354.79999999993</v>
      </c>
      <c r="E137" s="18">
        <v>3.2513000000000001</v>
      </c>
      <c r="F137" s="17">
        <f>ROUND(E137*D137,2)</f>
        <v>1324432.6599999999</v>
      </c>
      <c r="G137" s="17"/>
      <c r="H137" s="17">
        <f t="shared" si="25"/>
        <v>1324432.6599999999</v>
      </c>
      <c r="I137" s="18">
        <f>I81</f>
        <v>3.1591</v>
      </c>
      <c r="J137" s="17">
        <f>ROUND(I137*D137,2)</f>
        <v>1286874.55</v>
      </c>
      <c r="K137" s="17">
        <f t="shared" si="26"/>
        <v>-37558.10999999987</v>
      </c>
    </row>
    <row r="138" spans="1:12" x14ac:dyDescent="0.2">
      <c r="A138" s="11"/>
      <c r="B138" s="27" t="s">
        <v>103</v>
      </c>
      <c r="C138" s="8"/>
      <c r="D138" s="15">
        <v>483721.99999999994</v>
      </c>
      <c r="E138" s="18">
        <v>2.5095999999999998</v>
      </c>
      <c r="F138" s="17">
        <f>ROUND(E138*D138,2)</f>
        <v>1213948.73</v>
      </c>
      <c r="G138" s="17"/>
      <c r="H138" s="17">
        <f t="shared" si="25"/>
        <v>1213948.73</v>
      </c>
      <c r="I138" s="18">
        <f>I82</f>
        <v>2.4384000000000001</v>
      </c>
      <c r="J138" s="17">
        <f>ROUND(I138*D138,2)</f>
        <v>1179507.72</v>
      </c>
      <c r="K138" s="17">
        <f t="shared" si="26"/>
        <v>-34441.010000000009</v>
      </c>
    </row>
    <row r="139" spans="1:12" x14ac:dyDescent="0.2">
      <c r="A139" s="11"/>
      <c r="B139" s="27" t="s">
        <v>104</v>
      </c>
      <c r="C139" s="8"/>
      <c r="D139" s="15">
        <v>134419</v>
      </c>
      <c r="E139" s="18">
        <v>2.3855</v>
      </c>
      <c r="F139" s="17">
        <f>ROUND(E139*D139,2)</f>
        <v>320656.52</v>
      </c>
      <c r="G139" s="17"/>
      <c r="H139" s="17">
        <f t="shared" si="25"/>
        <v>320656.52</v>
      </c>
      <c r="I139" s="18">
        <f>I83</f>
        <v>2.3178999999999998</v>
      </c>
      <c r="J139" s="17">
        <f>ROUND(I139*D139,2)</f>
        <v>311569.8</v>
      </c>
      <c r="K139" s="17">
        <f t="shared" si="26"/>
        <v>-9086.7200000000303</v>
      </c>
    </row>
    <row r="140" spans="1:12" x14ac:dyDescent="0.2">
      <c r="A140" s="11"/>
      <c r="B140" s="2" t="s">
        <v>105</v>
      </c>
      <c r="C140" s="8"/>
      <c r="D140" s="26">
        <v>42860.899999999994</v>
      </c>
      <c r="E140" s="18">
        <v>2.17</v>
      </c>
      <c r="F140" s="21">
        <f>ROUND(E140*D140,2)</f>
        <v>93008.15</v>
      </c>
      <c r="G140" s="17"/>
      <c r="H140" s="21">
        <f t="shared" si="25"/>
        <v>93008.15</v>
      </c>
      <c r="I140" s="18">
        <f>I84</f>
        <v>2.1084999999999998</v>
      </c>
      <c r="J140" s="21">
        <f>ROUND(I140*D140,2)</f>
        <v>90372.21</v>
      </c>
      <c r="K140" s="21">
        <f t="shared" si="26"/>
        <v>-2635.9399999999878</v>
      </c>
    </row>
    <row r="141" spans="1:12" x14ac:dyDescent="0.2">
      <c r="A141" s="11"/>
      <c r="B141" s="12" t="s">
        <v>23</v>
      </c>
      <c r="C141" s="12"/>
      <c r="D141" s="15">
        <f>SUM(D137:D140)</f>
        <v>1068356.6999999997</v>
      </c>
      <c r="E141" s="22"/>
      <c r="F141" s="17">
        <f>SUM(F136:F140)</f>
        <v>4860968.9000000004</v>
      </c>
      <c r="G141" s="17"/>
      <c r="H141" s="17">
        <f>SUM(H136:H140)</f>
        <v>4860968.9000000004</v>
      </c>
      <c r="I141" s="18"/>
      <c r="J141" s="17">
        <f>SUM(J136:J140)</f>
        <v>5376764.2799999993</v>
      </c>
      <c r="K141" s="17">
        <f t="shared" si="26"/>
        <v>515795.37999999896</v>
      </c>
      <c r="L141" s="23"/>
    </row>
    <row r="142" spans="1:12" x14ac:dyDescent="0.2">
      <c r="A142" s="11"/>
      <c r="B142" s="12"/>
      <c r="C142" s="12"/>
      <c r="D142" s="15"/>
      <c r="E142" s="22"/>
      <c r="F142" s="17"/>
      <c r="G142" s="17"/>
      <c r="H142" s="17"/>
      <c r="I142" s="18"/>
      <c r="J142" s="17"/>
      <c r="K142" s="17"/>
      <c r="L142" s="23"/>
    </row>
    <row r="143" spans="1:12" x14ac:dyDescent="0.2">
      <c r="A143" s="11"/>
      <c r="B143" s="12"/>
      <c r="C143" s="12"/>
      <c r="D143" s="15"/>
      <c r="E143" s="22"/>
      <c r="F143" s="17"/>
      <c r="G143" s="17"/>
      <c r="H143" s="17"/>
      <c r="I143" s="18"/>
      <c r="J143" s="17"/>
      <c r="K143" s="17"/>
      <c r="L143" s="23"/>
    </row>
    <row r="144" spans="1:12" x14ac:dyDescent="0.2">
      <c r="A144" s="11"/>
      <c r="B144" s="12"/>
      <c r="C144" s="12"/>
      <c r="D144" s="15"/>
      <c r="E144" s="22"/>
      <c r="F144" s="17"/>
      <c r="G144" s="17"/>
      <c r="H144" s="17"/>
      <c r="I144" s="18"/>
      <c r="J144" s="17"/>
      <c r="K144" s="17"/>
      <c r="L144" s="23"/>
    </row>
    <row r="145" spans="1:12" x14ac:dyDescent="0.2">
      <c r="A145" s="56" t="str">
        <f>$A$1</f>
        <v>PSC Case No. 2024-00092</v>
      </c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</row>
    <row r="146" spans="1:12" x14ac:dyDescent="0.2">
      <c r="A146" s="56" t="s">
        <v>93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</row>
    <row r="147" spans="1:12" x14ac:dyDescent="0.2">
      <c r="A147" s="55" t="s">
        <v>0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</row>
    <row r="148" spans="1:12" x14ac:dyDescent="0.2">
      <c r="A148" s="55" t="str">
        <f>A4</f>
        <v>Case No. 2024-00092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</row>
    <row r="149" spans="1:12" x14ac:dyDescent="0.2">
      <c r="A149" s="55" t="str">
        <f>+A104</f>
        <v>Revenue Proof - Stipulation</v>
      </c>
      <c r="B149" s="55"/>
      <c r="C149" s="55"/>
      <c r="D149" s="55"/>
      <c r="E149" s="55"/>
      <c r="F149" s="55"/>
      <c r="G149" s="55"/>
      <c r="H149" s="55"/>
      <c r="I149" s="55"/>
      <c r="J149" s="55"/>
      <c r="K149" s="55"/>
    </row>
    <row r="150" spans="1:12" x14ac:dyDescent="0.2">
      <c r="G150" s="1" t="str">
        <f>+G105</f>
        <v>D-2.6</v>
      </c>
    </row>
    <row r="151" spans="1:12" x14ac:dyDescent="0.2">
      <c r="A151" s="1" t="s">
        <v>1</v>
      </c>
      <c r="B151" s="1" t="s">
        <v>2</v>
      </c>
      <c r="C151" s="3" t="s">
        <v>3</v>
      </c>
      <c r="D151" s="4" t="s">
        <v>4</v>
      </c>
      <c r="E151" s="1" t="s">
        <v>5</v>
      </c>
      <c r="F151" s="1" t="s">
        <v>6</v>
      </c>
      <c r="G151" s="1" t="s">
        <v>87</v>
      </c>
      <c r="H151" s="1" t="s">
        <v>9</v>
      </c>
      <c r="I151" s="1" t="s">
        <v>7</v>
      </c>
      <c r="J151" s="1" t="s">
        <v>8</v>
      </c>
      <c r="K151" s="1" t="s">
        <v>9</v>
      </c>
      <c r="L151" s="1"/>
    </row>
    <row r="152" spans="1:12" x14ac:dyDescent="0.2">
      <c r="A152" s="5" t="s">
        <v>10</v>
      </c>
      <c r="B152" s="5" t="s">
        <v>11</v>
      </c>
      <c r="C152" s="6" t="s">
        <v>12</v>
      </c>
      <c r="D152" s="7" t="s">
        <v>13</v>
      </c>
      <c r="E152" s="5" t="s">
        <v>14</v>
      </c>
      <c r="F152" s="5" t="s">
        <v>9</v>
      </c>
      <c r="G152" s="5" t="s">
        <v>88</v>
      </c>
      <c r="H152" s="5" t="s">
        <v>89</v>
      </c>
      <c r="I152" s="5" t="s">
        <v>14</v>
      </c>
      <c r="J152" s="5" t="s">
        <v>9</v>
      </c>
      <c r="K152" s="5" t="s">
        <v>15</v>
      </c>
      <c r="L152" s="5"/>
    </row>
    <row r="153" spans="1:12" x14ac:dyDescent="0.2">
      <c r="C153" s="8"/>
      <c r="D153" s="9"/>
      <c r="E153" s="10" t="s">
        <v>16</v>
      </c>
      <c r="F153" s="10" t="s">
        <v>17</v>
      </c>
      <c r="G153" s="10" t="s">
        <v>17</v>
      </c>
      <c r="H153" s="10" t="s">
        <v>17</v>
      </c>
      <c r="I153" s="10" t="s">
        <v>16</v>
      </c>
      <c r="J153" s="10" t="s">
        <v>17</v>
      </c>
      <c r="K153" s="10" t="s">
        <v>17</v>
      </c>
      <c r="L153" s="10"/>
    </row>
    <row r="154" spans="1:12" x14ac:dyDescent="0.2">
      <c r="A154" s="11"/>
      <c r="B154" s="29" t="s">
        <v>43</v>
      </c>
      <c r="C154" s="12"/>
      <c r="D154" s="15"/>
      <c r="E154" s="22"/>
      <c r="F154" s="17"/>
      <c r="I154" s="18"/>
      <c r="J154" s="17"/>
      <c r="K154" s="17"/>
      <c r="L154" s="23"/>
    </row>
    <row r="155" spans="1:12" x14ac:dyDescent="0.2">
      <c r="A155" s="11"/>
      <c r="B155" s="12"/>
      <c r="C155" s="12"/>
      <c r="D155" s="15"/>
      <c r="E155" s="22"/>
      <c r="F155" s="17"/>
      <c r="G155" s="17"/>
      <c r="H155" s="17"/>
      <c r="I155" s="18"/>
      <c r="J155" s="17"/>
      <c r="K155" s="17"/>
      <c r="L155" s="23"/>
    </row>
    <row r="156" spans="1:12" x14ac:dyDescent="0.2">
      <c r="A156" s="11" t="s">
        <v>46</v>
      </c>
      <c r="B156" s="2" t="s">
        <v>48</v>
      </c>
      <c r="C156" s="12"/>
      <c r="D156" s="15"/>
      <c r="E156" s="22"/>
      <c r="F156" s="17"/>
      <c r="G156" s="17"/>
      <c r="H156" s="17"/>
      <c r="I156" s="18"/>
      <c r="J156" s="17"/>
      <c r="K156" s="17"/>
      <c r="L156" s="23"/>
    </row>
    <row r="157" spans="1:12" x14ac:dyDescent="0.2">
      <c r="A157" s="11"/>
      <c r="B157" s="2" t="s">
        <v>98</v>
      </c>
      <c r="C157" s="12">
        <v>150</v>
      </c>
      <c r="D157" s="9"/>
      <c r="E157" s="16">
        <f>E136</f>
        <v>83.71</v>
      </c>
      <c r="F157" s="17">
        <f>ROUND(E157*C157,2)</f>
        <v>12556.5</v>
      </c>
      <c r="G157" s="17"/>
      <c r="H157" s="17">
        <f t="shared" ref="H157:H161" si="27">F157+G157</f>
        <v>12556.5</v>
      </c>
      <c r="I157" s="16">
        <f>I136</f>
        <v>110</v>
      </c>
      <c r="J157" s="17">
        <f>ROUND(I157*C157,2)</f>
        <v>16500</v>
      </c>
      <c r="K157" s="17">
        <f t="shared" ref="K157:K162" si="28">J157-H157</f>
        <v>3943.5</v>
      </c>
    </row>
    <row r="158" spans="1:12" x14ac:dyDescent="0.2">
      <c r="A158" s="11"/>
      <c r="B158" s="27" t="s">
        <v>102</v>
      </c>
      <c r="C158" s="8"/>
      <c r="D158" s="15">
        <v>5810.5999999999995</v>
      </c>
      <c r="E158" s="18">
        <f>E137</f>
        <v>3.2513000000000001</v>
      </c>
      <c r="F158" s="17">
        <f>ROUND(E158*D158,2)</f>
        <v>18892</v>
      </c>
      <c r="G158" s="17"/>
      <c r="H158" s="17">
        <f t="shared" si="27"/>
        <v>18892</v>
      </c>
      <c r="I158" s="18">
        <f>I81</f>
        <v>3.1591</v>
      </c>
      <c r="J158" s="17">
        <f>ROUND(I158*D158,2)</f>
        <v>18356.27</v>
      </c>
      <c r="K158" s="17">
        <f t="shared" si="28"/>
        <v>-535.72999999999956</v>
      </c>
    </row>
    <row r="159" spans="1:12" x14ac:dyDescent="0.2">
      <c r="A159" s="11"/>
      <c r="B159" s="27" t="s">
        <v>103</v>
      </c>
      <c r="C159" s="8"/>
      <c r="D159" s="15">
        <v>28526.399999999998</v>
      </c>
      <c r="E159" s="18">
        <f>E138</f>
        <v>2.5095999999999998</v>
      </c>
      <c r="F159" s="17">
        <f>ROUND(E159*D159,2)</f>
        <v>71589.850000000006</v>
      </c>
      <c r="G159" s="17"/>
      <c r="H159" s="17">
        <f t="shared" si="27"/>
        <v>71589.850000000006</v>
      </c>
      <c r="I159" s="18">
        <f>I82</f>
        <v>2.4384000000000001</v>
      </c>
      <c r="J159" s="17">
        <f>ROUND(I159*D159,2)</f>
        <v>69558.77</v>
      </c>
      <c r="K159" s="17">
        <f t="shared" si="28"/>
        <v>-2031.0800000000017</v>
      </c>
    </row>
    <row r="160" spans="1:12" x14ac:dyDescent="0.2">
      <c r="A160" s="11"/>
      <c r="B160" s="27" t="s">
        <v>104</v>
      </c>
      <c r="C160" s="8"/>
      <c r="D160" s="15">
        <v>20547.099999999999</v>
      </c>
      <c r="E160" s="18">
        <f>E139</f>
        <v>2.3855</v>
      </c>
      <c r="F160" s="17">
        <f>ROUND(E160*D160,2)</f>
        <v>49015.11</v>
      </c>
      <c r="G160" s="17"/>
      <c r="H160" s="17">
        <f t="shared" si="27"/>
        <v>49015.11</v>
      </c>
      <c r="I160" s="18">
        <f>I83</f>
        <v>2.3178999999999998</v>
      </c>
      <c r="J160" s="17">
        <f>ROUND(I160*D160,2)</f>
        <v>47626.12</v>
      </c>
      <c r="K160" s="17">
        <f t="shared" si="28"/>
        <v>-1388.989999999998</v>
      </c>
    </row>
    <row r="161" spans="1:12" x14ac:dyDescent="0.2">
      <c r="A161" s="11"/>
      <c r="B161" s="2" t="s">
        <v>105</v>
      </c>
      <c r="C161" s="8"/>
      <c r="D161" s="26">
        <v>10739.599999999999</v>
      </c>
      <c r="E161" s="18">
        <f>E140</f>
        <v>2.17</v>
      </c>
      <c r="F161" s="21">
        <f>ROUND(E161*D161,2)</f>
        <v>23304.93</v>
      </c>
      <c r="G161" s="17"/>
      <c r="H161" s="21">
        <f t="shared" si="27"/>
        <v>23304.93</v>
      </c>
      <c r="I161" s="18">
        <f>I84</f>
        <v>2.1084999999999998</v>
      </c>
      <c r="J161" s="21">
        <f>ROUND(I161*D161,2)</f>
        <v>22644.45</v>
      </c>
      <c r="K161" s="21">
        <f t="shared" si="28"/>
        <v>-660.47999999999956</v>
      </c>
    </row>
    <row r="162" spans="1:12" x14ac:dyDescent="0.2">
      <c r="A162" s="11"/>
      <c r="B162" s="12" t="s">
        <v>23</v>
      </c>
      <c r="C162" s="12"/>
      <c r="D162" s="15">
        <f>SUM(D158:D161)</f>
        <v>65623.7</v>
      </c>
      <c r="E162" s="22"/>
      <c r="F162" s="17">
        <f>SUM(F157:F161)</f>
        <v>175358.39</v>
      </c>
      <c r="G162" s="17"/>
      <c r="H162" s="17">
        <f>SUM(H157:H161)</f>
        <v>175358.39</v>
      </c>
      <c r="I162" s="18"/>
      <c r="J162" s="17">
        <f>SUM(J157:J161)</f>
        <v>174685.61000000002</v>
      </c>
      <c r="K162" s="17">
        <f t="shared" si="28"/>
        <v>-672.77999999999884</v>
      </c>
      <c r="L162" s="23"/>
    </row>
    <row r="163" spans="1:12" x14ac:dyDescent="0.2">
      <c r="A163" s="11"/>
      <c r="B163" s="12"/>
      <c r="C163" s="12"/>
      <c r="D163" s="15"/>
      <c r="E163" s="22"/>
      <c r="F163" s="17"/>
      <c r="G163" s="17"/>
      <c r="H163" s="17"/>
      <c r="I163" s="18"/>
      <c r="J163" s="17"/>
      <c r="K163" s="17"/>
      <c r="L163" s="23"/>
    </row>
    <row r="164" spans="1:12" x14ac:dyDescent="0.2">
      <c r="A164" s="11" t="s">
        <v>49</v>
      </c>
      <c r="B164" s="2" t="s">
        <v>50</v>
      </c>
      <c r="C164" s="8"/>
      <c r="D164" s="9"/>
      <c r="E164" s="13"/>
      <c r="F164" s="14"/>
      <c r="G164" s="14"/>
      <c r="H164" s="14"/>
      <c r="I164" s="28"/>
      <c r="J164" s="25"/>
      <c r="K164" s="24"/>
    </row>
    <row r="165" spans="1:12" x14ac:dyDescent="0.2">
      <c r="A165" s="11"/>
      <c r="B165" s="2" t="s">
        <v>98</v>
      </c>
      <c r="C165" s="12">
        <v>265</v>
      </c>
      <c r="D165" s="9"/>
      <c r="E165" s="16">
        <v>3982.3</v>
      </c>
      <c r="F165" s="17">
        <f>ROUND(E165*C165,2)</f>
        <v>1055309.5</v>
      </c>
      <c r="G165" s="17"/>
      <c r="H165" s="17">
        <f t="shared" ref="H165:H167" si="29">F165+G165</f>
        <v>1055309.5</v>
      </c>
      <c r="I165" s="16">
        <f>I112</f>
        <v>5000</v>
      </c>
      <c r="J165" s="17">
        <f>ROUND(I165*C165,2)</f>
        <v>1325000</v>
      </c>
      <c r="K165" s="17">
        <f t="shared" ref="K165:K167" si="30">J165-H165</f>
        <v>269690.5</v>
      </c>
    </row>
    <row r="166" spans="1:12" x14ac:dyDescent="0.2">
      <c r="A166" s="11"/>
      <c r="B166" s="2" t="s">
        <v>51</v>
      </c>
      <c r="C166" s="8"/>
      <c r="D166" s="15">
        <v>2340866.4000000004</v>
      </c>
      <c r="E166" s="18">
        <v>0.70930000000000004</v>
      </c>
      <c r="F166" s="17">
        <f>ROUND(E166*D166,2)</f>
        <v>1660376.54</v>
      </c>
      <c r="G166" s="17"/>
      <c r="H166" s="17">
        <f t="shared" si="29"/>
        <v>1660376.54</v>
      </c>
      <c r="I166" s="18">
        <f>I113</f>
        <v>0.75109999999999999</v>
      </c>
      <c r="J166" s="17">
        <f>ROUND(I166*D166,2)</f>
        <v>1758224.75</v>
      </c>
      <c r="K166" s="17">
        <f t="shared" si="30"/>
        <v>97848.209999999963</v>
      </c>
    </row>
    <row r="167" spans="1:12" x14ac:dyDescent="0.2">
      <c r="A167" s="11"/>
      <c r="B167" s="2" t="s">
        <v>97</v>
      </c>
      <c r="C167" s="8"/>
      <c r="D167" s="15">
        <v>522600</v>
      </c>
      <c r="E167" s="18">
        <v>0.43780000000000002</v>
      </c>
      <c r="F167" s="17">
        <f>ROUND(E167*D167,2)</f>
        <v>228794.28</v>
      </c>
      <c r="G167" s="17"/>
      <c r="H167" s="17">
        <f t="shared" si="29"/>
        <v>228794.28</v>
      </c>
      <c r="I167" s="18">
        <f>I114</f>
        <v>0.4637</v>
      </c>
      <c r="J167" s="17">
        <f>ROUND(I167*D167,2)</f>
        <v>242329.62</v>
      </c>
      <c r="K167" s="17">
        <f t="shared" si="30"/>
        <v>13535.339999999997</v>
      </c>
    </row>
    <row r="168" spans="1:12" x14ac:dyDescent="0.2">
      <c r="A168" s="11"/>
      <c r="B168" s="2" t="s">
        <v>96</v>
      </c>
      <c r="C168" s="8"/>
      <c r="D168" s="26">
        <v>0</v>
      </c>
      <c r="E168" s="18">
        <v>0.24229999999999999</v>
      </c>
      <c r="F168" s="21">
        <f>ROUND(E168*D168,2)</f>
        <v>0</v>
      </c>
      <c r="G168" s="17"/>
      <c r="H168" s="21">
        <f t="shared" ref="H168" si="31">F168+G168</f>
        <v>0</v>
      </c>
      <c r="I168" s="18">
        <f>I115</f>
        <v>0.24229999999999999</v>
      </c>
      <c r="J168" s="21">
        <f>ROUND(I168*D168,2)</f>
        <v>0</v>
      </c>
      <c r="K168" s="21">
        <f t="shared" ref="K168" si="32">J168-H168</f>
        <v>0</v>
      </c>
    </row>
    <row r="169" spans="1:12" x14ac:dyDescent="0.2">
      <c r="A169" s="11"/>
      <c r="B169" s="2" t="s">
        <v>23</v>
      </c>
      <c r="C169" s="8"/>
      <c r="D169" s="15">
        <f>SUM(D166:D167)</f>
        <v>2863466.4000000004</v>
      </c>
      <c r="E169" s="13"/>
      <c r="F169" s="17">
        <f>SUM(F165:F168)</f>
        <v>2944480.32</v>
      </c>
      <c r="G169" s="17"/>
      <c r="H169" s="17">
        <f>SUM(H164:H168)</f>
        <v>2944480.32</v>
      </c>
      <c r="I169" s="28"/>
      <c r="J169" s="17">
        <f>SUM(J165:J168)</f>
        <v>3325554.37</v>
      </c>
      <c r="K169" s="17">
        <f>SUM(K165:K168)</f>
        <v>381074.04999999993</v>
      </c>
      <c r="L169" s="23"/>
    </row>
    <row r="170" spans="1:12" x14ac:dyDescent="0.2">
      <c r="A170" s="11"/>
      <c r="C170" s="8"/>
      <c r="D170" s="15"/>
      <c r="E170" s="13"/>
      <c r="F170" s="17"/>
      <c r="G170" s="17"/>
      <c r="H170" s="17"/>
      <c r="I170" s="28"/>
      <c r="J170" s="17"/>
      <c r="K170" s="17"/>
      <c r="L170" s="23"/>
    </row>
    <row r="171" spans="1:12" x14ac:dyDescent="0.2">
      <c r="A171" s="11" t="s">
        <v>49</v>
      </c>
      <c r="B171" s="2" t="s">
        <v>52</v>
      </c>
      <c r="C171" s="8"/>
      <c r="D171" s="9"/>
      <c r="E171" s="13"/>
      <c r="F171" s="14"/>
      <c r="G171" s="14"/>
      <c r="H171" s="14"/>
      <c r="I171" s="28"/>
      <c r="J171" s="25"/>
      <c r="K171" s="24"/>
    </row>
    <row r="172" spans="1:12" x14ac:dyDescent="0.2">
      <c r="A172" s="11"/>
      <c r="B172" s="2" t="s">
        <v>98</v>
      </c>
      <c r="C172" s="12">
        <v>480</v>
      </c>
      <c r="D172" s="9"/>
      <c r="E172" s="16">
        <v>3982.3</v>
      </c>
      <c r="F172" s="17">
        <f>ROUND(E172*C172,2)</f>
        <v>1911504</v>
      </c>
      <c r="G172" s="17"/>
      <c r="H172" s="17">
        <f t="shared" ref="H172:H174" si="33">F172+G172</f>
        <v>1911504</v>
      </c>
      <c r="I172" s="16">
        <f>I165</f>
        <v>5000</v>
      </c>
      <c r="J172" s="17">
        <f>ROUND(I172*C172,2)</f>
        <v>2400000</v>
      </c>
      <c r="K172" s="17">
        <f t="shared" ref="K172:K174" si="34">J172-H172</f>
        <v>488496</v>
      </c>
    </row>
    <row r="173" spans="1:12" x14ac:dyDescent="0.2">
      <c r="A173" s="11"/>
      <c r="B173" s="2" t="s">
        <v>107</v>
      </c>
      <c r="C173" s="8"/>
      <c r="D173" s="15">
        <v>3887743.7</v>
      </c>
      <c r="E173" s="18">
        <v>0.70930000000000004</v>
      </c>
      <c r="F173" s="17">
        <f>ROUND(E173*D173,2)</f>
        <v>2757576.61</v>
      </c>
      <c r="G173" s="17"/>
      <c r="H173" s="17">
        <f t="shared" si="33"/>
        <v>2757576.61</v>
      </c>
      <c r="I173" s="18">
        <f>I166</f>
        <v>0.75109999999999999</v>
      </c>
      <c r="J173" s="17">
        <f>ROUND(I173*D173,2)</f>
        <v>2920084.29</v>
      </c>
      <c r="K173" s="17">
        <f t="shared" si="34"/>
        <v>162507.68000000017</v>
      </c>
    </row>
    <row r="174" spans="1:12" x14ac:dyDescent="0.2">
      <c r="A174" s="11"/>
      <c r="B174" s="2" t="s">
        <v>108</v>
      </c>
      <c r="C174" s="8"/>
      <c r="D174" s="15">
        <v>1458320.4</v>
      </c>
      <c r="E174" s="18">
        <v>0.43780000000000002</v>
      </c>
      <c r="F174" s="17">
        <f>ROUND(E174*D174,2)</f>
        <v>638452.67000000004</v>
      </c>
      <c r="G174" s="17"/>
      <c r="H174" s="17">
        <f t="shared" si="33"/>
        <v>638452.67000000004</v>
      </c>
      <c r="I174" s="18">
        <f>I167</f>
        <v>0.4637</v>
      </c>
      <c r="J174" s="17">
        <f>ROUND(I174*D174,2)</f>
        <v>676223.17</v>
      </c>
      <c r="K174" s="17">
        <f t="shared" si="34"/>
        <v>37770.5</v>
      </c>
    </row>
    <row r="175" spans="1:12" x14ac:dyDescent="0.2">
      <c r="A175" s="11"/>
      <c r="B175" s="2" t="s">
        <v>109</v>
      </c>
      <c r="C175" s="8"/>
      <c r="D175" s="15">
        <v>912824.40000000014</v>
      </c>
      <c r="E175" s="18">
        <v>0.24229999999999999</v>
      </c>
      <c r="F175" s="17">
        <f>ROUND(E175*D175,2)</f>
        <v>221177.35</v>
      </c>
      <c r="G175" s="17"/>
      <c r="H175" s="17">
        <f t="shared" ref="H175" si="35">F175+G175</f>
        <v>221177.35</v>
      </c>
      <c r="I175" s="18">
        <f>I168</f>
        <v>0.24229999999999999</v>
      </c>
      <c r="J175" s="17">
        <f>ROUND(I175*D175,2)</f>
        <v>221177.35</v>
      </c>
      <c r="K175" s="17">
        <f t="shared" ref="K175:K176" si="36">J175-H175</f>
        <v>0</v>
      </c>
    </row>
    <row r="176" spans="1:12" x14ac:dyDescent="0.2">
      <c r="A176" s="11"/>
      <c r="B176" s="2" t="s">
        <v>116</v>
      </c>
      <c r="C176" s="8"/>
      <c r="D176" s="26"/>
      <c r="E176" s="18"/>
      <c r="F176" s="21">
        <v>0</v>
      </c>
      <c r="G176" s="17"/>
      <c r="H176" s="21">
        <v>0</v>
      </c>
      <c r="I176" s="18"/>
      <c r="J176" s="21">
        <v>470.33</v>
      </c>
      <c r="K176" s="21">
        <f t="shared" si="36"/>
        <v>470.33</v>
      </c>
    </row>
    <row r="177" spans="1:12" x14ac:dyDescent="0.2">
      <c r="A177" s="11"/>
      <c r="B177" s="2" t="s">
        <v>23</v>
      </c>
      <c r="C177" s="8"/>
      <c r="D177" s="15">
        <f>SUM(D173:D175)</f>
        <v>6258888.5</v>
      </c>
      <c r="E177" s="13"/>
      <c r="F177" s="17">
        <f>SUM(F172:F176)</f>
        <v>5528710.629999999</v>
      </c>
      <c r="G177" s="17"/>
      <c r="H177" s="17">
        <f>SUM(H172:H176)</f>
        <v>5528710.629999999</v>
      </c>
      <c r="I177" s="28"/>
      <c r="J177" s="17">
        <f>SUM(J172:J176)</f>
        <v>6217955.1399999997</v>
      </c>
      <c r="K177" s="17">
        <f>SUM(K172:K176)</f>
        <v>689244.51000000013</v>
      </c>
      <c r="L177" s="23"/>
    </row>
    <row r="178" spans="1:12" x14ac:dyDescent="0.2">
      <c r="A178" s="11"/>
      <c r="C178" s="8"/>
      <c r="D178" s="15"/>
      <c r="E178" s="13"/>
      <c r="F178" s="17"/>
      <c r="G178" s="17"/>
      <c r="H178" s="17"/>
      <c r="I178" s="28"/>
      <c r="J178" s="17"/>
      <c r="K178" s="17"/>
      <c r="L178" s="23"/>
    </row>
    <row r="179" spans="1:12" x14ac:dyDescent="0.2">
      <c r="A179" s="11" t="s">
        <v>53</v>
      </c>
      <c r="B179" s="2" t="s">
        <v>54</v>
      </c>
      <c r="C179" s="8"/>
      <c r="D179" s="15"/>
      <c r="E179" s="13"/>
      <c r="F179" s="17"/>
      <c r="G179" s="17"/>
      <c r="H179" s="17"/>
      <c r="I179" s="28"/>
      <c r="J179" s="17"/>
      <c r="K179" s="17"/>
      <c r="L179" s="23"/>
    </row>
    <row r="180" spans="1:12" x14ac:dyDescent="0.2">
      <c r="A180" s="11"/>
      <c r="B180" s="2" t="s">
        <v>98</v>
      </c>
      <c r="C180" s="12">
        <v>193</v>
      </c>
      <c r="D180" s="9"/>
      <c r="E180" s="16">
        <v>83.71</v>
      </c>
      <c r="F180" s="17">
        <f>ROUND(E180*C180,2)</f>
        <v>16156.03</v>
      </c>
      <c r="G180" s="17"/>
      <c r="H180" s="17">
        <f t="shared" ref="H180:H184" si="37">F180+G180</f>
        <v>16156.03</v>
      </c>
      <c r="I180" s="16">
        <f>I136</f>
        <v>110</v>
      </c>
      <c r="J180" s="17">
        <f>ROUND(I180*C180,2)</f>
        <v>21230</v>
      </c>
      <c r="K180" s="17">
        <f t="shared" ref="K180:K185" si="38">J180-H180</f>
        <v>5073.9699999999993</v>
      </c>
      <c r="L180" s="23"/>
    </row>
    <row r="181" spans="1:12" x14ac:dyDescent="0.2">
      <c r="A181" s="11"/>
      <c r="B181" s="27" t="s">
        <v>102</v>
      </c>
      <c r="C181" s="8"/>
      <c r="D181" s="15">
        <v>9400</v>
      </c>
      <c r="E181" s="18">
        <v>3.2513000000000001</v>
      </c>
      <c r="F181" s="17">
        <f>ROUND(E181*D181,2)</f>
        <v>30562.22</v>
      </c>
      <c r="G181" s="17"/>
      <c r="H181" s="17">
        <f t="shared" si="37"/>
        <v>30562.22</v>
      </c>
      <c r="I181" s="18">
        <f>I137</f>
        <v>3.1591</v>
      </c>
      <c r="J181" s="17">
        <f>ROUND(I181*D181,2)</f>
        <v>29695.54</v>
      </c>
      <c r="K181" s="17">
        <f t="shared" si="38"/>
        <v>-866.68000000000029</v>
      </c>
    </row>
    <row r="182" spans="1:12" x14ac:dyDescent="0.2">
      <c r="A182" s="11"/>
      <c r="B182" s="27" t="s">
        <v>103</v>
      </c>
      <c r="C182" s="8"/>
      <c r="D182" s="15">
        <v>64974.8</v>
      </c>
      <c r="E182" s="18">
        <v>2.5095999999999998</v>
      </c>
      <c r="F182" s="17">
        <f>ROUND(E182*D182,2)</f>
        <v>163060.76</v>
      </c>
      <c r="G182" s="17"/>
      <c r="H182" s="17">
        <f t="shared" si="37"/>
        <v>163060.76</v>
      </c>
      <c r="I182" s="18">
        <f>I138</f>
        <v>2.4384000000000001</v>
      </c>
      <c r="J182" s="17">
        <f>ROUND(I182*D182,2)</f>
        <v>158434.54999999999</v>
      </c>
      <c r="K182" s="17">
        <f t="shared" si="38"/>
        <v>-4626.210000000021</v>
      </c>
    </row>
    <row r="183" spans="1:12" x14ac:dyDescent="0.2">
      <c r="A183" s="11"/>
      <c r="B183" s="27" t="s">
        <v>104</v>
      </c>
      <c r="C183" s="8"/>
      <c r="D183" s="15">
        <v>98377.599999999991</v>
      </c>
      <c r="E183" s="18">
        <v>2.3855</v>
      </c>
      <c r="F183" s="17">
        <f>ROUND(E183*D183,2)</f>
        <v>234679.76</v>
      </c>
      <c r="G183" s="17"/>
      <c r="H183" s="17">
        <f t="shared" si="37"/>
        <v>234679.76</v>
      </c>
      <c r="I183" s="18">
        <f>I139</f>
        <v>2.3178999999999998</v>
      </c>
      <c r="J183" s="17">
        <f>ROUND(I183*D183,2)</f>
        <v>228029.44</v>
      </c>
      <c r="K183" s="17">
        <f t="shared" si="38"/>
        <v>-6650.320000000007</v>
      </c>
    </row>
    <row r="184" spans="1:12" x14ac:dyDescent="0.2">
      <c r="A184" s="11"/>
      <c r="B184" s="2" t="s">
        <v>105</v>
      </c>
      <c r="C184" s="8"/>
      <c r="D184" s="26">
        <v>278780.79999999999</v>
      </c>
      <c r="E184" s="18">
        <v>2.17</v>
      </c>
      <c r="F184" s="21">
        <f>ROUND(E184*D184,2)</f>
        <v>604954.34</v>
      </c>
      <c r="G184" s="17"/>
      <c r="H184" s="21">
        <f t="shared" si="37"/>
        <v>604954.34</v>
      </c>
      <c r="I184" s="18">
        <f>I140</f>
        <v>2.1084999999999998</v>
      </c>
      <c r="J184" s="21">
        <f>ROUND(I184*D184,2)</f>
        <v>587809.31999999995</v>
      </c>
      <c r="K184" s="21">
        <f t="shared" si="38"/>
        <v>-17145.020000000019</v>
      </c>
    </row>
    <row r="185" spans="1:12" x14ac:dyDescent="0.2">
      <c r="A185" s="11"/>
      <c r="B185" s="12" t="s">
        <v>23</v>
      </c>
      <c r="C185" s="12"/>
      <c r="D185" s="15">
        <f>SUM(D181:D184)</f>
        <v>451533.19999999995</v>
      </c>
      <c r="E185" s="22"/>
      <c r="F185" s="17">
        <f>SUM(F180:F184)</f>
        <v>1049413.1099999999</v>
      </c>
      <c r="G185" s="17"/>
      <c r="H185" s="17">
        <f>SUM(H180:H184)</f>
        <v>1049413.1099999999</v>
      </c>
      <c r="I185" s="18"/>
      <c r="J185" s="17">
        <f>SUM(J180:J184)</f>
        <v>1025198.85</v>
      </c>
      <c r="K185" s="17">
        <f t="shared" si="38"/>
        <v>-24214.259999999893</v>
      </c>
      <c r="L185" s="23"/>
    </row>
    <row r="186" spans="1:12" x14ac:dyDescent="0.2">
      <c r="A186" s="11"/>
      <c r="C186" s="8"/>
      <c r="D186" s="9"/>
      <c r="E186" s="13"/>
      <c r="F186" s="14"/>
      <c r="G186" s="14"/>
      <c r="H186" s="14"/>
      <c r="I186" s="28"/>
      <c r="J186" s="28"/>
      <c r="K186" s="24"/>
    </row>
    <row r="187" spans="1:12" x14ac:dyDescent="0.2">
      <c r="A187" s="11"/>
      <c r="C187" s="8"/>
      <c r="D187" s="9"/>
      <c r="E187" s="13"/>
      <c r="F187" s="14"/>
      <c r="G187" s="14"/>
      <c r="H187" s="14"/>
      <c r="I187" s="28"/>
      <c r="J187" s="28"/>
      <c r="K187" s="24"/>
    </row>
    <row r="188" spans="1:12" x14ac:dyDescent="0.2">
      <c r="A188" s="11"/>
      <c r="C188" s="8"/>
      <c r="D188" s="9"/>
      <c r="E188" s="13"/>
      <c r="F188" s="14"/>
      <c r="G188" s="14"/>
      <c r="H188" s="14"/>
      <c r="I188" s="28"/>
      <c r="J188" s="28"/>
      <c r="K188" s="24"/>
    </row>
    <row r="189" spans="1:12" x14ac:dyDescent="0.2">
      <c r="A189" s="11"/>
      <c r="C189" s="8"/>
      <c r="D189" s="9"/>
      <c r="E189" s="13"/>
      <c r="F189" s="14"/>
      <c r="G189" s="14"/>
      <c r="H189" s="14"/>
      <c r="I189" s="28"/>
      <c r="J189" s="28"/>
      <c r="K189" s="24"/>
    </row>
    <row r="190" spans="1:12" x14ac:dyDescent="0.2">
      <c r="A190" s="11"/>
      <c r="C190" s="8"/>
      <c r="D190" s="9"/>
      <c r="E190" s="13"/>
      <c r="F190" s="14"/>
      <c r="G190" s="14"/>
      <c r="H190" s="14"/>
      <c r="I190" s="28"/>
      <c r="J190" s="28"/>
      <c r="K190" s="24"/>
    </row>
    <row r="191" spans="1:12" x14ac:dyDescent="0.2">
      <c r="A191" s="56" t="str">
        <f>$A$1</f>
        <v>PSC Case No. 2024-00092</v>
      </c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</row>
    <row r="192" spans="1:12" x14ac:dyDescent="0.2">
      <c r="A192" s="56" t="s">
        <v>94</v>
      </c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</row>
    <row r="193" spans="1:12" x14ac:dyDescent="0.2">
      <c r="A193" s="55" t="s">
        <v>0</v>
      </c>
      <c r="B193" s="55"/>
      <c r="C193" s="55"/>
      <c r="D193" s="55"/>
      <c r="E193" s="55"/>
      <c r="F193" s="55"/>
      <c r="G193" s="55"/>
      <c r="H193" s="55"/>
      <c r="I193" s="55"/>
      <c r="J193" s="55"/>
      <c r="K193" s="55"/>
    </row>
    <row r="194" spans="1:12" x14ac:dyDescent="0.2">
      <c r="A194" s="55" t="str">
        <f>A4</f>
        <v>Case No. 2024-00092</v>
      </c>
      <c r="B194" s="55"/>
      <c r="C194" s="55"/>
      <c r="D194" s="55"/>
      <c r="E194" s="55"/>
      <c r="F194" s="55"/>
      <c r="G194" s="55"/>
      <c r="H194" s="55"/>
      <c r="I194" s="55"/>
      <c r="J194" s="55"/>
      <c r="K194" s="55"/>
    </row>
    <row r="195" spans="1:12" x14ac:dyDescent="0.2">
      <c r="A195" s="55" t="str">
        <f>+A149</f>
        <v>Revenue Proof - Stipulation</v>
      </c>
      <c r="B195" s="55"/>
      <c r="C195" s="55"/>
      <c r="D195" s="55"/>
      <c r="E195" s="55"/>
      <c r="F195" s="55"/>
      <c r="G195" s="55"/>
      <c r="H195" s="55"/>
      <c r="I195" s="55"/>
      <c r="J195" s="55"/>
      <c r="K195" s="55"/>
    </row>
    <row r="196" spans="1:12" x14ac:dyDescent="0.2">
      <c r="G196" s="1" t="str">
        <f>+G150</f>
        <v>D-2.6</v>
      </c>
    </row>
    <row r="197" spans="1:12" x14ac:dyDescent="0.2">
      <c r="A197" s="1" t="s">
        <v>1</v>
      </c>
      <c r="B197" s="1" t="s">
        <v>2</v>
      </c>
      <c r="C197" s="3" t="s">
        <v>3</v>
      </c>
      <c r="D197" s="4" t="s">
        <v>4</v>
      </c>
      <c r="E197" s="1" t="s">
        <v>5</v>
      </c>
      <c r="F197" s="1" t="s">
        <v>6</v>
      </c>
      <c r="G197" s="1" t="s">
        <v>87</v>
      </c>
      <c r="H197" s="1" t="s">
        <v>9</v>
      </c>
      <c r="I197" s="1" t="s">
        <v>7</v>
      </c>
      <c r="J197" s="1" t="s">
        <v>8</v>
      </c>
      <c r="K197" s="1" t="s">
        <v>9</v>
      </c>
      <c r="L197" s="1"/>
    </row>
    <row r="198" spans="1:12" x14ac:dyDescent="0.2">
      <c r="A198" s="5" t="s">
        <v>10</v>
      </c>
      <c r="B198" s="5" t="s">
        <v>11</v>
      </c>
      <c r="C198" s="6" t="s">
        <v>12</v>
      </c>
      <c r="D198" s="7" t="s">
        <v>13</v>
      </c>
      <c r="E198" s="5" t="s">
        <v>14</v>
      </c>
      <c r="F198" s="5" t="s">
        <v>9</v>
      </c>
      <c r="G198" s="5" t="s">
        <v>88</v>
      </c>
      <c r="H198" s="5" t="s">
        <v>89</v>
      </c>
      <c r="I198" s="5" t="s">
        <v>14</v>
      </c>
      <c r="J198" s="5" t="s">
        <v>9</v>
      </c>
      <c r="K198" s="5" t="s">
        <v>15</v>
      </c>
      <c r="L198" s="5"/>
    </row>
    <row r="199" spans="1:12" x14ac:dyDescent="0.2">
      <c r="C199" s="8"/>
      <c r="D199" s="9"/>
      <c r="E199" s="10" t="s">
        <v>16</v>
      </c>
      <c r="F199" s="10" t="s">
        <v>17</v>
      </c>
      <c r="G199" s="10" t="s">
        <v>17</v>
      </c>
      <c r="H199" s="10" t="s">
        <v>17</v>
      </c>
      <c r="I199" s="10" t="s">
        <v>16</v>
      </c>
      <c r="J199" s="10" t="s">
        <v>17</v>
      </c>
      <c r="K199" s="10" t="s">
        <v>17</v>
      </c>
      <c r="L199" s="10"/>
    </row>
    <row r="200" spans="1:12" x14ac:dyDescent="0.2">
      <c r="A200" s="11"/>
      <c r="B200" s="29" t="s">
        <v>43</v>
      </c>
      <c r="C200" s="12"/>
      <c r="D200" s="15"/>
      <c r="E200" s="22"/>
      <c r="F200" s="17"/>
      <c r="G200" s="17"/>
      <c r="H200" s="17"/>
      <c r="I200" s="18"/>
      <c r="J200" s="17"/>
      <c r="K200" s="17"/>
      <c r="L200" s="23"/>
    </row>
    <row r="201" spans="1:12" x14ac:dyDescent="0.2">
      <c r="A201" s="11"/>
      <c r="C201" s="8"/>
      <c r="D201" s="9"/>
      <c r="E201" s="13"/>
      <c r="F201" s="14"/>
      <c r="G201" s="14"/>
      <c r="H201" s="14"/>
      <c r="I201" s="28"/>
      <c r="J201" s="28"/>
      <c r="K201" s="24"/>
    </row>
    <row r="202" spans="1:12" x14ac:dyDescent="0.2">
      <c r="A202" s="11" t="s">
        <v>53</v>
      </c>
      <c r="B202" s="2" t="s">
        <v>55</v>
      </c>
      <c r="C202" s="8"/>
      <c r="D202" s="9"/>
      <c r="E202" s="13"/>
      <c r="F202" s="14"/>
      <c r="G202" s="14"/>
      <c r="H202" s="14"/>
      <c r="I202" s="28"/>
      <c r="J202" s="25"/>
      <c r="K202" s="24"/>
    </row>
    <row r="203" spans="1:12" x14ac:dyDescent="0.2">
      <c r="A203" s="11"/>
      <c r="B203" s="2" t="s">
        <v>98</v>
      </c>
      <c r="C203" s="12">
        <v>38</v>
      </c>
      <c r="D203" s="9"/>
      <c r="E203" s="16">
        <f>E180</f>
        <v>83.71</v>
      </c>
      <c r="F203" s="17">
        <f>ROUND(E203*C203,2)</f>
        <v>3180.98</v>
      </c>
      <c r="G203" s="17"/>
      <c r="H203" s="17">
        <f t="shared" ref="H203:H207" si="39">F203+G203</f>
        <v>3180.98</v>
      </c>
      <c r="I203" s="16">
        <f>I180</f>
        <v>110</v>
      </c>
      <c r="J203" s="17">
        <f>ROUND(I203*C203,2)</f>
        <v>4180</v>
      </c>
      <c r="K203" s="17">
        <f t="shared" ref="K203:K208" si="40">J203-H203</f>
        <v>999.02</v>
      </c>
      <c r="L203" s="23"/>
    </row>
    <row r="204" spans="1:12" x14ac:dyDescent="0.2">
      <c r="A204" s="11"/>
      <c r="B204" s="27" t="s">
        <v>102</v>
      </c>
      <c r="C204" s="8"/>
      <c r="D204" s="15">
        <v>1849.3</v>
      </c>
      <c r="E204" s="18">
        <f>E181</f>
        <v>3.2513000000000001</v>
      </c>
      <c r="F204" s="17">
        <f>ROUND(E204*D204,2)</f>
        <v>6012.63</v>
      </c>
      <c r="G204" s="17"/>
      <c r="H204" s="17">
        <f t="shared" si="39"/>
        <v>6012.63</v>
      </c>
      <c r="I204" s="18">
        <f>I181</f>
        <v>3.1591</v>
      </c>
      <c r="J204" s="17">
        <f>ROUND(I204*D204,2)</f>
        <v>5842.12</v>
      </c>
      <c r="K204" s="17">
        <f t="shared" si="40"/>
        <v>-170.51000000000022</v>
      </c>
    </row>
    <row r="205" spans="1:12" x14ac:dyDescent="0.2">
      <c r="A205" s="11"/>
      <c r="B205" s="27" t="s">
        <v>103</v>
      </c>
      <c r="C205" s="8"/>
      <c r="D205" s="15">
        <v>12177.1</v>
      </c>
      <c r="E205" s="18">
        <f>E182</f>
        <v>2.5095999999999998</v>
      </c>
      <c r="F205" s="17">
        <f>ROUND(E205*D205,2)</f>
        <v>30559.65</v>
      </c>
      <c r="G205" s="17"/>
      <c r="H205" s="17">
        <f t="shared" si="39"/>
        <v>30559.65</v>
      </c>
      <c r="I205" s="18">
        <f>I182</f>
        <v>2.4384000000000001</v>
      </c>
      <c r="J205" s="17">
        <f>ROUND(I205*D205,2)</f>
        <v>29692.639999999999</v>
      </c>
      <c r="K205" s="17">
        <f t="shared" si="40"/>
        <v>-867.01000000000204</v>
      </c>
    </row>
    <row r="206" spans="1:12" x14ac:dyDescent="0.2">
      <c r="A206" s="11"/>
      <c r="B206" s="27" t="s">
        <v>104</v>
      </c>
      <c r="C206" s="8"/>
      <c r="D206" s="15">
        <v>16766.3</v>
      </c>
      <c r="E206" s="18">
        <f>E183</f>
        <v>2.3855</v>
      </c>
      <c r="F206" s="17">
        <f>ROUND(E206*D206,2)</f>
        <v>39996.01</v>
      </c>
      <c r="G206" s="17"/>
      <c r="H206" s="17">
        <f t="shared" si="39"/>
        <v>39996.01</v>
      </c>
      <c r="I206" s="18">
        <f>I183</f>
        <v>2.3178999999999998</v>
      </c>
      <c r="J206" s="17">
        <f>ROUND(I206*D206,2)</f>
        <v>38862.61</v>
      </c>
      <c r="K206" s="17">
        <f t="shared" si="40"/>
        <v>-1133.4000000000015</v>
      </c>
    </row>
    <row r="207" spans="1:12" x14ac:dyDescent="0.2">
      <c r="B207" s="2" t="s">
        <v>105</v>
      </c>
      <c r="C207" s="8"/>
      <c r="D207" s="26">
        <v>47640.2</v>
      </c>
      <c r="E207" s="18">
        <f>E184</f>
        <v>2.17</v>
      </c>
      <c r="F207" s="21">
        <f>ROUND(E207*D207,2)</f>
        <v>103379.23</v>
      </c>
      <c r="G207" s="17"/>
      <c r="H207" s="21">
        <f t="shared" si="39"/>
        <v>103379.23</v>
      </c>
      <c r="I207" s="18">
        <f>I184</f>
        <v>2.1084999999999998</v>
      </c>
      <c r="J207" s="21">
        <f>ROUND(I207*D207,2)</f>
        <v>100449.36</v>
      </c>
      <c r="K207" s="21">
        <f t="shared" si="40"/>
        <v>-2929.8699999999953</v>
      </c>
    </row>
    <row r="208" spans="1:12" x14ac:dyDescent="0.2">
      <c r="A208" s="11"/>
      <c r="B208" s="12" t="s">
        <v>23</v>
      </c>
      <c r="C208" s="12"/>
      <c r="D208" s="15">
        <f>SUM(D204:D207)</f>
        <v>78432.899999999994</v>
      </c>
      <c r="E208" s="22"/>
      <c r="F208" s="17">
        <f>SUM(F203:F207)</f>
        <v>183128.5</v>
      </c>
      <c r="G208" s="17"/>
      <c r="H208" s="17">
        <f>SUM(H203:H207)</f>
        <v>183128.5</v>
      </c>
      <c r="I208" s="18"/>
      <c r="J208" s="17">
        <f>SUM(J203:J207)</f>
        <v>179026.72999999998</v>
      </c>
      <c r="K208" s="17">
        <f t="shared" si="40"/>
        <v>-4101.7700000000186</v>
      </c>
      <c r="L208" s="23"/>
    </row>
    <row r="209" spans="1:12" x14ac:dyDescent="0.2">
      <c r="A209" s="11"/>
      <c r="C209" s="8"/>
      <c r="D209" s="9"/>
      <c r="E209" s="13"/>
      <c r="F209" s="14"/>
      <c r="G209" s="14"/>
      <c r="H209" s="14"/>
      <c r="I209" s="28"/>
      <c r="J209" s="28"/>
      <c r="K209" s="24"/>
    </row>
    <row r="210" spans="1:12" x14ac:dyDescent="0.2">
      <c r="A210" s="11" t="s">
        <v>56</v>
      </c>
      <c r="B210" s="2" t="s">
        <v>57</v>
      </c>
      <c r="C210" s="8"/>
      <c r="D210" s="9"/>
      <c r="E210" s="13"/>
      <c r="F210" s="14"/>
      <c r="G210" s="14"/>
      <c r="H210" s="14"/>
      <c r="I210" s="28"/>
      <c r="J210" s="28"/>
      <c r="K210" s="24"/>
    </row>
    <row r="211" spans="1:12" x14ac:dyDescent="0.2">
      <c r="A211" s="11"/>
      <c r="B211" s="2" t="s">
        <v>98</v>
      </c>
      <c r="C211" s="12">
        <v>36</v>
      </c>
      <c r="D211" s="9"/>
      <c r="E211" s="16">
        <v>260.11</v>
      </c>
      <c r="F211" s="17">
        <f>ROUND(E211*C211,2)</f>
        <v>9363.9599999999991</v>
      </c>
      <c r="G211" s="17"/>
      <c r="H211" s="17">
        <f t="shared" ref="H211:H212" si="41">F211+G211</f>
        <v>9363.9599999999991</v>
      </c>
      <c r="I211" s="16">
        <v>300</v>
      </c>
      <c r="J211" s="17">
        <f>ROUND(I211*C211,2)</f>
        <v>10800</v>
      </c>
      <c r="K211" s="17">
        <f>J211-H211</f>
        <v>1436.0400000000009</v>
      </c>
    </row>
    <row r="212" spans="1:12" x14ac:dyDescent="0.2">
      <c r="A212" s="11"/>
      <c r="B212" s="12" t="s">
        <v>21</v>
      </c>
      <c r="C212" s="8"/>
      <c r="D212" s="15">
        <v>522400</v>
      </c>
      <c r="E212" s="18">
        <v>8.6699999999999999E-2</v>
      </c>
      <c r="F212" s="21">
        <f>ROUND(E212*D212,2)</f>
        <v>45292.08</v>
      </c>
      <c r="G212" s="17"/>
      <c r="H212" s="21">
        <f t="shared" si="41"/>
        <v>45292.08</v>
      </c>
      <c r="I212" s="18">
        <v>8.9200000000000002E-2</v>
      </c>
      <c r="J212" s="21">
        <f>ROUND(I212*D212,2)</f>
        <v>46598.080000000002</v>
      </c>
      <c r="K212" s="21">
        <f>J212-H212</f>
        <v>1306</v>
      </c>
    </row>
    <row r="213" spans="1:12" x14ac:dyDescent="0.2">
      <c r="A213" s="11"/>
      <c r="B213" s="12" t="s">
        <v>23</v>
      </c>
      <c r="C213" s="8"/>
      <c r="D213" s="15"/>
      <c r="E213" s="13"/>
      <c r="F213" s="17">
        <f>SUM(F211:F212)</f>
        <v>54656.04</v>
      </c>
      <c r="G213" s="17"/>
      <c r="H213" s="17">
        <f>SUM(H211:H212)</f>
        <v>54656.04</v>
      </c>
      <c r="I213" s="28"/>
      <c r="J213" s="17">
        <f>SUM(J211:J212)</f>
        <v>57398.080000000002</v>
      </c>
      <c r="K213" s="17">
        <f>SUM(K211:K212)</f>
        <v>2742.0400000000009</v>
      </c>
      <c r="L213" s="23"/>
    </row>
    <row r="214" spans="1:12" x14ac:dyDescent="0.2">
      <c r="A214" s="11"/>
      <c r="B214" s="12"/>
      <c r="C214" s="8"/>
      <c r="D214" s="15"/>
      <c r="E214" s="13"/>
      <c r="F214" s="17"/>
      <c r="G214" s="17"/>
      <c r="H214" s="17"/>
      <c r="I214" s="28"/>
      <c r="J214" s="17"/>
      <c r="K214" s="17"/>
      <c r="L214" s="23"/>
    </row>
    <row r="215" spans="1:12" x14ac:dyDescent="0.2">
      <c r="A215" s="11" t="s">
        <v>58</v>
      </c>
      <c r="B215" s="2" t="s">
        <v>59</v>
      </c>
      <c r="C215" s="8"/>
    </row>
    <row r="216" spans="1:12" x14ac:dyDescent="0.2">
      <c r="A216" s="11"/>
      <c r="B216" s="2" t="s">
        <v>98</v>
      </c>
      <c r="C216" s="12">
        <v>0</v>
      </c>
      <c r="D216" s="9"/>
      <c r="E216" s="16">
        <v>0</v>
      </c>
      <c r="F216" s="17">
        <f>ROUND(E216*C216,2)</f>
        <v>0</v>
      </c>
      <c r="G216" s="17"/>
      <c r="H216" s="17">
        <f t="shared" ref="H216:H217" si="42">F216+G216</f>
        <v>0</v>
      </c>
      <c r="I216" s="16">
        <f>E216</f>
        <v>0</v>
      </c>
      <c r="J216" s="17">
        <f>ROUND(I216*C216,2)</f>
        <v>0</v>
      </c>
      <c r="K216" s="17">
        <f>J216-H216</f>
        <v>0</v>
      </c>
    </row>
    <row r="217" spans="1:12" x14ac:dyDescent="0.2">
      <c r="A217" s="11"/>
      <c r="B217" s="12" t="s">
        <v>21</v>
      </c>
      <c r="C217" s="8"/>
      <c r="D217" s="15">
        <v>0</v>
      </c>
      <c r="E217" s="18">
        <v>0</v>
      </c>
      <c r="F217" s="21">
        <f>ROUND(E217*D217,2)</f>
        <v>0</v>
      </c>
      <c r="G217" s="21"/>
      <c r="H217" s="21">
        <f t="shared" si="42"/>
        <v>0</v>
      </c>
      <c r="I217" s="18">
        <f>E217</f>
        <v>0</v>
      </c>
      <c r="J217" s="21">
        <f>ROUND(I217*D217,2)</f>
        <v>0</v>
      </c>
      <c r="K217" s="21">
        <f>J217-H217</f>
        <v>0</v>
      </c>
    </row>
    <row r="218" spans="1:12" x14ac:dyDescent="0.2">
      <c r="A218" s="11"/>
      <c r="B218" s="2" t="s">
        <v>23</v>
      </c>
      <c r="C218" s="8"/>
      <c r="D218" s="15"/>
      <c r="E218" s="13"/>
      <c r="F218" s="17">
        <f>SUM(F216:F217)</f>
        <v>0</v>
      </c>
      <c r="G218" s="17"/>
      <c r="H218" s="17">
        <f>SUM(H216:H217)</f>
        <v>0</v>
      </c>
      <c r="I218" s="28"/>
      <c r="J218" s="17">
        <f>SUM(J216:J217)</f>
        <v>0</v>
      </c>
      <c r="K218" s="17">
        <f>SUM(K216:K217)</f>
        <v>0</v>
      </c>
      <c r="L218" s="23"/>
    </row>
    <row r="219" spans="1:12" x14ac:dyDescent="0.2">
      <c r="A219" s="11"/>
      <c r="C219" s="8"/>
      <c r="D219" s="15"/>
      <c r="E219" s="13"/>
      <c r="F219" s="17"/>
      <c r="G219" s="17"/>
      <c r="H219" s="17"/>
      <c r="I219" s="28"/>
      <c r="J219" s="17"/>
      <c r="K219" s="17"/>
      <c r="L219" s="23"/>
    </row>
    <row r="220" spans="1:12" x14ac:dyDescent="0.2">
      <c r="A220" s="11" t="s">
        <v>60</v>
      </c>
      <c r="B220" s="2" t="s">
        <v>59</v>
      </c>
      <c r="C220" s="8"/>
      <c r="D220" s="9"/>
      <c r="E220" s="13"/>
      <c r="F220" s="14"/>
      <c r="G220" s="14"/>
      <c r="H220" s="14"/>
      <c r="I220" s="28"/>
      <c r="J220" s="25"/>
      <c r="K220" s="24"/>
    </row>
    <row r="221" spans="1:12" x14ac:dyDescent="0.2">
      <c r="A221" s="11"/>
      <c r="B221" s="2" t="s">
        <v>98</v>
      </c>
      <c r="C221" s="12">
        <v>0</v>
      </c>
      <c r="D221" s="9"/>
      <c r="E221" s="16">
        <v>0</v>
      </c>
      <c r="F221" s="17">
        <f>ROUND(E221*C221,2)</f>
        <v>0</v>
      </c>
      <c r="G221" s="17"/>
      <c r="H221" s="17">
        <f t="shared" ref="H221:H222" si="43">F221+G221</f>
        <v>0</v>
      </c>
      <c r="I221" s="16">
        <f>E221</f>
        <v>0</v>
      </c>
      <c r="J221" s="17">
        <f>ROUND(I221*C221,2)</f>
        <v>0</v>
      </c>
      <c r="K221" s="17">
        <f>J221-H221</f>
        <v>0</v>
      </c>
    </row>
    <row r="222" spans="1:12" x14ac:dyDescent="0.2">
      <c r="A222" s="11"/>
      <c r="B222" s="12" t="s">
        <v>21</v>
      </c>
      <c r="C222" s="8"/>
      <c r="D222" s="15">
        <v>0</v>
      </c>
      <c r="E222" s="18">
        <v>0</v>
      </c>
      <c r="F222" s="21">
        <f>ROUND(E222*D222,2)</f>
        <v>0</v>
      </c>
      <c r="G222" s="21"/>
      <c r="H222" s="21">
        <f t="shared" si="43"/>
        <v>0</v>
      </c>
      <c r="I222" s="18">
        <f>E222</f>
        <v>0</v>
      </c>
      <c r="J222" s="21">
        <f>ROUND(I222*D222,2)</f>
        <v>0</v>
      </c>
      <c r="K222" s="21">
        <f>J222-H222</f>
        <v>0</v>
      </c>
    </row>
    <row r="223" spans="1:12" x14ac:dyDescent="0.2">
      <c r="A223" s="11"/>
      <c r="B223" s="12" t="s">
        <v>23</v>
      </c>
      <c r="C223" s="8"/>
      <c r="D223" s="15"/>
      <c r="E223" s="13"/>
      <c r="F223" s="17">
        <f>SUM(F221:F222)</f>
        <v>0</v>
      </c>
      <c r="G223" s="17"/>
      <c r="H223" s="17">
        <f>SUM(H221:H222)</f>
        <v>0</v>
      </c>
      <c r="I223" s="28"/>
      <c r="J223" s="17">
        <f>SUM(J221:J222)</f>
        <v>0</v>
      </c>
      <c r="K223" s="17">
        <f>SUM(K221:K222)</f>
        <v>0</v>
      </c>
      <c r="L223" s="23"/>
    </row>
    <row r="224" spans="1:12" x14ac:dyDescent="0.2">
      <c r="A224" s="11"/>
      <c r="B224" s="12"/>
      <c r="C224" s="8"/>
      <c r="D224" s="15"/>
      <c r="E224" s="13"/>
      <c r="F224" s="17"/>
      <c r="G224" s="17"/>
      <c r="H224" s="17"/>
      <c r="I224" s="28"/>
      <c r="J224" s="17"/>
      <c r="K224" s="17"/>
      <c r="L224" s="23"/>
    </row>
    <row r="225" spans="1:12" x14ac:dyDescent="0.2">
      <c r="A225" s="11" t="s">
        <v>62</v>
      </c>
      <c r="B225" s="2" t="s">
        <v>61</v>
      </c>
      <c r="C225" s="8"/>
      <c r="D225" s="9"/>
      <c r="E225" s="13"/>
      <c r="F225" s="14"/>
      <c r="G225" s="14"/>
      <c r="H225" s="14"/>
      <c r="I225" s="28"/>
      <c r="J225" s="25"/>
      <c r="K225" s="24"/>
    </row>
    <row r="226" spans="1:12" x14ac:dyDescent="0.2">
      <c r="A226" s="11"/>
      <c r="B226" s="2" t="s">
        <v>98</v>
      </c>
      <c r="C226" s="12">
        <v>36</v>
      </c>
      <c r="D226" s="9"/>
      <c r="E226" s="16">
        <v>260.11</v>
      </c>
      <c r="F226" s="17">
        <f>ROUND(E226*C226,2)</f>
        <v>9363.9599999999991</v>
      </c>
      <c r="G226" s="17"/>
      <c r="H226" s="17">
        <f t="shared" ref="H226:H227" si="44">F226+G226</f>
        <v>9363.9599999999991</v>
      </c>
      <c r="I226" s="16">
        <v>600</v>
      </c>
      <c r="J226" s="17">
        <f>ROUND(I226*C226,2)</f>
        <v>21600</v>
      </c>
      <c r="K226" s="17">
        <f>J226-H226</f>
        <v>12236.04</v>
      </c>
    </row>
    <row r="227" spans="1:12" x14ac:dyDescent="0.2">
      <c r="A227" s="11"/>
      <c r="B227" s="12" t="s">
        <v>21</v>
      </c>
      <c r="C227" s="8"/>
      <c r="D227" s="15">
        <v>6970693.5999999996</v>
      </c>
      <c r="E227" s="18">
        <v>8.6699999999999999E-2</v>
      </c>
      <c r="F227" s="17">
        <f>ROUND(E227*D227,2)</f>
        <v>604359.14</v>
      </c>
      <c r="G227" s="17"/>
      <c r="H227" s="17">
        <f t="shared" si="44"/>
        <v>604359.14</v>
      </c>
      <c r="I227" s="18">
        <v>8.9200000000000002E-2</v>
      </c>
      <c r="J227" s="17">
        <f>ROUND(I227*D227,2)</f>
        <v>621785.87</v>
      </c>
      <c r="K227" s="17">
        <f>J227-H227</f>
        <v>17426.729999999981</v>
      </c>
    </row>
    <row r="228" spans="1:12" x14ac:dyDescent="0.2">
      <c r="A228" s="11"/>
      <c r="B228" s="12" t="s">
        <v>116</v>
      </c>
      <c r="C228" s="8"/>
      <c r="D228" s="15"/>
      <c r="E228" s="18"/>
      <c r="F228" s="21">
        <v>0</v>
      </c>
      <c r="G228" s="21"/>
      <c r="H228" s="21">
        <v>0</v>
      </c>
      <c r="I228" s="18"/>
      <c r="J228" s="21">
        <v>-333.41</v>
      </c>
      <c r="K228" s="21">
        <f>J228-H228</f>
        <v>-333.41</v>
      </c>
    </row>
    <row r="229" spans="1:12" x14ac:dyDescent="0.2">
      <c r="A229" s="11"/>
      <c r="B229" s="12" t="s">
        <v>23</v>
      </c>
      <c r="C229" s="8"/>
      <c r="D229" s="15"/>
      <c r="E229" s="13"/>
      <c r="F229" s="17">
        <f>SUM(F226:F228)</f>
        <v>613723.1</v>
      </c>
      <c r="G229" s="17"/>
      <c r="H229" s="17">
        <f>SUM(H226:H228)</f>
        <v>613723.1</v>
      </c>
      <c r="I229" s="28"/>
      <c r="J229" s="17">
        <f>SUM(J226:J228)</f>
        <v>643052.46</v>
      </c>
      <c r="K229" s="17">
        <f>SUM(K226:K228)</f>
        <v>29329.359999999982</v>
      </c>
      <c r="L229" s="23"/>
    </row>
    <row r="230" spans="1:12" x14ac:dyDescent="0.2">
      <c r="A230" s="11"/>
      <c r="B230" s="12"/>
      <c r="C230" s="8"/>
      <c r="D230" s="15"/>
      <c r="E230" s="13"/>
      <c r="F230" s="17"/>
      <c r="G230" s="17"/>
      <c r="H230" s="17"/>
      <c r="I230" s="28"/>
      <c r="J230" s="17"/>
      <c r="K230" s="17"/>
      <c r="L230" s="23"/>
    </row>
    <row r="231" spans="1:12" x14ac:dyDescent="0.2">
      <c r="A231" s="11" t="s">
        <v>63</v>
      </c>
      <c r="B231" s="2" t="s">
        <v>61</v>
      </c>
      <c r="C231" s="8"/>
      <c r="D231" s="9"/>
      <c r="E231" s="13"/>
      <c r="F231" s="14"/>
      <c r="G231" s="14"/>
      <c r="H231" s="14"/>
      <c r="I231" s="28"/>
      <c r="J231" s="25"/>
      <c r="K231" s="24"/>
    </row>
    <row r="232" spans="1:12" x14ac:dyDescent="0.2">
      <c r="A232" s="11"/>
      <c r="B232" s="2" t="s">
        <v>98</v>
      </c>
      <c r="C232" s="12">
        <v>0</v>
      </c>
      <c r="D232" s="9"/>
      <c r="E232" s="16">
        <v>0</v>
      </c>
      <c r="F232" s="17">
        <f>ROUND(E232*C232,2)</f>
        <v>0</v>
      </c>
      <c r="G232" s="17"/>
      <c r="H232" s="17">
        <f t="shared" ref="H232:H234" si="45">F232+G232</f>
        <v>0</v>
      </c>
      <c r="I232" s="16">
        <f>E232</f>
        <v>0</v>
      </c>
      <c r="J232" s="17">
        <f>ROUND(I232*C232,2)</f>
        <v>0</v>
      </c>
      <c r="K232" s="17">
        <f>J232-H232</f>
        <v>0</v>
      </c>
    </row>
    <row r="233" spans="1:12" x14ac:dyDescent="0.2">
      <c r="A233" s="11"/>
      <c r="B233" s="2" t="s">
        <v>107</v>
      </c>
      <c r="C233" s="8"/>
      <c r="D233" s="15">
        <v>0</v>
      </c>
      <c r="E233" s="18">
        <v>0</v>
      </c>
      <c r="F233" s="17">
        <f>ROUND(E233*D233,2)</f>
        <v>0</v>
      </c>
      <c r="G233" s="17"/>
      <c r="H233" s="17">
        <f t="shared" si="45"/>
        <v>0</v>
      </c>
      <c r="I233" s="18">
        <f>E233</f>
        <v>0</v>
      </c>
      <c r="J233" s="17">
        <f>ROUND(I233*D233,2)</f>
        <v>0</v>
      </c>
      <c r="K233" s="17">
        <f>J233-H233</f>
        <v>0</v>
      </c>
    </row>
    <row r="234" spans="1:12" x14ac:dyDescent="0.2">
      <c r="A234" s="11"/>
      <c r="B234" s="2" t="s">
        <v>110</v>
      </c>
      <c r="C234" s="8"/>
      <c r="D234" s="26">
        <v>0</v>
      </c>
      <c r="E234" s="18">
        <v>0</v>
      </c>
      <c r="F234" s="21">
        <f>ROUND(E234*D234,2)</f>
        <v>0</v>
      </c>
      <c r="G234" s="21"/>
      <c r="H234" s="21">
        <f t="shared" si="45"/>
        <v>0</v>
      </c>
      <c r="I234" s="18">
        <f>E234</f>
        <v>0</v>
      </c>
      <c r="J234" s="21">
        <f>ROUND(I234*D234,2)</f>
        <v>0</v>
      </c>
      <c r="K234" s="21">
        <f>J234-H234</f>
        <v>0</v>
      </c>
    </row>
    <row r="235" spans="1:12" x14ac:dyDescent="0.2">
      <c r="A235" s="11"/>
      <c r="B235" s="2" t="s">
        <v>23</v>
      </c>
      <c r="C235" s="8"/>
      <c r="D235" s="15">
        <f>SUM(D233:D234)</f>
        <v>0</v>
      </c>
      <c r="E235" s="13"/>
      <c r="F235" s="17">
        <f>SUM(F232:F234)</f>
        <v>0</v>
      </c>
      <c r="G235" s="17"/>
      <c r="H235" s="17">
        <f>SUM(H232:H234)</f>
        <v>0</v>
      </c>
      <c r="I235" s="28"/>
      <c r="J235" s="17">
        <f>SUM(J232:J234)</f>
        <v>0</v>
      </c>
      <c r="K235" s="17">
        <f>SUM(K232:K234)</f>
        <v>0</v>
      </c>
      <c r="L235" s="23"/>
    </row>
    <row r="236" spans="1:12" x14ac:dyDescent="0.2">
      <c r="A236" s="11"/>
      <c r="C236" s="8"/>
      <c r="D236" s="15"/>
      <c r="E236" s="13"/>
      <c r="F236" s="17"/>
      <c r="G236" s="17"/>
      <c r="H236" s="17"/>
      <c r="I236" s="28"/>
      <c r="J236" s="17"/>
      <c r="K236" s="17"/>
      <c r="L236" s="23"/>
    </row>
    <row r="237" spans="1:12" x14ac:dyDescent="0.2">
      <c r="A237" s="11" t="s">
        <v>64</v>
      </c>
      <c r="B237" s="2" t="s">
        <v>65</v>
      </c>
      <c r="C237" s="8"/>
      <c r="D237" s="15"/>
      <c r="E237" s="13"/>
      <c r="F237" s="17"/>
      <c r="G237" s="17"/>
      <c r="H237" s="17"/>
      <c r="I237" s="28"/>
      <c r="J237" s="17"/>
      <c r="K237" s="17"/>
      <c r="L237" s="23"/>
    </row>
    <row r="238" spans="1:12" x14ac:dyDescent="0.2">
      <c r="A238" s="11"/>
      <c r="B238" s="2" t="s">
        <v>98</v>
      </c>
      <c r="C238" s="12">
        <v>0</v>
      </c>
      <c r="D238" s="9"/>
      <c r="E238" s="16">
        <v>3982.3</v>
      </c>
      <c r="F238" s="17">
        <f>ROUND(E238*C238,2)</f>
        <v>0</v>
      </c>
      <c r="G238" s="17"/>
      <c r="H238" s="17">
        <f t="shared" ref="H238:H240" si="46">F238+G238</f>
        <v>0</v>
      </c>
      <c r="I238" s="16">
        <v>5000</v>
      </c>
      <c r="J238" s="17">
        <f>ROUND(I238*C238,2)</f>
        <v>0</v>
      </c>
      <c r="K238" s="17">
        <f>J238-H238</f>
        <v>0</v>
      </c>
    </row>
    <row r="239" spans="1:12" x14ac:dyDescent="0.2">
      <c r="A239" s="11"/>
      <c r="B239" s="2" t="s">
        <v>107</v>
      </c>
      <c r="C239" s="8"/>
      <c r="D239" s="15">
        <v>0</v>
      </c>
      <c r="E239" s="18">
        <v>0.70930000000000004</v>
      </c>
      <c r="F239" s="17">
        <f>ROUND(E239*D239,2)</f>
        <v>0</v>
      </c>
      <c r="G239" s="17"/>
      <c r="H239" s="17">
        <f t="shared" si="46"/>
        <v>0</v>
      </c>
      <c r="I239" s="18">
        <v>0.75119999999999998</v>
      </c>
      <c r="J239" s="17">
        <f>ROUND(I239*D239,2)</f>
        <v>0</v>
      </c>
      <c r="K239" s="17">
        <f>J239-H239</f>
        <v>0</v>
      </c>
    </row>
    <row r="240" spans="1:12" x14ac:dyDescent="0.2">
      <c r="A240" s="11"/>
      <c r="B240" s="2" t="s">
        <v>110</v>
      </c>
      <c r="C240" s="8"/>
      <c r="D240" s="26">
        <v>0</v>
      </c>
      <c r="E240" s="18">
        <v>0.43780000000000002</v>
      </c>
      <c r="F240" s="21">
        <f>ROUND(E240*D240,2)</f>
        <v>0</v>
      </c>
      <c r="G240" s="17"/>
      <c r="H240" s="21">
        <f t="shared" si="46"/>
        <v>0</v>
      </c>
      <c r="I240" s="18">
        <v>0.4637</v>
      </c>
      <c r="J240" s="21">
        <f>ROUND(I240*D240,2)</f>
        <v>0</v>
      </c>
      <c r="K240" s="21">
        <f>J240-H240</f>
        <v>0</v>
      </c>
    </row>
    <row r="241" spans="1:12" x14ac:dyDescent="0.2">
      <c r="A241" s="11"/>
      <c r="B241" s="2" t="s">
        <v>23</v>
      </c>
      <c r="C241" s="8"/>
      <c r="D241" s="15">
        <f>SUM(D239:D240)</f>
        <v>0</v>
      </c>
      <c r="E241" s="13"/>
      <c r="F241" s="17">
        <f>SUM(F238:F240)</f>
        <v>0</v>
      </c>
      <c r="G241" s="17"/>
      <c r="H241" s="17">
        <f>SUM(H238:H240)</f>
        <v>0</v>
      </c>
      <c r="I241" s="28"/>
      <c r="J241" s="17">
        <f>SUM(J238:J240)</f>
        <v>0</v>
      </c>
      <c r="K241" s="17">
        <f>SUM(K238:K240)</f>
        <v>0</v>
      </c>
      <c r="L241" s="23"/>
    </row>
    <row r="242" spans="1:12" x14ac:dyDescent="0.2">
      <c r="A242" s="11"/>
      <c r="C242" s="8"/>
      <c r="D242" s="15"/>
      <c r="E242" s="13"/>
      <c r="F242" s="17"/>
      <c r="G242" s="17"/>
      <c r="H242" s="17"/>
      <c r="I242" s="28"/>
      <c r="J242" s="17"/>
      <c r="K242" s="17"/>
      <c r="L242" s="23"/>
    </row>
    <row r="243" spans="1:12" x14ac:dyDescent="0.2">
      <c r="A243" s="11"/>
      <c r="C243" s="8"/>
      <c r="D243" s="15"/>
      <c r="E243" s="13"/>
      <c r="F243" s="17"/>
      <c r="G243" s="17"/>
      <c r="H243" s="17"/>
      <c r="I243" s="28"/>
      <c r="J243" s="17"/>
      <c r="K243" s="17"/>
      <c r="L243" s="23"/>
    </row>
    <row r="244" spans="1:12" x14ac:dyDescent="0.2">
      <c r="A244" s="56" t="str">
        <f>$A$1</f>
        <v>PSC Case No. 2024-00092</v>
      </c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</row>
    <row r="245" spans="1:12" x14ac:dyDescent="0.2">
      <c r="A245" s="56" t="s">
        <v>95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</row>
    <row r="246" spans="1:12" x14ac:dyDescent="0.2">
      <c r="A246" s="55" t="s">
        <v>0</v>
      </c>
      <c r="B246" s="55"/>
      <c r="C246" s="55"/>
      <c r="D246" s="55"/>
      <c r="E246" s="55"/>
      <c r="F246" s="55"/>
      <c r="G246" s="55"/>
      <c r="H246" s="55"/>
      <c r="I246" s="55"/>
      <c r="J246" s="55"/>
      <c r="K246" s="55"/>
    </row>
    <row r="247" spans="1:12" x14ac:dyDescent="0.2">
      <c r="A247" s="55" t="str">
        <f>A4</f>
        <v>Case No. 2024-00092</v>
      </c>
      <c r="B247" s="55"/>
      <c r="C247" s="55"/>
      <c r="D247" s="55"/>
      <c r="E247" s="55"/>
      <c r="F247" s="55"/>
      <c r="G247" s="55"/>
      <c r="H247" s="55"/>
      <c r="I247" s="55"/>
      <c r="J247" s="55"/>
      <c r="K247" s="55"/>
    </row>
    <row r="248" spans="1:12" x14ac:dyDescent="0.2">
      <c r="A248" s="55" t="str">
        <f>+A195</f>
        <v>Revenue Proof - Stipulation</v>
      </c>
      <c r="B248" s="55"/>
      <c r="C248" s="55"/>
      <c r="D248" s="55"/>
      <c r="E248" s="55"/>
      <c r="F248" s="55"/>
      <c r="G248" s="55"/>
      <c r="H248" s="55"/>
      <c r="I248" s="55"/>
      <c r="J248" s="55"/>
      <c r="K248" s="55"/>
    </row>
    <row r="249" spans="1:12" x14ac:dyDescent="0.2">
      <c r="G249" s="1" t="str">
        <f>+G196</f>
        <v>D-2.6</v>
      </c>
    </row>
    <row r="250" spans="1:12" x14ac:dyDescent="0.2">
      <c r="A250" s="1" t="s">
        <v>1</v>
      </c>
      <c r="B250" s="1" t="s">
        <v>2</v>
      </c>
      <c r="C250" s="3" t="s">
        <v>3</v>
      </c>
      <c r="D250" s="4" t="s">
        <v>4</v>
      </c>
      <c r="E250" s="1" t="s">
        <v>5</v>
      </c>
      <c r="F250" s="1" t="s">
        <v>6</v>
      </c>
      <c r="G250" s="1" t="s">
        <v>87</v>
      </c>
      <c r="H250" s="1" t="s">
        <v>9</v>
      </c>
      <c r="I250" s="1" t="s">
        <v>7</v>
      </c>
      <c r="J250" s="1" t="s">
        <v>8</v>
      </c>
      <c r="K250" s="1" t="s">
        <v>9</v>
      </c>
      <c r="L250" s="1"/>
    </row>
    <row r="251" spans="1:12" x14ac:dyDescent="0.2">
      <c r="A251" s="5" t="s">
        <v>10</v>
      </c>
      <c r="B251" s="5" t="s">
        <v>11</v>
      </c>
      <c r="C251" s="6" t="s">
        <v>12</v>
      </c>
      <c r="D251" s="7" t="s">
        <v>13</v>
      </c>
      <c r="E251" s="5" t="s">
        <v>14</v>
      </c>
      <c r="F251" s="5" t="s">
        <v>9</v>
      </c>
      <c r="G251" s="5" t="s">
        <v>88</v>
      </c>
      <c r="H251" s="5" t="s">
        <v>89</v>
      </c>
      <c r="I251" s="5" t="s">
        <v>14</v>
      </c>
      <c r="J251" s="5" t="s">
        <v>9</v>
      </c>
      <c r="K251" s="5" t="s">
        <v>15</v>
      </c>
      <c r="L251" s="5"/>
    </row>
    <row r="252" spans="1:12" x14ac:dyDescent="0.2">
      <c r="C252" s="8"/>
      <c r="D252" s="9"/>
      <c r="E252" s="10" t="s">
        <v>16</v>
      </c>
      <c r="F252" s="10" t="s">
        <v>17</v>
      </c>
      <c r="G252" s="10" t="s">
        <v>17</v>
      </c>
      <c r="H252" s="10" t="s">
        <v>17</v>
      </c>
      <c r="I252" s="10" t="s">
        <v>16</v>
      </c>
      <c r="J252" s="10" t="s">
        <v>17</v>
      </c>
      <c r="K252" s="10" t="s">
        <v>17</v>
      </c>
      <c r="L252" s="10"/>
    </row>
    <row r="253" spans="1:12" x14ac:dyDescent="0.2">
      <c r="A253" s="11"/>
      <c r="B253" s="29" t="s">
        <v>43</v>
      </c>
      <c r="C253" s="12"/>
      <c r="D253" s="15"/>
      <c r="E253" s="22"/>
      <c r="F253" s="17"/>
      <c r="G253" s="17"/>
      <c r="H253" s="17"/>
      <c r="I253" s="18"/>
      <c r="J253" s="17"/>
      <c r="K253" s="17"/>
      <c r="L253" s="23"/>
    </row>
    <row r="254" spans="1:12" x14ac:dyDescent="0.2">
      <c r="A254" s="11"/>
      <c r="C254" s="8"/>
      <c r="D254" s="15"/>
      <c r="E254" s="13"/>
      <c r="F254" s="17"/>
      <c r="G254" s="17"/>
      <c r="H254" s="17"/>
      <c r="I254" s="28"/>
      <c r="J254" s="17"/>
      <c r="K254" s="17"/>
      <c r="L254" s="23"/>
    </row>
    <row r="255" spans="1:12" x14ac:dyDescent="0.2">
      <c r="A255" s="11" t="s">
        <v>67</v>
      </c>
      <c r="B255" s="2" t="s">
        <v>66</v>
      </c>
      <c r="C255" s="8"/>
      <c r="D255" s="15"/>
      <c r="E255" s="13"/>
      <c r="F255" s="17"/>
      <c r="G255" s="17"/>
      <c r="H255" s="17"/>
      <c r="I255" s="28"/>
      <c r="J255" s="17"/>
      <c r="K255" s="17"/>
      <c r="L255" s="23"/>
    </row>
    <row r="256" spans="1:12" x14ac:dyDescent="0.2">
      <c r="A256" s="11"/>
      <c r="B256" s="2" t="s">
        <v>98</v>
      </c>
      <c r="C256" s="12">
        <v>0</v>
      </c>
      <c r="D256" s="9"/>
      <c r="E256" s="16">
        <v>0</v>
      </c>
      <c r="F256" s="17">
        <f>ROUND(E256*C256,2)</f>
        <v>0</v>
      </c>
      <c r="G256" s="17"/>
      <c r="H256" s="17">
        <f t="shared" ref="H256:H258" si="47">F256+G256</f>
        <v>0</v>
      </c>
      <c r="I256" s="16">
        <f>E256</f>
        <v>0</v>
      </c>
      <c r="J256" s="17">
        <f>ROUND(I256*C256,2)</f>
        <v>0</v>
      </c>
      <c r="K256" s="17">
        <f>J256-H256</f>
        <v>0</v>
      </c>
    </row>
    <row r="257" spans="1:14" x14ac:dyDescent="0.2">
      <c r="A257" s="11"/>
      <c r="B257" s="2" t="s">
        <v>111</v>
      </c>
      <c r="C257" s="8"/>
      <c r="D257" s="15">
        <v>0</v>
      </c>
      <c r="E257" s="18">
        <v>0</v>
      </c>
      <c r="F257" s="17">
        <f>ROUND(E257*D257,2)</f>
        <v>0</v>
      </c>
      <c r="G257" s="17"/>
      <c r="H257" s="17">
        <f t="shared" si="47"/>
        <v>0</v>
      </c>
      <c r="I257" s="18">
        <f>E257</f>
        <v>0</v>
      </c>
      <c r="J257" s="17">
        <f>ROUND(I257*D257,2)</f>
        <v>0</v>
      </c>
      <c r="K257" s="17">
        <f>J257-H257</f>
        <v>0</v>
      </c>
    </row>
    <row r="258" spans="1:14" x14ac:dyDescent="0.2">
      <c r="A258" s="11"/>
      <c r="B258" s="2" t="s">
        <v>112</v>
      </c>
      <c r="C258" s="8"/>
      <c r="D258" s="26">
        <v>0</v>
      </c>
      <c r="E258" s="18">
        <v>0</v>
      </c>
      <c r="F258" s="21">
        <f>ROUND(E258*D258,2)</f>
        <v>0</v>
      </c>
      <c r="G258" s="21"/>
      <c r="H258" s="21">
        <f t="shared" si="47"/>
        <v>0</v>
      </c>
      <c r="I258" s="18">
        <f>E258</f>
        <v>0</v>
      </c>
      <c r="J258" s="21">
        <f>ROUND(I258*D258,2)</f>
        <v>0</v>
      </c>
      <c r="K258" s="21">
        <f>J258-H258</f>
        <v>0</v>
      </c>
    </row>
    <row r="259" spans="1:14" x14ac:dyDescent="0.2">
      <c r="A259" s="11"/>
      <c r="B259" s="2" t="s">
        <v>23</v>
      </c>
      <c r="C259" s="8"/>
      <c r="D259" s="15">
        <f>SUM(D257:D258)</f>
        <v>0</v>
      </c>
      <c r="E259" s="13"/>
      <c r="F259" s="17">
        <f>SUM(F256:F258)</f>
        <v>0</v>
      </c>
      <c r="G259" s="17"/>
      <c r="H259" s="17">
        <f>SUM(H251:H258)</f>
        <v>0</v>
      </c>
      <c r="I259" s="28"/>
      <c r="J259" s="17">
        <f>SUM(J256:J258)</f>
        <v>0</v>
      </c>
      <c r="K259" s="17">
        <f>SUM(K256:K258)</f>
        <v>0</v>
      </c>
      <c r="L259" s="23"/>
    </row>
    <row r="260" spans="1:14" x14ac:dyDescent="0.2">
      <c r="A260" s="11"/>
      <c r="C260" s="8"/>
      <c r="D260" s="15"/>
      <c r="E260" s="13"/>
      <c r="F260" s="17"/>
      <c r="G260" s="17"/>
      <c r="H260" s="17"/>
      <c r="I260" s="28"/>
      <c r="J260" s="17"/>
      <c r="K260" s="17"/>
      <c r="L260" s="23"/>
    </row>
    <row r="261" spans="1:14" x14ac:dyDescent="0.2">
      <c r="A261" s="11" t="s">
        <v>68</v>
      </c>
      <c r="C261" s="8"/>
      <c r="D261" s="9"/>
      <c r="E261" s="13"/>
      <c r="F261" s="14"/>
      <c r="G261" s="14"/>
      <c r="H261" s="14"/>
      <c r="I261" s="28"/>
      <c r="J261" s="25"/>
      <c r="K261" s="24"/>
    </row>
    <row r="262" spans="1:14" x14ac:dyDescent="0.2">
      <c r="B262" s="2" t="s">
        <v>69</v>
      </c>
      <c r="C262" s="8"/>
      <c r="D262" s="9"/>
      <c r="E262" s="13"/>
      <c r="F262" s="17">
        <v>182431</v>
      </c>
      <c r="G262" s="17"/>
      <c r="H262" s="17">
        <f t="shared" ref="H262:H267" si="48">F262+G262</f>
        <v>182431</v>
      </c>
      <c r="I262" s="28"/>
      <c r="J262" s="39">
        <f>+H262</f>
        <v>182431</v>
      </c>
      <c r="K262" s="17">
        <f t="shared" ref="K262:K267" si="49">J262-H262</f>
        <v>0</v>
      </c>
    </row>
    <row r="263" spans="1:14" x14ac:dyDescent="0.2">
      <c r="B263" s="2" t="s">
        <v>70</v>
      </c>
      <c r="C263" s="8"/>
      <c r="D263" s="9"/>
      <c r="E263" s="13"/>
      <c r="F263" s="17">
        <v>128280.12333333342</v>
      </c>
      <c r="G263" s="17"/>
      <c r="H263" s="17">
        <f t="shared" si="48"/>
        <v>128280.12333333342</v>
      </c>
      <c r="I263" s="28"/>
      <c r="J263" s="19">
        <f>F263</f>
        <v>128280.12333333342</v>
      </c>
      <c r="K263" s="17">
        <f t="shared" si="49"/>
        <v>0</v>
      </c>
    </row>
    <row r="264" spans="1:14" x14ac:dyDescent="0.2">
      <c r="B264" s="2" t="s">
        <v>84</v>
      </c>
      <c r="C264" s="8"/>
      <c r="D264" s="9"/>
      <c r="E264" s="13"/>
      <c r="F264" s="17">
        <v>99708.809999999983</v>
      </c>
      <c r="G264" s="17"/>
      <c r="H264" s="17">
        <f t="shared" si="48"/>
        <v>99708.809999999983</v>
      </c>
      <c r="I264" s="28"/>
      <c r="J264" s="19">
        <f t="shared" ref="J264:J267" si="50">F264</f>
        <v>99708.809999999983</v>
      </c>
      <c r="K264" s="17">
        <f t="shared" si="49"/>
        <v>0</v>
      </c>
    </row>
    <row r="265" spans="1:14" x14ac:dyDescent="0.2">
      <c r="B265" s="2" t="s">
        <v>71</v>
      </c>
      <c r="C265" s="8"/>
      <c r="D265" s="9"/>
      <c r="E265" s="13"/>
      <c r="F265" s="17">
        <v>0</v>
      </c>
      <c r="G265" s="17"/>
      <c r="H265" s="17">
        <f t="shared" si="48"/>
        <v>0</v>
      </c>
      <c r="I265" s="28"/>
      <c r="J265" s="19">
        <f t="shared" si="50"/>
        <v>0</v>
      </c>
      <c r="K265" s="17">
        <f t="shared" si="49"/>
        <v>0</v>
      </c>
    </row>
    <row r="266" spans="1:14" x14ac:dyDescent="0.2">
      <c r="B266" s="2" t="s">
        <v>72</v>
      </c>
      <c r="C266" s="8"/>
      <c r="D266" s="9"/>
      <c r="E266" s="13"/>
      <c r="F266" s="17">
        <v>0</v>
      </c>
      <c r="G266" s="17"/>
      <c r="H266" s="17">
        <f t="shared" si="48"/>
        <v>0</v>
      </c>
      <c r="I266" s="28"/>
      <c r="J266" s="19">
        <f t="shared" si="50"/>
        <v>0</v>
      </c>
      <c r="K266" s="17">
        <f t="shared" si="49"/>
        <v>0</v>
      </c>
    </row>
    <row r="267" spans="1:14" x14ac:dyDescent="0.2">
      <c r="B267" s="2" t="s">
        <v>73</v>
      </c>
      <c r="C267" s="8"/>
      <c r="D267" s="9"/>
      <c r="E267" s="13"/>
      <c r="F267" s="21">
        <v>147849.33666666667</v>
      </c>
      <c r="G267" s="21"/>
      <c r="H267" s="21">
        <f t="shared" si="48"/>
        <v>147849.33666666667</v>
      </c>
      <c r="I267" s="28"/>
      <c r="J267" s="20">
        <f t="shared" si="50"/>
        <v>147849.33666666667</v>
      </c>
      <c r="K267" s="21">
        <f t="shared" si="49"/>
        <v>0</v>
      </c>
    </row>
    <row r="268" spans="1:14" x14ac:dyDescent="0.2">
      <c r="B268" s="2" t="s">
        <v>23</v>
      </c>
      <c r="C268" s="8"/>
      <c r="D268" s="9"/>
      <c r="E268" s="13"/>
      <c r="F268" s="17">
        <f>SUM(F262:F267)</f>
        <v>558269.27</v>
      </c>
      <c r="G268" s="17"/>
      <c r="H268" s="17">
        <f>SUM(H262:H267)</f>
        <v>558269.27</v>
      </c>
      <c r="I268" s="28"/>
      <c r="J268" s="17">
        <f>SUM(J262:J267)</f>
        <v>558269.27</v>
      </c>
      <c r="K268" s="17">
        <f>SUM(K262:K267)</f>
        <v>0</v>
      </c>
    </row>
    <row r="269" spans="1:14" x14ac:dyDescent="0.2">
      <c r="B269" s="42"/>
      <c r="C269" s="8"/>
      <c r="D269" s="9"/>
      <c r="E269" s="13"/>
      <c r="F269" s="17"/>
      <c r="G269" s="17"/>
      <c r="H269" s="17"/>
      <c r="I269" s="28"/>
      <c r="J269" s="17"/>
      <c r="K269" s="17"/>
    </row>
    <row r="270" spans="1:14" x14ac:dyDescent="0.2">
      <c r="A270" s="11" t="s">
        <v>74</v>
      </c>
      <c r="C270" s="8"/>
      <c r="D270" s="9"/>
      <c r="E270" s="32"/>
      <c r="F270" s="14"/>
      <c r="G270" s="14"/>
      <c r="H270" s="14"/>
      <c r="I270" s="28"/>
      <c r="J270" s="25"/>
      <c r="K270" s="24"/>
    </row>
    <row r="271" spans="1:14" x14ac:dyDescent="0.2">
      <c r="B271" s="11" t="s">
        <v>75</v>
      </c>
      <c r="C271" s="33"/>
      <c r="D271" s="34"/>
      <c r="E271" s="13"/>
      <c r="F271" s="17">
        <f>F277-SUM(F272:F276)</f>
        <v>113745315.10999995</v>
      </c>
      <c r="G271" s="17"/>
      <c r="H271" s="17">
        <f t="shared" ref="H271:H276" si="51">F271+G271</f>
        <v>113745315.10999995</v>
      </c>
      <c r="I271" s="28"/>
      <c r="J271" s="17">
        <f>J277-SUM(J272:J276)</f>
        <v>128058317.72000003</v>
      </c>
      <c r="K271" s="17">
        <f>J271-H271</f>
        <v>14313002.610000074</v>
      </c>
      <c r="M271" s="14"/>
      <c r="N271" s="53"/>
    </row>
    <row r="272" spans="1:14" x14ac:dyDescent="0.2">
      <c r="B272" s="35" t="s">
        <v>22</v>
      </c>
      <c r="C272" s="8"/>
      <c r="D272" s="9"/>
      <c r="E272" s="13"/>
      <c r="F272" s="17">
        <f>F16+F85+F96+F116+F123</f>
        <v>123923.05999999998</v>
      </c>
      <c r="G272" s="17">
        <f>G16+G85+G96+G116+G123</f>
        <v>-55341.909999999996</v>
      </c>
      <c r="H272" s="17">
        <f t="shared" si="51"/>
        <v>68581.149999999994</v>
      </c>
      <c r="I272" s="28"/>
      <c r="J272" s="17">
        <f>J16+J85+J96+J116+J123</f>
        <v>68578.779999999984</v>
      </c>
      <c r="K272" s="17">
        <f t="shared" ref="K272:K276" si="52">J272-H272</f>
        <v>-2.3700000000098953</v>
      </c>
      <c r="N272" s="17"/>
    </row>
    <row r="273" spans="1:15" x14ac:dyDescent="0.2">
      <c r="B273" s="35" t="s">
        <v>101</v>
      </c>
      <c r="C273" s="8"/>
      <c r="D273" s="9"/>
      <c r="E273" s="13"/>
      <c r="F273" s="17">
        <f>F17+F24+F30+F86+F97+F117+F124</f>
        <v>35413021.670000002</v>
      </c>
      <c r="G273" s="17"/>
      <c r="H273" s="17">
        <f t="shared" si="51"/>
        <v>35413021.670000002</v>
      </c>
      <c r="I273" s="28"/>
      <c r="J273" s="17">
        <f>J17+J24+J30+J86+J97+J117+J124</f>
        <v>35413021.670000002</v>
      </c>
      <c r="K273" s="17">
        <f t="shared" si="52"/>
        <v>0</v>
      </c>
    </row>
    <row r="274" spans="1:15" x14ac:dyDescent="0.2">
      <c r="B274" s="35" t="s">
        <v>100</v>
      </c>
      <c r="C274" s="8"/>
      <c r="D274" s="9"/>
      <c r="E274" s="13"/>
      <c r="F274" s="17">
        <f>F15+F132</f>
        <v>451966.2</v>
      </c>
      <c r="G274" s="17"/>
      <c r="H274" s="17">
        <f t="shared" si="51"/>
        <v>451966.2</v>
      </c>
      <c r="I274" s="28"/>
      <c r="J274" s="17">
        <f>J15+J132</f>
        <v>451966.2</v>
      </c>
      <c r="K274" s="17">
        <f t="shared" si="52"/>
        <v>0</v>
      </c>
    </row>
    <row r="275" spans="1:15" x14ac:dyDescent="0.2">
      <c r="B275" s="35" t="s">
        <v>99</v>
      </c>
      <c r="C275" s="8"/>
      <c r="D275" s="9"/>
      <c r="E275" s="13"/>
      <c r="F275" s="17">
        <f>+F14+F131</f>
        <v>120524.32</v>
      </c>
      <c r="G275" s="17"/>
      <c r="H275" s="17">
        <f>+H14+H131</f>
        <v>120524.32</v>
      </c>
      <c r="I275" s="28"/>
      <c r="J275" s="17">
        <f>+J14+J131</f>
        <v>120524.32</v>
      </c>
      <c r="K275" s="17">
        <f t="shared" si="52"/>
        <v>0</v>
      </c>
    </row>
    <row r="276" spans="1:15" x14ac:dyDescent="0.2">
      <c r="B276" s="11" t="s">
        <v>76</v>
      </c>
      <c r="C276" s="8"/>
      <c r="D276" s="9"/>
      <c r="E276" s="13"/>
      <c r="F276" s="21">
        <f>F268</f>
        <v>558269.27</v>
      </c>
      <c r="G276" s="17"/>
      <c r="H276" s="21">
        <f t="shared" si="51"/>
        <v>558269.27</v>
      </c>
      <c r="I276" s="28"/>
      <c r="J276" s="21">
        <f>J268</f>
        <v>558269.27</v>
      </c>
      <c r="K276" s="21">
        <f t="shared" si="52"/>
        <v>0</v>
      </c>
    </row>
    <row r="277" spans="1:15" x14ac:dyDescent="0.2">
      <c r="B277" s="11" t="s">
        <v>77</v>
      </c>
      <c r="C277" s="8"/>
      <c r="D277" s="9"/>
      <c r="E277" s="36"/>
      <c r="F277" s="37">
        <f>F19+F25+F31+F36+F41+F46+F61+F66+F72+F77+F88+F98+F118+F125+F133+F141+F162+F169+F177+F185+F208+F213+F218+F223+F229+F235+F241+F259+F268</f>
        <v>150413019.62999997</v>
      </c>
      <c r="G277" s="37"/>
      <c r="H277" s="43">
        <f>SUM(H271:H276)</f>
        <v>150357677.71999994</v>
      </c>
      <c r="I277" s="50"/>
      <c r="J277" s="37">
        <f>J19+J25+J31+J36+J41+J46+J61+J66+J72+J77+J88+J98+J118+J125+J133+J141+J162+J169+J177+J185+J208+J213+J218+J223+J229+J235+J241+J259+J268</f>
        <v>164670677.96000004</v>
      </c>
      <c r="K277" s="37">
        <f>SUM(K271:K276)</f>
        <v>14313000.240000075</v>
      </c>
      <c r="L277" s="38"/>
      <c r="M277" s="14"/>
      <c r="N277" s="32"/>
    </row>
    <row r="278" spans="1:15" ht="13.5" thickBot="1" x14ac:dyDescent="0.25">
      <c r="B278" s="46"/>
      <c r="C278" s="47"/>
      <c r="D278" s="48"/>
      <c r="E278" s="49"/>
      <c r="F278" s="52"/>
      <c r="G278" s="52"/>
      <c r="H278" s="52"/>
      <c r="I278" s="52"/>
      <c r="J278" s="52"/>
      <c r="K278" s="52"/>
      <c r="L278" s="38"/>
    </row>
    <row r="279" spans="1:15" x14ac:dyDescent="0.2">
      <c r="B279" s="29"/>
      <c r="C279" s="12"/>
      <c r="D279" s="15"/>
      <c r="E279" s="22"/>
      <c r="F279" s="17"/>
      <c r="G279" s="17"/>
      <c r="H279" s="17"/>
      <c r="I279" s="17"/>
      <c r="J279" s="17"/>
      <c r="K279" s="17"/>
      <c r="L279" s="23"/>
    </row>
    <row r="280" spans="1:15" x14ac:dyDescent="0.2">
      <c r="A280" s="11" t="s">
        <v>78</v>
      </c>
      <c r="B280" s="11"/>
      <c r="C280" s="8"/>
      <c r="D280" s="9"/>
      <c r="E280" s="36"/>
      <c r="F280" s="37"/>
      <c r="G280" s="37"/>
      <c r="H280" s="37"/>
      <c r="I280" s="50"/>
      <c r="J280" s="37"/>
      <c r="K280" s="37"/>
      <c r="L280" s="38"/>
    </row>
    <row r="281" spans="1:15" x14ac:dyDescent="0.2">
      <c r="B281" s="2" t="s">
        <v>20</v>
      </c>
      <c r="C281" s="12">
        <f>C12+C28+C34+C39+C44+C59+C69+C75+C129</f>
        <v>1506712</v>
      </c>
      <c r="D281" s="15">
        <f>D13+D29+D35+D40+D45+D60+D72+D76+D130</f>
        <v>8285251.7999999998</v>
      </c>
      <c r="E281" s="36"/>
      <c r="F281" s="17">
        <f>F19+F31+F36+F41+F46+F61+F72+F77+F133</f>
        <v>95832808.219999984</v>
      </c>
      <c r="G281" s="12"/>
      <c r="H281" s="17">
        <f>H19+H31+H36+H41+H46+H61+H72+H77+H133</f>
        <v>95798557.219999984</v>
      </c>
      <c r="I281" s="39"/>
      <c r="J281" s="17">
        <f>J19+J31+J36+J41+J46+J61+J72+J77+J133</f>
        <v>105053345.48</v>
      </c>
      <c r="K281" s="17">
        <f>J281-H281</f>
        <v>9254788.2600000203</v>
      </c>
      <c r="L281" s="44"/>
    </row>
    <row r="282" spans="1:15" x14ac:dyDescent="0.2">
      <c r="B282" s="2" t="s">
        <v>79</v>
      </c>
      <c r="C282" s="12">
        <f>C22+C64+C80+C91+C136+C157+C180+C203</f>
        <v>168917</v>
      </c>
      <c r="D282" s="15">
        <f>D23+D65+D88+D98+D141+D162+D185+D208</f>
        <v>6238515.8000000007</v>
      </c>
      <c r="E282" s="36"/>
      <c r="F282" s="17">
        <f>F25+F66+F88+F98+F141+F162+F185+F208</f>
        <v>44814487.749999993</v>
      </c>
      <c r="G282" s="12"/>
      <c r="H282" s="17">
        <f>H25+H66+H88+H98+H141+H162+H185+H208</f>
        <v>44793444.729999997</v>
      </c>
      <c r="I282" s="40"/>
      <c r="J282" s="17">
        <f>J25+J66+J88+J98+J141+J162+J185+J208</f>
        <v>48747580.609999992</v>
      </c>
      <c r="K282" s="17">
        <f>J282-H282</f>
        <v>3954135.8799999952</v>
      </c>
      <c r="L282" s="44"/>
    </row>
    <row r="283" spans="1:15" x14ac:dyDescent="0.2">
      <c r="B283" s="2" t="s">
        <v>80</v>
      </c>
      <c r="C283" s="12">
        <f>C121</f>
        <v>24</v>
      </c>
      <c r="D283" s="15">
        <f>D122</f>
        <v>10410.5</v>
      </c>
      <c r="F283" s="17">
        <f>F125</f>
        <v>65884.3</v>
      </c>
      <c r="G283" s="12"/>
      <c r="H283" s="17">
        <f>H125</f>
        <v>65836.41</v>
      </c>
      <c r="I283" s="12"/>
      <c r="J283" s="17">
        <f>J125</f>
        <v>67522.549999999988</v>
      </c>
      <c r="K283" s="17">
        <f>J283-H283</f>
        <v>1686.1399999999849</v>
      </c>
      <c r="L283" s="44"/>
    </row>
    <row r="284" spans="1:15" x14ac:dyDescent="0.2">
      <c r="B284" s="2" t="s">
        <v>81</v>
      </c>
      <c r="C284" s="12">
        <f>C211+C226+C232</f>
        <v>72</v>
      </c>
      <c r="D284" s="15">
        <f>D212+D227+D235</f>
        <v>7493093.5999999996</v>
      </c>
      <c r="F284" s="17">
        <f>F213+F229+F235</f>
        <v>668379.14</v>
      </c>
      <c r="G284" s="12"/>
      <c r="H284" s="17">
        <f>H213+H229+H235</f>
        <v>668379.14</v>
      </c>
      <c r="I284" s="12"/>
      <c r="J284" s="17">
        <f>J213+J229+J235</f>
        <v>700450.53999999992</v>
      </c>
      <c r="K284" s="17">
        <f>J284-H284</f>
        <v>32071.399999999907</v>
      </c>
      <c r="L284" s="44"/>
    </row>
    <row r="285" spans="1:15" x14ac:dyDescent="0.2">
      <c r="B285" s="2" t="s">
        <v>82</v>
      </c>
      <c r="C285" s="41">
        <f>C112+C165+C172+C216+C221+C256</f>
        <v>745</v>
      </c>
      <c r="D285" s="26">
        <f>D118+D169+D177+D217+D222+D259</f>
        <v>9122354.9000000004</v>
      </c>
      <c r="F285" s="17">
        <f>F118+F169+F177+F218+F223+F259</f>
        <v>8473190.9499999993</v>
      </c>
      <c r="G285" s="12"/>
      <c r="H285" s="17">
        <f>H118+H169+H177+H218+H223+H259</f>
        <v>8473190.9499999993</v>
      </c>
      <c r="I285" s="12"/>
      <c r="J285" s="17">
        <f>J118+J169+J177+J218+J223+J259</f>
        <v>9543509.5099999998</v>
      </c>
      <c r="K285" s="17">
        <f>J285-H285</f>
        <v>1070318.5600000005</v>
      </c>
      <c r="L285" s="44"/>
    </row>
    <row r="286" spans="1:15" x14ac:dyDescent="0.2">
      <c r="B286" s="2" t="s">
        <v>76</v>
      </c>
      <c r="C286" s="41"/>
      <c r="D286" s="26"/>
      <c r="F286" s="21">
        <f>F276</f>
        <v>558269.27</v>
      </c>
      <c r="G286" s="12"/>
      <c r="H286" s="21">
        <f>H276</f>
        <v>558269.27</v>
      </c>
      <c r="I286" s="12"/>
      <c r="J286" s="21">
        <f>J276</f>
        <v>558269.27</v>
      </c>
      <c r="K286" s="21">
        <f t="shared" ref="K286" si="53">J286-H286</f>
        <v>0</v>
      </c>
      <c r="L286" s="44"/>
      <c r="M286" s="11" t="s">
        <v>120</v>
      </c>
    </row>
    <row r="287" spans="1:15" x14ac:dyDescent="0.2">
      <c r="B287" s="2" t="s">
        <v>23</v>
      </c>
      <c r="C287" s="35">
        <f>SUM(C281:C285)</f>
        <v>1676470</v>
      </c>
      <c r="D287" s="51">
        <f>SUM(D281:D285)</f>
        <v>31149626.600000001</v>
      </c>
      <c r="E287" s="11"/>
      <c r="F287" s="43">
        <f>SUM(F281:F286)</f>
        <v>150413019.62999997</v>
      </c>
      <c r="G287" s="43"/>
      <c r="H287" s="43">
        <f>SUM(H281:H286)</f>
        <v>150357677.71999997</v>
      </c>
      <c r="I287" s="43"/>
      <c r="J287" s="43">
        <f>SUM(J281:J286)</f>
        <v>164670677.96000001</v>
      </c>
      <c r="K287" s="43">
        <f>SUM(K281:K286)</f>
        <v>14313000.240000017</v>
      </c>
      <c r="L287" s="44"/>
      <c r="M287" s="14">
        <v>14313000</v>
      </c>
      <c r="N287" s="54"/>
      <c r="O287" s="54"/>
    </row>
    <row r="288" spans="1:15" x14ac:dyDescent="0.2">
      <c r="C288" s="12"/>
      <c r="D288" s="15"/>
      <c r="F288" s="12"/>
      <c r="G288" s="12"/>
      <c r="H288" s="12"/>
      <c r="I288" s="12"/>
      <c r="J288" s="12"/>
      <c r="K288" s="12"/>
      <c r="L288" s="38"/>
    </row>
    <row r="289" spans="1:12" x14ac:dyDescent="0.2">
      <c r="A289" s="11" t="s">
        <v>83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38"/>
    </row>
    <row r="290" spans="1:12" x14ac:dyDescent="0.2">
      <c r="C290" s="12"/>
      <c r="D290" s="15"/>
      <c r="F290" s="12"/>
      <c r="G290" s="12"/>
      <c r="H290" s="12"/>
      <c r="I290" s="12"/>
      <c r="J290" s="12"/>
      <c r="K290" s="12"/>
      <c r="L290" s="38"/>
    </row>
    <row r="291" spans="1:12" x14ac:dyDescent="0.2">
      <c r="B291" s="2" t="s">
        <v>117</v>
      </c>
      <c r="C291" s="12"/>
      <c r="D291" s="15"/>
      <c r="F291" s="16">
        <v>68.239999999999995</v>
      </c>
      <c r="G291" s="16"/>
      <c r="H291" s="16"/>
      <c r="I291" s="16"/>
      <c r="J291" s="16">
        <v>71.48</v>
      </c>
      <c r="K291" s="16">
        <f>J291-F291</f>
        <v>3.2400000000000091</v>
      </c>
      <c r="L291" s="38"/>
    </row>
    <row r="292" spans="1:12" x14ac:dyDescent="0.2">
      <c r="B292" s="2" t="s">
        <v>118</v>
      </c>
      <c r="C292" s="12"/>
      <c r="D292" s="15"/>
      <c r="F292" s="16">
        <v>282.48</v>
      </c>
      <c r="G292" s="16"/>
      <c r="H292" s="16"/>
      <c r="I292" s="16"/>
      <c r="J292" s="16">
        <v>296.20999999999998</v>
      </c>
      <c r="K292" s="16">
        <f>J292-F292</f>
        <v>13.729999999999961</v>
      </c>
      <c r="L292" s="38"/>
    </row>
    <row r="294" spans="1:12" x14ac:dyDescent="0.2">
      <c r="K294" s="17"/>
    </row>
    <row r="295" spans="1:12" x14ac:dyDescent="0.2">
      <c r="F295" s="17"/>
      <c r="G295" s="17"/>
      <c r="H295" s="17"/>
      <c r="J295" s="17"/>
      <c r="K295" s="17"/>
      <c r="L295" s="38"/>
    </row>
    <row r="296" spans="1:12" x14ac:dyDescent="0.2">
      <c r="F296" s="17"/>
      <c r="G296" s="17"/>
      <c r="H296" s="17"/>
      <c r="J296" s="17"/>
      <c r="K296" s="17"/>
      <c r="L296" s="38"/>
    </row>
    <row r="297" spans="1:12" x14ac:dyDescent="0.2">
      <c r="F297" s="17"/>
      <c r="G297" s="17"/>
      <c r="H297" s="17"/>
      <c r="J297" s="17"/>
      <c r="K297" s="17"/>
      <c r="L297" s="38"/>
    </row>
    <row r="298" spans="1:12" x14ac:dyDescent="0.2">
      <c r="F298" s="17"/>
      <c r="G298" s="17"/>
      <c r="H298" s="17"/>
      <c r="K298" s="17"/>
    </row>
    <row r="299" spans="1:12" x14ac:dyDescent="0.2">
      <c r="F299" s="17"/>
      <c r="G299" s="17"/>
      <c r="H299" s="17"/>
      <c r="K299" s="17"/>
    </row>
    <row r="300" spans="1:12" x14ac:dyDescent="0.2">
      <c r="F300" s="17"/>
      <c r="G300" s="17"/>
      <c r="H300" s="17"/>
    </row>
    <row r="301" spans="1:12" x14ac:dyDescent="0.2">
      <c r="F301" s="17"/>
      <c r="G301" s="17"/>
      <c r="H301" s="17"/>
    </row>
    <row r="302" spans="1:12" x14ac:dyDescent="0.2">
      <c r="F302" s="17"/>
      <c r="G302" s="17"/>
      <c r="H302" s="17"/>
    </row>
  </sheetData>
  <mergeCells count="30">
    <mergeCell ref="A48:L48"/>
    <mergeCell ref="A49:L49"/>
    <mergeCell ref="A4:K4"/>
    <mergeCell ref="A5:K5"/>
    <mergeCell ref="A1:L1"/>
    <mergeCell ref="A2:L2"/>
    <mergeCell ref="A3:K3"/>
    <mergeCell ref="A102:K102"/>
    <mergeCell ref="A50:K50"/>
    <mergeCell ref="A51:K51"/>
    <mergeCell ref="A52:K52"/>
    <mergeCell ref="A100:L100"/>
    <mergeCell ref="A101:L101"/>
    <mergeCell ref="A103:K103"/>
    <mergeCell ref="A104:K104"/>
    <mergeCell ref="A145:L145"/>
    <mergeCell ref="A146:L146"/>
    <mergeCell ref="A147:K147"/>
    <mergeCell ref="A148:K148"/>
    <mergeCell ref="A149:K149"/>
    <mergeCell ref="A191:L191"/>
    <mergeCell ref="A192:L192"/>
    <mergeCell ref="A193:K193"/>
    <mergeCell ref="A194:K194"/>
    <mergeCell ref="A195:K195"/>
    <mergeCell ref="A244:L244"/>
    <mergeCell ref="A248:K248"/>
    <mergeCell ref="A245:L245"/>
    <mergeCell ref="A246:K246"/>
    <mergeCell ref="A247:K247"/>
  </mergeCells>
  <phoneticPr fontId="0" type="noConversion"/>
  <pageMargins left="0.75" right="0.5" top="0.75" bottom="0.5" header="0.5" footer="0.5"/>
  <pageSetup scale="70" orientation="landscape" r:id="rId1"/>
  <headerFooter alignWithMargins="0"/>
  <rowBreaks count="5" manualBreakCount="5">
    <brk id="47" max="11" man="1"/>
    <brk id="99" max="11" man="1"/>
    <brk id="144" max="11" man="1"/>
    <brk id="190" max="11" man="1"/>
    <brk id="2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Proof</vt:lpstr>
      <vt:lpstr>'Revenue Proof'!Print_Area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Ryan \ John \ Robert</cp:lastModifiedBy>
  <cp:lastPrinted>2024-10-11T17:55:08Z</cp:lastPrinted>
  <dcterms:created xsi:type="dcterms:W3CDTF">2009-11-03T20:39:59Z</dcterms:created>
  <dcterms:modified xsi:type="dcterms:W3CDTF">2024-10-13T17:57:38Z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</vt:lpwstr>
  </property>
  <property fmtid="{D5CDD505-2E9C-101B-9397-08002B2CF9AE}" pid="5" name="K4XL KID">
    <vt:lpwstr/>
  </property>
  <property fmtid="{D5CDD505-2E9C-101B-9397-08002B2CF9AE}" pid="6" name="K4XL DBKID">
    <vt:lpwstr/>
  </property>
</Properties>
</file>