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BBA6C167-31DD-4D9E-96E2-EF7177DCC9E2}" xr6:coauthVersionLast="47" xr6:coauthVersionMax="47" xr10:uidLastSave="{00000000-0000-0000-0000-000000000000}"/>
  <bookViews>
    <workbookView xWindow="43140" yWindow="3645" windowWidth="22965" windowHeight="9960" xr2:uid="{E21CF130-53CF-468E-8303-6480479C756D}"/>
  </bookViews>
  <sheets>
    <sheet name="Input" sheetId="1" r:id="rId1"/>
    <sheet name="GTR" sheetId="11" r:id="rId2"/>
    <sheet name="GTO" sheetId="10" r:id="rId3"/>
    <sheet name="DS" sheetId="9" r:id="rId4"/>
    <sheet name="GDS" sheetId="7" r:id="rId5"/>
    <sheet name="DS3" sheetId="6" r:id="rId6"/>
    <sheet name="FX1" sheetId="4" r:id="rId7"/>
    <sheet name="FX2" sheetId="15" r:id="rId8"/>
    <sheet name="FX5" sheetId="12" r:id="rId9"/>
    <sheet name="FX7" sheetId="20" r:id="rId10"/>
    <sheet name="SAS" sheetId="19" r:id="rId11"/>
    <sheet name="SC3" sheetId="3" r:id="rId12"/>
  </sheets>
  <definedNames>
    <definedName name="_xlnm.Print_Area" localSheetId="3">DS!$A$1:$U$46</definedName>
    <definedName name="_xlnm.Print_Area" localSheetId="5">'DS3'!$A$1:$U$39</definedName>
    <definedName name="_xlnm.Print_Area" localSheetId="6">'FX1'!$A$1:$U$37</definedName>
    <definedName name="_xlnm.Print_Area" localSheetId="7">'FX2'!$A$1:$U$37</definedName>
    <definedName name="_xlnm.Print_Area" localSheetId="8">'FX5'!$A$1:$U$39</definedName>
    <definedName name="_xlnm.Print_Area" localSheetId="9">'FX7'!$A$1:$U$37</definedName>
    <definedName name="_xlnm.Print_Area" localSheetId="4">GDS!$A$1:$U$43</definedName>
    <definedName name="_xlnm.Print_Area" localSheetId="2">GTO!$A$1:$Q$43</definedName>
    <definedName name="_xlnm.Print_Area" localSheetId="1">GTR!$A$1:$Q$36</definedName>
    <definedName name="_xlnm.Print_Area" localSheetId="0">Input!$A$1:$AT$38</definedName>
    <definedName name="_xlnm.Print_Area" localSheetId="10">SAS!$A$1:$U$44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8" i="7" l="1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32" i="11"/>
  <c r="K31" i="11"/>
  <c r="K30" i="11"/>
  <c r="K29" i="11"/>
  <c r="K28" i="11"/>
  <c r="K27" i="11"/>
  <c r="K26" i="11"/>
  <c r="K25" i="11"/>
  <c r="K24" i="11"/>
  <c r="K23" i="11"/>
  <c r="K22" i="11"/>
  <c r="K21" i="11"/>
  <c r="J31" i="10" l="1"/>
  <c r="O39" i="19" l="1"/>
  <c r="O38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O40" i="9"/>
  <c r="O39" i="9"/>
  <c r="O38" i="9"/>
  <c r="O37" i="9"/>
  <c r="O36" i="9"/>
  <c r="O35" i="9"/>
  <c r="O34" i="9"/>
  <c r="O33" i="9"/>
  <c r="O32" i="9"/>
  <c r="O31" i="9"/>
  <c r="O28" i="9"/>
  <c r="O27" i="9"/>
  <c r="O26" i="9"/>
  <c r="O25" i="9"/>
  <c r="O24" i="9"/>
  <c r="O23" i="9"/>
  <c r="O22" i="9"/>
  <c r="O2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J38" i="10"/>
  <c r="J37" i="10"/>
  <c r="J36" i="10"/>
  <c r="J35" i="10"/>
  <c r="J34" i="10"/>
  <c r="J32" i="10"/>
  <c r="J30" i="10"/>
  <c r="J29" i="10"/>
  <c r="J28" i="10"/>
  <c r="J27" i="10"/>
  <c r="J26" i="10"/>
  <c r="J25" i="10"/>
  <c r="J24" i="10"/>
  <c r="J22" i="10"/>
  <c r="J21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J32" i="11"/>
  <c r="J31" i="11"/>
  <c r="J30" i="11"/>
  <c r="J29" i="11"/>
  <c r="J28" i="11"/>
  <c r="J27" i="11"/>
  <c r="J26" i="11"/>
  <c r="J24" i="11"/>
  <c r="J23" i="11"/>
  <c r="J22" i="11"/>
  <c r="J21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F22" i="11" l="1"/>
  <c r="F23" i="11"/>
  <c r="F24" i="11"/>
  <c r="F25" i="11"/>
  <c r="F26" i="11"/>
  <c r="F27" i="11"/>
  <c r="F28" i="11"/>
  <c r="F29" i="11"/>
  <c r="F30" i="11"/>
  <c r="F31" i="11"/>
  <c r="F32" i="11"/>
  <c r="F21" i="11"/>
  <c r="AT24" i="1" l="1"/>
  <c r="AT15" i="1"/>
  <c r="AT16" i="1"/>
  <c r="AT17" i="1"/>
  <c r="AT18" i="1"/>
  <c r="AT19" i="1"/>
  <c r="AT20" i="1"/>
  <c r="AT21" i="1"/>
  <c r="AT14" i="1"/>
  <c r="J16" i="1" l="1"/>
  <c r="F37" i="9" l="1"/>
  <c r="J37" i="9"/>
  <c r="K37" i="9"/>
  <c r="L37" i="9"/>
  <c r="M37" i="9"/>
  <c r="Q37" i="9"/>
  <c r="R37" i="9" s="1"/>
  <c r="F38" i="9"/>
  <c r="J38" i="9"/>
  <c r="M38" i="9" s="1"/>
  <c r="K38" i="9"/>
  <c r="Q38" i="9"/>
  <c r="R38" i="9" s="1"/>
  <c r="F39" i="9"/>
  <c r="J39" i="9"/>
  <c r="M39" i="9" s="1"/>
  <c r="K39" i="9"/>
  <c r="L39" i="9" s="1"/>
  <c r="Q39" i="9"/>
  <c r="R39" i="9" s="1"/>
  <c r="F40" i="9"/>
  <c r="G40" i="9" s="1"/>
  <c r="H40" i="9" s="1"/>
  <c r="J40" i="9"/>
  <c r="K40" i="9"/>
  <c r="L40" i="9"/>
  <c r="M40" i="9"/>
  <c r="L38" i="9" l="1"/>
  <c r="G39" i="9"/>
  <c r="H39" i="9" s="1"/>
  <c r="Q40" i="9"/>
  <c r="R40" i="9" s="1"/>
  <c r="T40" i="9"/>
  <c r="T38" i="9"/>
  <c r="T37" i="9"/>
  <c r="G38" i="9"/>
  <c r="H38" i="9" s="1"/>
  <c r="G37" i="9"/>
  <c r="H37" i="9" s="1"/>
  <c r="S37" i="9"/>
  <c r="S40" i="9"/>
  <c r="S39" i="9"/>
  <c r="T39" i="9"/>
  <c r="S38" i="9"/>
  <c r="AT27" i="1"/>
  <c r="AT26" i="1"/>
  <c r="AT25" i="1"/>
  <c r="AT23" i="1"/>
  <c r="AT22" i="1"/>
  <c r="U37" i="9" l="1"/>
  <c r="U38" i="9"/>
  <c r="U40" i="9"/>
  <c r="U39" i="9"/>
  <c r="D41" i="7"/>
  <c r="D37" i="7" s="1"/>
  <c r="O37" i="7" s="1"/>
  <c r="D40" i="7"/>
  <c r="D38" i="7" s="1"/>
  <c r="O38" i="7" s="1"/>
  <c r="D40" i="10"/>
  <c r="D23" i="10" s="1"/>
  <c r="J23" i="10" s="1"/>
  <c r="D41" i="10"/>
  <c r="D33" i="10" s="1"/>
  <c r="J33" i="10" s="1"/>
  <c r="D42" i="9"/>
  <c r="D29" i="9" s="1"/>
  <c r="O29" i="9" s="1"/>
  <c r="D43" i="9"/>
  <c r="D30" i="9" s="1"/>
  <c r="O30" i="9" s="1"/>
  <c r="D39" i="6"/>
  <c r="D37" i="6" s="1"/>
  <c r="O37" i="6" s="1"/>
  <c r="D37" i="4"/>
  <c r="D21" i="4" s="1"/>
  <c r="D37" i="20"/>
  <c r="D21" i="20" s="1"/>
  <c r="D40" i="3"/>
  <c r="D21" i="3" s="1"/>
  <c r="O21" i="3" s="1"/>
  <c r="R21" i="3" s="1"/>
  <c r="D25" i="11"/>
  <c r="J25" i="11" s="1"/>
  <c r="U10" i="15"/>
  <c r="U10" i="6"/>
  <c r="O28" i="10"/>
  <c r="O30" i="10"/>
  <c r="O38" i="10"/>
  <c r="O21" i="10"/>
  <c r="B43" i="7"/>
  <c r="U10" i="9"/>
  <c r="G23" i="11"/>
  <c r="H23" i="11" s="1"/>
  <c r="G25" i="11"/>
  <c r="H25" i="11" s="1"/>
  <c r="G21" i="11"/>
  <c r="H21" i="11" s="1"/>
  <c r="G22" i="11"/>
  <c r="H22" i="11" s="1"/>
  <c r="G30" i="11"/>
  <c r="H30" i="11" s="1"/>
  <c r="A5" i="3"/>
  <c r="A5" i="19"/>
  <c r="A5" i="20"/>
  <c r="A5" i="12"/>
  <c r="A5" i="15"/>
  <c r="A5" i="4"/>
  <c r="A5" i="6"/>
  <c r="A5" i="7"/>
  <c r="A5" i="9"/>
  <c r="A5" i="10"/>
  <c r="A5" i="11"/>
  <c r="D39" i="12"/>
  <c r="D37" i="12" s="1"/>
  <c r="O37" i="12" s="1"/>
  <c r="D37" i="15"/>
  <c r="O35" i="20"/>
  <c r="R35" i="20" s="1"/>
  <c r="K22" i="9"/>
  <c r="J22" i="9"/>
  <c r="K23" i="9"/>
  <c r="J23" i="9"/>
  <c r="M23" i="9" s="1"/>
  <c r="K24" i="9"/>
  <c r="J24" i="9"/>
  <c r="M24" i="9" s="1"/>
  <c r="K25" i="9"/>
  <c r="J25" i="9"/>
  <c r="M25" i="9" s="1"/>
  <c r="K26" i="9"/>
  <c r="J26" i="9"/>
  <c r="K27" i="9"/>
  <c r="J27" i="9"/>
  <c r="M27" i="9" s="1"/>
  <c r="K28" i="9"/>
  <c r="J28" i="9"/>
  <c r="M28" i="9" s="1"/>
  <c r="K29" i="9"/>
  <c r="J29" i="9"/>
  <c r="M29" i="9" s="1"/>
  <c r="K30" i="9"/>
  <c r="J30" i="9"/>
  <c r="M30" i="9" s="1"/>
  <c r="K31" i="9"/>
  <c r="J31" i="9"/>
  <c r="M31" i="9" s="1"/>
  <c r="K32" i="9"/>
  <c r="J32" i="9"/>
  <c r="M32" i="9" s="1"/>
  <c r="K33" i="9"/>
  <c r="J33" i="9"/>
  <c r="M33" i="9" s="1"/>
  <c r="K34" i="9"/>
  <c r="J34" i="9"/>
  <c r="K35" i="9"/>
  <c r="J35" i="9"/>
  <c r="M35" i="9" s="1"/>
  <c r="K36" i="9"/>
  <c r="J36" i="9"/>
  <c r="M36" i="9" s="1"/>
  <c r="K21" i="9"/>
  <c r="J21" i="9"/>
  <c r="M21" i="9" s="1"/>
  <c r="L37" i="10"/>
  <c r="M37" i="10" s="1"/>
  <c r="O25" i="10"/>
  <c r="O27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G33" i="10" s="1"/>
  <c r="H33" i="10" s="1"/>
  <c r="F34" i="10"/>
  <c r="F35" i="10"/>
  <c r="F36" i="10"/>
  <c r="F37" i="10"/>
  <c r="F38" i="10"/>
  <c r="F21" i="10"/>
  <c r="P22" i="11"/>
  <c r="P26" i="11"/>
  <c r="P29" i="11"/>
  <c r="K22" i="6"/>
  <c r="J22" i="6"/>
  <c r="M22" i="6" s="1"/>
  <c r="K23" i="6"/>
  <c r="J23" i="6"/>
  <c r="M23" i="6" s="1"/>
  <c r="K24" i="6"/>
  <c r="J24" i="6"/>
  <c r="K25" i="6"/>
  <c r="J25" i="6"/>
  <c r="M25" i="6" s="1"/>
  <c r="K26" i="6"/>
  <c r="J26" i="6"/>
  <c r="M26" i="6" s="1"/>
  <c r="K27" i="6"/>
  <c r="J27" i="6"/>
  <c r="K28" i="6"/>
  <c r="J28" i="6"/>
  <c r="K29" i="6"/>
  <c r="J29" i="6"/>
  <c r="M29" i="6" s="1"/>
  <c r="K30" i="6"/>
  <c r="J30" i="6"/>
  <c r="M30" i="6" s="1"/>
  <c r="K31" i="6"/>
  <c r="J31" i="6"/>
  <c r="M31" i="6" s="1"/>
  <c r="K32" i="6"/>
  <c r="J32" i="6"/>
  <c r="K33" i="6"/>
  <c r="J33" i="6"/>
  <c r="M33" i="6" s="1"/>
  <c r="K34" i="6"/>
  <c r="J34" i="6"/>
  <c r="M34" i="6" s="1"/>
  <c r="K35" i="6"/>
  <c r="J35" i="6"/>
  <c r="M35" i="6" s="1"/>
  <c r="K36" i="6"/>
  <c r="J36" i="6"/>
  <c r="M36" i="6" s="1"/>
  <c r="K37" i="6"/>
  <c r="J37" i="6"/>
  <c r="M37" i="6" s="1"/>
  <c r="K21" i="6"/>
  <c r="J21" i="6"/>
  <c r="M21" i="6" s="1"/>
  <c r="P35" i="3"/>
  <c r="P36" i="3"/>
  <c r="P37" i="3"/>
  <c r="P34" i="3"/>
  <c r="O35" i="3"/>
  <c r="R35" i="3" s="1"/>
  <c r="O36" i="3"/>
  <c r="R36" i="3" s="1"/>
  <c r="O37" i="3"/>
  <c r="R37" i="3" s="1"/>
  <c r="O34" i="3"/>
  <c r="P22" i="3"/>
  <c r="P23" i="3"/>
  <c r="P24" i="3"/>
  <c r="P25" i="3"/>
  <c r="P26" i="3"/>
  <c r="P27" i="3"/>
  <c r="P28" i="3"/>
  <c r="P29" i="3"/>
  <c r="P30" i="3"/>
  <c r="P31" i="3"/>
  <c r="P32" i="3"/>
  <c r="P33" i="3"/>
  <c r="P21" i="3"/>
  <c r="O22" i="3"/>
  <c r="R22" i="3" s="1"/>
  <c r="O23" i="3"/>
  <c r="O24" i="3"/>
  <c r="O25" i="3"/>
  <c r="O26" i="3"/>
  <c r="R26" i="3" s="1"/>
  <c r="O27" i="3"/>
  <c r="R27" i="3" s="1"/>
  <c r="O28" i="3"/>
  <c r="R28" i="3" s="1"/>
  <c r="O29" i="3"/>
  <c r="R29" i="3" s="1"/>
  <c r="O30" i="3"/>
  <c r="R30" i="3" s="1"/>
  <c r="O31" i="3"/>
  <c r="R31" i="3" s="1"/>
  <c r="O32" i="3"/>
  <c r="O33" i="3"/>
  <c r="R33" i="3" s="1"/>
  <c r="K22" i="3"/>
  <c r="J22" i="3"/>
  <c r="M22" i="3" s="1"/>
  <c r="K23" i="3"/>
  <c r="J23" i="3"/>
  <c r="M23" i="3" s="1"/>
  <c r="K24" i="3"/>
  <c r="J24" i="3"/>
  <c r="K25" i="3"/>
  <c r="J25" i="3"/>
  <c r="M25" i="3" s="1"/>
  <c r="K26" i="3"/>
  <c r="J26" i="3"/>
  <c r="M26" i="3" s="1"/>
  <c r="K27" i="3"/>
  <c r="J27" i="3"/>
  <c r="M27" i="3" s="1"/>
  <c r="K28" i="3"/>
  <c r="J28" i="3"/>
  <c r="M28" i="3" s="1"/>
  <c r="K29" i="3"/>
  <c r="J29" i="3"/>
  <c r="M29" i="3" s="1"/>
  <c r="K30" i="3"/>
  <c r="J30" i="3"/>
  <c r="M30" i="3" s="1"/>
  <c r="K31" i="3"/>
  <c r="J31" i="3"/>
  <c r="M31" i="3" s="1"/>
  <c r="K32" i="3"/>
  <c r="J32" i="3"/>
  <c r="K33" i="3"/>
  <c r="J33" i="3"/>
  <c r="M33" i="3" s="1"/>
  <c r="K34" i="3"/>
  <c r="J34" i="3"/>
  <c r="M34" i="3" s="1"/>
  <c r="K35" i="3"/>
  <c r="J35" i="3"/>
  <c r="M35" i="3" s="1"/>
  <c r="K36" i="3"/>
  <c r="J36" i="3"/>
  <c r="K37" i="3"/>
  <c r="J37" i="3"/>
  <c r="M37" i="3" s="1"/>
  <c r="K38" i="3"/>
  <c r="J38" i="3"/>
  <c r="M38" i="3" s="1"/>
  <c r="K21" i="3"/>
  <c r="J21" i="3"/>
  <c r="M21" i="3" s="1"/>
  <c r="P35" i="19"/>
  <c r="P36" i="19"/>
  <c r="P37" i="19"/>
  <c r="P38" i="19"/>
  <c r="P39" i="19"/>
  <c r="P34" i="19"/>
  <c r="P22" i="19"/>
  <c r="P23" i="19"/>
  <c r="P24" i="19"/>
  <c r="P25" i="19"/>
  <c r="P26" i="19"/>
  <c r="D41" i="19"/>
  <c r="P27" i="19"/>
  <c r="P28" i="19"/>
  <c r="P29" i="19"/>
  <c r="P30" i="19"/>
  <c r="P31" i="19"/>
  <c r="P32" i="19"/>
  <c r="P33" i="19"/>
  <c r="P21" i="19"/>
  <c r="K22" i="19"/>
  <c r="J22" i="19"/>
  <c r="M22" i="19" s="1"/>
  <c r="K23" i="19"/>
  <c r="J23" i="19"/>
  <c r="M23" i="19" s="1"/>
  <c r="K24" i="19"/>
  <c r="J24" i="19"/>
  <c r="M24" i="19" s="1"/>
  <c r="K25" i="19"/>
  <c r="J25" i="19"/>
  <c r="K26" i="19"/>
  <c r="J26" i="19"/>
  <c r="K27" i="19"/>
  <c r="J27" i="19"/>
  <c r="M27" i="19" s="1"/>
  <c r="K28" i="19"/>
  <c r="J28" i="19"/>
  <c r="M28" i="19" s="1"/>
  <c r="K29" i="19"/>
  <c r="J29" i="19"/>
  <c r="M29" i="19" s="1"/>
  <c r="K30" i="19"/>
  <c r="J30" i="19"/>
  <c r="K31" i="19"/>
  <c r="J31" i="19"/>
  <c r="M31" i="19" s="1"/>
  <c r="K32" i="19"/>
  <c r="J32" i="19"/>
  <c r="M32" i="19" s="1"/>
  <c r="K33" i="19"/>
  <c r="J33" i="19"/>
  <c r="M33" i="19" s="1"/>
  <c r="K34" i="19"/>
  <c r="J34" i="19"/>
  <c r="M34" i="19" s="1"/>
  <c r="K35" i="19"/>
  <c r="J35" i="19"/>
  <c r="M35" i="19" s="1"/>
  <c r="K36" i="19"/>
  <c r="J36" i="19"/>
  <c r="K37" i="19"/>
  <c r="J37" i="19"/>
  <c r="M37" i="19" s="1"/>
  <c r="K38" i="19"/>
  <c r="J38" i="19"/>
  <c r="K39" i="19"/>
  <c r="J39" i="19"/>
  <c r="M39" i="19" s="1"/>
  <c r="K21" i="19"/>
  <c r="J21" i="19"/>
  <c r="M21" i="19" s="1"/>
  <c r="K22" i="20"/>
  <c r="J22" i="20"/>
  <c r="K23" i="20"/>
  <c r="J23" i="20"/>
  <c r="M23" i="20" s="1"/>
  <c r="K24" i="20"/>
  <c r="J24" i="20"/>
  <c r="M24" i="20" s="1"/>
  <c r="K25" i="20"/>
  <c r="J25" i="20"/>
  <c r="M25" i="20" s="1"/>
  <c r="K26" i="20"/>
  <c r="J26" i="20"/>
  <c r="M26" i="20" s="1"/>
  <c r="K27" i="20"/>
  <c r="J27" i="20"/>
  <c r="M27" i="20" s="1"/>
  <c r="K28" i="20"/>
  <c r="J28" i="20"/>
  <c r="M28" i="20" s="1"/>
  <c r="K29" i="20"/>
  <c r="J29" i="20"/>
  <c r="M29" i="20" s="1"/>
  <c r="K30" i="20"/>
  <c r="J30" i="20"/>
  <c r="M30" i="20" s="1"/>
  <c r="K31" i="20"/>
  <c r="J31" i="20"/>
  <c r="M31" i="20" s="1"/>
  <c r="K32" i="20"/>
  <c r="J32" i="20"/>
  <c r="M32" i="20" s="1"/>
  <c r="K33" i="20"/>
  <c r="J33" i="20"/>
  <c r="M33" i="20" s="1"/>
  <c r="K34" i="20"/>
  <c r="J34" i="20"/>
  <c r="M34" i="20" s="1"/>
  <c r="K35" i="20"/>
  <c r="J35" i="20"/>
  <c r="M35" i="20" s="1"/>
  <c r="K21" i="20"/>
  <c r="J21" i="20"/>
  <c r="M21" i="20" s="1"/>
  <c r="P33" i="20"/>
  <c r="P32" i="20"/>
  <c r="P22" i="20"/>
  <c r="P23" i="20"/>
  <c r="P24" i="20"/>
  <c r="P25" i="20"/>
  <c r="P26" i="20"/>
  <c r="P27" i="20"/>
  <c r="P28" i="20"/>
  <c r="P29" i="20"/>
  <c r="P30" i="20"/>
  <c r="P31" i="20"/>
  <c r="P21" i="20"/>
  <c r="O33" i="20"/>
  <c r="R33" i="20" s="1"/>
  <c r="O32" i="20"/>
  <c r="R32" i="20" s="1"/>
  <c r="O22" i="20"/>
  <c r="R22" i="20" s="1"/>
  <c r="O23" i="20"/>
  <c r="R23" i="20" s="1"/>
  <c r="O24" i="20"/>
  <c r="R24" i="20" s="1"/>
  <c r="O25" i="20"/>
  <c r="R25" i="20" s="1"/>
  <c r="O26" i="20"/>
  <c r="R26" i="20" s="1"/>
  <c r="O27" i="20"/>
  <c r="R27" i="20" s="1"/>
  <c r="O28" i="20"/>
  <c r="O29" i="20"/>
  <c r="R29" i="20" s="1"/>
  <c r="O30" i="20"/>
  <c r="R30" i="20" s="1"/>
  <c r="O31" i="20"/>
  <c r="R31" i="20" s="1"/>
  <c r="O21" i="20"/>
  <c r="R21" i="20" s="1"/>
  <c r="P22" i="12"/>
  <c r="P23" i="12"/>
  <c r="P24" i="12"/>
  <c r="P25" i="12"/>
  <c r="P26" i="12"/>
  <c r="P27" i="12"/>
  <c r="P28" i="12"/>
  <c r="P29" i="12"/>
  <c r="P30" i="12"/>
  <c r="P31" i="12"/>
  <c r="P32" i="12"/>
  <c r="P34" i="12"/>
  <c r="P35" i="12"/>
  <c r="P36" i="12"/>
  <c r="P21" i="12"/>
  <c r="O22" i="12"/>
  <c r="O23" i="12"/>
  <c r="O24" i="12"/>
  <c r="O25" i="12"/>
  <c r="O26" i="12"/>
  <c r="O27" i="12"/>
  <c r="O28" i="12"/>
  <c r="O29" i="12"/>
  <c r="O30" i="12"/>
  <c r="O31" i="12"/>
  <c r="O32" i="12"/>
  <c r="O34" i="12"/>
  <c r="O35" i="12"/>
  <c r="O36" i="12"/>
  <c r="O21" i="12"/>
  <c r="K34" i="12"/>
  <c r="J34" i="12"/>
  <c r="M34" i="12" s="1"/>
  <c r="K22" i="12"/>
  <c r="J22" i="12"/>
  <c r="M22" i="12" s="1"/>
  <c r="K23" i="12"/>
  <c r="J23" i="12"/>
  <c r="M23" i="12" s="1"/>
  <c r="K24" i="12"/>
  <c r="J24" i="12"/>
  <c r="M24" i="12" s="1"/>
  <c r="K25" i="12"/>
  <c r="J25" i="12"/>
  <c r="M25" i="12" s="1"/>
  <c r="K26" i="12"/>
  <c r="J26" i="12"/>
  <c r="M26" i="12" s="1"/>
  <c r="K27" i="12"/>
  <c r="J27" i="12"/>
  <c r="K28" i="12"/>
  <c r="J28" i="12"/>
  <c r="M28" i="12" s="1"/>
  <c r="K29" i="12"/>
  <c r="J29" i="12"/>
  <c r="M29" i="12" s="1"/>
  <c r="K30" i="12"/>
  <c r="J30" i="12"/>
  <c r="M30" i="12" s="1"/>
  <c r="K31" i="12"/>
  <c r="J31" i="12"/>
  <c r="M31" i="12" s="1"/>
  <c r="K32" i="12"/>
  <c r="J32" i="12"/>
  <c r="M32" i="12" s="1"/>
  <c r="K33" i="12"/>
  <c r="J33" i="12"/>
  <c r="M33" i="12" s="1"/>
  <c r="K35" i="12"/>
  <c r="J35" i="12"/>
  <c r="M35" i="12" s="1"/>
  <c r="K36" i="12"/>
  <c r="J36" i="12"/>
  <c r="M36" i="12" s="1"/>
  <c r="K37" i="12"/>
  <c r="J37" i="12"/>
  <c r="M37" i="12" s="1"/>
  <c r="K21" i="12"/>
  <c r="J21" i="12"/>
  <c r="M21" i="12" s="1"/>
  <c r="P22" i="15"/>
  <c r="P23" i="15"/>
  <c r="P25" i="15"/>
  <c r="P26" i="15"/>
  <c r="P27" i="15"/>
  <c r="P28" i="15"/>
  <c r="P29" i="15"/>
  <c r="P30" i="15"/>
  <c r="P31" i="15"/>
  <c r="P32" i="15"/>
  <c r="P34" i="15"/>
  <c r="P35" i="15"/>
  <c r="O22" i="15"/>
  <c r="R22" i="15" s="1"/>
  <c r="O23" i="15"/>
  <c r="R23" i="15" s="1"/>
  <c r="O25" i="15"/>
  <c r="R25" i="15" s="1"/>
  <c r="O26" i="15"/>
  <c r="R26" i="15" s="1"/>
  <c r="O27" i="15"/>
  <c r="R27" i="15" s="1"/>
  <c r="O28" i="15"/>
  <c r="O29" i="15"/>
  <c r="R29" i="15" s="1"/>
  <c r="O30" i="15"/>
  <c r="R30" i="15" s="1"/>
  <c r="O31" i="15"/>
  <c r="R31" i="15" s="1"/>
  <c r="O32" i="15"/>
  <c r="R32" i="15" s="1"/>
  <c r="O34" i="15"/>
  <c r="R34" i="15" s="1"/>
  <c r="O35" i="15"/>
  <c r="R35" i="15" s="1"/>
  <c r="K22" i="15"/>
  <c r="J22" i="15"/>
  <c r="M22" i="15" s="1"/>
  <c r="K23" i="15"/>
  <c r="J23" i="15"/>
  <c r="M23" i="15" s="1"/>
  <c r="K24" i="15"/>
  <c r="J24" i="15"/>
  <c r="M24" i="15" s="1"/>
  <c r="K25" i="15"/>
  <c r="J25" i="15"/>
  <c r="M25" i="15" s="1"/>
  <c r="K26" i="15"/>
  <c r="J26" i="15"/>
  <c r="M26" i="15" s="1"/>
  <c r="K27" i="15"/>
  <c r="J27" i="15"/>
  <c r="M27" i="15" s="1"/>
  <c r="K28" i="15"/>
  <c r="J28" i="15"/>
  <c r="M28" i="15" s="1"/>
  <c r="K29" i="15"/>
  <c r="J29" i="15"/>
  <c r="M29" i="15" s="1"/>
  <c r="K30" i="15"/>
  <c r="J30" i="15"/>
  <c r="M30" i="15" s="1"/>
  <c r="K31" i="15"/>
  <c r="J31" i="15"/>
  <c r="M31" i="15" s="1"/>
  <c r="K32" i="15"/>
  <c r="J32" i="15"/>
  <c r="M32" i="15" s="1"/>
  <c r="K33" i="15"/>
  <c r="J33" i="15"/>
  <c r="M33" i="15" s="1"/>
  <c r="K34" i="15"/>
  <c r="J34" i="15"/>
  <c r="K35" i="15"/>
  <c r="J35" i="15"/>
  <c r="M35" i="15" s="1"/>
  <c r="K21" i="15"/>
  <c r="J21" i="15"/>
  <c r="M21" i="15" s="1"/>
  <c r="P21" i="4"/>
  <c r="P22" i="4"/>
  <c r="P23" i="4"/>
  <c r="P24" i="4"/>
  <c r="P25" i="4"/>
  <c r="P26" i="4"/>
  <c r="P27" i="4"/>
  <c r="P28" i="4"/>
  <c r="P29" i="4"/>
  <c r="P30" i="4"/>
  <c r="P31" i="4"/>
  <c r="P34" i="4"/>
  <c r="P35" i="4"/>
  <c r="O22" i="4"/>
  <c r="R22" i="4" s="1"/>
  <c r="O23" i="4"/>
  <c r="R23" i="4" s="1"/>
  <c r="O24" i="4"/>
  <c r="R24" i="4" s="1"/>
  <c r="O25" i="4"/>
  <c r="R25" i="4" s="1"/>
  <c r="O26" i="4"/>
  <c r="R26" i="4" s="1"/>
  <c r="O27" i="4"/>
  <c r="O28" i="4"/>
  <c r="O29" i="4"/>
  <c r="R29" i="4" s="1"/>
  <c r="O30" i="4"/>
  <c r="R30" i="4" s="1"/>
  <c r="O31" i="4"/>
  <c r="R31" i="4" s="1"/>
  <c r="O34" i="4"/>
  <c r="R34" i="4" s="1"/>
  <c r="O35" i="4"/>
  <c r="R35" i="4" s="1"/>
  <c r="O21" i="4"/>
  <c r="R21" i="4" s="1"/>
  <c r="K22" i="4"/>
  <c r="J22" i="4"/>
  <c r="K23" i="4"/>
  <c r="J23" i="4"/>
  <c r="M23" i="4" s="1"/>
  <c r="K24" i="4"/>
  <c r="J24" i="4"/>
  <c r="M24" i="4" s="1"/>
  <c r="K25" i="4"/>
  <c r="J25" i="4"/>
  <c r="K26" i="4"/>
  <c r="J26" i="4"/>
  <c r="K27" i="4"/>
  <c r="J27" i="4"/>
  <c r="M27" i="4" s="1"/>
  <c r="K28" i="4"/>
  <c r="J28" i="4"/>
  <c r="M28" i="4" s="1"/>
  <c r="K29" i="4"/>
  <c r="J29" i="4"/>
  <c r="M29" i="4" s="1"/>
  <c r="K30" i="4"/>
  <c r="J30" i="4"/>
  <c r="K31" i="4"/>
  <c r="J31" i="4"/>
  <c r="M31" i="4" s="1"/>
  <c r="K32" i="4"/>
  <c r="J32" i="4"/>
  <c r="M32" i="4" s="1"/>
  <c r="K33" i="4"/>
  <c r="J33" i="4"/>
  <c r="M33" i="4" s="1"/>
  <c r="K34" i="4"/>
  <c r="J34" i="4"/>
  <c r="K35" i="4"/>
  <c r="J35" i="4"/>
  <c r="M35" i="4" s="1"/>
  <c r="K21" i="4"/>
  <c r="J21" i="4"/>
  <c r="M21" i="4" s="1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21" i="6"/>
  <c r="O22" i="6"/>
  <c r="O23" i="6"/>
  <c r="O24" i="6"/>
  <c r="O25" i="6"/>
  <c r="O26" i="6"/>
  <c r="O27" i="6"/>
  <c r="O28" i="6"/>
  <c r="O29" i="6"/>
  <c r="Q29" i="6" s="1"/>
  <c r="R29" i="6" s="1"/>
  <c r="O30" i="6"/>
  <c r="O31" i="6"/>
  <c r="O32" i="6"/>
  <c r="O33" i="6"/>
  <c r="O34" i="6"/>
  <c r="O35" i="6"/>
  <c r="O36" i="6"/>
  <c r="O21" i="6"/>
  <c r="Q33" i="7"/>
  <c r="R33" i="7" s="1"/>
  <c r="Q26" i="7"/>
  <c r="R26" i="7" s="1"/>
  <c r="Q27" i="7"/>
  <c r="R27" i="7" s="1"/>
  <c r="Q28" i="7"/>
  <c r="R28" i="7" s="1"/>
  <c r="K22" i="7"/>
  <c r="J22" i="7"/>
  <c r="M22" i="7" s="1"/>
  <c r="K23" i="7"/>
  <c r="J23" i="7"/>
  <c r="M23" i="7" s="1"/>
  <c r="K24" i="7"/>
  <c r="J24" i="7"/>
  <c r="M24" i="7" s="1"/>
  <c r="K25" i="7"/>
  <c r="J25" i="7"/>
  <c r="M25" i="7" s="1"/>
  <c r="K26" i="7"/>
  <c r="J26" i="7"/>
  <c r="M26" i="7" s="1"/>
  <c r="K27" i="7"/>
  <c r="J27" i="7"/>
  <c r="K28" i="7"/>
  <c r="J28" i="7"/>
  <c r="K29" i="7"/>
  <c r="J29" i="7"/>
  <c r="M29" i="7" s="1"/>
  <c r="K30" i="7"/>
  <c r="J30" i="7"/>
  <c r="M30" i="7" s="1"/>
  <c r="K31" i="7"/>
  <c r="J31" i="7"/>
  <c r="M31" i="7" s="1"/>
  <c r="K32" i="7"/>
  <c r="J32" i="7"/>
  <c r="K33" i="7"/>
  <c r="J33" i="7"/>
  <c r="M33" i="7" s="1"/>
  <c r="K34" i="7"/>
  <c r="J34" i="7"/>
  <c r="M34" i="7" s="1"/>
  <c r="K35" i="7"/>
  <c r="J35" i="7"/>
  <c r="M35" i="7" s="1"/>
  <c r="K36" i="7"/>
  <c r="J36" i="7"/>
  <c r="K37" i="7"/>
  <c r="J37" i="7"/>
  <c r="M37" i="7" s="1"/>
  <c r="K38" i="7"/>
  <c r="J38" i="7"/>
  <c r="M38" i="7" s="1"/>
  <c r="K21" i="7"/>
  <c r="J21" i="7"/>
  <c r="F22" i="9"/>
  <c r="F23" i="9"/>
  <c r="G23" i="9" s="1"/>
  <c r="H23" i="9" s="1"/>
  <c r="F24" i="9"/>
  <c r="F25" i="9"/>
  <c r="F26" i="9"/>
  <c r="F27" i="9"/>
  <c r="F28" i="9"/>
  <c r="F29" i="9"/>
  <c r="F30" i="9"/>
  <c r="F31" i="9"/>
  <c r="G31" i="9" s="1"/>
  <c r="H31" i="9" s="1"/>
  <c r="F32" i="9"/>
  <c r="F33" i="9"/>
  <c r="F34" i="9"/>
  <c r="F35" i="9"/>
  <c r="G35" i="9" s="1"/>
  <c r="H35" i="9" s="1"/>
  <c r="F36" i="9"/>
  <c r="F21" i="9"/>
  <c r="S36" i="9"/>
  <c r="F22" i="3"/>
  <c r="E22" i="3"/>
  <c r="H22" i="3" s="1"/>
  <c r="F23" i="3"/>
  <c r="E23" i="3"/>
  <c r="H23" i="3" s="1"/>
  <c r="F24" i="3"/>
  <c r="E24" i="3"/>
  <c r="H24" i="3" s="1"/>
  <c r="F25" i="3"/>
  <c r="E25" i="3"/>
  <c r="H25" i="3" s="1"/>
  <c r="F26" i="3"/>
  <c r="E26" i="3"/>
  <c r="H26" i="3" s="1"/>
  <c r="F27" i="3"/>
  <c r="E27" i="3"/>
  <c r="H27" i="3" s="1"/>
  <c r="F28" i="3"/>
  <c r="E28" i="3"/>
  <c r="H28" i="3" s="1"/>
  <c r="F29" i="3"/>
  <c r="E29" i="3"/>
  <c r="H29" i="3" s="1"/>
  <c r="F30" i="3"/>
  <c r="E30" i="3"/>
  <c r="H30" i="3" s="1"/>
  <c r="F31" i="3"/>
  <c r="E31" i="3"/>
  <c r="H31" i="3" s="1"/>
  <c r="F32" i="3"/>
  <c r="E32" i="3"/>
  <c r="H32" i="3" s="1"/>
  <c r="F33" i="3"/>
  <c r="E33" i="3"/>
  <c r="F34" i="3"/>
  <c r="E34" i="3"/>
  <c r="H34" i="3" s="1"/>
  <c r="F35" i="3"/>
  <c r="E35" i="3"/>
  <c r="H35" i="3" s="1"/>
  <c r="F36" i="3"/>
  <c r="E36" i="3"/>
  <c r="H36" i="3" s="1"/>
  <c r="F37" i="3"/>
  <c r="E37" i="3"/>
  <c r="H37" i="3" s="1"/>
  <c r="F38" i="3"/>
  <c r="E38" i="3"/>
  <c r="H38" i="3" s="1"/>
  <c r="F21" i="3"/>
  <c r="E21" i="3"/>
  <c r="H21" i="3" s="1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21" i="19"/>
  <c r="F35" i="20"/>
  <c r="E35" i="20"/>
  <c r="H35" i="20" s="1"/>
  <c r="F21" i="20"/>
  <c r="E21" i="20"/>
  <c r="H21" i="20" s="1"/>
  <c r="F22" i="20"/>
  <c r="F23" i="20"/>
  <c r="F24" i="20"/>
  <c r="F25" i="20"/>
  <c r="F26" i="20"/>
  <c r="F27" i="20"/>
  <c r="T27" i="20" s="1"/>
  <c r="F28" i="20"/>
  <c r="F29" i="20"/>
  <c r="F30" i="20"/>
  <c r="F31" i="20"/>
  <c r="F32" i="20"/>
  <c r="F33" i="20"/>
  <c r="F34" i="20"/>
  <c r="E22" i="20"/>
  <c r="H22" i="20" s="1"/>
  <c r="E23" i="20"/>
  <c r="H23" i="20" s="1"/>
  <c r="E24" i="20"/>
  <c r="H24" i="20" s="1"/>
  <c r="E25" i="20"/>
  <c r="H25" i="20" s="1"/>
  <c r="E26" i="20"/>
  <c r="H26" i="20" s="1"/>
  <c r="E27" i="20"/>
  <c r="H27" i="20" s="1"/>
  <c r="E28" i="20"/>
  <c r="H28" i="20" s="1"/>
  <c r="E29" i="20"/>
  <c r="H29" i="20" s="1"/>
  <c r="E30" i="20"/>
  <c r="H30" i="20" s="1"/>
  <c r="E31" i="20"/>
  <c r="H31" i="20" s="1"/>
  <c r="E32" i="20"/>
  <c r="H32" i="20" s="1"/>
  <c r="E33" i="20"/>
  <c r="H33" i="20" s="1"/>
  <c r="E34" i="20"/>
  <c r="H34" i="20" s="1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21" i="12"/>
  <c r="E22" i="12"/>
  <c r="E23" i="12"/>
  <c r="G23" i="12" s="1"/>
  <c r="H23" i="12" s="1"/>
  <c r="E24" i="12"/>
  <c r="E25" i="12"/>
  <c r="E26" i="12"/>
  <c r="E27" i="12"/>
  <c r="E28" i="12"/>
  <c r="S28" i="12" s="1"/>
  <c r="E29" i="12"/>
  <c r="E30" i="12"/>
  <c r="E31" i="12"/>
  <c r="E32" i="12"/>
  <c r="E33" i="12"/>
  <c r="E34" i="12"/>
  <c r="E35" i="12"/>
  <c r="E36" i="12"/>
  <c r="E37" i="12"/>
  <c r="E21" i="12"/>
  <c r="Q21" i="12"/>
  <c r="R21" i="12" s="1"/>
  <c r="E30" i="4"/>
  <c r="H30" i="4" s="1"/>
  <c r="F30" i="4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21" i="15"/>
  <c r="E22" i="15"/>
  <c r="H22" i="15" s="1"/>
  <c r="E23" i="15"/>
  <c r="H23" i="15" s="1"/>
  <c r="E24" i="15"/>
  <c r="H24" i="15" s="1"/>
  <c r="E25" i="15"/>
  <c r="H25" i="15" s="1"/>
  <c r="E26" i="15"/>
  <c r="H26" i="15" s="1"/>
  <c r="E27" i="15"/>
  <c r="H27" i="15" s="1"/>
  <c r="E28" i="15"/>
  <c r="H28" i="15" s="1"/>
  <c r="E29" i="15"/>
  <c r="H29" i="15" s="1"/>
  <c r="E30" i="15"/>
  <c r="H30" i="15" s="1"/>
  <c r="E31" i="15"/>
  <c r="H31" i="15" s="1"/>
  <c r="E32" i="15"/>
  <c r="E33" i="15"/>
  <c r="H33" i="15" s="1"/>
  <c r="E34" i="15"/>
  <c r="H34" i="15" s="1"/>
  <c r="E35" i="15"/>
  <c r="E21" i="15"/>
  <c r="H21" i="15" s="1"/>
  <c r="F21" i="4"/>
  <c r="E21" i="4"/>
  <c r="H21" i="4" s="1"/>
  <c r="F22" i="4"/>
  <c r="F23" i="4"/>
  <c r="F24" i="4"/>
  <c r="F25" i="4"/>
  <c r="F26" i="4"/>
  <c r="F27" i="4"/>
  <c r="F28" i="4"/>
  <c r="F29" i="4"/>
  <c r="F31" i="4"/>
  <c r="F32" i="4"/>
  <c r="F33" i="4"/>
  <c r="F34" i="4"/>
  <c r="F35" i="4"/>
  <c r="E22" i="4"/>
  <c r="H22" i="4" s="1"/>
  <c r="E23" i="4"/>
  <c r="H23" i="4" s="1"/>
  <c r="E24" i="4"/>
  <c r="H24" i="4" s="1"/>
  <c r="E25" i="4"/>
  <c r="H25" i="4" s="1"/>
  <c r="E26" i="4"/>
  <c r="H26" i="4" s="1"/>
  <c r="E27" i="4"/>
  <c r="H27" i="4" s="1"/>
  <c r="E28" i="4"/>
  <c r="H28" i="4" s="1"/>
  <c r="E29" i="4"/>
  <c r="E31" i="4"/>
  <c r="H31" i="4" s="1"/>
  <c r="E32" i="4"/>
  <c r="H32" i="4" s="1"/>
  <c r="E33" i="4"/>
  <c r="H33" i="4" s="1"/>
  <c r="E34" i="4"/>
  <c r="H34" i="4" s="1"/>
  <c r="E35" i="4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7" i="6"/>
  <c r="F37" i="6"/>
  <c r="E21" i="6"/>
  <c r="F21" i="6"/>
  <c r="F21" i="7"/>
  <c r="F22" i="7"/>
  <c r="F23" i="7"/>
  <c r="F24" i="7"/>
  <c r="F25" i="7"/>
  <c r="F26" i="7"/>
  <c r="F27" i="7"/>
  <c r="F28" i="7"/>
  <c r="F29" i="7"/>
  <c r="F30" i="7"/>
  <c r="G30" i="7" s="1"/>
  <c r="H30" i="7" s="1"/>
  <c r="F31" i="7"/>
  <c r="F32" i="7"/>
  <c r="F33" i="7"/>
  <c r="G33" i="7" s="1"/>
  <c r="H33" i="7" s="1"/>
  <c r="F34" i="7"/>
  <c r="F35" i="7"/>
  <c r="F36" i="7"/>
  <c r="F37" i="7"/>
  <c r="F38" i="7"/>
  <c r="A2" i="20"/>
  <c r="U10" i="20"/>
  <c r="A2" i="9"/>
  <c r="U10" i="7"/>
  <c r="A2" i="7"/>
  <c r="A2" i="6"/>
  <c r="U10" i="4"/>
  <c r="A2" i="4"/>
  <c r="A2" i="15"/>
  <c r="U10" i="12"/>
  <c r="A2" i="12"/>
  <c r="Q10" i="10"/>
  <c r="A2" i="10"/>
  <c r="Q10" i="11"/>
  <c r="A2" i="11"/>
  <c r="U10" i="19"/>
  <c r="A2" i="19"/>
  <c r="U10" i="3"/>
  <c r="A2" i="3"/>
  <c r="L22" i="7"/>
  <c r="L26" i="6"/>
  <c r="L28" i="9"/>
  <c r="O32" i="4"/>
  <c r="R32" i="4" s="1"/>
  <c r="P32" i="4"/>
  <c r="P35" i="20"/>
  <c r="O24" i="15"/>
  <c r="R24" i="15" s="1"/>
  <c r="P24" i="15"/>
  <c r="O23" i="11"/>
  <c r="G21" i="20" l="1"/>
  <c r="L34" i="6"/>
  <c r="L30" i="6"/>
  <c r="L22" i="6"/>
  <c r="Q25" i="20"/>
  <c r="P27" i="10"/>
  <c r="G36" i="19"/>
  <c r="H36" i="19" s="1"/>
  <c r="G21" i="6"/>
  <c r="H21" i="6" s="1"/>
  <c r="G22" i="6"/>
  <c r="H22" i="6" s="1"/>
  <c r="G37" i="6"/>
  <c r="H37" i="6" s="1"/>
  <c r="G34" i="7"/>
  <c r="H34" i="7" s="1"/>
  <c r="G21" i="10"/>
  <c r="H21" i="10" s="1"/>
  <c r="G23" i="10"/>
  <c r="H23" i="10" s="1"/>
  <c r="G24" i="10"/>
  <c r="H24" i="10" s="1"/>
  <c r="S21" i="6"/>
  <c r="L21" i="19"/>
  <c r="S29" i="12"/>
  <c r="Q34" i="4"/>
  <c r="Q32" i="15"/>
  <c r="Q31" i="12"/>
  <c r="R31" i="12" s="1"/>
  <c r="L21" i="12"/>
  <c r="G24" i="15"/>
  <c r="G38" i="10"/>
  <c r="H38" i="10" s="1"/>
  <c r="G30" i="10"/>
  <c r="H30" i="10" s="1"/>
  <c r="G22" i="10"/>
  <c r="H22" i="10" s="1"/>
  <c r="G21" i="9"/>
  <c r="H21" i="9" s="1"/>
  <c r="S21" i="7"/>
  <c r="S31" i="7"/>
  <c r="O25" i="11"/>
  <c r="G32" i="7"/>
  <c r="H32" i="7" s="1"/>
  <c r="G24" i="7"/>
  <c r="H24" i="7" s="1"/>
  <c r="G35" i="19"/>
  <c r="H35" i="19" s="1"/>
  <c r="G27" i="19"/>
  <c r="H27" i="19" s="1"/>
  <c r="L22" i="3"/>
  <c r="G21" i="15"/>
  <c r="T34" i="19"/>
  <c r="G35" i="10"/>
  <c r="H35" i="10" s="1"/>
  <c r="G27" i="10"/>
  <c r="H27" i="10" s="1"/>
  <c r="Q35" i="15"/>
  <c r="G35" i="4"/>
  <c r="G33" i="20"/>
  <c r="G25" i="20"/>
  <c r="Q34" i="15"/>
  <c r="Q24" i="12"/>
  <c r="R24" i="12" s="1"/>
  <c r="T24" i="3"/>
  <c r="Q27" i="3"/>
  <c r="S26" i="6"/>
  <c r="L32" i="7"/>
  <c r="M32" i="7"/>
  <c r="M28" i="7"/>
  <c r="M34" i="4"/>
  <c r="S26" i="4"/>
  <c r="U26" i="4" s="1"/>
  <c r="M26" i="4"/>
  <c r="M22" i="4"/>
  <c r="L34" i="15"/>
  <c r="M34" i="15"/>
  <c r="L26" i="19"/>
  <c r="M26" i="19"/>
  <c r="L36" i="3"/>
  <c r="M36" i="3"/>
  <c r="L32" i="3"/>
  <c r="M32" i="3"/>
  <c r="L24" i="3"/>
  <c r="M24" i="3"/>
  <c r="Q28" i="15"/>
  <c r="R28" i="15"/>
  <c r="L22" i="19"/>
  <c r="L28" i="3"/>
  <c r="G30" i="20"/>
  <c r="L27" i="7"/>
  <c r="M27" i="7"/>
  <c r="L25" i="4"/>
  <c r="M25" i="4"/>
  <c r="S24" i="12"/>
  <c r="L25" i="19"/>
  <c r="M25" i="19"/>
  <c r="S29" i="4"/>
  <c r="U29" i="4" s="1"/>
  <c r="H29" i="4"/>
  <c r="S35" i="15"/>
  <c r="U35" i="15" s="1"/>
  <c r="H35" i="15"/>
  <c r="G24" i="19"/>
  <c r="H24" i="19" s="1"/>
  <c r="L31" i="7"/>
  <c r="L30" i="20"/>
  <c r="P37" i="12"/>
  <c r="G39" i="19"/>
  <c r="H39" i="19" s="1"/>
  <c r="S27" i="6"/>
  <c r="M27" i="6"/>
  <c r="L34" i="3"/>
  <c r="G24" i="4"/>
  <c r="L38" i="7"/>
  <c r="L34" i="7"/>
  <c r="Q28" i="6"/>
  <c r="R28" i="6" s="1"/>
  <c r="L24" i="15"/>
  <c r="L24" i="19"/>
  <c r="L32" i="9"/>
  <c r="H35" i="4"/>
  <c r="H32" i="15"/>
  <c r="G37" i="19"/>
  <c r="H37" i="19" s="1"/>
  <c r="G29" i="19"/>
  <c r="H29" i="19" s="1"/>
  <c r="L36" i="7"/>
  <c r="M36" i="7"/>
  <c r="M30" i="4"/>
  <c r="S28" i="4"/>
  <c r="U28" i="4" s="1"/>
  <c r="R28" i="4"/>
  <c r="M27" i="12"/>
  <c r="S28" i="20"/>
  <c r="U28" i="20" s="1"/>
  <c r="R28" i="20"/>
  <c r="S38" i="19"/>
  <c r="M38" i="19"/>
  <c r="L30" i="19"/>
  <c r="M30" i="19"/>
  <c r="L26" i="4"/>
  <c r="S27" i="4"/>
  <c r="U27" i="4" s="1"/>
  <c r="R27" i="4"/>
  <c r="O33" i="15"/>
  <c r="R33" i="15" s="1"/>
  <c r="D21" i="15"/>
  <c r="G33" i="19"/>
  <c r="H33" i="19" s="1"/>
  <c r="G33" i="3"/>
  <c r="H33" i="3"/>
  <c r="L21" i="7"/>
  <c r="M21" i="7"/>
  <c r="L22" i="20"/>
  <c r="M22" i="20"/>
  <c r="L32" i="6"/>
  <c r="M32" i="6"/>
  <c r="L28" i="6"/>
  <c r="M28" i="6"/>
  <c r="L24" i="6"/>
  <c r="M24" i="6"/>
  <c r="G21" i="19"/>
  <c r="H21" i="19" s="1"/>
  <c r="G32" i="19"/>
  <c r="H32" i="19" s="1"/>
  <c r="G25" i="3"/>
  <c r="L35" i="7"/>
  <c r="S24" i="4"/>
  <c r="U24" i="4" s="1"/>
  <c r="G23" i="19"/>
  <c r="H23" i="19" s="1"/>
  <c r="M36" i="19"/>
  <c r="S23" i="19"/>
  <c r="Q26" i="4"/>
  <c r="G33" i="4"/>
  <c r="L36" i="9"/>
  <c r="G24" i="6"/>
  <c r="H24" i="6" s="1"/>
  <c r="G22" i="15"/>
  <c r="G35" i="12"/>
  <c r="H35" i="12" s="1"/>
  <c r="G21" i="3"/>
  <c r="G35" i="3"/>
  <c r="G31" i="3"/>
  <c r="G23" i="3"/>
  <c r="L37" i="7"/>
  <c r="L33" i="7"/>
  <c r="L29" i="7"/>
  <c r="L25" i="7"/>
  <c r="L23" i="4"/>
  <c r="Q25" i="4"/>
  <c r="L23" i="15"/>
  <c r="L27" i="19"/>
  <c r="G34" i="10"/>
  <c r="H34" i="10" s="1"/>
  <c r="Q27" i="6"/>
  <c r="R27" i="6" s="1"/>
  <c r="S34" i="3"/>
  <c r="U34" i="3" s="1"/>
  <c r="R34" i="3"/>
  <c r="Q32" i="3"/>
  <c r="R32" i="3"/>
  <c r="S31" i="3"/>
  <c r="U31" i="3" s="1"/>
  <c r="Q24" i="3"/>
  <c r="R24" i="3"/>
  <c r="Q23" i="3"/>
  <c r="R23" i="3"/>
  <c r="Q25" i="3"/>
  <c r="R25" i="3"/>
  <c r="Q35" i="9"/>
  <c r="R35" i="9" s="1"/>
  <c r="L35" i="9"/>
  <c r="L27" i="9"/>
  <c r="G22" i="9"/>
  <c r="H22" i="9" s="1"/>
  <c r="L34" i="9"/>
  <c r="M34" i="9"/>
  <c r="L26" i="9"/>
  <c r="M26" i="9"/>
  <c r="M22" i="9"/>
  <c r="G30" i="9"/>
  <c r="H30" i="9" s="1"/>
  <c r="L30" i="9"/>
  <c r="S23" i="9"/>
  <c r="L24" i="9"/>
  <c r="T24" i="7"/>
  <c r="T30" i="6"/>
  <c r="T24" i="6"/>
  <c r="T33" i="9"/>
  <c r="T28" i="15"/>
  <c r="T28" i="19"/>
  <c r="T32" i="20"/>
  <c r="T21" i="12"/>
  <c r="L30" i="7"/>
  <c r="L26" i="7"/>
  <c r="L28" i="19"/>
  <c r="L38" i="3"/>
  <c r="L30" i="3"/>
  <c r="L26" i="3"/>
  <c r="G21" i="4"/>
  <c r="Q28" i="12"/>
  <c r="R28" i="12" s="1"/>
  <c r="G28" i="15"/>
  <c r="G22" i="7"/>
  <c r="H22" i="7" s="1"/>
  <c r="Q22" i="3"/>
  <c r="T25" i="4"/>
  <c r="G28" i="20"/>
  <c r="T29" i="7"/>
  <c r="T22" i="6"/>
  <c r="Q35" i="3"/>
  <c r="L29" i="9"/>
  <c r="G27" i="11"/>
  <c r="H27" i="11" s="1"/>
  <c r="G26" i="10"/>
  <c r="H26" i="10" s="1"/>
  <c r="G28" i="7"/>
  <c r="H28" i="7" s="1"/>
  <c r="Q34" i="6"/>
  <c r="R34" i="6" s="1"/>
  <c r="G29" i="15"/>
  <c r="T28" i="20"/>
  <c r="G27" i="15"/>
  <c r="G27" i="4"/>
  <c r="P23" i="11"/>
  <c r="Q23" i="11" s="1"/>
  <c r="T31" i="15"/>
  <c r="T29" i="12"/>
  <c r="U29" i="12" s="1"/>
  <c r="P34" i="10"/>
  <c r="T26" i="4"/>
  <c r="G28" i="19"/>
  <c r="H28" i="19" s="1"/>
  <c r="L21" i="20"/>
  <c r="L28" i="20"/>
  <c r="T26" i="20"/>
  <c r="T24" i="20"/>
  <c r="T30" i="20"/>
  <c r="Q29" i="4"/>
  <c r="P33" i="15"/>
  <c r="T33" i="15" s="1"/>
  <c r="P30" i="11"/>
  <c r="Q31" i="6"/>
  <c r="R31" i="6" s="1"/>
  <c r="T36" i="6"/>
  <c r="G26" i="11"/>
  <c r="H26" i="11" s="1"/>
  <c r="P27" i="11"/>
  <c r="Q36" i="6"/>
  <c r="R36" i="6" s="1"/>
  <c r="P37" i="10"/>
  <c r="T22" i="3"/>
  <c r="T25" i="20"/>
  <c r="G33" i="15"/>
  <c r="T22" i="4"/>
  <c r="Q32" i="12"/>
  <c r="R32" i="12" s="1"/>
  <c r="T30" i="7"/>
  <c r="Q29" i="3"/>
  <c r="L21" i="10"/>
  <c r="M21" i="10" s="1"/>
  <c r="G22" i="3"/>
  <c r="P22" i="10"/>
  <c r="G25" i="10"/>
  <c r="H25" i="10" s="1"/>
  <c r="G38" i="19"/>
  <c r="H38" i="19" s="1"/>
  <c r="G25" i="19"/>
  <c r="H25" i="19" s="1"/>
  <c r="G25" i="6"/>
  <c r="H25" i="6" s="1"/>
  <c r="G26" i="4"/>
  <c r="T31" i="20"/>
  <c r="G26" i="9"/>
  <c r="H26" i="9" s="1"/>
  <c r="G31" i="19"/>
  <c r="H31" i="19" s="1"/>
  <c r="P30" i="10"/>
  <c r="Q30" i="10" s="1"/>
  <c r="G31" i="15"/>
  <c r="T23" i="6"/>
  <c r="T29" i="4"/>
  <c r="Q31" i="4"/>
  <c r="L30" i="10"/>
  <c r="M30" i="10" s="1"/>
  <c r="Q25" i="6"/>
  <c r="R25" i="6" s="1"/>
  <c r="G30" i="3"/>
  <c r="Q34" i="7"/>
  <c r="R34" i="7" s="1"/>
  <c r="Q32" i="6"/>
  <c r="R32" i="6" s="1"/>
  <c r="Q24" i="6"/>
  <c r="R24" i="6" s="1"/>
  <c r="G25" i="15"/>
  <c r="Q22" i="4"/>
  <c r="G25" i="4"/>
  <c r="Q22" i="9"/>
  <c r="R22" i="9" s="1"/>
  <c r="T28" i="3"/>
  <c r="T34" i="12"/>
  <c r="T34" i="7"/>
  <c r="T22" i="7"/>
  <c r="T33" i="3"/>
  <c r="O29" i="11"/>
  <c r="Q29" i="11" s="1"/>
  <c r="Q32" i="9"/>
  <c r="R32" i="9" s="1"/>
  <c r="S36" i="6"/>
  <c r="S24" i="7"/>
  <c r="S31" i="9"/>
  <c r="Q37" i="19"/>
  <c r="R37" i="19" s="1"/>
  <c r="O36" i="10"/>
  <c r="G25" i="9"/>
  <c r="H25" i="9" s="1"/>
  <c r="G35" i="7"/>
  <c r="H35" i="7" s="1"/>
  <c r="S34" i="15"/>
  <c r="U34" i="15" s="1"/>
  <c r="L29" i="6"/>
  <c r="S22" i="4"/>
  <c r="U22" i="4" s="1"/>
  <c r="S30" i="19"/>
  <c r="S25" i="19"/>
  <c r="L33" i="15"/>
  <c r="L34" i="4"/>
  <c r="L28" i="7"/>
  <c r="L32" i="4"/>
  <c r="L24" i="4"/>
  <c r="L31" i="6"/>
  <c r="L27" i="6"/>
  <c r="L37" i="6"/>
  <c r="L30" i="4"/>
  <c r="S30" i="4"/>
  <c r="U30" i="4" s="1"/>
  <c r="S22" i="9"/>
  <c r="L23" i="7"/>
  <c r="L33" i="4"/>
  <c r="S34" i="4"/>
  <c r="U34" i="4" s="1"/>
  <c r="L33" i="9"/>
  <c r="L38" i="19"/>
  <c r="S26" i="19"/>
  <c r="L24" i="7"/>
  <c r="L25" i="6"/>
  <c r="S25" i="4"/>
  <c r="U25" i="4" s="1"/>
  <c r="S28" i="3"/>
  <c r="U28" i="3" s="1"/>
  <c r="L34" i="20"/>
  <c r="L22" i="9"/>
  <c r="S30" i="20"/>
  <c r="U30" i="20" s="1"/>
  <c r="L35" i="4"/>
  <c r="L27" i="15"/>
  <c r="G37" i="3"/>
  <c r="S35" i="4"/>
  <c r="U35" i="4" s="1"/>
  <c r="G29" i="12"/>
  <c r="H29" i="12" s="1"/>
  <c r="G35" i="15"/>
  <c r="G36" i="3"/>
  <c r="G37" i="10"/>
  <c r="H37" i="10" s="1"/>
  <c r="G29" i="10"/>
  <c r="H29" i="10" s="1"/>
  <c r="O37" i="10"/>
  <c r="G30" i="12"/>
  <c r="H30" i="12" s="1"/>
  <c r="O30" i="11"/>
  <c r="G26" i="19"/>
  <c r="H26" i="19" s="1"/>
  <c r="G37" i="12"/>
  <c r="H37" i="12" s="1"/>
  <c r="S28" i="7"/>
  <c r="S37" i="3"/>
  <c r="U37" i="3" s="1"/>
  <c r="G21" i="7"/>
  <c r="H21" i="7" s="1"/>
  <c r="G29" i="3"/>
  <c r="G29" i="9"/>
  <c r="H29" i="9" s="1"/>
  <c r="S29" i="6"/>
  <c r="O34" i="10"/>
  <c r="S21" i="9"/>
  <c r="S34" i="9"/>
  <c r="S31" i="15"/>
  <c r="U31" i="15" s="1"/>
  <c r="G22" i="12"/>
  <c r="H22" i="12" s="1"/>
  <c r="S29" i="9"/>
  <c r="G30" i="6"/>
  <c r="H30" i="6" s="1"/>
  <c r="S35" i="9"/>
  <c r="G27" i="9"/>
  <c r="H27" i="9" s="1"/>
  <c r="Q24" i="7"/>
  <c r="R24" i="7" s="1"/>
  <c r="Q32" i="7"/>
  <c r="R32" i="7" s="1"/>
  <c r="S25" i="6"/>
  <c r="O32" i="11"/>
  <c r="Q30" i="7"/>
  <c r="R30" i="7" s="1"/>
  <c r="S37" i="12"/>
  <c r="Q21" i="4"/>
  <c r="Q22" i="15"/>
  <c r="Q22" i="19"/>
  <c r="R22" i="19" s="1"/>
  <c r="Q27" i="4"/>
  <c r="Q34" i="3"/>
  <c r="S24" i="6"/>
  <c r="O33" i="10"/>
  <c r="S27" i="7"/>
  <c r="Q31" i="7"/>
  <c r="R31" i="7" s="1"/>
  <c r="O26" i="10"/>
  <c r="S24" i="3"/>
  <c r="U24" i="3" s="1"/>
  <c r="Q37" i="3"/>
  <c r="S27" i="15"/>
  <c r="U27" i="15" s="1"/>
  <c r="S31" i="19"/>
  <c r="Q38" i="19"/>
  <c r="R38" i="19" s="1"/>
  <c r="Q31" i="3"/>
  <c r="S32" i="12"/>
  <c r="S30" i="3"/>
  <c r="U30" i="3" s="1"/>
  <c r="S22" i="3"/>
  <c r="U22" i="3" s="1"/>
  <c r="Q21" i="7"/>
  <c r="R21" i="7" s="1"/>
  <c r="T26" i="7"/>
  <c r="S26" i="20"/>
  <c r="U26" i="20" s="1"/>
  <c r="G26" i="20"/>
  <c r="G27" i="20"/>
  <c r="T35" i="6"/>
  <c r="T33" i="6"/>
  <c r="L32" i="10"/>
  <c r="M32" i="10" s="1"/>
  <c r="S23" i="6"/>
  <c r="S34" i="6"/>
  <c r="T33" i="7"/>
  <c r="T32" i="3"/>
  <c r="Q22" i="7"/>
  <c r="R22" i="7" s="1"/>
  <c r="G28" i="12"/>
  <c r="H28" i="12" s="1"/>
  <c r="G28" i="3"/>
  <c r="G26" i="3"/>
  <c r="G23" i="7"/>
  <c r="H23" i="7" s="1"/>
  <c r="G32" i="3"/>
  <c r="S32" i="3"/>
  <c r="U32" i="3" s="1"/>
  <c r="S35" i="3"/>
  <c r="U35" i="3" s="1"/>
  <c r="S26" i="3"/>
  <c r="U26" i="3" s="1"/>
  <c r="T32" i="6"/>
  <c r="G32" i="6"/>
  <c r="H32" i="6" s="1"/>
  <c r="T36" i="3"/>
  <c r="Q30" i="6"/>
  <c r="R30" i="6" s="1"/>
  <c r="T24" i="4"/>
  <c r="T31" i="6"/>
  <c r="T23" i="7"/>
  <c r="P21" i="10"/>
  <c r="Q21" i="10" s="1"/>
  <c r="T34" i="3"/>
  <c r="G24" i="3"/>
  <c r="G32" i="12"/>
  <c r="H32" i="12" s="1"/>
  <c r="G26" i="6"/>
  <c r="H26" i="6" s="1"/>
  <c r="G21" i="12"/>
  <c r="H21" i="12" s="1"/>
  <c r="Q35" i="4"/>
  <c r="L35" i="15"/>
  <c r="L31" i="15"/>
  <c r="L25" i="15"/>
  <c r="L37" i="12"/>
  <c r="L35" i="12"/>
  <c r="L30" i="12"/>
  <c r="L28" i="12"/>
  <c r="L24" i="12"/>
  <c r="L22" i="12"/>
  <c r="Q36" i="12"/>
  <c r="R36" i="12" s="1"/>
  <c r="L32" i="20"/>
  <c r="L26" i="20"/>
  <c r="L24" i="20"/>
  <c r="L39" i="19"/>
  <c r="L35" i="19"/>
  <c r="L29" i="19"/>
  <c r="L23" i="19"/>
  <c r="S29" i="19"/>
  <c r="L21" i="3"/>
  <c r="L37" i="3"/>
  <c r="L29" i="3"/>
  <c r="T27" i="3"/>
  <c r="L23" i="3"/>
  <c r="S33" i="3"/>
  <c r="U33" i="3" s="1"/>
  <c r="Q21" i="3"/>
  <c r="T30" i="3"/>
  <c r="G29" i="11"/>
  <c r="H29" i="11" s="1"/>
  <c r="G36" i="10"/>
  <c r="H36" i="10" s="1"/>
  <c r="G32" i="9"/>
  <c r="H32" i="9" s="1"/>
  <c r="G24" i="9"/>
  <c r="H24" i="9" s="1"/>
  <c r="S30" i="7"/>
  <c r="S26" i="7"/>
  <c r="S22" i="7"/>
  <c r="G35" i="6"/>
  <c r="H35" i="6" s="1"/>
  <c r="G33" i="6"/>
  <c r="H33" i="6" s="1"/>
  <c r="G31" i="6"/>
  <c r="H31" i="6" s="1"/>
  <c r="G29" i="6"/>
  <c r="H29" i="6" s="1"/>
  <c r="S31" i="4"/>
  <c r="U31" i="4" s="1"/>
  <c r="G32" i="4"/>
  <c r="T23" i="20"/>
  <c r="G38" i="3"/>
  <c r="S25" i="9"/>
  <c r="Q36" i="9"/>
  <c r="R36" i="9" s="1"/>
  <c r="T21" i="9"/>
  <c r="G33" i="9"/>
  <c r="H33" i="9" s="1"/>
  <c r="T26" i="9"/>
  <c r="Q28" i="4"/>
  <c r="S30" i="15"/>
  <c r="U30" i="15" s="1"/>
  <c r="S28" i="15"/>
  <c r="U28" i="15" s="1"/>
  <c r="S24" i="15"/>
  <c r="U24" i="15" s="1"/>
  <c r="Q29" i="15"/>
  <c r="S25" i="15"/>
  <c r="U25" i="15" s="1"/>
  <c r="L36" i="12"/>
  <c r="S31" i="12"/>
  <c r="S27" i="12"/>
  <c r="L25" i="12"/>
  <c r="S23" i="12"/>
  <c r="Q22" i="12"/>
  <c r="R22" i="12" s="1"/>
  <c r="Q34" i="12"/>
  <c r="R34" i="12" s="1"/>
  <c r="Q25" i="12"/>
  <c r="R25" i="12" s="1"/>
  <c r="S21" i="20"/>
  <c r="U21" i="20" s="1"/>
  <c r="Q28" i="20"/>
  <c r="S24" i="20"/>
  <c r="U24" i="20" s="1"/>
  <c r="Q32" i="20"/>
  <c r="L35" i="20"/>
  <c r="L33" i="20"/>
  <c r="L31" i="20"/>
  <c r="L29" i="20"/>
  <c r="L27" i="20"/>
  <c r="L23" i="20"/>
  <c r="S21" i="19"/>
  <c r="L34" i="19"/>
  <c r="L32" i="19"/>
  <c r="L36" i="6"/>
  <c r="P25" i="10"/>
  <c r="Q25" i="10" s="1"/>
  <c r="G31" i="11"/>
  <c r="H31" i="11" s="1"/>
  <c r="G36" i="6"/>
  <c r="H36" i="6" s="1"/>
  <c r="S23" i="15"/>
  <c r="U23" i="15" s="1"/>
  <c r="T23" i="15"/>
  <c r="G34" i="19"/>
  <c r="H34" i="19" s="1"/>
  <c r="G30" i="19"/>
  <c r="H30" i="19" s="1"/>
  <c r="G22" i="19"/>
  <c r="H22" i="19" s="1"/>
  <c r="G27" i="3"/>
  <c r="T27" i="4"/>
  <c r="Q23" i="15"/>
  <c r="L23" i="6"/>
  <c r="P28" i="10"/>
  <c r="Q28" i="10" s="1"/>
  <c r="P33" i="10"/>
  <c r="L21" i="9"/>
  <c r="L31" i="9"/>
  <c r="L23" i="9"/>
  <c r="O27" i="11"/>
  <c r="S23" i="4"/>
  <c r="U23" i="4" s="1"/>
  <c r="S36" i="3"/>
  <c r="U36" i="3" s="1"/>
  <c r="Q36" i="3"/>
  <c r="S35" i="19"/>
  <c r="G23" i="4"/>
  <c r="S21" i="3"/>
  <c r="U21" i="3" s="1"/>
  <c r="L25" i="20"/>
  <c r="Q25" i="15"/>
  <c r="T24" i="15"/>
  <c r="Q24" i="15"/>
  <c r="Q24" i="20"/>
  <c r="T35" i="20"/>
  <c r="Q35" i="20"/>
  <c r="S25" i="3"/>
  <c r="U25" i="3" s="1"/>
  <c r="S33" i="19"/>
  <c r="L23" i="12"/>
  <c r="G37" i="7"/>
  <c r="H37" i="7" s="1"/>
  <c r="T37" i="7"/>
  <c r="G22" i="4"/>
  <c r="S21" i="12"/>
  <c r="L21" i="15"/>
  <c r="L32" i="15"/>
  <c r="L30" i="15"/>
  <c r="L28" i="15"/>
  <c r="L26" i="15"/>
  <c r="T22" i="15"/>
  <c r="L22" i="15"/>
  <c r="L33" i="12"/>
  <c r="L31" i="12"/>
  <c r="T31" i="12"/>
  <c r="L29" i="12"/>
  <c r="L27" i="12"/>
  <c r="L34" i="12"/>
  <c r="S25" i="12"/>
  <c r="G25" i="12"/>
  <c r="H25" i="12" s="1"/>
  <c r="Q33" i="19"/>
  <c r="R33" i="19" s="1"/>
  <c r="L25" i="3"/>
  <c r="T21" i="3"/>
  <c r="G27" i="6"/>
  <c r="H27" i="6" s="1"/>
  <c r="S27" i="3"/>
  <c r="U27" i="3" s="1"/>
  <c r="T24" i="9"/>
  <c r="S32" i="9"/>
  <c r="Q27" i="10"/>
  <c r="S35" i="12"/>
  <c r="S25" i="20"/>
  <c r="U25" i="20" s="1"/>
  <c r="S27" i="19"/>
  <c r="T27" i="6"/>
  <c r="L33" i="6"/>
  <c r="S34" i="19"/>
  <c r="P32" i="11"/>
  <c r="T31" i="9"/>
  <c r="T25" i="12"/>
  <c r="T35" i="9"/>
  <c r="G34" i="3"/>
  <c r="G34" i="12"/>
  <c r="H34" i="12" s="1"/>
  <c r="G26" i="7"/>
  <c r="H26" i="7" s="1"/>
  <c r="S21" i="4"/>
  <c r="U21" i="4" s="1"/>
  <c r="T34" i="15"/>
  <c r="G34" i="15"/>
  <c r="S22" i="12"/>
  <c r="S32" i="20"/>
  <c r="U32" i="20" s="1"/>
  <c r="G29" i="4"/>
  <c r="G23" i="20"/>
  <c r="S26" i="15"/>
  <c r="U26" i="15" s="1"/>
  <c r="G33" i="12"/>
  <c r="H33" i="12" s="1"/>
  <c r="G29" i="20"/>
  <c r="S33" i="7"/>
  <c r="Q23" i="6"/>
  <c r="R23" i="6" s="1"/>
  <c r="G38" i="7"/>
  <c r="H38" i="7" s="1"/>
  <c r="S32" i="15"/>
  <c r="U32" i="15" s="1"/>
  <c r="T36" i="12"/>
  <c r="S29" i="20"/>
  <c r="U29" i="20" s="1"/>
  <c r="S23" i="20"/>
  <c r="U23" i="20" s="1"/>
  <c r="G32" i="20"/>
  <c r="Q31" i="9"/>
  <c r="R31" i="9" s="1"/>
  <c r="T26" i="6"/>
  <c r="U26" i="6" s="1"/>
  <c r="Q26" i="12"/>
  <c r="R26" i="12" s="1"/>
  <c r="L25" i="9"/>
  <c r="T27" i="7"/>
  <c r="T25" i="7"/>
  <c r="T30" i="15"/>
  <c r="G26" i="15"/>
  <c r="S36" i="12"/>
  <c r="G24" i="20"/>
  <c r="G35" i="20"/>
  <c r="G28" i="9"/>
  <c r="H28" i="9" s="1"/>
  <c r="T22" i="9"/>
  <c r="Q21" i="6"/>
  <c r="R21" i="6" s="1"/>
  <c r="Q31" i="15"/>
  <c r="Q27" i="15"/>
  <c r="S30" i="12"/>
  <c r="S34" i="12"/>
  <c r="Q29" i="12"/>
  <c r="R29" i="12" s="1"/>
  <c r="T32" i="19"/>
  <c r="Q25" i="19"/>
  <c r="R25" i="19" s="1"/>
  <c r="Q34" i="19"/>
  <c r="R34" i="19" s="1"/>
  <c r="S30" i="6"/>
  <c r="L27" i="11"/>
  <c r="M27" i="11" s="1"/>
  <c r="L24" i="11"/>
  <c r="M24" i="11" s="1"/>
  <c r="G36" i="7"/>
  <c r="H36" i="7" s="1"/>
  <c r="G29" i="7"/>
  <c r="H29" i="7" s="1"/>
  <c r="G28" i="6"/>
  <c r="H28" i="6" s="1"/>
  <c r="G34" i="4"/>
  <c r="G30" i="4"/>
  <c r="G34" i="20"/>
  <c r="S29" i="3"/>
  <c r="U29" i="3" s="1"/>
  <c r="G36" i="9"/>
  <c r="H36" i="9" s="1"/>
  <c r="T34" i="9"/>
  <c r="T32" i="9"/>
  <c r="T21" i="4"/>
  <c r="T34" i="4"/>
  <c r="T30" i="4"/>
  <c r="L22" i="4"/>
  <c r="Q24" i="4"/>
  <c r="T29" i="15"/>
  <c r="T27" i="15"/>
  <c r="Q30" i="20"/>
  <c r="Q23" i="20"/>
  <c r="L31" i="19"/>
  <c r="Q28" i="3"/>
  <c r="S37" i="19"/>
  <c r="L31" i="11"/>
  <c r="M31" i="11" s="1"/>
  <c r="P26" i="10"/>
  <c r="L26" i="10"/>
  <c r="M26" i="10" s="1"/>
  <c r="P38" i="10"/>
  <c r="Q38" i="10" s="1"/>
  <c r="L29" i="11"/>
  <c r="M29" i="11" s="1"/>
  <c r="T31" i="19"/>
  <c r="T35" i="19"/>
  <c r="T30" i="19"/>
  <c r="T23" i="19"/>
  <c r="T29" i="19"/>
  <c r="T22" i="19"/>
  <c r="T26" i="19"/>
  <c r="Q26" i="19"/>
  <c r="R26" i="19" s="1"/>
  <c r="T38" i="19"/>
  <c r="T25" i="19"/>
  <c r="T37" i="19"/>
  <c r="T33" i="19"/>
  <c r="P29" i="10"/>
  <c r="T28" i="7"/>
  <c r="Q25" i="9"/>
  <c r="R25" i="9" s="1"/>
  <c r="T25" i="9"/>
  <c r="Q32" i="19"/>
  <c r="R32" i="19" s="1"/>
  <c r="P35" i="10"/>
  <c r="T29" i="9"/>
  <c r="T29" i="6"/>
  <c r="T21" i="19"/>
  <c r="L22" i="11"/>
  <c r="M22" i="11" s="1"/>
  <c r="Q29" i="9"/>
  <c r="R29" i="9" s="1"/>
  <c r="Q23" i="19"/>
  <c r="R23" i="19" s="1"/>
  <c r="Q26" i="6"/>
  <c r="R26" i="6" s="1"/>
  <c r="Q21" i="19"/>
  <c r="R21" i="19" s="1"/>
  <c r="L28" i="11"/>
  <c r="M28" i="11" s="1"/>
  <c r="L30" i="11"/>
  <c r="M30" i="11" s="1"/>
  <c r="L26" i="11"/>
  <c r="M26" i="11" s="1"/>
  <c r="G28" i="11"/>
  <c r="H28" i="11" s="1"/>
  <c r="P28" i="11"/>
  <c r="T25" i="3"/>
  <c r="T37" i="3"/>
  <c r="T31" i="3"/>
  <c r="L35" i="3"/>
  <c r="L31" i="3"/>
  <c r="L27" i="3"/>
  <c r="L33" i="3"/>
  <c r="T35" i="3"/>
  <c r="L33" i="19"/>
  <c r="L37" i="19"/>
  <c r="T28" i="12"/>
  <c r="U28" i="12" s="1"/>
  <c r="L26" i="12"/>
  <c r="L32" i="12"/>
  <c r="T32" i="12"/>
  <c r="T26" i="12"/>
  <c r="T22" i="12"/>
  <c r="L29" i="15"/>
  <c r="T25" i="15"/>
  <c r="L21" i="4"/>
  <c r="L27" i="4"/>
  <c r="T31" i="4"/>
  <c r="L31" i="4"/>
  <c r="L29" i="4"/>
  <c r="T35" i="4"/>
  <c r="L28" i="4"/>
  <c r="L35" i="6"/>
  <c r="T21" i="6"/>
  <c r="U21" i="6" s="1"/>
  <c r="T25" i="6"/>
  <c r="L21" i="6"/>
  <c r="T23" i="3"/>
  <c r="G22" i="20"/>
  <c r="G31" i="20"/>
  <c r="T36" i="19"/>
  <c r="G31" i="12"/>
  <c r="H31" i="12" s="1"/>
  <c r="G27" i="12"/>
  <c r="H27" i="12" s="1"/>
  <c r="T24" i="12"/>
  <c r="G36" i="12"/>
  <c r="H36" i="12" s="1"/>
  <c r="G24" i="12"/>
  <c r="H24" i="12" s="1"/>
  <c r="T32" i="15"/>
  <c r="G32" i="15"/>
  <c r="G30" i="15"/>
  <c r="G23" i="15"/>
  <c r="G28" i="4"/>
  <c r="G31" i="4"/>
  <c r="T28" i="4"/>
  <c r="T32" i="4"/>
  <c r="Q21" i="20"/>
  <c r="T21" i="20"/>
  <c r="T33" i="20"/>
  <c r="Q33" i="20"/>
  <c r="T26" i="3"/>
  <c r="T23" i="4"/>
  <c r="T35" i="15"/>
  <c r="Q30" i="15"/>
  <c r="Q26" i="15"/>
  <c r="T26" i="15"/>
  <c r="T35" i="12"/>
  <c r="Q35" i="12"/>
  <c r="R35" i="12" s="1"/>
  <c r="T30" i="12"/>
  <c r="Q22" i="20"/>
  <c r="T22" i="20"/>
  <c r="T39" i="19"/>
  <c r="Q30" i="4"/>
  <c r="T29" i="20"/>
  <c r="T27" i="12"/>
  <c r="Q27" i="12"/>
  <c r="R27" i="12" s="1"/>
  <c r="Q23" i="12"/>
  <c r="R23" i="12" s="1"/>
  <c r="T23" i="12"/>
  <c r="Q31" i="19"/>
  <c r="R31" i="19" s="1"/>
  <c r="T27" i="19"/>
  <c r="Q24" i="19"/>
  <c r="R24" i="19" s="1"/>
  <c r="T24" i="19"/>
  <c r="Q33" i="3"/>
  <c r="T29" i="3"/>
  <c r="Q23" i="4"/>
  <c r="Q26" i="3"/>
  <c r="Q31" i="20"/>
  <c r="Q36" i="19"/>
  <c r="R36" i="19" s="1"/>
  <c r="Q30" i="12"/>
  <c r="R30" i="12" s="1"/>
  <c r="Q29" i="20"/>
  <c r="G23" i="6"/>
  <c r="H23" i="6" s="1"/>
  <c r="T28" i="6"/>
  <c r="G34" i="6"/>
  <c r="H34" i="6" s="1"/>
  <c r="T34" i="6"/>
  <c r="G34" i="9"/>
  <c r="H34" i="9" s="1"/>
  <c r="T23" i="9"/>
  <c r="T36" i="9"/>
  <c r="U36" i="9" s="1"/>
  <c r="Q34" i="9"/>
  <c r="R34" i="9" s="1"/>
  <c r="Q21" i="9"/>
  <c r="R21" i="9" s="1"/>
  <c r="T21" i="7"/>
  <c r="G31" i="7"/>
  <c r="H31" i="7" s="1"/>
  <c r="G27" i="7"/>
  <c r="H27" i="7" s="1"/>
  <c r="G25" i="7"/>
  <c r="H25" i="7" s="1"/>
  <c r="T31" i="7"/>
  <c r="T32" i="7"/>
  <c r="P32" i="10"/>
  <c r="P24" i="10"/>
  <c r="G31" i="10"/>
  <c r="H31" i="10" s="1"/>
  <c r="P36" i="10"/>
  <c r="L33" i="10"/>
  <c r="M33" i="10" s="1"/>
  <c r="L27" i="10"/>
  <c r="M27" i="10" s="1"/>
  <c r="L28" i="10"/>
  <c r="M28" i="10" s="1"/>
  <c r="L34" i="10"/>
  <c r="M34" i="10" s="1"/>
  <c r="L36" i="10"/>
  <c r="M36" i="10" s="1"/>
  <c r="L24" i="10"/>
  <c r="M24" i="10" s="1"/>
  <c r="G32" i="11"/>
  <c r="H32" i="11" s="1"/>
  <c r="P24" i="11"/>
  <c r="L21" i="11"/>
  <c r="M21" i="11" s="1"/>
  <c r="P31" i="11"/>
  <c r="P21" i="11"/>
  <c r="L32" i="11"/>
  <c r="M32" i="11" s="1"/>
  <c r="O38" i="3"/>
  <c r="P38" i="3"/>
  <c r="P34" i="20"/>
  <c r="O34" i="20"/>
  <c r="O33" i="12"/>
  <c r="P33" i="12"/>
  <c r="S33" i="15"/>
  <c r="U33" i="15" s="1"/>
  <c r="P33" i="4"/>
  <c r="O33" i="4"/>
  <c r="R33" i="4" s="1"/>
  <c r="P37" i="6"/>
  <c r="D34" i="11"/>
  <c r="Q36" i="7"/>
  <c r="R36" i="7" s="1"/>
  <c r="S38" i="7"/>
  <c r="S30" i="9"/>
  <c r="O23" i="10"/>
  <c r="L23" i="10"/>
  <c r="M23" i="10" s="1"/>
  <c r="S29" i="7"/>
  <c r="Q37" i="7"/>
  <c r="R37" i="7" s="1"/>
  <c r="S37" i="7"/>
  <c r="Q22" i="6"/>
  <c r="R22" i="6" s="1"/>
  <c r="S22" i="6"/>
  <c r="O29" i="10"/>
  <c r="L29" i="10"/>
  <c r="M29" i="10" s="1"/>
  <c r="L25" i="10"/>
  <c r="M25" i="10" s="1"/>
  <c r="L35" i="10"/>
  <c r="M35" i="10" s="1"/>
  <c r="O35" i="10"/>
  <c r="Q29" i="7"/>
  <c r="R29" i="7" s="1"/>
  <c r="S25" i="7"/>
  <c r="Q25" i="7"/>
  <c r="R25" i="7" s="1"/>
  <c r="Q30" i="19"/>
  <c r="R30" i="19" s="1"/>
  <c r="S22" i="19"/>
  <c r="S36" i="7"/>
  <c r="Q26" i="9"/>
  <c r="R26" i="9" s="1"/>
  <c r="S26" i="9"/>
  <c r="Q24" i="9"/>
  <c r="R24" i="9" s="1"/>
  <c r="S24" i="9"/>
  <c r="Q33" i="6"/>
  <c r="R33" i="6" s="1"/>
  <c r="O26" i="11"/>
  <c r="Q26" i="11" s="1"/>
  <c r="Q35" i="19"/>
  <c r="R35" i="19" s="1"/>
  <c r="Q27" i="19"/>
  <c r="R27" i="19" s="1"/>
  <c r="Q39" i="19"/>
  <c r="R39" i="19" s="1"/>
  <c r="S23" i="7"/>
  <c r="Q23" i="7"/>
  <c r="R23" i="7" s="1"/>
  <c r="S28" i="19"/>
  <c r="Q28" i="19"/>
  <c r="R28" i="19" s="1"/>
  <c r="S24" i="19"/>
  <c r="L22" i="10"/>
  <c r="M22" i="10" s="1"/>
  <c r="S33" i="9"/>
  <c r="Q33" i="9"/>
  <c r="R33" i="9" s="1"/>
  <c r="O22" i="10"/>
  <c r="S33" i="6"/>
  <c r="S39" i="19"/>
  <c r="S32" i="19"/>
  <c r="Q23" i="9"/>
  <c r="R23" i="9" s="1"/>
  <c r="Q35" i="6"/>
  <c r="R35" i="6" s="1"/>
  <c r="S35" i="6"/>
  <c r="O21" i="11"/>
  <c r="G24" i="11"/>
  <c r="H24" i="11" s="1"/>
  <c r="O24" i="11"/>
  <c r="S31" i="6"/>
  <c r="Q29" i="19"/>
  <c r="R29" i="19" s="1"/>
  <c r="L23" i="11"/>
  <c r="M23" i="11" s="1"/>
  <c r="S26" i="12"/>
  <c r="G26" i="12"/>
  <c r="H26" i="12" s="1"/>
  <c r="S35" i="20"/>
  <c r="U35" i="20" s="1"/>
  <c r="G32" i="10"/>
  <c r="H32" i="10" s="1"/>
  <c r="O32" i="10"/>
  <c r="G28" i="10"/>
  <c r="H28" i="10" s="1"/>
  <c r="O24" i="10"/>
  <c r="Q32" i="4"/>
  <c r="S32" i="4"/>
  <c r="U32" i="4" s="1"/>
  <c r="L38" i="10"/>
  <c r="M38" i="10" s="1"/>
  <c r="S31" i="20"/>
  <c r="U31" i="20" s="1"/>
  <c r="Q27" i="20"/>
  <c r="S27" i="20"/>
  <c r="U27" i="20" s="1"/>
  <c r="S36" i="19"/>
  <c r="L36" i="19"/>
  <c r="S33" i="20"/>
  <c r="U33" i="20" s="1"/>
  <c r="S23" i="3"/>
  <c r="U23" i="3" s="1"/>
  <c r="S22" i="15"/>
  <c r="U22" i="15" s="1"/>
  <c r="Q26" i="20"/>
  <c r="S28" i="6"/>
  <c r="S29" i="15"/>
  <c r="U29" i="15" s="1"/>
  <c r="S22" i="20"/>
  <c r="U22" i="20" s="1"/>
  <c r="O28" i="11"/>
  <c r="S34" i="7"/>
  <c r="Q30" i="3"/>
  <c r="S32" i="6"/>
  <c r="O31" i="11"/>
  <c r="O22" i="11"/>
  <c r="Q22" i="11" s="1"/>
  <c r="S32" i="7"/>
  <c r="U34" i="19" l="1"/>
  <c r="U21" i="7"/>
  <c r="Q28" i="9"/>
  <c r="R28" i="9" s="1"/>
  <c r="Q36" i="10"/>
  <c r="U38" i="19"/>
  <c r="U35" i="12"/>
  <c r="U31" i="7"/>
  <c r="T28" i="9"/>
  <c r="U23" i="19"/>
  <c r="Q37" i="12"/>
  <c r="R37" i="12" s="1"/>
  <c r="T37" i="12"/>
  <c r="U37" i="12" s="1"/>
  <c r="S34" i="20"/>
  <c r="U34" i="20" s="1"/>
  <c r="R34" i="20"/>
  <c r="U24" i="12"/>
  <c r="Q26" i="10"/>
  <c r="U29" i="6"/>
  <c r="U27" i="6"/>
  <c r="U25" i="6"/>
  <c r="U36" i="6"/>
  <c r="P21" i="15"/>
  <c r="O21" i="15"/>
  <c r="U24" i="7"/>
  <c r="U22" i="6"/>
  <c r="U29" i="9"/>
  <c r="Q32" i="11"/>
  <c r="S28" i="9"/>
  <c r="Q30" i="11"/>
  <c r="Q34" i="10"/>
  <c r="U24" i="6"/>
  <c r="U30" i="6"/>
  <c r="Q27" i="11"/>
  <c r="R38" i="3"/>
  <c r="U33" i="9"/>
  <c r="U23" i="9"/>
  <c r="U26" i="9"/>
  <c r="U21" i="12"/>
  <c r="U28" i="19"/>
  <c r="Q33" i="15"/>
  <c r="Q22" i="10"/>
  <c r="U22" i="7"/>
  <c r="U29" i="7"/>
  <c r="Q38" i="7"/>
  <c r="R38" i="7" s="1"/>
  <c r="U23" i="7"/>
  <c r="U35" i="6"/>
  <c r="Q37" i="10"/>
  <c r="Q32" i="10"/>
  <c r="U33" i="7"/>
  <c r="U30" i="7"/>
  <c r="U33" i="6"/>
  <c r="Q33" i="10"/>
  <c r="U34" i="12"/>
  <c r="U21" i="19"/>
  <c r="U26" i="7"/>
  <c r="U34" i="7"/>
  <c r="U24" i="9"/>
  <c r="U32" i="19"/>
  <c r="Q29" i="10"/>
  <c r="U32" i="9"/>
  <c r="U26" i="19"/>
  <c r="U23" i="6"/>
  <c r="U22" i="12"/>
  <c r="U35" i="9"/>
  <c r="U35" i="19"/>
  <c r="S27" i="9"/>
  <c r="Q27" i="9"/>
  <c r="R27" i="9" s="1"/>
  <c r="U31" i="9"/>
  <c r="U31" i="19"/>
  <c r="U21" i="9"/>
  <c r="U28" i="7"/>
  <c r="U29" i="19"/>
  <c r="U30" i="19"/>
  <c r="U25" i="19"/>
  <c r="U33" i="19"/>
  <c r="U22" i="9"/>
  <c r="U27" i="7"/>
  <c r="U34" i="9"/>
  <c r="U27" i="19"/>
  <c r="U32" i="12"/>
  <c r="U31" i="12"/>
  <c r="U36" i="12"/>
  <c r="S38" i="3"/>
  <c r="U38" i="3" s="1"/>
  <c r="U25" i="9"/>
  <c r="U27" i="12"/>
  <c r="U37" i="19"/>
  <c r="U32" i="6"/>
  <c r="U34" i="6"/>
  <c r="U31" i="6"/>
  <c r="U28" i="6"/>
  <c r="U24" i="19"/>
  <c r="L25" i="11"/>
  <c r="M25" i="11" s="1"/>
  <c r="Q38" i="3"/>
  <c r="U23" i="12"/>
  <c r="U25" i="12"/>
  <c r="U30" i="12"/>
  <c r="U25" i="7"/>
  <c r="U26" i="12"/>
  <c r="U37" i="7"/>
  <c r="Q34" i="20"/>
  <c r="Q35" i="10"/>
  <c r="Q24" i="10"/>
  <c r="U22" i="19"/>
  <c r="Q31" i="11"/>
  <c r="Q28" i="11"/>
  <c r="Q21" i="11"/>
  <c r="U39" i="19"/>
  <c r="U32" i="7"/>
  <c r="U36" i="19"/>
  <c r="Q24" i="11"/>
  <c r="T38" i="3"/>
  <c r="T34" i="20"/>
  <c r="T33" i="12"/>
  <c r="Q33" i="12"/>
  <c r="R33" i="12" s="1"/>
  <c r="S33" i="12"/>
  <c r="S33" i="4"/>
  <c r="U33" i="4" s="1"/>
  <c r="Q33" i="4"/>
  <c r="T33" i="4"/>
  <c r="S37" i="6"/>
  <c r="Q37" i="6"/>
  <c r="R37" i="6" s="1"/>
  <c r="T37" i="6"/>
  <c r="T36" i="7"/>
  <c r="U36" i="7" s="1"/>
  <c r="T38" i="7"/>
  <c r="U38" i="7" s="1"/>
  <c r="T30" i="9"/>
  <c r="U30" i="9" s="1"/>
  <c r="Q30" i="9"/>
  <c r="R30" i="9" s="1"/>
  <c r="T27" i="9"/>
  <c r="L31" i="10"/>
  <c r="M31" i="10" s="1"/>
  <c r="P31" i="10"/>
  <c r="O31" i="10"/>
  <c r="P23" i="10"/>
  <c r="Q23" i="10" s="1"/>
  <c r="P25" i="11"/>
  <c r="U28" i="9" l="1"/>
  <c r="R21" i="15"/>
  <c r="S21" i="15"/>
  <c r="U21" i="15" s="1"/>
  <c r="T21" i="15"/>
  <c r="Q21" i="15"/>
  <c r="Q35" i="7"/>
  <c r="R35" i="7" s="1"/>
  <c r="T35" i="7"/>
  <c r="S35" i="7"/>
  <c r="U27" i="9"/>
  <c r="U37" i="6"/>
  <c r="Q25" i="11"/>
  <c r="U33" i="12"/>
  <c r="Q31" i="10"/>
  <c r="U35" i="7" l="1"/>
</calcChain>
</file>

<file path=xl/sharedStrings.xml><?xml version="1.0" encoding="utf-8"?>
<sst xmlns="http://schemas.openxmlformats.org/spreadsheetml/2006/main" count="1376" uniqueCount="152">
  <si>
    <t xml:space="preserve">Case No. </t>
  </si>
  <si>
    <t>Witness:</t>
  </si>
  <si>
    <t>Input area:</t>
  </si>
  <si>
    <t>Current Rates</t>
  </si>
  <si>
    <t>Proposed Rates</t>
  </si>
  <si>
    <t>Current Rates - Block Size (MCF)</t>
  </si>
  <si>
    <t>Proposed Rates - Block Size (MCF)</t>
  </si>
  <si>
    <t>Rate Code</t>
  </si>
  <si>
    <t>Rate Schedule Name</t>
  </si>
  <si>
    <t>First Block</t>
  </si>
  <si>
    <t>Second Block</t>
  </si>
  <si>
    <t>Third Block</t>
  </si>
  <si>
    <t>Fourth Block</t>
  </si>
  <si>
    <t>Fifth Block</t>
  </si>
  <si>
    <t>Cust Chg.</t>
  </si>
  <si>
    <t>Demand</t>
  </si>
  <si>
    <t>Transportation Service</t>
  </si>
  <si>
    <t>GTR</t>
  </si>
  <si>
    <t xml:space="preserve">GTS Choice - Residential </t>
  </si>
  <si>
    <t>GTO</t>
  </si>
  <si>
    <t>GTS Choice - Commercial</t>
  </si>
  <si>
    <t>GTS Choice - Industrial</t>
  </si>
  <si>
    <t>GTS Interruptible Service - Commercial</t>
  </si>
  <si>
    <t>GTS Interruptible Service -  Industrial</t>
  </si>
  <si>
    <t>GTS Special Rate - Industrial</t>
  </si>
  <si>
    <t>GTS General Service - Commercial</t>
  </si>
  <si>
    <t>GTS General Service - Industrial</t>
  </si>
  <si>
    <t>DS3</t>
  </si>
  <si>
    <t>GTS Main Line Service - Industrial</t>
  </si>
  <si>
    <t>FX1</t>
  </si>
  <si>
    <t>GTS Flex Rate - Commercial</t>
  </si>
  <si>
    <t>FX2</t>
  </si>
  <si>
    <t>GTS Flex Rate - Industrial</t>
  </si>
  <si>
    <t>FX5</t>
  </si>
  <si>
    <t>SC3</t>
  </si>
  <si>
    <t>COLUMBIA GAS OF KENTUCKY, INC.</t>
  </si>
  <si>
    <t>TYPICAL BILL COMPARISON</t>
  </si>
  <si>
    <t>Schedule N</t>
  </si>
  <si>
    <t>Work Paper Reference No(s):</t>
  </si>
  <si>
    <t>Total</t>
  </si>
  <si>
    <t>Line</t>
  </si>
  <si>
    <t>Rate</t>
  </si>
  <si>
    <t>Level of</t>
  </si>
  <si>
    <t>Current</t>
  </si>
  <si>
    <t>Proposed</t>
  </si>
  <si>
    <t>Increase</t>
  </si>
  <si>
    <t>Percent</t>
  </si>
  <si>
    <t>No.</t>
  </si>
  <si>
    <t>Code</t>
  </si>
  <si>
    <t>Bill</t>
  </si>
  <si>
    <t>(D - C)</t>
  </si>
  <si>
    <t>(E/C)</t>
  </si>
  <si>
    <t>(MCF)</t>
  </si>
  <si>
    <t>($)</t>
  </si>
  <si>
    <t>(%)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</si>
  <si>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</si>
  <si>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</si>
  <si>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</si>
  <si>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</si>
  <si>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</si>
  <si>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</si>
  <si>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</si>
  <si>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</si>
  <si>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</si>
  <si>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</si>
  <si>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Not</t>
  </si>
  <si>
    <t>Residential</t>
  </si>
  <si>
    <t>Applicable</t>
  </si>
  <si>
    <t>Customer</t>
  </si>
  <si>
    <t>GTS</t>
  </si>
  <si>
    <t>Choice</t>
  </si>
  <si>
    <t>Monthly</t>
  </si>
  <si>
    <t>Transp</t>
  </si>
  <si>
    <t>Volume</t>
  </si>
  <si>
    <t>Charge</t>
  </si>
  <si>
    <t>Dollar</t>
  </si>
  <si>
    <t>(Decrease)</t>
  </si>
  <si>
    <t>Monthly Customer Charge</t>
  </si>
  <si>
    <t>Transportation Commodity Charge</t>
  </si>
  <si>
    <t>Commodity</t>
  </si>
  <si>
    <t>(H - G)</t>
  </si>
  <si>
    <t>(I/G)</t>
  </si>
  <si>
    <t>(K)</t>
  </si>
  <si>
    <t>(L)</t>
  </si>
  <si>
    <t>(M)</t>
  </si>
  <si>
    <t>EFFECT OF PROPOSED TRANSPORTATION SERVICE RATES</t>
  </si>
  <si>
    <t>Commercial</t>
  </si>
  <si>
    <t>and</t>
  </si>
  <si>
    <t>Industrial</t>
  </si>
  <si>
    <t>Interruptible</t>
  </si>
  <si>
    <t>Service</t>
  </si>
  <si>
    <t>Special</t>
  </si>
  <si>
    <t>General</t>
  </si>
  <si>
    <t>Main</t>
  </si>
  <si>
    <t>Flex</t>
  </si>
  <si>
    <t>Test Year</t>
  </si>
  <si>
    <t>Average</t>
  </si>
  <si>
    <t>Bills</t>
  </si>
  <si>
    <t xml:space="preserve">Average monthly bill = </t>
  </si>
  <si>
    <t>(Commercial)</t>
  </si>
  <si>
    <t>(Industrial)</t>
  </si>
  <si>
    <t>EAP</t>
  </si>
  <si>
    <t>R&amp;D</t>
  </si>
  <si>
    <t>Admin Chg</t>
  </si>
  <si>
    <t>FX7</t>
  </si>
  <si>
    <t>SAS</t>
  </si>
  <si>
    <t>GTS Special Agency Service</t>
  </si>
  <si>
    <t>Test year:</t>
  </si>
  <si>
    <t>MCF</t>
  </si>
  <si>
    <t>Administrative</t>
  </si>
  <si>
    <t>(N)</t>
  </si>
  <si>
    <t>(O)</t>
  </si>
  <si>
    <t>(P)</t>
  </si>
  <si>
    <t>(Q)</t>
  </si>
  <si>
    <t>(L - K)</t>
  </si>
  <si>
    <t>(M/K)</t>
  </si>
  <si>
    <t>(C + G + K)</t>
  </si>
  <si>
    <t>(D + H + L)</t>
  </si>
  <si>
    <t>(P - O)/O</t>
  </si>
  <si>
    <t>Monthly Administrative Charge</t>
  </si>
  <si>
    <t>Banking &amp; Bal.</t>
  </si>
  <si>
    <t>DS</t>
  </si>
  <si>
    <t>GDS</t>
  </si>
  <si>
    <t>Data: __  Base Period _X_ Forecasted Period</t>
  </si>
  <si>
    <t>Type of Filing: _X_ Original __ Update __Revised</t>
  </si>
  <si>
    <t xml:space="preserve"> </t>
  </si>
  <si>
    <t>EECP</t>
  </si>
  <si>
    <t>Page 15 of 25</t>
  </si>
  <si>
    <t>Page 16 of 25</t>
  </si>
  <si>
    <t>Page 17 of 25</t>
  </si>
  <si>
    <t>Page 18 of 25</t>
  </si>
  <si>
    <t>Page 19 of 25</t>
  </si>
  <si>
    <t>Page 20 of 25</t>
  </si>
  <si>
    <t>Page 21 of 25</t>
  </si>
  <si>
    <t>Page 22 of 25</t>
  </si>
  <si>
    <t>Page 23 of 25</t>
  </si>
  <si>
    <t>Page 24 of 25</t>
  </si>
  <si>
    <t>Page 25 of 25</t>
  </si>
  <si>
    <t>Gas</t>
  </si>
  <si>
    <t>(M - L)/L</t>
  </si>
  <si>
    <t>(D + H+ K)</t>
  </si>
  <si>
    <t>Cost*</t>
  </si>
  <si>
    <t>* Gas supplied by marketers.</t>
  </si>
  <si>
    <t>Excl. Finals</t>
  </si>
  <si>
    <t>Note: There are no customers currently on this rate.</t>
  </si>
  <si>
    <t>Tax Act Adj 11/27/19</t>
  </si>
  <si>
    <t>SMRP</t>
  </si>
  <si>
    <t>CASE NO. 2024-xxxxx</t>
  </si>
  <si>
    <t>TWELVE MONTHS ENDING DECEMBER 31, 2025</t>
  </si>
  <si>
    <t>Note:  Customers electing Standby Service pay an additional $9.9772/Mcf per contracted volumes per month.  Standby rate is as of March 1, 2024.</t>
  </si>
  <si>
    <t>State Tax Adj Factor</t>
  </si>
  <si>
    <t>Witness: R. J. 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</si>
</sst>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3" formatCode="_(* #,##0.00_);_(* \(#,##0.00\);_(* &quot;-&quot;??_);_(@_)"/>
    <numFmt numFmtId="164" formatCode="0.0000"/>
    <numFmt numFmtId="165" formatCode="&quot;$&quot;#,##0.00"/>
    <numFmt numFmtId="166" formatCode="_(* #,##0.0_);_(* \(#,##0.0\);_(* &quot;-&quot;??_);_(@_)"/>
    <numFmt numFmtId="167" formatCode="&quot;$&quot;#,##0"/>
    <numFmt numFmtId="168" formatCode="0.0%"/>
    <numFmt numFmtId="169" formatCode="&quot;$&quot;#,##0.0000_);\(&quot;$&quot;#,##0.0000\)"/>
    <numFmt numFmtId="170" formatCode="#,##0.0_);\(#,##0.0\)"/>
    <numFmt numFmtId="171" formatCode="0.0"/>
    <numFmt numFmtId="172" formatCode="#,##0.0"/>
    <numFmt numFmtId="173" formatCode="#,##0.0000"/>
    <numFmt numFmtId="174" formatCode="#,##0.0000_);\(#,##0.0000\)"/>
  </numFmts>
  <fonts count="17" x14ac:knownFonts="1">
    <font>
      <sz val="9"/>
      <name val="Helv"/>
    </font>
    <font>
      <sz val="10"/>
      <name val="Arial"/>
      <family val="2"/>
    </font>
    <font>
      <sz val="9"/>
      <name val="Helv"/>
    </font>
    <font>
      <sz val="9"/>
      <color indexed="20"/>
      <name val="Helv"/>
    </font>
    <font>
      <b/>
      <sz val="11"/>
      <name val="Helv"/>
    </font>
    <font>
      <sz val="10"/>
      <color indexed="20"/>
      <name val="Helv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b/>
      <sz val="12"/>
      <color indexed="12"/>
      <name val="Times New Roman"/>
      <family val="1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 applyFill="0" applyBorder="0" applyAlignment="0"/>
    <xf numFmtId="43" fontId="1" fillId="0" borderId="0" applyFont="0" applyFill="0" applyBorder="0" applyAlignment="0" applyProtection="0"/>
    <xf numFmtId="0" fontId="4" fillId="0" borderId="0" applyFill="0" applyBorder="0" applyAlignment="0"/>
    <xf numFmtId="0" fontId="2" fillId="0" borderId="0" applyNumberFormat="0" applyFill="0" applyBorder="0" applyAlignment="0"/>
    <xf numFmtId="0" fontId="3" fillId="0" borderId="0" applyNumberFormat="0" applyFill="0" applyBorder="0" applyAlignment="0"/>
    <xf numFmtId="0" fontId="5" fillId="0" borderId="0" applyNumberFormat="0" applyFill="0" applyBorder="0" applyAlignment="0"/>
  </cellStyleXfs>
  <cellXfs count="76">
    <xf numFmtId="0" fontId="0" fillId="0" borderId="0" xfId="0"/>
    <xf numFmtId="0" fontId="6" fillId="0" borderId="0" xfId="0" applyFont="1"/>
    <xf numFmtId="0" fontId="7" fillId="0" borderId="0" xfId="0" applyFont="1" applyFill="1"/>
    <xf numFmtId="0" fontId="8" fillId="0" borderId="0" xfId="0" quotePrefix="1" applyFont="1" applyFill="1"/>
    <xf numFmtId="0" fontId="7" fillId="0" borderId="0" xfId="0" applyFont="1"/>
    <xf numFmtId="0" fontId="8" fillId="0" borderId="0" xfId="0" applyFont="1" applyFill="1"/>
    <xf numFmtId="0" fontId="7" fillId="0" borderId="0" xfId="2" applyFont="1" applyFill="1"/>
    <xf numFmtId="0" fontId="9" fillId="0" borderId="0" xfId="0" applyFont="1" applyFill="1" applyAlignment="1"/>
    <xf numFmtId="0" fontId="6" fillId="0" borderId="0" xfId="0" applyFont="1" applyFill="1"/>
    <xf numFmtId="0" fontId="10" fillId="0" borderId="0" xfId="0" applyFont="1" applyFill="1"/>
    <xf numFmtId="0" fontId="6" fillId="3" borderId="0" xfId="0" applyFont="1" applyFill="1" applyAlignment="1">
      <alignment horizontal="center"/>
    </xf>
    <xf numFmtId="0" fontId="6" fillId="2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64" fontId="11" fillId="0" borderId="0" xfId="0" applyNumberFormat="1" applyFont="1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4" fontId="11" fillId="0" borderId="0" xfId="0" applyNumberFormat="1" applyFont="1" applyFill="1"/>
    <xf numFmtId="37" fontId="11" fillId="0" borderId="0" xfId="4" applyNumberFormat="1" applyFont="1" applyFill="1"/>
    <xf numFmtId="37" fontId="12" fillId="0" borderId="0" xfId="4" applyNumberFormat="1" applyFont="1" applyFill="1"/>
    <xf numFmtId="37" fontId="6" fillId="0" borderId="0" xfId="0" applyNumberFormat="1" applyFont="1" applyAlignment="1">
      <alignment horizontal="right"/>
    </xf>
    <xf numFmtId="0" fontId="6" fillId="0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/>
    </xf>
    <xf numFmtId="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right"/>
    </xf>
    <xf numFmtId="0" fontId="6" fillId="0" borderId="0" xfId="0" quotePrefix="1" applyFont="1" applyFill="1"/>
    <xf numFmtId="37" fontId="11" fillId="0" borderId="0" xfId="0" applyNumberFormat="1" applyFont="1" applyFill="1"/>
    <xf numFmtId="15" fontId="13" fillId="0" borderId="0" xfId="5" applyNumberFormat="1" applyFont="1" applyFill="1"/>
    <xf numFmtId="0" fontId="6" fillId="0" borderId="0" xfId="0" applyFont="1" applyFill="1" applyAlignment="1">
      <alignment horizontal="left"/>
    </xf>
    <xf numFmtId="170" fontId="6" fillId="0" borderId="0" xfId="0" applyNumberFormat="1" applyFont="1" applyFill="1" applyAlignment="1">
      <alignment horizontal="right"/>
    </xf>
    <xf numFmtId="170" fontId="6" fillId="0" borderId="0" xfId="0" applyNumberFormat="1" applyFont="1" applyFill="1" applyAlignment="1">
      <alignment horizontal="center"/>
    </xf>
    <xf numFmtId="166" fontId="6" fillId="0" borderId="0" xfId="1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center"/>
    </xf>
    <xf numFmtId="166" fontId="6" fillId="0" borderId="0" xfId="1" applyNumberFormat="1" applyFont="1" applyFill="1" applyAlignment="1">
      <alignment horizontal="center"/>
    </xf>
    <xf numFmtId="171" fontId="6" fillId="0" borderId="0" xfId="0" applyNumberFormat="1" applyFont="1" applyFill="1" applyAlignment="1">
      <alignment horizontal="center"/>
    </xf>
    <xf numFmtId="37" fontId="6" fillId="0" borderId="0" xfId="0" applyNumberFormat="1" applyFont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7" fontId="6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center"/>
    </xf>
    <xf numFmtId="39" fontId="6" fillId="0" borderId="0" xfId="0" applyNumberFormat="1" applyFont="1" applyFill="1" applyAlignment="1">
      <alignment horizontal="right"/>
    </xf>
    <xf numFmtId="164" fontId="11" fillId="0" borderId="0" xfId="3" applyNumberFormat="1" applyFont="1" applyFill="1"/>
    <xf numFmtId="2" fontId="11" fillId="0" borderId="0" xfId="3" applyNumberFormat="1" applyFont="1" applyFill="1"/>
    <xf numFmtId="39" fontId="11" fillId="0" borderId="0" xfId="3" applyNumberFormat="1" applyFont="1" applyFill="1"/>
    <xf numFmtId="164" fontId="6" fillId="0" borderId="0" xfId="3" applyNumberFormat="1" applyFont="1" applyFill="1"/>
    <xf numFmtId="164" fontId="6" fillId="0" borderId="0" xfId="0" applyNumberFormat="1" applyFont="1" applyFill="1"/>
    <xf numFmtId="169" fontId="11" fillId="0" borderId="0" xfId="3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center"/>
    </xf>
    <xf numFmtId="171" fontId="6" fillId="0" borderId="0" xfId="0" applyNumberFormat="1" applyFont="1" applyFill="1" applyAlignment="1">
      <alignment horizontal="right"/>
    </xf>
    <xf numFmtId="0" fontId="14" fillId="0" borderId="0" xfId="0" applyFont="1" applyAlignment="1">
      <alignment horizontal="center"/>
    </xf>
    <xf numFmtId="173" fontId="15" fillId="0" borderId="0" xfId="0" applyNumberFormat="1" applyFont="1"/>
    <xf numFmtId="173" fontId="15" fillId="0" borderId="0" xfId="0" applyNumberFormat="1" applyFont="1" applyFill="1"/>
    <xf numFmtId="173" fontId="1" fillId="0" borderId="0" xfId="0" applyNumberFormat="1" applyFont="1" applyFill="1"/>
    <xf numFmtId="174" fontId="16" fillId="0" borderId="0" xfId="5" applyNumberFormat="1" applyFont="1" applyFill="1"/>
    <xf numFmtId="174" fontId="11" fillId="0" borderId="0" xfId="0" applyNumberFormat="1" applyFont="1" applyFill="1"/>
    <xf numFmtId="173" fontId="11" fillId="0" borderId="0" xfId="0" applyNumberFormat="1" applyFont="1" applyFill="1"/>
    <xf numFmtId="2" fontId="11" fillId="0" borderId="0" xfId="0" applyNumberFormat="1" applyFont="1" applyFill="1"/>
    <xf numFmtId="174" fontId="11" fillId="0" borderId="0" xfId="3" applyNumberFormat="1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center"/>
    </xf>
  </cellXfs>
  <cellStyles count="6">
    <cellStyle name="Comma" xfId="1" builtinId="3"/>
    <cellStyle name="Helv 11 Bold" xfId="2" xr:uid="{00000000-0005-0000-0000-000001000000}"/>
    <cellStyle name="Helv 9" xfId="3" xr:uid="{00000000-0005-0000-0000-000002000000}"/>
    <cellStyle name="Helv 9 Purple" xfId="4" xr:uid="{00000000-0005-0000-0000-000003000000}"/>
    <cellStyle name="Normal" xfId="0" builtinId="0"/>
    <cellStyle name="purple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AT136"/>
  <sheetViews>
    <sheetView tabSelected="1" workbookViewId="0">
      <selection activeCell="C33" sqref="C33"/>
    </sheetView>
  </sheetViews>
  <sheetFormatPr defaultColWidth="7.36328125" defaultRowHeight="12.9" x14ac:dyDescent="0.35"/>
  <cols>
    <col min="1" max="1" width="12.81640625" style="1" customWidth="1"/>
    <col min="2" max="2" width="36.1796875" style="1" customWidth="1"/>
    <col min="3" max="3" width="12.81640625" style="1" customWidth="1"/>
    <col min="4" max="4" width="18.81640625" style="1" bestFit="1" customWidth="1"/>
    <col min="5" max="5" width="15.6328125" style="1" bestFit="1" customWidth="1"/>
    <col min="6" max="6" width="16.81640625" style="1" bestFit="1" customWidth="1"/>
    <col min="7" max="7" width="14.36328125" style="1" bestFit="1" customWidth="1"/>
    <col min="8" max="8" width="13" style="1" bestFit="1" customWidth="1"/>
    <col min="9" max="9" width="14.6328125" style="1" bestFit="1" customWidth="1"/>
    <col min="10" max="12" width="14.6328125" style="1" customWidth="1"/>
    <col min="13" max="14" width="10.36328125" style="1" customWidth="1"/>
    <col min="15" max="15" width="18.6328125" style="1" bestFit="1" customWidth="1"/>
    <col min="16" max="16" width="1.453125" style="1" customWidth="1"/>
    <col min="17" max="17" width="14.453125" style="1" customWidth="1"/>
    <col min="18" max="18" width="18.81640625" style="1" customWidth="1"/>
    <col min="19" max="19" width="15.6328125" style="1" customWidth="1"/>
    <col min="20" max="20" width="16.81640625" style="1" customWidth="1"/>
    <col min="21" max="21" width="14.36328125" style="1" customWidth="1"/>
    <col min="22" max="22" width="13" style="1" customWidth="1"/>
    <col min="23" max="25" width="14.6328125" style="1" customWidth="1"/>
    <col min="26" max="27" width="10.36328125" style="1" customWidth="1"/>
    <col min="28" max="28" width="19" style="1" bestFit="1" customWidth="1"/>
    <col min="29" max="29" width="2.81640625" style="1" customWidth="1"/>
    <col min="30" max="30" width="14.453125" style="1" bestFit="1" customWidth="1"/>
    <col min="31" max="31" width="18.81640625" style="1" bestFit="1" customWidth="1"/>
    <col min="32" max="32" width="15.6328125" style="1" bestFit="1" customWidth="1"/>
    <col min="33" max="33" width="16.81640625" style="1" bestFit="1" customWidth="1"/>
    <col min="34" max="34" width="14.36328125" style="1" bestFit="1" customWidth="1"/>
    <col min="35" max="35" width="9.81640625" style="1" customWidth="1"/>
    <col min="36" max="36" width="3" style="1" customWidth="1"/>
    <col min="37" max="37" width="14.453125" style="1" bestFit="1" customWidth="1"/>
    <col min="38" max="38" width="18.81640625" style="1" bestFit="1" customWidth="1"/>
    <col min="39" max="39" width="15.6328125" style="1" bestFit="1" customWidth="1"/>
    <col min="40" max="40" width="16.81640625" style="1" bestFit="1" customWidth="1"/>
    <col min="41" max="41" width="14.36328125" style="1" bestFit="1" customWidth="1"/>
    <col min="42" max="42" width="9.81640625" style="1" customWidth="1"/>
    <col min="43" max="43" width="1.81640625" style="1" customWidth="1"/>
    <col min="44" max="45" width="13.453125" style="1" bestFit="1" customWidth="1"/>
    <col min="46" max="46" width="12" style="1" bestFit="1" customWidth="1"/>
    <col min="47" max="16384" width="7.36328125" style="1"/>
  </cols>
  <sheetData>
    <row r="1" spans="1:46" x14ac:dyDescent="0.35">
      <c r="A1" s="2" t="s">
        <v>0</v>
      </c>
      <c r="B1" s="3" t="s">
        <v>147</v>
      </c>
      <c r="C1" s="4"/>
    </row>
    <row r="2" spans="1:46" x14ac:dyDescent="0.35">
      <c r="A2" s="2"/>
      <c r="B2" s="5"/>
      <c r="C2" s="2"/>
    </row>
    <row r="3" spans="1:46" x14ac:dyDescent="0.35">
      <c r="A3" s="2" t="s">
        <v>1</v>
      </c>
      <c r="B3" s="5" t="s">
        <v>151</v>
      </c>
      <c r="C3" s="4"/>
    </row>
    <row r="4" spans="1:46" x14ac:dyDescent="0.35">
      <c r="A4" s="2"/>
      <c r="B4" s="5"/>
      <c r="C4" s="4"/>
    </row>
    <row r="5" spans="1:46" ht="15" x14ac:dyDescent="0.35">
      <c r="A5" s="6" t="s">
        <v>107</v>
      </c>
      <c r="B5" s="39" t="s">
        <v>148</v>
      </c>
      <c r="C5" s="4"/>
    </row>
    <row r="6" spans="1:46" x14ac:dyDescent="0.35">
      <c r="A6" s="2"/>
      <c r="B6" s="2"/>
      <c r="C6" s="2"/>
    </row>
    <row r="7" spans="1:46" ht="12" customHeight="1" x14ac:dyDescent="0.35">
      <c r="A7" s="7"/>
      <c r="B7" s="8"/>
      <c r="C7" s="9"/>
    </row>
    <row r="8" spans="1:46" x14ac:dyDescent="0.35">
      <c r="A8" s="2"/>
      <c r="B8" s="2"/>
      <c r="C8" s="3"/>
    </row>
    <row r="9" spans="1:46" x14ac:dyDescent="0.35">
      <c r="A9" s="8"/>
      <c r="B9" s="8"/>
      <c r="C9" s="8"/>
      <c r="D9" s="8"/>
      <c r="E9" s="8"/>
      <c r="F9" s="8"/>
      <c r="G9" s="8"/>
    </row>
    <row r="10" spans="1:46" ht="13" customHeight="1" x14ac:dyDescent="0.35">
      <c r="A10" s="2" t="s">
        <v>2</v>
      </c>
      <c r="B10" s="2"/>
      <c r="C10" s="2"/>
      <c r="D10" s="2"/>
      <c r="E10" s="2"/>
      <c r="F10" s="2"/>
      <c r="G10" s="2"/>
      <c r="H10" s="4"/>
      <c r="I10" s="4"/>
      <c r="J10" s="4"/>
      <c r="K10" s="4"/>
      <c r="L10" s="4"/>
      <c r="M10" s="4"/>
      <c r="N10" s="4"/>
      <c r="O10" s="4"/>
      <c r="P10" s="48"/>
      <c r="AC10" s="49"/>
      <c r="AJ10" s="11"/>
    </row>
    <row r="11" spans="1:46" ht="13" customHeight="1" x14ac:dyDescent="0.35">
      <c r="A11" s="2"/>
      <c r="C11" s="72" t="s">
        <v>3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48"/>
      <c r="Q11" s="72" t="s">
        <v>4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49"/>
      <c r="AD11" s="72" t="s">
        <v>5</v>
      </c>
      <c r="AE11" s="72"/>
      <c r="AF11" s="72"/>
      <c r="AG11" s="72"/>
      <c r="AH11" s="72"/>
      <c r="AI11" s="72"/>
      <c r="AJ11" s="10"/>
      <c r="AK11" s="72" t="s">
        <v>6</v>
      </c>
      <c r="AL11" s="72"/>
      <c r="AM11" s="72"/>
      <c r="AN11" s="72"/>
      <c r="AO11" s="72"/>
      <c r="AP11" s="72"/>
      <c r="AQ11" s="11"/>
      <c r="AR11" s="13" t="s">
        <v>95</v>
      </c>
      <c r="AS11" s="13" t="s">
        <v>95</v>
      </c>
      <c r="AT11" s="13" t="s">
        <v>96</v>
      </c>
    </row>
    <row r="12" spans="1:46" ht="13" customHeight="1" x14ac:dyDescent="0.35">
      <c r="A12" s="2"/>
      <c r="B12" s="14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48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49"/>
      <c r="AD12" s="12"/>
      <c r="AE12" s="12"/>
      <c r="AF12" s="12"/>
      <c r="AG12" s="12"/>
      <c r="AH12" s="12"/>
      <c r="AI12" s="12"/>
      <c r="AJ12" s="10"/>
      <c r="AK12" s="12"/>
      <c r="AL12" s="12"/>
      <c r="AM12" s="12"/>
      <c r="AN12" s="12"/>
      <c r="AO12" s="12"/>
      <c r="AP12" s="12"/>
      <c r="AQ12" s="11"/>
      <c r="AR12" s="13" t="s">
        <v>143</v>
      </c>
      <c r="AS12" s="13"/>
      <c r="AT12" s="13"/>
    </row>
    <row r="13" spans="1:46" x14ac:dyDescent="0.35">
      <c r="A13" s="15" t="s">
        <v>7</v>
      </c>
      <c r="B13" s="15" t="s">
        <v>8</v>
      </c>
      <c r="C13" s="15" t="s">
        <v>9</v>
      </c>
      <c r="D13" s="15" t="s">
        <v>10</v>
      </c>
      <c r="E13" s="15" t="s">
        <v>11</v>
      </c>
      <c r="F13" s="15" t="s">
        <v>12</v>
      </c>
      <c r="G13" s="15" t="s">
        <v>13</v>
      </c>
      <c r="H13" s="16" t="s">
        <v>14</v>
      </c>
      <c r="I13" s="16" t="s">
        <v>103</v>
      </c>
      <c r="J13" s="63" t="s">
        <v>145</v>
      </c>
      <c r="K13" s="15" t="s">
        <v>146</v>
      </c>
      <c r="L13" s="16" t="s">
        <v>126</v>
      </c>
      <c r="M13" s="16" t="s">
        <v>101</v>
      </c>
      <c r="N13" s="16" t="s">
        <v>102</v>
      </c>
      <c r="O13" s="16" t="s">
        <v>120</v>
      </c>
      <c r="P13" s="49"/>
      <c r="Q13" s="16" t="s">
        <v>9</v>
      </c>
      <c r="R13" s="16" t="s">
        <v>10</v>
      </c>
      <c r="S13" s="16" t="s">
        <v>11</v>
      </c>
      <c r="T13" s="16" t="s">
        <v>12</v>
      </c>
      <c r="U13" s="16" t="s">
        <v>13</v>
      </c>
      <c r="V13" s="16" t="s">
        <v>14</v>
      </c>
      <c r="W13" s="16" t="s">
        <v>103</v>
      </c>
      <c r="X13" s="16" t="s">
        <v>150</v>
      </c>
      <c r="Y13" s="16" t="s">
        <v>126</v>
      </c>
      <c r="Z13" s="16" t="s">
        <v>101</v>
      </c>
      <c r="AA13" s="16" t="s">
        <v>102</v>
      </c>
      <c r="AB13" s="16" t="s">
        <v>120</v>
      </c>
      <c r="AC13" s="49"/>
      <c r="AD13" s="16" t="s">
        <v>9</v>
      </c>
      <c r="AE13" s="16" t="s">
        <v>10</v>
      </c>
      <c r="AF13" s="16" t="s">
        <v>11</v>
      </c>
      <c r="AG13" s="16" t="s">
        <v>12</v>
      </c>
      <c r="AH13" s="16" t="s">
        <v>13</v>
      </c>
      <c r="AJ13" s="11"/>
      <c r="AK13" s="16" t="s">
        <v>9</v>
      </c>
      <c r="AL13" s="16" t="s">
        <v>10</v>
      </c>
      <c r="AM13" s="16" t="s">
        <v>11</v>
      </c>
      <c r="AN13" s="16" t="s">
        <v>12</v>
      </c>
      <c r="AO13" s="16" t="s">
        <v>13</v>
      </c>
      <c r="AQ13" s="11"/>
      <c r="AR13" s="16" t="s">
        <v>97</v>
      </c>
      <c r="AS13" s="15" t="s">
        <v>108</v>
      </c>
      <c r="AT13" s="16" t="s">
        <v>49</v>
      </c>
    </row>
    <row r="14" spans="1:46" x14ac:dyDescent="0.35">
      <c r="A14" s="1" t="s">
        <v>17</v>
      </c>
      <c r="B14" s="1" t="s">
        <v>18</v>
      </c>
      <c r="C14" s="17">
        <v>5.2527999999999997</v>
      </c>
      <c r="D14" s="17"/>
      <c r="E14" s="18"/>
      <c r="F14" s="18"/>
      <c r="G14" s="19"/>
      <c r="H14" s="20">
        <v>19.75</v>
      </c>
      <c r="I14" s="20"/>
      <c r="J14" s="64">
        <v>0</v>
      </c>
      <c r="K14" s="69">
        <v>0.53010000000000002</v>
      </c>
      <c r="L14" s="20">
        <v>0.08</v>
      </c>
      <c r="M14" s="70">
        <v>0.3</v>
      </c>
      <c r="N14" s="18">
        <v>1.24E-2</v>
      </c>
      <c r="O14" s="18"/>
      <c r="P14" s="49"/>
      <c r="Q14" s="53">
        <v>5.7873999999999999</v>
      </c>
      <c r="R14" s="53"/>
      <c r="S14" s="53"/>
      <c r="T14" s="53"/>
      <c r="U14" s="53"/>
      <c r="V14" s="55">
        <v>27</v>
      </c>
      <c r="W14" s="55"/>
      <c r="X14" s="71">
        <v>0</v>
      </c>
      <c r="Y14" s="54">
        <v>0.08</v>
      </c>
      <c r="Z14" s="70">
        <v>0.3</v>
      </c>
      <c r="AA14" s="18">
        <v>1.24E-2</v>
      </c>
      <c r="AB14" s="58"/>
      <c r="AC14" s="49"/>
      <c r="AD14" s="21" t="s">
        <v>125</v>
      </c>
      <c r="AE14" s="21"/>
      <c r="AF14" s="21"/>
      <c r="AG14" s="21"/>
      <c r="AH14" s="21"/>
      <c r="AI14" s="22"/>
      <c r="AJ14" s="11"/>
      <c r="AK14" s="21"/>
      <c r="AL14" s="21"/>
      <c r="AM14" s="21"/>
      <c r="AN14" s="21"/>
      <c r="AO14" s="21"/>
      <c r="AP14" s="21"/>
      <c r="AQ14" s="11"/>
      <c r="AR14" s="38">
        <v>137364</v>
      </c>
      <c r="AS14" s="38">
        <v>836474.69999999984</v>
      </c>
      <c r="AT14" s="23">
        <f>+ROUND(AS14/AR14,1)</f>
        <v>6.1</v>
      </c>
    </row>
    <row r="15" spans="1:46" x14ac:dyDescent="0.35">
      <c r="A15" s="1" t="s">
        <v>19</v>
      </c>
      <c r="B15" s="1" t="s">
        <v>20</v>
      </c>
      <c r="C15" s="17">
        <v>3.2513000000000001</v>
      </c>
      <c r="D15" s="17">
        <v>2.5095999999999998</v>
      </c>
      <c r="E15" s="18">
        <v>2.3855</v>
      </c>
      <c r="F15" s="18">
        <v>2.17</v>
      </c>
      <c r="G15" s="18"/>
      <c r="H15" s="20">
        <v>83.71</v>
      </c>
      <c r="I15" s="20"/>
      <c r="J15" s="65">
        <v>0</v>
      </c>
      <c r="K15" s="69">
        <v>0.32100000000000001</v>
      </c>
      <c r="L15" s="20"/>
      <c r="M15" s="18"/>
      <c r="N15" s="18">
        <v>1.24E-2</v>
      </c>
      <c r="O15" s="18"/>
      <c r="P15" s="49"/>
      <c r="Q15" s="53">
        <v>3.6524999999999999</v>
      </c>
      <c r="R15" s="53">
        <v>2.8193000000000001</v>
      </c>
      <c r="S15" s="53">
        <v>2.6798000000000002</v>
      </c>
      <c r="T15" s="53">
        <v>2.4377</v>
      </c>
      <c r="U15" s="53"/>
      <c r="V15" s="55">
        <v>110</v>
      </c>
      <c r="W15" s="55"/>
      <c r="X15" s="71">
        <v>0</v>
      </c>
      <c r="Y15" s="54"/>
      <c r="Z15" s="18"/>
      <c r="AA15" s="18">
        <v>1.24E-2</v>
      </c>
      <c r="AB15" s="58"/>
      <c r="AC15" s="49"/>
      <c r="AD15" s="21">
        <v>50</v>
      </c>
      <c r="AE15" s="21">
        <v>350</v>
      </c>
      <c r="AF15" s="21">
        <v>600</v>
      </c>
      <c r="AG15" s="21">
        <v>1000</v>
      </c>
      <c r="AH15" s="21" t="s">
        <v>125</v>
      </c>
      <c r="AI15" s="22"/>
      <c r="AJ15" s="11"/>
      <c r="AK15" s="21">
        <v>50</v>
      </c>
      <c r="AL15" s="21">
        <v>350</v>
      </c>
      <c r="AM15" s="21">
        <v>600</v>
      </c>
      <c r="AN15" s="21">
        <v>1000</v>
      </c>
      <c r="AO15" s="21"/>
      <c r="AP15" s="21"/>
      <c r="AQ15" s="11"/>
      <c r="AR15" s="38">
        <v>22746</v>
      </c>
      <c r="AS15" s="38">
        <v>1068356.6999999997</v>
      </c>
      <c r="AT15" s="23">
        <f t="shared" ref="AT15:AT21" si="0">+ROUND(AS15/AR15,1)</f>
        <v>47</v>
      </c>
    </row>
    <row r="16" spans="1:46" x14ac:dyDescent="0.35">
      <c r="A16" s="1" t="s">
        <v>19</v>
      </c>
      <c r="B16" s="1" t="s">
        <v>21</v>
      </c>
      <c r="C16" s="17">
        <v>3.2513000000000001</v>
      </c>
      <c r="D16" s="17">
        <v>2.5095999999999998</v>
      </c>
      <c r="E16" s="18">
        <v>2.3855</v>
      </c>
      <c r="F16" s="18">
        <v>2.17</v>
      </c>
      <c r="G16" s="18"/>
      <c r="H16" s="20">
        <v>83.71</v>
      </c>
      <c r="I16" s="20"/>
      <c r="J16" s="66">
        <f>J15</f>
        <v>0</v>
      </c>
      <c r="K16" s="69">
        <v>0.32100000000000001</v>
      </c>
      <c r="L16" s="20"/>
      <c r="M16" s="18"/>
      <c r="N16" s="18">
        <v>1.24E-2</v>
      </c>
      <c r="O16" s="18"/>
      <c r="P16" s="49"/>
      <c r="Q16" s="53">
        <v>3.6524999999999999</v>
      </c>
      <c r="R16" s="53">
        <v>2.8193000000000001</v>
      </c>
      <c r="S16" s="53">
        <v>2.6798000000000002</v>
      </c>
      <c r="T16" s="53">
        <v>2.4377</v>
      </c>
      <c r="U16" s="53"/>
      <c r="V16" s="55">
        <v>110</v>
      </c>
      <c r="W16" s="55"/>
      <c r="X16" s="71">
        <v>0</v>
      </c>
      <c r="Y16" s="54"/>
      <c r="Z16" s="18"/>
      <c r="AA16" s="18">
        <v>1.24E-2</v>
      </c>
      <c r="AB16" s="58"/>
      <c r="AC16" s="49"/>
      <c r="AD16" s="21">
        <v>50</v>
      </c>
      <c r="AE16" s="21">
        <v>350</v>
      </c>
      <c r="AF16" s="21">
        <v>600</v>
      </c>
      <c r="AG16" s="21">
        <v>1000</v>
      </c>
      <c r="AH16" s="21" t="s">
        <v>125</v>
      </c>
      <c r="AI16" s="22"/>
      <c r="AJ16" s="11"/>
      <c r="AK16" s="21">
        <v>50</v>
      </c>
      <c r="AL16" s="21">
        <v>350</v>
      </c>
      <c r="AM16" s="21">
        <v>600</v>
      </c>
      <c r="AN16" s="21">
        <v>1000</v>
      </c>
      <c r="AO16" s="21"/>
      <c r="AP16" s="21"/>
      <c r="AQ16" s="11"/>
      <c r="AR16" s="38">
        <v>150</v>
      </c>
      <c r="AS16" s="38">
        <v>65623.7</v>
      </c>
      <c r="AT16" s="23">
        <f t="shared" si="0"/>
        <v>437.5</v>
      </c>
    </row>
    <row r="17" spans="1:46" ht="15.45" x14ac:dyDescent="0.4">
      <c r="A17" s="1" t="s">
        <v>121</v>
      </c>
      <c r="B17" s="1" t="s">
        <v>22</v>
      </c>
      <c r="C17" s="17">
        <v>0.70930000000000004</v>
      </c>
      <c r="D17" s="17">
        <v>0.43780000000000002</v>
      </c>
      <c r="E17" s="18">
        <v>0.24229999999999999</v>
      </c>
      <c r="F17" s="18"/>
      <c r="G17" s="18"/>
      <c r="H17" s="20">
        <v>3982.3</v>
      </c>
      <c r="I17" s="20">
        <v>0</v>
      </c>
      <c r="J17" s="67">
        <v>0</v>
      </c>
      <c r="K17" s="69">
        <v>5.8700000000000002E-2</v>
      </c>
      <c r="L17" s="20"/>
      <c r="M17" s="18"/>
      <c r="N17" s="18">
        <v>1.24E-2</v>
      </c>
      <c r="O17" s="18"/>
      <c r="P17" s="49"/>
      <c r="Q17" s="53">
        <v>0.84030000000000005</v>
      </c>
      <c r="R17" s="53">
        <v>0.51870000000000005</v>
      </c>
      <c r="S17" s="53">
        <v>0.28710000000000002</v>
      </c>
      <c r="T17" s="53"/>
      <c r="U17" s="53"/>
      <c r="V17" s="55">
        <v>5000</v>
      </c>
      <c r="W17" s="55">
        <v>0</v>
      </c>
      <c r="X17" s="71">
        <v>0</v>
      </c>
      <c r="Y17" s="54"/>
      <c r="Z17" s="18"/>
      <c r="AA17" s="18">
        <v>1.24E-2</v>
      </c>
      <c r="AB17" s="18"/>
      <c r="AC17" s="49"/>
      <c r="AD17" s="21">
        <v>30000</v>
      </c>
      <c r="AE17" s="21">
        <v>70000</v>
      </c>
      <c r="AF17" s="21">
        <v>100000</v>
      </c>
      <c r="AG17" s="21"/>
      <c r="AH17" s="21"/>
      <c r="AI17" s="22"/>
      <c r="AJ17" s="11"/>
      <c r="AK17" s="21">
        <v>30000</v>
      </c>
      <c r="AL17" s="21">
        <v>70000</v>
      </c>
      <c r="AM17" s="21">
        <v>100000</v>
      </c>
      <c r="AN17" s="21"/>
      <c r="AO17" s="21"/>
      <c r="AP17" s="21"/>
      <c r="AQ17" s="11"/>
      <c r="AR17" s="38">
        <v>264</v>
      </c>
      <c r="AS17" s="38">
        <v>2863466.4000000004</v>
      </c>
      <c r="AT17" s="23">
        <f t="shared" si="0"/>
        <v>10846.5</v>
      </c>
    </row>
    <row r="18" spans="1:46" ht="15.45" x14ac:dyDescent="0.4">
      <c r="A18" s="1" t="s">
        <v>121</v>
      </c>
      <c r="B18" s="1" t="s">
        <v>23</v>
      </c>
      <c r="C18" s="17">
        <v>0.70930000000000004</v>
      </c>
      <c r="D18" s="17">
        <v>0.43780000000000002</v>
      </c>
      <c r="E18" s="18">
        <v>0.24229999999999999</v>
      </c>
      <c r="F18" s="18"/>
      <c r="G18" s="18"/>
      <c r="H18" s="20">
        <v>3982.3</v>
      </c>
      <c r="I18" s="20">
        <v>0</v>
      </c>
      <c r="J18" s="67">
        <v>0</v>
      </c>
      <c r="K18" s="69">
        <v>5.8700000000000002E-2</v>
      </c>
      <c r="L18" s="20"/>
      <c r="M18" s="18"/>
      <c r="N18" s="18">
        <v>1.24E-2</v>
      </c>
      <c r="O18" s="18"/>
      <c r="P18" s="49"/>
      <c r="Q18" s="53">
        <v>0.84030000000000005</v>
      </c>
      <c r="R18" s="53">
        <v>0.51870000000000005</v>
      </c>
      <c r="S18" s="53">
        <v>0.28710000000000002</v>
      </c>
      <c r="T18" s="53"/>
      <c r="U18" s="53"/>
      <c r="V18" s="55">
        <v>5000</v>
      </c>
      <c r="W18" s="55">
        <v>0</v>
      </c>
      <c r="X18" s="71">
        <v>0</v>
      </c>
      <c r="Y18" s="54"/>
      <c r="Z18" s="18"/>
      <c r="AA18" s="18">
        <v>1.24E-2</v>
      </c>
      <c r="AB18" s="18"/>
      <c r="AC18" s="49"/>
      <c r="AD18" s="21">
        <v>30000</v>
      </c>
      <c r="AE18" s="21">
        <v>70000</v>
      </c>
      <c r="AF18" s="21">
        <v>100000</v>
      </c>
      <c r="AG18" s="21"/>
      <c r="AH18" s="21"/>
      <c r="AI18" s="22"/>
      <c r="AJ18" s="11"/>
      <c r="AK18" s="21">
        <v>30000</v>
      </c>
      <c r="AL18" s="21">
        <v>70000</v>
      </c>
      <c r="AM18" s="21">
        <v>100000</v>
      </c>
      <c r="AN18" s="21"/>
      <c r="AO18" s="21"/>
      <c r="AP18" s="21"/>
      <c r="AQ18" s="11"/>
      <c r="AR18" s="38">
        <v>480</v>
      </c>
      <c r="AS18" s="38">
        <v>6258888.5</v>
      </c>
      <c r="AT18" s="23">
        <f t="shared" si="0"/>
        <v>13039.4</v>
      </c>
    </row>
    <row r="19" spans="1:46" x14ac:dyDescent="0.35">
      <c r="A19" s="1" t="s">
        <v>122</v>
      </c>
      <c r="B19" s="1" t="s">
        <v>25</v>
      </c>
      <c r="C19" s="17">
        <v>3.2513000000000001</v>
      </c>
      <c r="D19" s="17">
        <v>2.5095999999999998</v>
      </c>
      <c r="E19" s="18">
        <v>2.3855</v>
      </c>
      <c r="F19" s="18">
        <v>2.17</v>
      </c>
      <c r="G19" s="18"/>
      <c r="H19" s="20">
        <v>83.71</v>
      </c>
      <c r="I19" s="20">
        <v>0</v>
      </c>
      <c r="J19" s="68">
        <v>0</v>
      </c>
      <c r="K19" s="69">
        <v>0.32100000000000001</v>
      </c>
      <c r="L19" s="20"/>
      <c r="M19" s="18"/>
      <c r="N19" s="18">
        <v>1.24E-2</v>
      </c>
      <c r="O19" s="18"/>
      <c r="P19" s="49"/>
      <c r="Q19" s="53">
        <v>3.6524999999999999</v>
      </c>
      <c r="R19" s="53">
        <v>2.8193000000000001</v>
      </c>
      <c r="S19" s="53">
        <v>2.6798000000000002</v>
      </c>
      <c r="T19" s="53">
        <v>2.4377</v>
      </c>
      <c r="U19" s="53"/>
      <c r="V19" s="55">
        <v>110</v>
      </c>
      <c r="W19" s="55">
        <v>0</v>
      </c>
      <c r="X19" s="71">
        <v>0</v>
      </c>
      <c r="Y19" s="54"/>
      <c r="Z19" s="18"/>
      <c r="AA19" s="18">
        <v>1.24E-2</v>
      </c>
      <c r="AB19" s="18"/>
      <c r="AC19" s="49"/>
      <c r="AD19" s="21">
        <v>50</v>
      </c>
      <c r="AE19" s="21">
        <v>350</v>
      </c>
      <c r="AF19" s="21">
        <v>600</v>
      </c>
      <c r="AG19" s="21">
        <v>1000</v>
      </c>
      <c r="AH19" s="21"/>
      <c r="AI19" s="22"/>
      <c r="AJ19" s="11"/>
      <c r="AK19" s="21">
        <v>50</v>
      </c>
      <c r="AL19" s="21">
        <v>350</v>
      </c>
      <c r="AM19" s="21">
        <v>600</v>
      </c>
      <c r="AN19" s="21">
        <v>1000</v>
      </c>
      <c r="AO19" s="21"/>
      <c r="AP19" s="21"/>
      <c r="AQ19" s="11"/>
      <c r="AR19" s="38">
        <v>192</v>
      </c>
      <c r="AS19" s="38">
        <v>451533.1999999999</v>
      </c>
      <c r="AT19" s="23">
        <f t="shared" si="0"/>
        <v>2351.6999999999998</v>
      </c>
    </row>
    <row r="20" spans="1:46" x14ac:dyDescent="0.35">
      <c r="A20" s="1" t="s">
        <v>122</v>
      </c>
      <c r="B20" s="1" t="s">
        <v>26</v>
      </c>
      <c r="C20" s="17">
        <v>3.2513000000000001</v>
      </c>
      <c r="D20" s="17">
        <v>2.5095999999999998</v>
      </c>
      <c r="E20" s="18">
        <v>2.3855</v>
      </c>
      <c r="F20" s="18">
        <v>2.17</v>
      </c>
      <c r="G20" s="18"/>
      <c r="H20" s="20">
        <v>83.71</v>
      </c>
      <c r="I20" s="20">
        <v>0</v>
      </c>
      <c r="J20" s="68">
        <v>0</v>
      </c>
      <c r="K20" s="69">
        <v>0.32100000000000001</v>
      </c>
      <c r="L20" s="20"/>
      <c r="M20" s="18"/>
      <c r="N20" s="18">
        <v>1.24E-2</v>
      </c>
      <c r="O20" s="18"/>
      <c r="P20" s="49"/>
      <c r="Q20" s="53">
        <v>3.6524999999999999</v>
      </c>
      <c r="R20" s="53">
        <v>2.8193000000000001</v>
      </c>
      <c r="S20" s="53">
        <v>2.6798000000000002</v>
      </c>
      <c r="T20" s="53">
        <v>2.4377</v>
      </c>
      <c r="U20" s="53"/>
      <c r="V20" s="55">
        <v>110</v>
      </c>
      <c r="W20" s="55">
        <v>0</v>
      </c>
      <c r="X20" s="71">
        <v>0</v>
      </c>
      <c r="Y20" s="54"/>
      <c r="Z20" s="18"/>
      <c r="AA20" s="18">
        <v>1.24E-2</v>
      </c>
      <c r="AB20" s="18"/>
      <c r="AC20" s="49"/>
      <c r="AD20" s="21">
        <v>50</v>
      </c>
      <c r="AE20" s="21">
        <v>350</v>
      </c>
      <c r="AF20" s="21">
        <v>600</v>
      </c>
      <c r="AG20" s="21">
        <v>1000</v>
      </c>
      <c r="AH20" s="21"/>
      <c r="AI20" s="22"/>
      <c r="AJ20" s="11"/>
      <c r="AK20" s="21">
        <v>50</v>
      </c>
      <c r="AL20" s="21">
        <v>350</v>
      </c>
      <c r="AM20" s="21">
        <v>600</v>
      </c>
      <c r="AN20" s="21">
        <v>1000</v>
      </c>
      <c r="AO20" s="21"/>
      <c r="AP20" s="21"/>
      <c r="AQ20" s="11"/>
      <c r="AR20" s="38">
        <v>37</v>
      </c>
      <c r="AS20" s="38">
        <v>78432.900000000009</v>
      </c>
      <c r="AT20" s="23">
        <f t="shared" si="0"/>
        <v>2119.8000000000002</v>
      </c>
    </row>
    <row r="21" spans="1:46" x14ac:dyDescent="0.35">
      <c r="A21" s="1" t="s">
        <v>27</v>
      </c>
      <c r="B21" s="1" t="s">
        <v>28</v>
      </c>
      <c r="C21" s="17">
        <v>8.6699999999999999E-2</v>
      </c>
      <c r="D21" s="17"/>
      <c r="E21" s="18"/>
      <c r="F21" s="18"/>
      <c r="G21" s="18"/>
      <c r="H21" s="20">
        <v>260.11</v>
      </c>
      <c r="I21" s="20">
        <v>0</v>
      </c>
      <c r="J21" s="20"/>
      <c r="K21" s="69"/>
      <c r="L21" s="20"/>
      <c r="M21" s="18"/>
      <c r="N21" s="18">
        <v>1.24E-2</v>
      </c>
      <c r="O21" s="18"/>
      <c r="P21" s="49"/>
      <c r="Q21" s="53">
        <v>9.6100000000000005E-2</v>
      </c>
      <c r="R21" s="56"/>
      <c r="S21" s="57"/>
      <c r="T21" s="53"/>
      <c r="U21" s="53"/>
      <c r="V21" s="55">
        <v>300</v>
      </c>
      <c r="W21" s="55">
        <v>0</v>
      </c>
      <c r="X21" s="55"/>
      <c r="Y21" s="54"/>
      <c r="Z21" s="18"/>
      <c r="AA21" s="18">
        <v>1.24E-2</v>
      </c>
      <c r="AB21" s="18"/>
      <c r="AC21" s="49"/>
      <c r="AD21" s="21"/>
      <c r="AE21" s="21"/>
      <c r="AF21" s="21"/>
      <c r="AG21" s="21"/>
      <c r="AH21" s="21"/>
      <c r="AI21" s="22"/>
      <c r="AJ21" s="11"/>
      <c r="AK21" s="21"/>
      <c r="AL21" s="21"/>
      <c r="AM21" s="21"/>
      <c r="AN21" s="21"/>
      <c r="AO21" s="21"/>
      <c r="AP21" s="21"/>
      <c r="AQ21" s="11"/>
      <c r="AR21" s="38">
        <v>36</v>
      </c>
      <c r="AS21" s="38">
        <v>522400</v>
      </c>
      <c r="AT21" s="23">
        <f t="shared" si="0"/>
        <v>14511.1</v>
      </c>
    </row>
    <row r="22" spans="1:46" x14ac:dyDescent="0.35">
      <c r="A22" s="1" t="s">
        <v>29</v>
      </c>
      <c r="B22" s="1" t="s">
        <v>30</v>
      </c>
      <c r="C22" s="17">
        <v>0</v>
      </c>
      <c r="D22" s="17"/>
      <c r="E22" s="18"/>
      <c r="F22" s="18"/>
      <c r="G22" s="18"/>
      <c r="H22" s="20">
        <v>0</v>
      </c>
      <c r="I22" s="20">
        <v>0</v>
      </c>
      <c r="J22" s="20"/>
      <c r="K22" s="69"/>
      <c r="L22" s="20"/>
      <c r="M22" s="18"/>
      <c r="N22" s="18"/>
      <c r="O22" s="18"/>
      <c r="P22" s="49"/>
      <c r="Q22" s="17">
        <v>0</v>
      </c>
      <c r="R22" s="17"/>
      <c r="S22" s="53"/>
      <c r="T22" s="53"/>
      <c r="U22" s="53"/>
      <c r="V22" s="55">
        <v>0</v>
      </c>
      <c r="W22" s="55">
        <v>0</v>
      </c>
      <c r="X22" s="55"/>
      <c r="Y22" s="54"/>
      <c r="Z22" s="56"/>
      <c r="AA22" s="18"/>
      <c r="AB22" s="18"/>
      <c r="AC22" s="49"/>
      <c r="AD22" s="21"/>
      <c r="AE22" s="21"/>
      <c r="AF22" s="21"/>
      <c r="AG22" s="21"/>
      <c r="AH22" s="21"/>
      <c r="AI22" s="22"/>
      <c r="AJ22" s="11"/>
      <c r="AK22" s="21"/>
      <c r="AL22" s="21"/>
      <c r="AM22" s="21"/>
      <c r="AN22" s="21"/>
      <c r="AO22" s="21"/>
      <c r="AP22" s="21"/>
      <c r="AQ22" s="11"/>
      <c r="AR22" s="38">
        <v>0</v>
      </c>
      <c r="AS22" s="38">
        <v>0</v>
      </c>
      <c r="AT22" s="23">
        <f>+IF(AR22=0,0,ROUND(AS22/AR22,2))</f>
        <v>0</v>
      </c>
    </row>
    <row r="23" spans="1:46" x14ac:dyDescent="0.35">
      <c r="A23" s="1" t="s">
        <v>31</v>
      </c>
      <c r="B23" s="1" t="s">
        <v>32</v>
      </c>
      <c r="C23" s="17">
        <v>0</v>
      </c>
      <c r="D23" s="17"/>
      <c r="E23" s="18"/>
      <c r="F23" s="18"/>
      <c r="G23" s="18"/>
      <c r="H23" s="20">
        <v>0</v>
      </c>
      <c r="I23" s="20">
        <v>0</v>
      </c>
      <c r="J23" s="20"/>
      <c r="K23" s="69"/>
      <c r="L23" s="20"/>
      <c r="M23" s="18"/>
      <c r="N23" s="18"/>
      <c r="O23" s="18"/>
      <c r="P23" s="49"/>
      <c r="Q23" s="17">
        <v>0</v>
      </c>
      <c r="R23" s="17"/>
      <c r="S23" s="53"/>
      <c r="T23" s="53"/>
      <c r="U23" s="53"/>
      <c r="V23" s="55">
        <v>0</v>
      </c>
      <c r="W23" s="55">
        <v>0</v>
      </c>
      <c r="X23" s="55"/>
      <c r="Y23" s="54"/>
      <c r="Z23" s="56"/>
      <c r="AA23" s="18"/>
      <c r="AB23" s="18"/>
      <c r="AC23" s="49"/>
      <c r="AD23" s="21"/>
      <c r="AE23" s="21"/>
      <c r="AF23" s="21"/>
      <c r="AG23" s="21"/>
      <c r="AH23" s="21"/>
      <c r="AI23" s="22"/>
      <c r="AJ23" s="11"/>
      <c r="AK23" s="21"/>
      <c r="AL23" s="21"/>
      <c r="AM23" s="21"/>
      <c r="AN23" s="21"/>
      <c r="AO23" s="21"/>
      <c r="AP23" s="21"/>
      <c r="AQ23" s="11"/>
      <c r="AR23" s="38">
        <v>0</v>
      </c>
      <c r="AS23" s="38">
        <v>0</v>
      </c>
      <c r="AT23" s="23">
        <f>+IF(AR23=0,0,ROUND(AS23/AR23,2))</f>
        <v>0</v>
      </c>
    </row>
    <row r="24" spans="1:46" x14ac:dyDescent="0.35">
      <c r="A24" s="1" t="s">
        <v>33</v>
      </c>
      <c r="B24" s="1" t="s">
        <v>32</v>
      </c>
      <c r="C24" s="17">
        <v>8.6699999999999999E-2</v>
      </c>
      <c r="D24" s="17"/>
      <c r="E24" s="18"/>
      <c r="F24" s="18"/>
      <c r="G24" s="18"/>
      <c r="H24" s="20">
        <v>260.11</v>
      </c>
      <c r="I24" s="20">
        <v>0</v>
      </c>
      <c r="J24" s="20"/>
      <c r="K24" s="69"/>
      <c r="L24" s="20"/>
      <c r="M24" s="18"/>
      <c r="N24" s="18"/>
      <c r="O24" s="18"/>
      <c r="P24" s="49"/>
      <c r="Q24" s="17">
        <v>9.6100000000000005E-2</v>
      </c>
      <c r="R24" s="17"/>
      <c r="S24" s="53"/>
      <c r="T24" s="53"/>
      <c r="U24" s="53"/>
      <c r="V24" s="55">
        <v>600</v>
      </c>
      <c r="W24" s="55">
        <v>0</v>
      </c>
      <c r="X24" s="55"/>
      <c r="Y24" s="54"/>
      <c r="Z24" s="56"/>
      <c r="AA24" s="18"/>
      <c r="AB24" s="18"/>
      <c r="AC24" s="49"/>
      <c r="AD24" s="21"/>
      <c r="AE24" s="21"/>
      <c r="AF24" s="21"/>
      <c r="AG24" s="21"/>
      <c r="AH24" s="21"/>
      <c r="AI24" s="22"/>
      <c r="AJ24" s="11"/>
      <c r="AK24" s="21"/>
      <c r="AL24" s="21"/>
      <c r="AM24" s="21"/>
      <c r="AN24" s="21"/>
      <c r="AO24" s="21"/>
      <c r="AP24" s="21"/>
      <c r="AQ24" s="11"/>
      <c r="AR24" s="38">
        <v>36</v>
      </c>
      <c r="AS24" s="38">
        <v>6970693.5999999996</v>
      </c>
      <c r="AT24" s="23">
        <f t="shared" ref="AT24" si="1">+ROUND(AS24/AR24,1)</f>
        <v>193630.4</v>
      </c>
    </row>
    <row r="25" spans="1:46" ht="12" customHeight="1" x14ac:dyDescent="0.35">
      <c r="A25" s="1" t="s">
        <v>104</v>
      </c>
      <c r="B25" s="1" t="s">
        <v>32</v>
      </c>
      <c r="C25" s="17">
        <v>0</v>
      </c>
      <c r="D25" s="17">
        <v>0</v>
      </c>
      <c r="E25" s="18"/>
      <c r="F25" s="18"/>
      <c r="G25" s="18"/>
      <c r="H25" s="20">
        <v>0</v>
      </c>
      <c r="I25" s="20">
        <v>0</v>
      </c>
      <c r="J25" s="20"/>
      <c r="K25" s="69"/>
      <c r="L25" s="20"/>
      <c r="M25" s="18"/>
      <c r="N25" s="18"/>
      <c r="O25" s="18"/>
      <c r="P25" s="49"/>
      <c r="Q25" s="17">
        <v>0</v>
      </c>
      <c r="R25" s="17">
        <v>0</v>
      </c>
      <c r="S25" s="53"/>
      <c r="T25" s="53"/>
      <c r="U25" s="53"/>
      <c r="V25" s="55">
        <v>0</v>
      </c>
      <c r="W25" s="55">
        <v>0</v>
      </c>
      <c r="X25" s="55"/>
      <c r="Y25" s="54"/>
      <c r="Z25" s="53"/>
      <c r="AA25" s="18"/>
      <c r="AB25" s="58"/>
      <c r="AC25" s="49"/>
      <c r="AD25" s="21">
        <v>25000</v>
      </c>
      <c r="AE25" s="21"/>
      <c r="AF25" s="21"/>
      <c r="AG25" s="21"/>
      <c r="AH25" s="21"/>
      <c r="AI25" s="22"/>
      <c r="AJ25" s="11"/>
      <c r="AK25" s="21">
        <v>25000</v>
      </c>
      <c r="AL25" s="21"/>
      <c r="AM25" s="21"/>
      <c r="AN25" s="21"/>
      <c r="AO25" s="21"/>
      <c r="AP25" s="21"/>
      <c r="AQ25" s="11"/>
      <c r="AR25" s="38">
        <v>0</v>
      </c>
      <c r="AS25" s="38">
        <v>0</v>
      </c>
      <c r="AT25" s="23">
        <f t="shared" ref="AT25:AT27" si="2">+IF(AR25=0,0,ROUND(AS25/AR25,2))</f>
        <v>0</v>
      </c>
    </row>
    <row r="26" spans="1:46" x14ac:dyDescent="0.35">
      <c r="A26" s="1" t="s">
        <v>105</v>
      </c>
      <c r="B26" s="1" t="s">
        <v>106</v>
      </c>
      <c r="C26" s="17">
        <v>0.70930000000000004</v>
      </c>
      <c r="D26" s="17">
        <v>0.43780000000000002</v>
      </c>
      <c r="E26" s="18">
        <v>0.24229999999999999</v>
      </c>
      <c r="F26" s="18"/>
      <c r="G26" s="18"/>
      <c r="H26" s="20">
        <v>3982.3</v>
      </c>
      <c r="I26" s="20">
        <v>0</v>
      </c>
      <c r="J26" s="20"/>
      <c r="K26" s="69">
        <v>5.8700000000000002E-2</v>
      </c>
      <c r="L26" s="20"/>
      <c r="M26" s="18"/>
      <c r="N26" s="18">
        <v>1.24E-2</v>
      </c>
      <c r="O26" s="18"/>
      <c r="P26" s="49"/>
      <c r="Q26" s="17">
        <v>0.84030000000000005</v>
      </c>
      <c r="R26" s="17">
        <v>0.51870000000000005</v>
      </c>
      <c r="S26" s="53">
        <v>0.28710000000000002</v>
      </c>
      <c r="T26" s="53"/>
      <c r="U26" s="53"/>
      <c r="V26" s="55">
        <v>5000</v>
      </c>
      <c r="W26" s="55">
        <v>0</v>
      </c>
      <c r="X26" s="55"/>
      <c r="Y26" s="54"/>
      <c r="Z26" s="56"/>
      <c r="AA26" s="18">
        <v>1.24E-2</v>
      </c>
      <c r="AB26" s="58"/>
      <c r="AC26" s="49"/>
      <c r="AD26" s="21">
        <v>30000</v>
      </c>
      <c r="AE26" s="21"/>
      <c r="AF26" s="21"/>
      <c r="AG26" s="21"/>
      <c r="AH26" s="21"/>
      <c r="AI26" s="22"/>
      <c r="AJ26" s="11"/>
      <c r="AK26" s="21">
        <v>30000</v>
      </c>
      <c r="AL26" s="21"/>
      <c r="AM26" s="21"/>
      <c r="AN26" s="21"/>
      <c r="AO26" s="21"/>
      <c r="AP26" s="21"/>
      <c r="AQ26" s="11"/>
      <c r="AR26" s="38">
        <v>0</v>
      </c>
      <c r="AS26" s="38">
        <v>0</v>
      </c>
      <c r="AT26" s="23">
        <f t="shared" si="2"/>
        <v>0</v>
      </c>
    </row>
    <row r="27" spans="1:46" x14ac:dyDescent="0.35">
      <c r="A27" s="1" t="s">
        <v>34</v>
      </c>
      <c r="B27" s="1" t="s">
        <v>24</v>
      </c>
      <c r="C27" s="17">
        <v>0</v>
      </c>
      <c r="D27" s="17">
        <v>0</v>
      </c>
      <c r="E27" s="18"/>
      <c r="F27" s="18"/>
      <c r="G27" s="18"/>
      <c r="H27" s="20">
        <v>0</v>
      </c>
      <c r="I27" s="20">
        <v>0</v>
      </c>
      <c r="J27" s="20"/>
      <c r="K27" s="69"/>
      <c r="L27" s="20"/>
      <c r="M27" s="18"/>
      <c r="N27" s="18"/>
      <c r="O27" s="18"/>
      <c r="P27" s="49"/>
      <c r="Q27" s="17">
        <v>0</v>
      </c>
      <c r="R27" s="17">
        <v>0</v>
      </c>
      <c r="S27" s="53"/>
      <c r="T27" s="53"/>
      <c r="U27" s="53"/>
      <c r="V27" s="55">
        <v>0</v>
      </c>
      <c r="W27" s="55">
        <v>0</v>
      </c>
      <c r="X27" s="55"/>
      <c r="Y27" s="54"/>
      <c r="Z27" s="56"/>
      <c r="AA27" s="53"/>
      <c r="AB27" s="18"/>
      <c r="AC27" s="49"/>
      <c r="AD27" s="21">
        <v>150000</v>
      </c>
      <c r="AE27" s="22"/>
      <c r="AF27" s="22"/>
      <c r="AG27" s="22"/>
      <c r="AH27" s="22"/>
      <c r="AI27" s="22"/>
      <c r="AJ27" s="11"/>
      <c r="AK27" s="21">
        <v>150000</v>
      </c>
      <c r="AL27" s="22"/>
      <c r="AM27" s="22"/>
      <c r="AN27" s="22"/>
      <c r="AO27" s="22"/>
      <c r="AP27" s="22"/>
      <c r="AQ27" s="11"/>
      <c r="AR27" s="38">
        <v>0</v>
      </c>
      <c r="AS27" s="38">
        <v>0</v>
      </c>
      <c r="AT27" s="23">
        <f t="shared" si="2"/>
        <v>0</v>
      </c>
    </row>
    <row r="28" spans="1:46" x14ac:dyDescent="0.35">
      <c r="M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D28" s="8"/>
      <c r="AE28" s="8"/>
      <c r="AF28" s="8"/>
      <c r="AG28" s="8"/>
      <c r="AR28" s="8"/>
      <c r="AS28" s="8"/>
    </row>
    <row r="29" spans="1:46" x14ac:dyDescent="0.35">
      <c r="AS29" s="47"/>
    </row>
    <row r="30" spans="1:46" x14ac:dyDescent="0.35">
      <c r="AS30" s="47"/>
    </row>
    <row r="48" ht="1" customHeight="1" x14ac:dyDescent="0.35"/>
    <row r="49" ht="1" customHeight="1" x14ac:dyDescent="0.35"/>
    <row r="50" ht="1" customHeight="1" x14ac:dyDescent="0.35"/>
    <row r="79" spans="34:34" x14ac:dyDescent="0.35">
      <c r="AH79" s="11"/>
    </row>
    <row r="113" ht="5.15" customHeight="1" x14ac:dyDescent="0.35"/>
    <row r="115" ht="5.15" customHeight="1" x14ac:dyDescent="0.35"/>
    <row r="117" ht="5.15" customHeight="1" x14ac:dyDescent="0.35"/>
    <row r="119" ht="5.15" customHeight="1" x14ac:dyDescent="0.35"/>
    <row r="122" ht="1" customHeight="1" x14ac:dyDescent="0.35"/>
    <row r="135" ht="5.15" customHeight="1" x14ac:dyDescent="0.35"/>
    <row r="136" ht="1" customHeight="1" x14ac:dyDescent="0.35"/>
  </sheetData>
  <mergeCells count="4">
    <mergeCell ref="C11:O11"/>
    <mergeCell ref="Q11:AB11"/>
    <mergeCell ref="AD11:AI11"/>
    <mergeCell ref="AK11:AP11"/>
  </mergeCells>
  <phoneticPr fontId="0" type="noConversion"/>
  <pageMargins left="0.75" right="0.75" top="1" bottom="1" header="0.5" footer="0.5"/>
  <pageSetup scale="60" orientation="landscape" r:id="rId1"/>
  <headerFooter alignWithMargins="0"/>
  <rowBreaks count="1" manualBreakCount="1">
    <brk id="51" max="16383" man="1"/>
  </rowBreaks>
  <colBreaks count="1" manualBreakCount="1">
    <brk id="2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pageSetUpPr fitToPage="1"/>
  </sheetPr>
  <dimension ref="A1:AE42"/>
  <sheetViews>
    <sheetView workbookViewId="0">
      <selection activeCell="V1" sqref="V1:AE1048576"/>
    </sheetView>
  </sheetViews>
  <sheetFormatPr defaultColWidth="9.36328125" defaultRowHeight="12.9" x14ac:dyDescent="0.35"/>
  <cols>
    <col min="1" max="1" width="4.453125" style="8" customWidth="1"/>
    <col min="2" max="2" width="10.81640625" style="8" customWidth="1"/>
    <col min="3" max="3" width="11.6328125" style="8" bestFit="1" customWidth="1"/>
    <col min="4" max="4" width="11.81640625" style="8" bestFit="1" customWidth="1"/>
    <col min="5" max="5" width="11.453125" style="8" bestFit="1" customWidth="1"/>
    <col min="6" max="6" width="10.81640625" style="8" bestFit="1" customWidth="1"/>
    <col min="7" max="7" width="12.1796875" style="59" bestFit="1" customWidth="1"/>
    <col min="8" max="8" width="12.1796875" style="8" bestFit="1" customWidth="1"/>
    <col min="9" max="9" width="1.81640625" style="8" customWidth="1"/>
    <col min="10" max="11" width="15.6328125" style="8" bestFit="1" customWidth="1"/>
    <col min="12" max="13" width="12.1796875" style="8" bestFit="1" customWidth="1"/>
    <col min="14" max="14" width="1.81640625" style="8" customWidth="1"/>
    <col min="15" max="16" width="12.81640625" style="8" bestFit="1" customWidth="1"/>
    <col min="17" max="18" width="12.1796875" style="8" bestFit="1" customWidth="1"/>
    <col min="19" max="19" width="13.1796875" style="59" bestFit="1" customWidth="1"/>
    <col min="20" max="20" width="13" style="59" bestFit="1" customWidth="1"/>
    <col min="21" max="21" width="12.1796875" style="59" customWidth="1"/>
    <col min="23" max="23" width="14.81640625" customWidth="1"/>
    <col min="24" max="24" width="10.1796875" customWidth="1"/>
    <col min="25" max="27" width="9.36328125" customWidth="1"/>
    <col min="28" max="29" width="10.1796875" customWidth="1"/>
    <col min="30" max="30" width="9.36328125" customWidth="1"/>
    <col min="32" max="16384" width="9.36328125" style="8"/>
  </cols>
  <sheetData>
    <row r="1" spans="1:21" x14ac:dyDescent="0.35">
      <c r="A1" s="73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x14ac:dyDescent="0.35">
      <c r="A2" s="73" t="str">
        <f>Input!$B$1</f>
        <v>CASE NO. 2024-xxxxx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x14ac:dyDescent="0.35">
      <c r="A3" s="73" t="s">
        <v>85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x14ac:dyDescent="0.35">
      <c r="A4" s="73" t="s">
        <v>36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x14ac:dyDescent="0.35">
      <c r="A5" s="73" t="str">
        <f>Input!$B$5</f>
        <v>TWELVE MONTHS ENDING DECEMBER 31, 2025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x14ac:dyDescent="0.35">
      <c r="A6" s="59"/>
      <c r="B6" s="60"/>
      <c r="C6" s="60"/>
      <c r="D6" s="60"/>
      <c r="E6" s="60"/>
      <c r="F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21" x14ac:dyDescent="0.35">
      <c r="A7" s="59"/>
      <c r="B7" s="60"/>
      <c r="C7" s="60"/>
      <c r="D7" s="60"/>
      <c r="E7" s="60"/>
      <c r="F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21" x14ac:dyDescent="0.35">
      <c r="A8" s="8" t="s">
        <v>123</v>
      </c>
      <c r="U8" s="30" t="s">
        <v>37</v>
      </c>
    </row>
    <row r="9" spans="1:21" x14ac:dyDescent="0.35">
      <c r="A9" s="8" t="s">
        <v>124</v>
      </c>
      <c r="U9" s="30" t="s">
        <v>135</v>
      </c>
    </row>
    <row r="10" spans="1:21" x14ac:dyDescent="0.35">
      <c r="A10" s="8" t="s">
        <v>38</v>
      </c>
      <c r="U10" s="30" t="str">
        <f>Input!$B$3</f>
        <v>Witness: R. J. Amen</v>
      </c>
    </row>
    <row r="12" spans="1:21" x14ac:dyDescent="0.35">
      <c r="A12" s="24"/>
      <c r="B12" s="24"/>
      <c r="C12" s="24"/>
      <c r="D12" s="24"/>
      <c r="E12" s="24"/>
      <c r="F12" s="24"/>
      <c r="G12" s="61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61"/>
      <c r="T12" s="61"/>
      <c r="U12" s="61"/>
    </row>
    <row r="13" spans="1:21" x14ac:dyDescent="0.35">
      <c r="E13" s="75" t="s">
        <v>77</v>
      </c>
      <c r="F13" s="75"/>
      <c r="G13" s="75"/>
      <c r="H13" s="75"/>
      <c r="I13" s="25"/>
      <c r="J13" s="75" t="s">
        <v>119</v>
      </c>
      <c r="K13" s="75"/>
      <c r="L13" s="75"/>
      <c r="M13" s="75"/>
      <c r="N13" s="25"/>
      <c r="O13" s="75" t="s">
        <v>78</v>
      </c>
      <c r="P13" s="75"/>
      <c r="Q13" s="75"/>
      <c r="R13" s="75"/>
    </row>
    <row r="14" spans="1:21" x14ac:dyDescent="0.35">
      <c r="E14" s="59" t="s">
        <v>43</v>
      </c>
      <c r="F14" s="59" t="s">
        <v>44</v>
      </c>
      <c r="G14" s="59" t="s">
        <v>75</v>
      </c>
      <c r="H14" s="59" t="s">
        <v>46</v>
      </c>
      <c r="I14" s="59"/>
      <c r="J14" s="59" t="s">
        <v>43</v>
      </c>
      <c r="K14" s="59" t="s">
        <v>44</v>
      </c>
      <c r="L14" s="59" t="s">
        <v>75</v>
      </c>
      <c r="M14" s="59" t="s">
        <v>46</v>
      </c>
      <c r="Q14" s="59" t="s">
        <v>75</v>
      </c>
      <c r="R14" s="59" t="s">
        <v>46</v>
      </c>
      <c r="S14" s="59" t="s">
        <v>39</v>
      </c>
      <c r="T14" s="59" t="s">
        <v>39</v>
      </c>
      <c r="U14" s="59" t="s">
        <v>46</v>
      </c>
    </row>
    <row r="15" spans="1:21" x14ac:dyDescent="0.35">
      <c r="D15" s="59" t="s">
        <v>71</v>
      </c>
      <c r="E15" s="59" t="s">
        <v>71</v>
      </c>
      <c r="F15" s="59" t="s">
        <v>71</v>
      </c>
      <c r="G15" s="59" t="s">
        <v>45</v>
      </c>
      <c r="H15" s="59" t="s">
        <v>45</v>
      </c>
      <c r="I15" s="59"/>
      <c r="J15" s="59" t="s">
        <v>71</v>
      </c>
      <c r="K15" s="59" t="s">
        <v>71</v>
      </c>
      <c r="L15" s="59" t="s">
        <v>45</v>
      </c>
      <c r="M15" s="59" t="s">
        <v>45</v>
      </c>
      <c r="N15" s="59"/>
      <c r="O15" s="59" t="s">
        <v>43</v>
      </c>
      <c r="P15" s="59" t="s">
        <v>44</v>
      </c>
      <c r="Q15" s="59" t="s">
        <v>45</v>
      </c>
      <c r="R15" s="59" t="s">
        <v>45</v>
      </c>
      <c r="S15" s="59" t="s">
        <v>43</v>
      </c>
      <c r="T15" s="59" t="s">
        <v>44</v>
      </c>
      <c r="U15" s="59" t="s">
        <v>45</v>
      </c>
    </row>
    <row r="16" spans="1:21" x14ac:dyDescent="0.35">
      <c r="A16" s="59" t="s">
        <v>40</v>
      </c>
      <c r="B16" s="59" t="s">
        <v>41</v>
      </c>
      <c r="C16" s="59" t="s">
        <v>42</v>
      </c>
      <c r="D16" s="59" t="s">
        <v>72</v>
      </c>
      <c r="E16" s="59" t="s">
        <v>68</v>
      </c>
      <c r="F16" s="59" t="s">
        <v>68</v>
      </c>
      <c r="G16" s="59" t="s">
        <v>76</v>
      </c>
      <c r="H16" s="59" t="s">
        <v>76</v>
      </c>
      <c r="I16" s="59"/>
      <c r="J16" s="59" t="s">
        <v>109</v>
      </c>
      <c r="K16" s="59" t="s">
        <v>109</v>
      </c>
      <c r="L16" s="59" t="s">
        <v>76</v>
      </c>
      <c r="M16" s="59" t="s">
        <v>76</v>
      </c>
      <c r="N16" s="59"/>
      <c r="O16" s="59" t="s">
        <v>79</v>
      </c>
      <c r="P16" s="59" t="s">
        <v>79</v>
      </c>
      <c r="Q16" s="59" t="s">
        <v>76</v>
      </c>
      <c r="R16" s="59" t="s">
        <v>76</v>
      </c>
      <c r="S16" s="59" t="s">
        <v>49</v>
      </c>
      <c r="T16" s="59" t="s">
        <v>49</v>
      </c>
      <c r="U16" s="59" t="s">
        <v>76</v>
      </c>
    </row>
    <row r="17" spans="1:21" x14ac:dyDescent="0.35">
      <c r="A17" s="59" t="s">
        <v>47</v>
      </c>
      <c r="B17" s="59" t="s">
        <v>48</v>
      </c>
      <c r="C17" s="59" t="s">
        <v>15</v>
      </c>
      <c r="D17" s="59" t="s">
        <v>73</v>
      </c>
      <c r="E17" s="59" t="s">
        <v>74</v>
      </c>
      <c r="F17" s="59" t="s">
        <v>74</v>
      </c>
      <c r="G17" s="26" t="s">
        <v>50</v>
      </c>
      <c r="H17" s="26" t="s">
        <v>51</v>
      </c>
      <c r="I17" s="26"/>
      <c r="J17" s="59" t="s">
        <v>74</v>
      </c>
      <c r="K17" s="59" t="s">
        <v>74</v>
      </c>
      <c r="L17" s="26" t="s">
        <v>80</v>
      </c>
      <c r="M17" s="26" t="s">
        <v>81</v>
      </c>
      <c r="N17" s="26"/>
      <c r="O17" s="59" t="s">
        <v>74</v>
      </c>
      <c r="P17" s="59" t="s">
        <v>74</v>
      </c>
      <c r="Q17" s="26" t="s">
        <v>114</v>
      </c>
      <c r="R17" s="26" t="s">
        <v>115</v>
      </c>
      <c r="S17" s="26" t="s">
        <v>116</v>
      </c>
      <c r="T17" s="26" t="s">
        <v>117</v>
      </c>
      <c r="U17" s="26" t="s">
        <v>118</v>
      </c>
    </row>
    <row r="18" spans="1:21" x14ac:dyDescent="0.35">
      <c r="D18" s="26" t="s">
        <v>52</v>
      </c>
      <c r="E18" s="26" t="s">
        <v>53</v>
      </c>
      <c r="F18" s="26" t="s">
        <v>53</v>
      </c>
      <c r="G18" s="26" t="s">
        <v>53</v>
      </c>
      <c r="H18" s="26" t="s">
        <v>54</v>
      </c>
      <c r="I18" s="26"/>
      <c r="J18" s="26" t="s">
        <v>53</v>
      </c>
      <c r="K18" s="26" t="s">
        <v>53</v>
      </c>
      <c r="L18" s="26" t="s">
        <v>53</v>
      </c>
      <c r="M18" s="26" t="s">
        <v>54</v>
      </c>
      <c r="N18" s="26"/>
      <c r="O18" s="26" t="s">
        <v>53</v>
      </c>
      <c r="P18" s="26" t="s">
        <v>53</v>
      </c>
      <c r="Q18" s="26" t="s">
        <v>53</v>
      </c>
      <c r="R18" s="26" t="s">
        <v>54</v>
      </c>
      <c r="S18" s="26" t="s">
        <v>53</v>
      </c>
      <c r="T18" s="26" t="s">
        <v>53</v>
      </c>
      <c r="U18" s="26" t="s">
        <v>54</v>
      </c>
    </row>
    <row r="19" spans="1:21" x14ac:dyDescent="0.35">
      <c r="C19" s="26" t="s">
        <v>55</v>
      </c>
      <c r="D19" s="26" t="s">
        <v>56</v>
      </c>
      <c r="E19" s="26" t="s">
        <v>57</v>
      </c>
      <c r="F19" s="26" t="s">
        <v>58</v>
      </c>
      <c r="G19" s="26" t="s">
        <v>59</v>
      </c>
      <c r="H19" s="26" t="s">
        <v>60</v>
      </c>
      <c r="I19" s="26"/>
      <c r="J19" s="26" t="s">
        <v>61</v>
      </c>
      <c r="K19" s="26" t="s">
        <v>62</v>
      </c>
      <c r="L19" s="26" t="s">
        <v>63</v>
      </c>
      <c r="M19" s="26" t="s">
        <v>64</v>
      </c>
      <c r="N19" s="26"/>
      <c r="O19" s="26" t="s">
        <v>82</v>
      </c>
      <c r="P19" s="26" t="s">
        <v>83</v>
      </c>
      <c r="Q19" s="26" t="s">
        <v>84</v>
      </c>
      <c r="R19" s="26" t="s">
        <v>110</v>
      </c>
      <c r="S19" s="26" t="s">
        <v>111</v>
      </c>
      <c r="T19" s="26" t="s">
        <v>112</v>
      </c>
      <c r="U19" s="26" t="s">
        <v>113</v>
      </c>
    </row>
    <row r="20" spans="1:21" x14ac:dyDescent="0.35">
      <c r="D20" s="59"/>
      <c r="E20" s="59"/>
      <c r="F20" s="59"/>
      <c r="H20" s="59"/>
      <c r="I20" s="59"/>
      <c r="J20" s="59"/>
      <c r="K20" s="59"/>
      <c r="L20" s="59"/>
      <c r="M20" s="59"/>
      <c r="N20" s="59"/>
      <c r="O20" s="59"/>
      <c r="P20" s="26"/>
      <c r="Q20" s="26"/>
      <c r="R20" s="26"/>
    </row>
    <row r="21" spans="1:21" x14ac:dyDescent="0.35">
      <c r="A21" s="59">
        <v>1</v>
      </c>
      <c r="B21" s="59" t="s">
        <v>104</v>
      </c>
      <c r="C21" s="59" t="s">
        <v>65</v>
      </c>
      <c r="D21" s="43">
        <f>+D37</f>
        <v>0</v>
      </c>
      <c r="E21" s="27">
        <f>Input!$H$25</f>
        <v>0</v>
      </c>
      <c r="F21" s="27">
        <f>Input!$V$25</f>
        <v>0</v>
      </c>
      <c r="G21" s="50">
        <f t="shared" ref="G21:G35" si="0">F21-E21</f>
        <v>0</v>
      </c>
      <c r="H21" s="28">
        <f>IF(E21=0,0,ROUND(G21/E21,3))</f>
        <v>0</v>
      </c>
      <c r="I21" s="28"/>
      <c r="J21" s="27">
        <f>Input!$I$25</f>
        <v>0</v>
      </c>
      <c r="K21" s="27">
        <f>Input!$W$25</f>
        <v>0</v>
      </c>
      <c r="L21" s="27">
        <f>K21-J21</f>
        <v>0</v>
      </c>
      <c r="M21" s="28">
        <f>IF(J21=0,0,ROUND(L21/J21,3))</f>
        <v>0</v>
      </c>
      <c r="N21" s="29"/>
      <c r="O21" s="27">
        <f>ROUND((D21*Input!$C$25),2)</f>
        <v>0</v>
      </c>
      <c r="P21" s="27">
        <f>ROUND((D21*Input!$Q$25),2)</f>
        <v>0</v>
      </c>
      <c r="Q21" s="27">
        <f t="shared" ref="Q21:Q34" si="1">P21-O21</f>
        <v>0</v>
      </c>
      <c r="R21" s="28">
        <f>IF(O21=0,0,ROUND(Q21/O21,3))</f>
        <v>0</v>
      </c>
      <c r="S21" s="27">
        <f>E21+J21+O21</f>
        <v>0</v>
      </c>
      <c r="T21" s="27">
        <f>F21+K21+P21</f>
        <v>0</v>
      </c>
      <c r="U21" s="28">
        <f>IF(S21=0,0,ROUND((T21-S21)/S21,3))</f>
        <v>0</v>
      </c>
    </row>
    <row r="22" spans="1:21" x14ac:dyDescent="0.35">
      <c r="A22" s="59">
        <v>2</v>
      </c>
      <c r="B22" s="59" t="s">
        <v>69</v>
      </c>
      <c r="C22" s="59" t="s">
        <v>67</v>
      </c>
      <c r="D22" s="43">
        <v>100</v>
      </c>
      <c r="E22" s="27">
        <f>Input!$H$25</f>
        <v>0</v>
      </c>
      <c r="F22" s="27">
        <f>Input!$V$25</f>
        <v>0</v>
      </c>
      <c r="G22" s="50">
        <f t="shared" si="0"/>
        <v>0</v>
      </c>
      <c r="H22" s="28">
        <f t="shared" ref="H22:H35" si="2">IF(E22=0,0,ROUND(G22/E22,3))</f>
        <v>0</v>
      </c>
      <c r="I22" s="28"/>
      <c r="J22" s="27">
        <f>Input!$I$25</f>
        <v>0</v>
      </c>
      <c r="K22" s="27">
        <f>Input!$W$25</f>
        <v>0</v>
      </c>
      <c r="L22" s="27">
        <f t="shared" ref="L22:L35" si="3">K22-J22</f>
        <v>0</v>
      </c>
      <c r="M22" s="28">
        <f t="shared" ref="M22:M35" si="4">IF(J22=0,0,ROUND(L22/J22,3))</f>
        <v>0</v>
      </c>
      <c r="N22" s="29"/>
      <c r="O22" s="27">
        <f>ROUND((D22*Input!$C$25),2)</f>
        <v>0</v>
      </c>
      <c r="P22" s="27">
        <f>ROUND((D22*Input!$Q$25),2)</f>
        <v>0</v>
      </c>
      <c r="Q22" s="27">
        <f t="shared" si="1"/>
        <v>0</v>
      </c>
      <c r="R22" s="28">
        <f t="shared" ref="R22:R35" si="5">IF(O22=0,0,ROUND(Q22/O22,3))</f>
        <v>0</v>
      </c>
      <c r="S22" s="27">
        <f t="shared" ref="S22:S34" si="6">E22+J22+O22</f>
        <v>0</v>
      </c>
      <c r="T22" s="27">
        <f t="shared" ref="T22:T34" si="7">F22+K22+P22</f>
        <v>0</v>
      </c>
      <c r="U22" s="28">
        <f t="shared" ref="U22:U35" si="8">IF(S22=0,0,ROUND((T22-S22)/S22,3))</f>
        <v>0</v>
      </c>
    </row>
    <row r="23" spans="1:21" x14ac:dyDescent="0.35">
      <c r="A23" s="59">
        <v>3</v>
      </c>
      <c r="B23" s="59" t="s">
        <v>94</v>
      </c>
      <c r="D23" s="43">
        <v>150</v>
      </c>
      <c r="E23" s="27">
        <f>Input!$H$25</f>
        <v>0</v>
      </c>
      <c r="F23" s="27">
        <f>Input!$V$25</f>
        <v>0</v>
      </c>
      <c r="G23" s="50">
        <f t="shared" si="0"/>
        <v>0</v>
      </c>
      <c r="H23" s="28">
        <f t="shared" si="2"/>
        <v>0</v>
      </c>
      <c r="I23" s="28"/>
      <c r="J23" s="27">
        <f>Input!$I$25</f>
        <v>0</v>
      </c>
      <c r="K23" s="27">
        <f>Input!$W$25</f>
        <v>0</v>
      </c>
      <c r="L23" s="27">
        <f t="shared" si="3"/>
        <v>0</v>
      </c>
      <c r="M23" s="28">
        <f t="shared" si="4"/>
        <v>0</v>
      </c>
      <c r="N23" s="29"/>
      <c r="O23" s="27">
        <f>ROUND((D23*Input!$C$25),2)</f>
        <v>0</v>
      </c>
      <c r="P23" s="27">
        <f>ROUND((D23*Input!$Q$25),2)</f>
        <v>0</v>
      </c>
      <c r="Q23" s="27">
        <f t="shared" si="1"/>
        <v>0</v>
      </c>
      <c r="R23" s="28">
        <f t="shared" si="5"/>
        <v>0</v>
      </c>
      <c r="S23" s="27">
        <f t="shared" si="6"/>
        <v>0</v>
      </c>
      <c r="T23" s="27">
        <f t="shared" si="7"/>
        <v>0</v>
      </c>
      <c r="U23" s="28">
        <f t="shared" si="8"/>
        <v>0</v>
      </c>
    </row>
    <row r="24" spans="1:21" x14ac:dyDescent="0.35">
      <c r="A24" s="59">
        <v>4</v>
      </c>
      <c r="B24" s="59" t="s">
        <v>41</v>
      </c>
      <c r="D24" s="43">
        <v>300</v>
      </c>
      <c r="E24" s="27">
        <f>Input!$H$25</f>
        <v>0</v>
      </c>
      <c r="F24" s="27">
        <f>Input!$V$25</f>
        <v>0</v>
      </c>
      <c r="G24" s="50">
        <f t="shared" si="0"/>
        <v>0</v>
      </c>
      <c r="H24" s="28">
        <f t="shared" si="2"/>
        <v>0</v>
      </c>
      <c r="I24" s="28"/>
      <c r="J24" s="27">
        <f>Input!$I$25</f>
        <v>0</v>
      </c>
      <c r="K24" s="27">
        <f>Input!$W$25</f>
        <v>0</v>
      </c>
      <c r="L24" s="27">
        <f t="shared" si="3"/>
        <v>0</v>
      </c>
      <c r="M24" s="28">
        <f t="shared" si="4"/>
        <v>0</v>
      </c>
      <c r="N24" s="29"/>
      <c r="O24" s="27">
        <f>ROUND((D24*Input!$C$25),2)</f>
        <v>0</v>
      </c>
      <c r="P24" s="27">
        <f>ROUND((D24*Input!$Q$25),2)</f>
        <v>0</v>
      </c>
      <c r="Q24" s="27">
        <f t="shared" si="1"/>
        <v>0</v>
      </c>
      <c r="R24" s="28">
        <f t="shared" si="5"/>
        <v>0</v>
      </c>
      <c r="S24" s="27">
        <f t="shared" si="6"/>
        <v>0</v>
      </c>
      <c r="T24" s="27">
        <f t="shared" si="7"/>
        <v>0</v>
      </c>
      <c r="U24" s="28">
        <f t="shared" si="8"/>
        <v>0</v>
      </c>
    </row>
    <row r="25" spans="1:21" x14ac:dyDescent="0.35">
      <c r="A25" s="59">
        <v>5</v>
      </c>
      <c r="B25" s="59" t="s">
        <v>88</v>
      </c>
      <c r="D25" s="43">
        <v>500</v>
      </c>
      <c r="E25" s="27">
        <f>Input!$H$25</f>
        <v>0</v>
      </c>
      <c r="F25" s="27">
        <f>Input!$V$25</f>
        <v>0</v>
      </c>
      <c r="G25" s="50">
        <f t="shared" si="0"/>
        <v>0</v>
      </c>
      <c r="H25" s="28">
        <f t="shared" si="2"/>
        <v>0</v>
      </c>
      <c r="I25" s="28"/>
      <c r="J25" s="27">
        <f>Input!$I$25</f>
        <v>0</v>
      </c>
      <c r="K25" s="27">
        <f>Input!$W$25</f>
        <v>0</v>
      </c>
      <c r="L25" s="27">
        <f t="shared" si="3"/>
        <v>0</v>
      </c>
      <c r="M25" s="28">
        <f t="shared" si="4"/>
        <v>0</v>
      </c>
      <c r="N25" s="29"/>
      <c r="O25" s="27">
        <f>ROUND((D25*Input!$C$25),2)</f>
        <v>0</v>
      </c>
      <c r="P25" s="27">
        <f>ROUND((D25*Input!$Q$25),2)</f>
        <v>0</v>
      </c>
      <c r="Q25" s="27">
        <f t="shared" si="1"/>
        <v>0</v>
      </c>
      <c r="R25" s="28">
        <f t="shared" si="5"/>
        <v>0</v>
      </c>
      <c r="S25" s="27">
        <f t="shared" si="6"/>
        <v>0</v>
      </c>
      <c r="T25" s="27">
        <f t="shared" si="7"/>
        <v>0</v>
      </c>
      <c r="U25" s="28">
        <f t="shared" si="8"/>
        <v>0</v>
      </c>
    </row>
    <row r="26" spans="1:21" x14ac:dyDescent="0.35">
      <c r="A26" s="59">
        <v>6</v>
      </c>
      <c r="D26" s="43">
        <v>1000</v>
      </c>
      <c r="E26" s="27">
        <f>Input!$H$25</f>
        <v>0</v>
      </c>
      <c r="F26" s="27">
        <f>Input!$V$25</f>
        <v>0</v>
      </c>
      <c r="G26" s="50">
        <f t="shared" si="0"/>
        <v>0</v>
      </c>
      <c r="H26" s="28">
        <f t="shared" si="2"/>
        <v>0</v>
      </c>
      <c r="I26" s="28"/>
      <c r="J26" s="27">
        <f>Input!$I$25</f>
        <v>0</v>
      </c>
      <c r="K26" s="27">
        <f>Input!$W$25</f>
        <v>0</v>
      </c>
      <c r="L26" s="27">
        <f t="shared" si="3"/>
        <v>0</v>
      </c>
      <c r="M26" s="28">
        <f t="shared" si="4"/>
        <v>0</v>
      </c>
      <c r="N26" s="29"/>
      <c r="O26" s="27">
        <f>ROUND((D26*Input!$C$25),2)</f>
        <v>0</v>
      </c>
      <c r="P26" s="27">
        <f>ROUND((D26*Input!$Q$25),2)</f>
        <v>0</v>
      </c>
      <c r="Q26" s="27">
        <f t="shared" si="1"/>
        <v>0</v>
      </c>
      <c r="R26" s="28">
        <f t="shared" si="5"/>
        <v>0</v>
      </c>
      <c r="S26" s="27">
        <f t="shared" si="6"/>
        <v>0</v>
      </c>
      <c r="T26" s="27">
        <f t="shared" si="7"/>
        <v>0</v>
      </c>
      <c r="U26" s="28">
        <f t="shared" si="8"/>
        <v>0</v>
      </c>
    </row>
    <row r="27" spans="1:21" x14ac:dyDescent="0.35">
      <c r="A27" s="59">
        <v>7</v>
      </c>
      <c r="D27" s="43">
        <v>3000</v>
      </c>
      <c r="E27" s="27">
        <f>Input!$H$25</f>
        <v>0</v>
      </c>
      <c r="F27" s="27">
        <f>Input!$V$25</f>
        <v>0</v>
      </c>
      <c r="G27" s="50">
        <f t="shared" si="0"/>
        <v>0</v>
      </c>
      <c r="H27" s="28">
        <f t="shared" si="2"/>
        <v>0</v>
      </c>
      <c r="I27" s="28"/>
      <c r="J27" s="27">
        <f>Input!$I$25</f>
        <v>0</v>
      </c>
      <c r="K27" s="27">
        <f>Input!$W$25</f>
        <v>0</v>
      </c>
      <c r="L27" s="27">
        <f t="shared" si="3"/>
        <v>0</v>
      </c>
      <c r="M27" s="28">
        <f t="shared" si="4"/>
        <v>0</v>
      </c>
      <c r="N27" s="29"/>
      <c r="O27" s="27">
        <f>ROUND((D27*Input!$C$25),2)</f>
        <v>0</v>
      </c>
      <c r="P27" s="27">
        <f>ROUND((D27*Input!$Q$25),2)</f>
        <v>0</v>
      </c>
      <c r="Q27" s="27">
        <f t="shared" si="1"/>
        <v>0</v>
      </c>
      <c r="R27" s="28">
        <f t="shared" si="5"/>
        <v>0</v>
      </c>
      <c r="S27" s="27">
        <f t="shared" si="6"/>
        <v>0</v>
      </c>
      <c r="T27" s="27">
        <f t="shared" si="7"/>
        <v>0</v>
      </c>
      <c r="U27" s="28">
        <f t="shared" si="8"/>
        <v>0</v>
      </c>
    </row>
    <row r="28" spans="1:21" x14ac:dyDescent="0.35">
      <c r="A28" s="59">
        <v>8</v>
      </c>
      <c r="B28" s="59"/>
      <c r="D28" s="43">
        <v>5000</v>
      </c>
      <c r="E28" s="27">
        <f>Input!$H$25</f>
        <v>0</v>
      </c>
      <c r="F28" s="27">
        <f>Input!$V$25</f>
        <v>0</v>
      </c>
      <c r="G28" s="50">
        <f t="shared" si="0"/>
        <v>0</v>
      </c>
      <c r="H28" s="28">
        <f t="shared" si="2"/>
        <v>0</v>
      </c>
      <c r="I28" s="28"/>
      <c r="J28" s="27">
        <f>Input!$I$25</f>
        <v>0</v>
      </c>
      <c r="K28" s="27">
        <f>Input!$W$25</f>
        <v>0</v>
      </c>
      <c r="L28" s="27">
        <f t="shared" si="3"/>
        <v>0</v>
      </c>
      <c r="M28" s="28">
        <f t="shared" si="4"/>
        <v>0</v>
      </c>
      <c r="N28" s="29"/>
      <c r="O28" s="27">
        <f>ROUND((D28*Input!$C$25),2)</f>
        <v>0</v>
      </c>
      <c r="P28" s="27">
        <f>ROUND((D28*Input!$Q$25),2)</f>
        <v>0</v>
      </c>
      <c r="Q28" s="27">
        <f t="shared" si="1"/>
        <v>0</v>
      </c>
      <c r="R28" s="28">
        <f t="shared" si="5"/>
        <v>0</v>
      </c>
      <c r="S28" s="27">
        <f t="shared" si="6"/>
        <v>0</v>
      </c>
      <c r="T28" s="27">
        <f t="shared" si="7"/>
        <v>0</v>
      </c>
      <c r="U28" s="28">
        <f t="shared" si="8"/>
        <v>0</v>
      </c>
    </row>
    <row r="29" spans="1:21" x14ac:dyDescent="0.35">
      <c r="A29" s="59">
        <v>9</v>
      </c>
      <c r="B29" s="59"/>
      <c r="D29" s="43">
        <v>10000</v>
      </c>
      <c r="E29" s="27">
        <f>Input!$H$25</f>
        <v>0</v>
      </c>
      <c r="F29" s="27">
        <f>Input!$V$25</f>
        <v>0</v>
      </c>
      <c r="G29" s="50">
        <f t="shared" si="0"/>
        <v>0</v>
      </c>
      <c r="H29" s="28">
        <f t="shared" si="2"/>
        <v>0</v>
      </c>
      <c r="I29" s="28"/>
      <c r="J29" s="27">
        <f>Input!$I$25</f>
        <v>0</v>
      </c>
      <c r="K29" s="27">
        <f>Input!$W$25</f>
        <v>0</v>
      </c>
      <c r="L29" s="27">
        <f t="shared" si="3"/>
        <v>0</v>
      </c>
      <c r="M29" s="28">
        <f t="shared" si="4"/>
        <v>0</v>
      </c>
      <c r="N29" s="29"/>
      <c r="O29" s="27">
        <f>ROUND((D29*Input!$C$25),2)</f>
        <v>0</v>
      </c>
      <c r="P29" s="27">
        <f>ROUND((D29*Input!$Q$25),2)</f>
        <v>0</v>
      </c>
      <c r="Q29" s="27">
        <f t="shared" si="1"/>
        <v>0</v>
      </c>
      <c r="R29" s="28">
        <f t="shared" si="5"/>
        <v>0</v>
      </c>
      <c r="S29" s="27">
        <f t="shared" si="6"/>
        <v>0</v>
      </c>
      <c r="T29" s="27">
        <f t="shared" si="7"/>
        <v>0</v>
      </c>
      <c r="U29" s="28">
        <f t="shared" si="8"/>
        <v>0</v>
      </c>
    </row>
    <row r="30" spans="1:21" x14ac:dyDescent="0.35">
      <c r="A30" s="59">
        <v>10</v>
      </c>
      <c r="D30" s="43">
        <v>15000</v>
      </c>
      <c r="E30" s="27">
        <f>Input!$H$25</f>
        <v>0</v>
      </c>
      <c r="F30" s="27">
        <f>Input!$V$25</f>
        <v>0</v>
      </c>
      <c r="G30" s="50">
        <f t="shared" si="0"/>
        <v>0</v>
      </c>
      <c r="H30" s="28">
        <f t="shared" si="2"/>
        <v>0</v>
      </c>
      <c r="I30" s="28"/>
      <c r="J30" s="27">
        <f>Input!$I$25</f>
        <v>0</v>
      </c>
      <c r="K30" s="27">
        <f>Input!$W$25</f>
        <v>0</v>
      </c>
      <c r="L30" s="27">
        <f t="shared" si="3"/>
        <v>0</v>
      </c>
      <c r="M30" s="28">
        <f t="shared" si="4"/>
        <v>0</v>
      </c>
      <c r="N30" s="29"/>
      <c r="O30" s="27">
        <f>ROUND((D30*Input!$C$25),2)</f>
        <v>0</v>
      </c>
      <c r="P30" s="27">
        <f>ROUND((D30*Input!$Q$25),2)</f>
        <v>0</v>
      </c>
      <c r="Q30" s="27">
        <f t="shared" si="1"/>
        <v>0</v>
      </c>
      <c r="R30" s="28">
        <f t="shared" si="5"/>
        <v>0</v>
      </c>
      <c r="S30" s="27">
        <f t="shared" si="6"/>
        <v>0</v>
      </c>
      <c r="T30" s="27">
        <f t="shared" si="7"/>
        <v>0</v>
      </c>
      <c r="U30" s="28">
        <f t="shared" si="8"/>
        <v>0</v>
      </c>
    </row>
    <row r="31" spans="1:21" x14ac:dyDescent="0.35">
      <c r="A31" s="59">
        <v>11</v>
      </c>
      <c r="D31" s="43">
        <v>20000</v>
      </c>
      <c r="E31" s="27">
        <f>Input!$H$25</f>
        <v>0</v>
      </c>
      <c r="F31" s="27">
        <f>Input!$V$25</f>
        <v>0</v>
      </c>
      <c r="G31" s="50">
        <f t="shared" si="0"/>
        <v>0</v>
      </c>
      <c r="H31" s="28">
        <f t="shared" si="2"/>
        <v>0</v>
      </c>
      <c r="I31" s="28"/>
      <c r="J31" s="27">
        <f>Input!$I$25</f>
        <v>0</v>
      </c>
      <c r="K31" s="27">
        <f>Input!$W$25</f>
        <v>0</v>
      </c>
      <c r="L31" s="27">
        <f t="shared" si="3"/>
        <v>0</v>
      </c>
      <c r="M31" s="28">
        <f t="shared" si="4"/>
        <v>0</v>
      </c>
      <c r="N31" s="29"/>
      <c r="O31" s="27">
        <f>ROUND((D31*Input!$C$25),2)</f>
        <v>0</v>
      </c>
      <c r="P31" s="27">
        <f>ROUND((D31*Input!$Q$25),2)</f>
        <v>0</v>
      </c>
      <c r="Q31" s="27">
        <f t="shared" si="1"/>
        <v>0</v>
      </c>
      <c r="R31" s="28">
        <f t="shared" si="5"/>
        <v>0</v>
      </c>
      <c r="S31" s="27">
        <f t="shared" si="6"/>
        <v>0</v>
      </c>
      <c r="T31" s="27">
        <f t="shared" si="7"/>
        <v>0</v>
      </c>
      <c r="U31" s="28">
        <f t="shared" si="8"/>
        <v>0</v>
      </c>
    </row>
    <row r="32" spans="1:21" x14ac:dyDescent="0.35">
      <c r="A32" s="59">
        <v>12</v>
      </c>
      <c r="D32" s="43">
        <v>25000</v>
      </c>
      <c r="E32" s="27">
        <f>Input!$H$25</f>
        <v>0</v>
      </c>
      <c r="F32" s="27">
        <f>Input!$V$25</f>
        <v>0</v>
      </c>
      <c r="G32" s="50">
        <f t="shared" si="0"/>
        <v>0</v>
      </c>
      <c r="H32" s="28">
        <f t="shared" si="2"/>
        <v>0</v>
      </c>
      <c r="I32" s="28"/>
      <c r="J32" s="27">
        <f>Input!$I$25</f>
        <v>0</v>
      </c>
      <c r="K32" s="27">
        <f>Input!$W$25</f>
        <v>0</v>
      </c>
      <c r="L32" s="27">
        <f t="shared" si="3"/>
        <v>0</v>
      </c>
      <c r="M32" s="28">
        <f t="shared" si="4"/>
        <v>0</v>
      </c>
      <c r="N32" s="30"/>
      <c r="O32" s="27">
        <f>ROUND((Input!$C$25*Input!$AD$25),2)+ROUND(((D32-Input!$AD$25)*Input!$D$25),2)</f>
        <v>0</v>
      </c>
      <c r="P32" s="27">
        <f>ROUND((Input!$Q$25*Input!$AK$25),2)+ROUND(((D32-Input!$AK$25)*Input!$R$25),2)</f>
        <v>0</v>
      </c>
      <c r="Q32" s="27">
        <f t="shared" si="1"/>
        <v>0</v>
      </c>
      <c r="R32" s="28">
        <f t="shared" si="5"/>
        <v>0</v>
      </c>
      <c r="S32" s="27">
        <f t="shared" si="6"/>
        <v>0</v>
      </c>
      <c r="T32" s="27">
        <f t="shared" si="7"/>
        <v>0</v>
      </c>
      <c r="U32" s="28">
        <f t="shared" si="8"/>
        <v>0</v>
      </c>
    </row>
    <row r="33" spans="1:21" x14ac:dyDescent="0.35">
      <c r="A33" s="59">
        <v>13</v>
      </c>
      <c r="D33" s="43">
        <v>30000</v>
      </c>
      <c r="E33" s="27">
        <f>Input!$H$25</f>
        <v>0</v>
      </c>
      <c r="F33" s="27">
        <f>Input!$V$25</f>
        <v>0</v>
      </c>
      <c r="G33" s="50">
        <f t="shared" si="0"/>
        <v>0</v>
      </c>
      <c r="H33" s="28">
        <f t="shared" si="2"/>
        <v>0</v>
      </c>
      <c r="I33" s="28"/>
      <c r="J33" s="27">
        <f>Input!$I$25</f>
        <v>0</v>
      </c>
      <c r="K33" s="27">
        <f>Input!$W$25</f>
        <v>0</v>
      </c>
      <c r="L33" s="27">
        <f t="shared" si="3"/>
        <v>0</v>
      </c>
      <c r="M33" s="28">
        <f t="shared" si="4"/>
        <v>0</v>
      </c>
      <c r="N33" s="30"/>
      <c r="O33" s="27">
        <f>ROUND((Input!$C$25*Input!$AD$25),2)+ROUND(((D33-Input!$AD$25)*Input!$D$25),2)</f>
        <v>0</v>
      </c>
      <c r="P33" s="27">
        <f>ROUND((Input!$Q$25*Input!$AK$25),2)+ROUND(((D33-Input!$AK$25)*Input!$R$25),2)</f>
        <v>0</v>
      </c>
      <c r="Q33" s="27">
        <f t="shared" si="1"/>
        <v>0</v>
      </c>
      <c r="R33" s="28">
        <f t="shared" si="5"/>
        <v>0</v>
      </c>
      <c r="S33" s="27">
        <f t="shared" si="6"/>
        <v>0</v>
      </c>
      <c r="T33" s="27">
        <f t="shared" si="7"/>
        <v>0</v>
      </c>
      <c r="U33" s="28">
        <f t="shared" si="8"/>
        <v>0</v>
      </c>
    </row>
    <row r="34" spans="1:21" x14ac:dyDescent="0.35">
      <c r="A34" s="59">
        <v>14</v>
      </c>
      <c r="D34" s="43">
        <v>35000</v>
      </c>
      <c r="E34" s="27">
        <f>Input!$H$25</f>
        <v>0</v>
      </c>
      <c r="F34" s="27">
        <f>Input!$V$25</f>
        <v>0</v>
      </c>
      <c r="G34" s="50">
        <f t="shared" si="0"/>
        <v>0</v>
      </c>
      <c r="H34" s="28">
        <f t="shared" si="2"/>
        <v>0</v>
      </c>
      <c r="I34" s="28"/>
      <c r="J34" s="27">
        <f>Input!$I$25</f>
        <v>0</v>
      </c>
      <c r="K34" s="27">
        <f>Input!$W$25</f>
        <v>0</v>
      </c>
      <c r="L34" s="27">
        <f t="shared" si="3"/>
        <v>0</v>
      </c>
      <c r="M34" s="28">
        <f t="shared" si="4"/>
        <v>0</v>
      </c>
      <c r="N34" s="30"/>
      <c r="O34" s="27">
        <f>ROUND((Input!$C$25*Input!$AD$25),2)+ROUND(((D34-Input!$AD$25)*Input!$D$25),2)</f>
        <v>0</v>
      </c>
      <c r="P34" s="27">
        <f>ROUND((Input!$Q$25*Input!$AK$25),2)+ROUND(((D34-Input!$AK$25)*Input!$R$25),2)</f>
        <v>0</v>
      </c>
      <c r="Q34" s="27">
        <f t="shared" si="1"/>
        <v>0</v>
      </c>
      <c r="R34" s="28">
        <f t="shared" si="5"/>
        <v>0</v>
      </c>
      <c r="S34" s="27">
        <f t="shared" si="6"/>
        <v>0</v>
      </c>
      <c r="T34" s="27">
        <f t="shared" si="7"/>
        <v>0</v>
      </c>
      <c r="U34" s="28">
        <f t="shared" si="8"/>
        <v>0</v>
      </c>
    </row>
    <row r="35" spans="1:21" x14ac:dyDescent="0.35">
      <c r="A35" s="59">
        <v>15</v>
      </c>
      <c r="B35" s="59"/>
      <c r="D35" s="43">
        <v>45000</v>
      </c>
      <c r="E35" s="27">
        <f>Input!$H$25</f>
        <v>0</v>
      </c>
      <c r="F35" s="27">
        <f>Input!$V$25</f>
        <v>0</v>
      </c>
      <c r="G35" s="50">
        <f t="shared" si="0"/>
        <v>0</v>
      </c>
      <c r="H35" s="28">
        <f t="shared" si="2"/>
        <v>0</v>
      </c>
      <c r="I35" s="28"/>
      <c r="J35" s="27">
        <f>Input!$I$25</f>
        <v>0</v>
      </c>
      <c r="K35" s="27">
        <f>Input!$W$25</f>
        <v>0</v>
      </c>
      <c r="L35" s="27">
        <f t="shared" si="3"/>
        <v>0</v>
      </c>
      <c r="M35" s="28">
        <f t="shared" si="4"/>
        <v>0</v>
      </c>
      <c r="N35" s="29"/>
      <c r="O35" s="27">
        <f>ROUND((Input!$C$25*Input!$AD$25),2)+ROUND(((D35-Input!$AD$25)*Input!$D$25),2)</f>
        <v>0</v>
      </c>
      <c r="P35" s="27">
        <f>ROUND((Input!$Q$25*Input!$AK$25),2)+ROUND(((D35-Input!$AK$25)*Input!$R$25),2)</f>
        <v>0</v>
      </c>
      <c r="Q35" s="27">
        <f>P35-O35</f>
        <v>0</v>
      </c>
      <c r="R35" s="28">
        <f t="shared" si="5"/>
        <v>0</v>
      </c>
      <c r="S35" s="27">
        <f>E35+J35+O35</f>
        <v>0</v>
      </c>
      <c r="T35" s="27">
        <f>F35+K35+P35</f>
        <v>0</v>
      </c>
      <c r="U35" s="28">
        <f t="shared" si="8"/>
        <v>0</v>
      </c>
    </row>
    <row r="36" spans="1:21" x14ac:dyDescent="0.35">
      <c r="A36" s="59"/>
      <c r="D36" s="31"/>
      <c r="E36" s="30"/>
      <c r="F36" s="30"/>
      <c r="G36" s="27"/>
      <c r="H36" s="29"/>
      <c r="I36" s="29"/>
      <c r="J36" s="29"/>
      <c r="K36" s="29"/>
      <c r="L36" s="29"/>
      <c r="M36" s="29"/>
      <c r="N36" s="30"/>
      <c r="O36" s="30"/>
      <c r="P36" s="30"/>
      <c r="Q36" s="27"/>
      <c r="R36" s="29"/>
      <c r="S36" s="27"/>
      <c r="T36" s="27"/>
      <c r="U36" s="28"/>
    </row>
    <row r="37" spans="1:21" x14ac:dyDescent="0.35">
      <c r="A37" s="59"/>
      <c r="B37" s="8" t="s">
        <v>98</v>
      </c>
      <c r="D37" s="45">
        <f>ROUND(Input!AT25,0)</f>
        <v>0</v>
      </c>
      <c r="E37" s="30"/>
      <c r="F37" s="30"/>
      <c r="G37" s="27"/>
      <c r="H37" s="29"/>
      <c r="I37" s="29"/>
      <c r="J37" s="29"/>
      <c r="K37" s="29"/>
      <c r="L37" s="29"/>
      <c r="M37" s="29"/>
      <c r="N37" s="30"/>
      <c r="O37" s="30"/>
      <c r="P37" s="30"/>
      <c r="Q37" s="27"/>
      <c r="R37" s="29"/>
      <c r="S37" s="27"/>
      <c r="T37" s="27"/>
      <c r="U37" s="29"/>
    </row>
    <row r="38" spans="1:21" x14ac:dyDescent="0.35">
      <c r="A38" s="59"/>
      <c r="C38" s="8" t="s">
        <v>144</v>
      </c>
    </row>
    <row r="39" spans="1:21" x14ac:dyDescent="0.35">
      <c r="A39" s="59"/>
    </row>
    <row r="40" spans="1:21" x14ac:dyDescent="0.35">
      <c r="A40" s="59"/>
    </row>
    <row r="41" spans="1:21" x14ac:dyDescent="0.35">
      <c r="A41" s="59"/>
    </row>
    <row r="42" spans="1:21" x14ac:dyDescent="0.35">
      <c r="A42" s="59"/>
    </row>
  </sheetData>
  <mergeCells count="8">
    <mergeCell ref="A5:U5"/>
    <mergeCell ref="E13:H13"/>
    <mergeCell ref="O13:R13"/>
    <mergeCell ref="A1:U1"/>
    <mergeCell ref="A2:U2"/>
    <mergeCell ref="A3:U3"/>
    <mergeCell ref="A4:U4"/>
    <mergeCell ref="J13:M13"/>
  </mergeCells>
  <phoneticPr fontId="0" type="noConversion"/>
  <printOptions horizontalCentered="1"/>
  <pageMargins left="0" right="0" top="0.75" bottom="0.75" header="0.5" footer="0.5"/>
  <pageSetup scale="6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pageSetUpPr fitToPage="1"/>
  </sheetPr>
  <dimension ref="A1:AE42"/>
  <sheetViews>
    <sheetView workbookViewId="0">
      <selection activeCell="V1" sqref="V1:AE1048576"/>
    </sheetView>
  </sheetViews>
  <sheetFormatPr defaultColWidth="9.36328125" defaultRowHeight="12.9" x14ac:dyDescent="0.35"/>
  <cols>
    <col min="1" max="1" width="4.453125" style="8" customWidth="1"/>
    <col min="2" max="2" width="11.36328125" style="8" customWidth="1"/>
    <col min="3" max="3" width="13.36328125" style="8" customWidth="1"/>
    <col min="4" max="4" width="11.81640625" style="8" bestFit="1" customWidth="1"/>
    <col min="5" max="6" width="11.453125" style="8" bestFit="1" customWidth="1"/>
    <col min="7" max="7" width="12.1796875" style="59" bestFit="1" customWidth="1"/>
    <col min="8" max="8" width="12.1796875" style="8" bestFit="1" customWidth="1"/>
    <col min="9" max="9" width="1.81640625" style="8" customWidth="1"/>
    <col min="10" max="11" width="15.6328125" style="8" bestFit="1" customWidth="1"/>
    <col min="12" max="13" width="12.1796875" style="8" bestFit="1" customWidth="1"/>
    <col min="14" max="14" width="1.81640625" style="8" customWidth="1"/>
    <col min="15" max="16" width="12.81640625" style="8" bestFit="1" customWidth="1"/>
    <col min="17" max="18" width="12.1796875" style="8" bestFit="1" customWidth="1"/>
    <col min="19" max="19" width="13.1796875" style="59" bestFit="1" customWidth="1"/>
    <col min="20" max="20" width="13" style="59" bestFit="1" customWidth="1"/>
    <col min="21" max="21" width="12" style="59" customWidth="1"/>
    <col min="23" max="23" width="12.1796875" customWidth="1"/>
    <col min="24" max="24" width="10.1796875" customWidth="1"/>
    <col min="25" max="27" width="9.36328125" customWidth="1"/>
    <col min="28" max="29" width="10.1796875" customWidth="1"/>
    <col min="30" max="30" width="9.36328125" customWidth="1"/>
    <col min="32" max="16384" width="9.36328125" style="8"/>
  </cols>
  <sheetData>
    <row r="1" spans="1:21" x14ac:dyDescent="0.35">
      <c r="A1" s="73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x14ac:dyDescent="0.35">
      <c r="A2" s="73" t="str">
        <f>Input!$B$1</f>
        <v>CASE NO. 2024-xxxxx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x14ac:dyDescent="0.35">
      <c r="A3" s="73" t="s">
        <v>85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x14ac:dyDescent="0.35">
      <c r="A4" s="73" t="s">
        <v>36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x14ac:dyDescent="0.35">
      <c r="A5" s="73" t="str">
        <f>Input!$B$5</f>
        <v>TWELVE MONTHS ENDING DECEMBER 31, 2025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x14ac:dyDescent="0.35">
      <c r="A6" s="59"/>
      <c r="B6" s="60"/>
      <c r="C6" s="60"/>
      <c r="D6" s="60"/>
      <c r="E6" s="60"/>
      <c r="F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21" x14ac:dyDescent="0.35">
      <c r="A7" s="59"/>
      <c r="B7" s="60"/>
      <c r="C7" s="60"/>
      <c r="D7" s="60"/>
      <c r="E7" s="60"/>
      <c r="F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21" x14ac:dyDescent="0.35">
      <c r="A8" s="8" t="s">
        <v>123</v>
      </c>
      <c r="U8" s="30" t="s">
        <v>37</v>
      </c>
    </row>
    <row r="9" spans="1:21" x14ac:dyDescent="0.35">
      <c r="A9" s="8" t="s">
        <v>124</v>
      </c>
      <c r="U9" s="30" t="s">
        <v>136</v>
      </c>
    </row>
    <row r="10" spans="1:21" x14ac:dyDescent="0.35">
      <c r="A10" s="8" t="s">
        <v>38</v>
      </c>
      <c r="U10" s="30" t="str">
        <f>Input!$B$3</f>
        <v>Witness: R. J. Amen</v>
      </c>
    </row>
    <row r="12" spans="1:21" x14ac:dyDescent="0.35">
      <c r="A12" s="24"/>
      <c r="B12" s="24"/>
      <c r="C12" s="24"/>
      <c r="D12" s="24"/>
      <c r="E12" s="24"/>
      <c r="F12" s="24"/>
      <c r="G12" s="61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61"/>
      <c r="T12" s="61"/>
      <c r="U12" s="61"/>
    </row>
    <row r="13" spans="1:21" x14ac:dyDescent="0.35">
      <c r="E13" s="75" t="s">
        <v>77</v>
      </c>
      <c r="F13" s="75"/>
      <c r="G13" s="75"/>
      <c r="H13" s="75"/>
      <c r="I13" s="25"/>
      <c r="J13" s="75" t="s">
        <v>119</v>
      </c>
      <c r="K13" s="75"/>
      <c r="L13" s="75"/>
      <c r="M13" s="75"/>
      <c r="N13" s="25"/>
      <c r="O13" s="75" t="s">
        <v>78</v>
      </c>
      <c r="P13" s="75"/>
      <c r="Q13" s="75"/>
      <c r="R13" s="75"/>
    </row>
    <row r="14" spans="1:21" x14ac:dyDescent="0.35">
      <c r="E14" s="59" t="s">
        <v>43</v>
      </c>
      <c r="F14" s="59" t="s">
        <v>44</v>
      </c>
      <c r="G14" s="59" t="s">
        <v>75</v>
      </c>
      <c r="H14" s="59" t="s">
        <v>46</v>
      </c>
      <c r="I14" s="59"/>
      <c r="J14" s="59" t="s">
        <v>43</v>
      </c>
      <c r="K14" s="59" t="s">
        <v>44</v>
      </c>
      <c r="L14" s="59" t="s">
        <v>75</v>
      </c>
      <c r="M14" s="59" t="s">
        <v>46</v>
      </c>
      <c r="Q14" s="59" t="s">
        <v>75</v>
      </c>
      <c r="R14" s="59" t="s">
        <v>46</v>
      </c>
      <c r="S14" s="59" t="s">
        <v>39</v>
      </c>
      <c r="T14" s="59" t="s">
        <v>39</v>
      </c>
      <c r="U14" s="59" t="s">
        <v>46</v>
      </c>
    </row>
    <row r="15" spans="1:21" x14ac:dyDescent="0.35">
      <c r="D15" s="59" t="s">
        <v>71</v>
      </c>
      <c r="E15" s="59" t="s">
        <v>71</v>
      </c>
      <c r="F15" s="59" t="s">
        <v>71</v>
      </c>
      <c r="G15" s="59" t="s">
        <v>45</v>
      </c>
      <c r="H15" s="59" t="s">
        <v>45</v>
      </c>
      <c r="I15" s="59"/>
      <c r="J15" s="59" t="s">
        <v>71</v>
      </c>
      <c r="K15" s="59" t="s">
        <v>71</v>
      </c>
      <c r="L15" s="59" t="s">
        <v>45</v>
      </c>
      <c r="M15" s="59" t="s">
        <v>45</v>
      </c>
      <c r="N15" s="59"/>
      <c r="O15" s="59" t="s">
        <v>43</v>
      </c>
      <c r="P15" s="59" t="s">
        <v>44</v>
      </c>
      <c r="Q15" s="59" t="s">
        <v>45</v>
      </c>
      <c r="R15" s="59" t="s">
        <v>45</v>
      </c>
      <c r="S15" s="59" t="s">
        <v>43</v>
      </c>
      <c r="T15" s="59" t="s">
        <v>44</v>
      </c>
      <c r="U15" s="59" t="s">
        <v>45</v>
      </c>
    </row>
    <row r="16" spans="1:21" x14ac:dyDescent="0.35">
      <c r="A16" s="59" t="s">
        <v>40</v>
      </c>
      <c r="B16" s="59" t="s">
        <v>41</v>
      </c>
      <c r="C16" s="59" t="s">
        <v>42</v>
      </c>
      <c r="D16" s="59" t="s">
        <v>72</v>
      </c>
      <c r="E16" s="59" t="s">
        <v>68</v>
      </c>
      <c r="F16" s="59" t="s">
        <v>68</v>
      </c>
      <c r="G16" s="59" t="s">
        <v>76</v>
      </c>
      <c r="H16" s="59" t="s">
        <v>76</v>
      </c>
      <c r="I16" s="59"/>
      <c r="J16" s="59" t="s">
        <v>109</v>
      </c>
      <c r="K16" s="59" t="s">
        <v>109</v>
      </c>
      <c r="L16" s="59" t="s">
        <v>76</v>
      </c>
      <c r="M16" s="59" t="s">
        <v>76</v>
      </c>
      <c r="N16" s="59"/>
      <c r="O16" s="59" t="s">
        <v>79</v>
      </c>
      <c r="P16" s="59" t="s">
        <v>79</v>
      </c>
      <c r="Q16" s="59" t="s">
        <v>76</v>
      </c>
      <c r="R16" s="59" t="s">
        <v>76</v>
      </c>
      <c r="S16" s="59" t="s">
        <v>49</v>
      </c>
      <c r="T16" s="59" t="s">
        <v>49</v>
      </c>
      <c r="U16" s="59" t="s">
        <v>76</v>
      </c>
    </row>
    <row r="17" spans="1:21" x14ac:dyDescent="0.35">
      <c r="A17" s="59" t="s">
        <v>47</v>
      </c>
      <c r="B17" s="59" t="s">
        <v>48</v>
      </c>
      <c r="C17" s="59" t="s">
        <v>15</v>
      </c>
      <c r="D17" s="59" t="s">
        <v>73</v>
      </c>
      <c r="E17" s="59" t="s">
        <v>74</v>
      </c>
      <c r="F17" s="59" t="s">
        <v>74</v>
      </c>
      <c r="G17" s="26" t="s">
        <v>50</v>
      </c>
      <c r="H17" s="26" t="s">
        <v>51</v>
      </c>
      <c r="I17" s="26"/>
      <c r="J17" s="59" t="s">
        <v>74</v>
      </c>
      <c r="K17" s="59" t="s">
        <v>74</v>
      </c>
      <c r="L17" s="26" t="s">
        <v>80</v>
      </c>
      <c r="M17" s="26" t="s">
        <v>81</v>
      </c>
      <c r="N17" s="26"/>
      <c r="O17" s="59" t="s">
        <v>74</v>
      </c>
      <c r="P17" s="59" t="s">
        <v>74</v>
      </c>
      <c r="Q17" s="26" t="s">
        <v>114</v>
      </c>
      <c r="R17" s="26" t="s">
        <v>115</v>
      </c>
      <c r="S17" s="26" t="s">
        <v>116</v>
      </c>
      <c r="T17" s="26" t="s">
        <v>117</v>
      </c>
      <c r="U17" s="26" t="s">
        <v>118</v>
      </c>
    </row>
    <row r="18" spans="1:21" x14ac:dyDescent="0.35">
      <c r="D18" s="26" t="s">
        <v>52</v>
      </c>
      <c r="E18" s="26" t="s">
        <v>53</v>
      </c>
      <c r="F18" s="26" t="s">
        <v>53</v>
      </c>
      <c r="G18" s="26" t="s">
        <v>53</v>
      </c>
      <c r="H18" s="26" t="s">
        <v>54</v>
      </c>
      <c r="I18" s="26"/>
      <c r="J18" s="26" t="s">
        <v>53</v>
      </c>
      <c r="K18" s="26" t="s">
        <v>53</v>
      </c>
      <c r="L18" s="26" t="s">
        <v>53</v>
      </c>
      <c r="M18" s="26" t="s">
        <v>54</v>
      </c>
      <c r="N18" s="26"/>
      <c r="O18" s="26" t="s">
        <v>53</v>
      </c>
      <c r="P18" s="26" t="s">
        <v>53</v>
      </c>
      <c r="Q18" s="26" t="s">
        <v>53</v>
      </c>
      <c r="R18" s="26" t="s">
        <v>54</v>
      </c>
      <c r="S18" s="26" t="s">
        <v>53</v>
      </c>
      <c r="T18" s="26" t="s">
        <v>53</v>
      </c>
      <c r="U18" s="26" t="s">
        <v>54</v>
      </c>
    </row>
    <row r="19" spans="1:21" x14ac:dyDescent="0.35">
      <c r="C19" s="26" t="s">
        <v>55</v>
      </c>
      <c r="D19" s="26" t="s">
        <v>56</v>
      </c>
      <c r="E19" s="26" t="s">
        <v>57</v>
      </c>
      <c r="F19" s="26" t="s">
        <v>58</v>
      </c>
      <c r="G19" s="26" t="s">
        <v>59</v>
      </c>
      <c r="H19" s="26" t="s">
        <v>60</v>
      </c>
      <c r="I19" s="26"/>
      <c r="J19" s="26" t="s">
        <v>61</v>
      </c>
      <c r="K19" s="26" t="s">
        <v>62</v>
      </c>
      <c r="L19" s="26" t="s">
        <v>63</v>
      </c>
      <c r="M19" s="26" t="s">
        <v>64</v>
      </c>
      <c r="N19" s="26"/>
      <c r="O19" s="26" t="s">
        <v>82</v>
      </c>
      <c r="P19" s="26" t="s">
        <v>83</v>
      </c>
      <c r="Q19" s="26" t="s">
        <v>84</v>
      </c>
      <c r="R19" s="26" t="s">
        <v>110</v>
      </c>
      <c r="S19" s="26" t="s">
        <v>111</v>
      </c>
      <c r="T19" s="26" t="s">
        <v>112</v>
      </c>
      <c r="U19" s="26" t="s">
        <v>113</v>
      </c>
    </row>
    <row r="20" spans="1:21" x14ac:dyDescent="0.35">
      <c r="D20" s="59"/>
      <c r="E20" s="59"/>
      <c r="F20" s="59"/>
      <c r="H20" s="59"/>
      <c r="I20" s="59"/>
      <c r="J20" s="59"/>
      <c r="K20" s="59"/>
      <c r="L20" s="59"/>
      <c r="M20" s="59"/>
      <c r="N20" s="59"/>
      <c r="O20" s="59"/>
      <c r="P20" s="26"/>
      <c r="Q20" s="26"/>
      <c r="R20" s="26"/>
    </row>
    <row r="21" spans="1:21" x14ac:dyDescent="0.35">
      <c r="A21" s="59">
        <v>1</v>
      </c>
      <c r="B21" s="59" t="s">
        <v>105</v>
      </c>
      <c r="C21" s="59" t="s">
        <v>65</v>
      </c>
      <c r="D21" s="43">
        <v>100</v>
      </c>
      <c r="E21" s="27">
        <f>Input!$H$26</f>
        <v>3982.3</v>
      </c>
      <c r="F21" s="27">
        <f>Input!$V$26</f>
        <v>5000</v>
      </c>
      <c r="G21" s="50">
        <f>F21-E21</f>
        <v>1017.6999999999998</v>
      </c>
      <c r="H21" s="28">
        <f>ROUND(G21/E21,3)</f>
        <v>0.25600000000000001</v>
      </c>
      <c r="I21" s="30"/>
      <c r="J21" s="27">
        <f>Input!$I$26</f>
        <v>0</v>
      </c>
      <c r="K21" s="27">
        <f>Input!$W$26</f>
        <v>0</v>
      </c>
      <c r="L21" s="27">
        <f>K21-J21</f>
        <v>0</v>
      </c>
      <c r="M21" s="28">
        <f>IF(J21=0,0,ROUND(L21/J21,3))</f>
        <v>0</v>
      </c>
      <c r="N21" s="30"/>
      <c r="O21" s="27">
        <f>ROUND((D21*Input!$C$26),2)+ROUND((D21*Input!$K$26),2)+ROUND((D21*Input!$N$26),2)</f>
        <v>78.040000000000006</v>
      </c>
      <c r="P21" s="27">
        <f>ROUND((D21*Input!$Q$26),2)+ROUND((D21*Input!$AA$26),2)</f>
        <v>85.27</v>
      </c>
      <c r="Q21" s="27">
        <f>P21-O21</f>
        <v>7.2299999999999898</v>
      </c>
      <c r="R21" s="28">
        <f>ROUND(Q21/O21,3)</f>
        <v>9.2999999999999999E-2</v>
      </c>
      <c r="S21" s="27">
        <f>E21+J21+O21</f>
        <v>4060.34</v>
      </c>
      <c r="T21" s="27">
        <f>F21+K21+P21</f>
        <v>5085.2700000000004</v>
      </c>
      <c r="U21" s="28">
        <f>ROUND((T21-S21)/S21,3)</f>
        <v>0.252</v>
      </c>
    </row>
    <row r="22" spans="1:21" x14ac:dyDescent="0.35">
      <c r="A22" s="59">
        <v>2</v>
      </c>
      <c r="B22" s="59" t="s">
        <v>69</v>
      </c>
      <c r="C22" s="59" t="s">
        <v>67</v>
      </c>
      <c r="D22" s="43">
        <v>150</v>
      </c>
      <c r="E22" s="27">
        <f>Input!$H$26</f>
        <v>3982.3</v>
      </c>
      <c r="F22" s="27">
        <f>Input!$V$26</f>
        <v>5000</v>
      </c>
      <c r="G22" s="50">
        <f t="shared" ref="G22:G35" si="0">F22-E22</f>
        <v>1017.6999999999998</v>
      </c>
      <c r="H22" s="28">
        <f t="shared" ref="H22:H39" si="1">ROUND(G22/E22,3)</f>
        <v>0.25600000000000001</v>
      </c>
      <c r="I22" s="30"/>
      <c r="J22" s="27">
        <f>Input!$I$26</f>
        <v>0</v>
      </c>
      <c r="K22" s="27">
        <f>Input!$W$26</f>
        <v>0</v>
      </c>
      <c r="L22" s="27">
        <f t="shared" ref="L22:L39" si="2">K22-J22</f>
        <v>0</v>
      </c>
      <c r="M22" s="28">
        <f t="shared" ref="M22:M39" si="3">IF(J22=0,0,ROUND(L22/J22,3))</f>
        <v>0</v>
      </c>
      <c r="N22" s="30"/>
      <c r="O22" s="27">
        <f>ROUND((D22*Input!$C$26),2)+ROUND((D22*Input!$K$26),2)+ROUND((D22*Input!$N$26),2)</f>
        <v>117.07000000000001</v>
      </c>
      <c r="P22" s="27">
        <f>ROUND((D22*Input!$Q$26),2)+ROUND((D22*Input!$AA$26),2)</f>
        <v>127.91</v>
      </c>
      <c r="Q22" s="27">
        <f t="shared" ref="Q22:Q35" si="4">P22-O22</f>
        <v>10.839999999999989</v>
      </c>
      <c r="R22" s="28">
        <f t="shared" ref="R22:R39" si="5">ROUND(Q22/O22,3)</f>
        <v>9.2999999999999999E-2</v>
      </c>
      <c r="S22" s="27">
        <f t="shared" ref="S22:S39" si="6">E22+J22+O22</f>
        <v>4099.37</v>
      </c>
      <c r="T22" s="27">
        <f t="shared" ref="T22:T39" si="7">F22+K22+P22</f>
        <v>5127.91</v>
      </c>
      <c r="U22" s="28">
        <f t="shared" ref="U22:U39" si="8">ROUND((T22-S22)/S22,3)</f>
        <v>0.251</v>
      </c>
    </row>
    <row r="23" spans="1:21" x14ac:dyDescent="0.35">
      <c r="A23" s="59">
        <v>3</v>
      </c>
      <c r="B23" s="59" t="s">
        <v>91</v>
      </c>
      <c r="D23" s="43">
        <v>300</v>
      </c>
      <c r="E23" s="27">
        <f>Input!$H$26</f>
        <v>3982.3</v>
      </c>
      <c r="F23" s="27">
        <f>Input!$V$26</f>
        <v>5000</v>
      </c>
      <c r="G23" s="50">
        <f t="shared" si="0"/>
        <v>1017.6999999999998</v>
      </c>
      <c r="H23" s="28">
        <f t="shared" si="1"/>
        <v>0.25600000000000001</v>
      </c>
      <c r="I23" s="30"/>
      <c r="J23" s="27">
        <f>Input!$I$26</f>
        <v>0</v>
      </c>
      <c r="K23" s="27">
        <f>Input!$W$26</f>
        <v>0</v>
      </c>
      <c r="L23" s="27">
        <f t="shared" si="2"/>
        <v>0</v>
      </c>
      <c r="M23" s="28">
        <f t="shared" si="3"/>
        <v>0</v>
      </c>
      <c r="N23" s="30"/>
      <c r="O23" s="27">
        <f>ROUND((D23*Input!$C$26),2)+ROUND((D23*Input!$K$26),2)+ROUND((D23*Input!$N$26),2)</f>
        <v>234.11999999999998</v>
      </c>
      <c r="P23" s="27">
        <f>ROUND((D23*Input!$Q$26),2)+ROUND((D23*Input!$AA$26),2)</f>
        <v>255.81</v>
      </c>
      <c r="Q23" s="27">
        <f t="shared" si="4"/>
        <v>21.690000000000026</v>
      </c>
      <c r="R23" s="28">
        <f t="shared" si="5"/>
        <v>9.2999999999999999E-2</v>
      </c>
      <c r="S23" s="27">
        <f t="shared" si="6"/>
        <v>4216.42</v>
      </c>
      <c r="T23" s="27">
        <f t="shared" si="7"/>
        <v>5255.81</v>
      </c>
      <c r="U23" s="28">
        <f t="shared" si="8"/>
        <v>0.247</v>
      </c>
    </row>
    <row r="24" spans="1:21" x14ac:dyDescent="0.35">
      <c r="A24" s="59">
        <v>4</v>
      </c>
      <c r="B24" s="59" t="s">
        <v>41</v>
      </c>
      <c r="D24" s="43">
        <v>500</v>
      </c>
      <c r="E24" s="27">
        <f>Input!$H$26</f>
        <v>3982.3</v>
      </c>
      <c r="F24" s="27">
        <f>Input!$V$26</f>
        <v>5000</v>
      </c>
      <c r="G24" s="50">
        <f t="shared" si="0"/>
        <v>1017.6999999999998</v>
      </c>
      <c r="H24" s="28">
        <f t="shared" si="1"/>
        <v>0.25600000000000001</v>
      </c>
      <c r="I24" s="30"/>
      <c r="J24" s="27">
        <f>Input!$I$26</f>
        <v>0</v>
      </c>
      <c r="K24" s="27">
        <f>Input!$W$26</f>
        <v>0</v>
      </c>
      <c r="L24" s="27">
        <f t="shared" si="2"/>
        <v>0</v>
      </c>
      <c r="M24" s="28">
        <f t="shared" si="3"/>
        <v>0</v>
      </c>
      <c r="N24" s="30"/>
      <c r="O24" s="27">
        <f>ROUND((D24*Input!$C$26),2)+ROUND((D24*Input!$K$26),2)+ROUND((D24*Input!$N$26),2)</f>
        <v>390.2</v>
      </c>
      <c r="P24" s="27">
        <f>ROUND((D24*Input!$Q$26),2)+ROUND((D24*Input!$AA$26),2)</f>
        <v>426.34999999999997</v>
      </c>
      <c r="Q24" s="27">
        <f t="shared" si="4"/>
        <v>36.149999999999977</v>
      </c>
      <c r="R24" s="28">
        <f t="shared" si="5"/>
        <v>9.2999999999999999E-2</v>
      </c>
      <c r="S24" s="27">
        <f t="shared" si="6"/>
        <v>4372.5</v>
      </c>
      <c r="T24" s="27">
        <f t="shared" si="7"/>
        <v>5426.35</v>
      </c>
      <c r="U24" s="28">
        <f t="shared" si="8"/>
        <v>0.24099999999999999</v>
      </c>
    </row>
    <row r="25" spans="1:21" x14ac:dyDescent="0.35">
      <c r="A25" s="59">
        <v>5</v>
      </c>
      <c r="B25" s="59" t="s">
        <v>88</v>
      </c>
      <c r="D25" s="43">
        <v>1000</v>
      </c>
      <c r="E25" s="27">
        <f>Input!$H$26</f>
        <v>3982.3</v>
      </c>
      <c r="F25" s="27">
        <f>Input!$V$26</f>
        <v>5000</v>
      </c>
      <c r="G25" s="50">
        <f t="shared" si="0"/>
        <v>1017.6999999999998</v>
      </c>
      <c r="H25" s="28">
        <f t="shared" si="1"/>
        <v>0.25600000000000001</v>
      </c>
      <c r="I25" s="30"/>
      <c r="J25" s="27">
        <f>Input!$I$26</f>
        <v>0</v>
      </c>
      <c r="K25" s="27">
        <f>Input!$W$26</f>
        <v>0</v>
      </c>
      <c r="L25" s="27">
        <f t="shared" si="2"/>
        <v>0</v>
      </c>
      <c r="M25" s="28">
        <f t="shared" si="3"/>
        <v>0</v>
      </c>
      <c r="N25" s="30"/>
      <c r="O25" s="27">
        <f>ROUND((D25*Input!$C$26),2)+ROUND((D25*Input!$K$26),2)+ROUND((D25*Input!$N$26),2)</f>
        <v>780.4</v>
      </c>
      <c r="P25" s="27">
        <f>ROUND((D25*Input!$Q$26),2)+ROUND((D25*Input!$AA$26),2)</f>
        <v>852.69999999999993</v>
      </c>
      <c r="Q25" s="27">
        <f t="shared" si="4"/>
        <v>72.299999999999955</v>
      </c>
      <c r="R25" s="28">
        <f t="shared" si="5"/>
        <v>9.2999999999999999E-2</v>
      </c>
      <c r="S25" s="27">
        <f t="shared" si="6"/>
        <v>4762.7</v>
      </c>
      <c r="T25" s="27">
        <f t="shared" si="7"/>
        <v>5852.7</v>
      </c>
      <c r="U25" s="28">
        <f t="shared" si="8"/>
        <v>0.22900000000000001</v>
      </c>
    </row>
    <row r="26" spans="1:21" x14ac:dyDescent="0.35">
      <c r="A26" s="59">
        <v>6</v>
      </c>
      <c r="D26" s="43">
        <v>3000</v>
      </c>
      <c r="E26" s="27">
        <f>Input!$H$26</f>
        <v>3982.3</v>
      </c>
      <c r="F26" s="27">
        <f>Input!$V$26</f>
        <v>5000</v>
      </c>
      <c r="G26" s="50">
        <f t="shared" si="0"/>
        <v>1017.6999999999998</v>
      </c>
      <c r="H26" s="28">
        <f t="shared" si="1"/>
        <v>0.25600000000000001</v>
      </c>
      <c r="I26" s="30"/>
      <c r="J26" s="27">
        <f>Input!$I$26</f>
        <v>0</v>
      </c>
      <c r="K26" s="27">
        <f>Input!$W$26</f>
        <v>0</v>
      </c>
      <c r="L26" s="27">
        <f t="shared" si="2"/>
        <v>0</v>
      </c>
      <c r="M26" s="28">
        <f t="shared" si="3"/>
        <v>0</v>
      </c>
      <c r="N26" s="30"/>
      <c r="O26" s="27">
        <f>ROUND((D26*Input!$C$26),2)+ROUND((D26*Input!$K$26),2)+ROUND((D26*Input!$N$26),2)</f>
        <v>2341.1999999999998</v>
      </c>
      <c r="P26" s="27">
        <f>ROUND((D26*Input!$Q$26),2)+ROUND((D26*Input!$AA$26),2)</f>
        <v>2558.1</v>
      </c>
      <c r="Q26" s="27">
        <f t="shared" si="4"/>
        <v>216.90000000000009</v>
      </c>
      <c r="R26" s="28">
        <f t="shared" si="5"/>
        <v>9.2999999999999999E-2</v>
      </c>
      <c r="S26" s="27">
        <f t="shared" si="6"/>
        <v>6323.5</v>
      </c>
      <c r="T26" s="27">
        <f t="shared" si="7"/>
        <v>7558.1</v>
      </c>
      <c r="U26" s="28">
        <f t="shared" si="8"/>
        <v>0.19500000000000001</v>
      </c>
    </row>
    <row r="27" spans="1:21" x14ac:dyDescent="0.35">
      <c r="A27" s="59">
        <v>7</v>
      </c>
      <c r="D27" s="43">
        <v>4000</v>
      </c>
      <c r="E27" s="27">
        <f>Input!$H$26</f>
        <v>3982.3</v>
      </c>
      <c r="F27" s="27">
        <f>Input!$V$26</f>
        <v>5000</v>
      </c>
      <c r="G27" s="50">
        <f>F27-E27</f>
        <v>1017.6999999999998</v>
      </c>
      <c r="H27" s="28">
        <f t="shared" si="1"/>
        <v>0.25600000000000001</v>
      </c>
      <c r="I27" s="30"/>
      <c r="J27" s="27">
        <f>Input!$I$26</f>
        <v>0</v>
      </c>
      <c r="K27" s="27">
        <f>Input!$W$26</f>
        <v>0</v>
      </c>
      <c r="L27" s="27">
        <f t="shared" si="2"/>
        <v>0</v>
      </c>
      <c r="M27" s="28">
        <f t="shared" si="3"/>
        <v>0</v>
      </c>
      <c r="N27" s="30"/>
      <c r="O27" s="27">
        <f>ROUND((D27*Input!$C$26),2)+ROUND((D27*Input!$K$26),2)+ROUND((D27*Input!$N$26),2)</f>
        <v>3121.6</v>
      </c>
      <c r="P27" s="27">
        <f>ROUND((D27*Input!$Q$26),2)+ROUND((D27*Input!$AA$26),2)</f>
        <v>3410.7999999999997</v>
      </c>
      <c r="Q27" s="27">
        <f>P27-O27</f>
        <v>289.19999999999982</v>
      </c>
      <c r="R27" s="28">
        <f t="shared" si="5"/>
        <v>9.2999999999999999E-2</v>
      </c>
      <c r="S27" s="27">
        <f t="shared" si="6"/>
        <v>7103.9</v>
      </c>
      <c r="T27" s="27">
        <f t="shared" si="7"/>
        <v>8410.7999999999993</v>
      </c>
      <c r="U27" s="28">
        <f t="shared" si="8"/>
        <v>0.184</v>
      </c>
    </row>
    <row r="28" spans="1:21" x14ac:dyDescent="0.35">
      <c r="A28" s="59">
        <v>8</v>
      </c>
      <c r="D28" s="43">
        <v>5000</v>
      </c>
      <c r="E28" s="27">
        <f>Input!$H$26</f>
        <v>3982.3</v>
      </c>
      <c r="F28" s="27">
        <f>Input!$V$26</f>
        <v>5000</v>
      </c>
      <c r="G28" s="50">
        <f t="shared" si="0"/>
        <v>1017.6999999999998</v>
      </c>
      <c r="H28" s="28">
        <f t="shared" si="1"/>
        <v>0.25600000000000001</v>
      </c>
      <c r="I28" s="30"/>
      <c r="J28" s="27">
        <f>Input!$I$26</f>
        <v>0</v>
      </c>
      <c r="K28" s="27">
        <f>Input!$W$26</f>
        <v>0</v>
      </c>
      <c r="L28" s="27">
        <f t="shared" si="2"/>
        <v>0</v>
      </c>
      <c r="M28" s="28">
        <f t="shared" si="3"/>
        <v>0</v>
      </c>
      <c r="N28" s="30"/>
      <c r="O28" s="27">
        <f>ROUND((D28*Input!$C$26),2)+ROUND((D28*Input!$K$26),2)+ROUND((D28*Input!$N$26),2)</f>
        <v>3902</v>
      </c>
      <c r="P28" s="27">
        <f>ROUND((D28*Input!$Q$26),2)+ROUND((D28*Input!$AA$26),2)</f>
        <v>4263.5</v>
      </c>
      <c r="Q28" s="27">
        <f t="shared" si="4"/>
        <v>361.5</v>
      </c>
      <c r="R28" s="28">
        <f t="shared" si="5"/>
        <v>9.2999999999999999E-2</v>
      </c>
      <c r="S28" s="27">
        <f t="shared" si="6"/>
        <v>7884.3</v>
      </c>
      <c r="T28" s="27">
        <f t="shared" si="7"/>
        <v>9263.5</v>
      </c>
      <c r="U28" s="28">
        <f t="shared" si="8"/>
        <v>0.17499999999999999</v>
      </c>
    </row>
    <row r="29" spans="1:21" x14ac:dyDescent="0.35">
      <c r="A29" s="59">
        <v>9</v>
      </c>
      <c r="B29" s="59"/>
      <c r="D29" s="43">
        <v>10000</v>
      </c>
      <c r="E29" s="27">
        <f>Input!$H$26</f>
        <v>3982.3</v>
      </c>
      <c r="F29" s="27">
        <f>Input!$V$26</f>
        <v>5000</v>
      </c>
      <c r="G29" s="50">
        <f t="shared" si="0"/>
        <v>1017.6999999999998</v>
      </c>
      <c r="H29" s="28">
        <f t="shared" si="1"/>
        <v>0.25600000000000001</v>
      </c>
      <c r="I29" s="30"/>
      <c r="J29" s="27">
        <f>Input!$I$26</f>
        <v>0</v>
      </c>
      <c r="K29" s="27">
        <f>Input!$W$26</f>
        <v>0</v>
      </c>
      <c r="L29" s="27">
        <f t="shared" si="2"/>
        <v>0</v>
      </c>
      <c r="M29" s="28">
        <f t="shared" si="3"/>
        <v>0</v>
      </c>
      <c r="N29" s="30"/>
      <c r="O29" s="27">
        <f>ROUND((D29*Input!$C$26),2)+ROUND((D29*Input!$K$26),2)+ROUND((D29*Input!$N$26),2)</f>
        <v>7804</v>
      </c>
      <c r="P29" s="27">
        <f>ROUND((D29*Input!$Q$26),2)+ROUND((D29*Input!$AA$26),2)</f>
        <v>8527</v>
      </c>
      <c r="Q29" s="27">
        <f t="shared" si="4"/>
        <v>723</v>
      </c>
      <c r="R29" s="28">
        <f t="shared" si="5"/>
        <v>9.2999999999999999E-2</v>
      </c>
      <c r="S29" s="27">
        <f t="shared" si="6"/>
        <v>11786.3</v>
      </c>
      <c r="T29" s="27">
        <f t="shared" si="7"/>
        <v>13527</v>
      </c>
      <c r="U29" s="28">
        <f t="shared" si="8"/>
        <v>0.14799999999999999</v>
      </c>
    </row>
    <row r="30" spans="1:21" x14ac:dyDescent="0.35">
      <c r="A30" s="59">
        <v>10</v>
      </c>
      <c r="B30" s="59"/>
      <c r="D30" s="43">
        <v>15000</v>
      </c>
      <c r="E30" s="27">
        <f>Input!$H$26</f>
        <v>3982.3</v>
      </c>
      <c r="F30" s="27">
        <f>Input!$V$26</f>
        <v>5000</v>
      </c>
      <c r="G30" s="50">
        <f t="shared" si="0"/>
        <v>1017.6999999999998</v>
      </c>
      <c r="H30" s="28">
        <f t="shared" si="1"/>
        <v>0.25600000000000001</v>
      </c>
      <c r="I30" s="30"/>
      <c r="J30" s="27">
        <f>Input!$I$26</f>
        <v>0</v>
      </c>
      <c r="K30" s="27">
        <f>Input!$W$26</f>
        <v>0</v>
      </c>
      <c r="L30" s="27">
        <f t="shared" si="2"/>
        <v>0</v>
      </c>
      <c r="M30" s="28">
        <f t="shared" si="3"/>
        <v>0</v>
      </c>
      <c r="N30" s="30"/>
      <c r="O30" s="27">
        <f>ROUND((D30*Input!$C$26),2)+ROUND((D30*Input!$K$26),2)+ROUND((D30*Input!$N$26),2)</f>
        <v>11706</v>
      </c>
      <c r="P30" s="27">
        <f>ROUND((D30*Input!$Q$26),2)+ROUND((D30*Input!$AA$26),2)</f>
        <v>12790.5</v>
      </c>
      <c r="Q30" s="27">
        <f t="shared" si="4"/>
        <v>1084.5</v>
      </c>
      <c r="R30" s="28">
        <f t="shared" si="5"/>
        <v>9.2999999999999999E-2</v>
      </c>
      <c r="S30" s="27">
        <f t="shared" si="6"/>
        <v>15688.3</v>
      </c>
      <c r="T30" s="27">
        <f t="shared" si="7"/>
        <v>17790.5</v>
      </c>
      <c r="U30" s="28">
        <f t="shared" si="8"/>
        <v>0.13400000000000001</v>
      </c>
    </row>
    <row r="31" spans="1:21" x14ac:dyDescent="0.35">
      <c r="A31" s="59">
        <v>11</v>
      </c>
      <c r="D31" s="43">
        <v>20000</v>
      </c>
      <c r="E31" s="27">
        <f>Input!$H$26</f>
        <v>3982.3</v>
      </c>
      <c r="F31" s="27">
        <f>Input!$V$26</f>
        <v>5000</v>
      </c>
      <c r="G31" s="50">
        <f t="shared" si="0"/>
        <v>1017.6999999999998</v>
      </c>
      <c r="H31" s="28">
        <f t="shared" si="1"/>
        <v>0.25600000000000001</v>
      </c>
      <c r="I31" s="30"/>
      <c r="J31" s="27">
        <f>Input!$I$26</f>
        <v>0</v>
      </c>
      <c r="K31" s="27">
        <f>Input!$W$26</f>
        <v>0</v>
      </c>
      <c r="L31" s="27">
        <f t="shared" si="2"/>
        <v>0</v>
      </c>
      <c r="M31" s="28">
        <f t="shared" si="3"/>
        <v>0</v>
      </c>
      <c r="N31" s="30"/>
      <c r="O31" s="27">
        <f>ROUND((D31*Input!$C$26),2)+ROUND((D31*Input!$K$26),2)+ROUND((D31*Input!$N$26),2)</f>
        <v>15608</v>
      </c>
      <c r="P31" s="27">
        <f>ROUND((D31*Input!$Q$26),2)+ROUND((D31*Input!$AA$26),2)</f>
        <v>17054</v>
      </c>
      <c r="Q31" s="27">
        <f t="shared" si="4"/>
        <v>1446</v>
      </c>
      <c r="R31" s="28">
        <f t="shared" si="5"/>
        <v>9.2999999999999999E-2</v>
      </c>
      <c r="S31" s="27">
        <f t="shared" si="6"/>
        <v>19590.3</v>
      </c>
      <c r="T31" s="27">
        <f t="shared" si="7"/>
        <v>22054</v>
      </c>
      <c r="U31" s="28">
        <f t="shared" si="8"/>
        <v>0.126</v>
      </c>
    </row>
    <row r="32" spans="1:21" x14ac:dyDescent="0.35">
      <c r="A32" s="59">
        <v>12</v>
      </c>
      <c r="D32" s="43">
        <v>25000</v>
      </c>
      <c r="E32" s="27">
        <f>Input!$H$26</f>
        <v>3982.3</v>
      </c>
      <c r="F32" s="27">
        <f>Input!$V$26</f>
        <v>5000</v>
      </c>
      <c r="G32" s="50">
        <f t="shared" si="0"/>
        <v>1017.6999999999998</v>
      </c>
      <c r="H32" s="28">
        <f t="shared" si="1"/>
        <v>0.25600000000000001</v>
      </c>
      <c r="I32" s="30"/>
      <c r="J32" s="27">
        <f>Input!$I$26</f>
        <v>0</v>
      </c>
      <c r="K32" s="27">
        <f>Input!$W$26</f>
        <v>0</v>
      </c>
      <c r="L32" s="27">
        <f t="shared" si="2"/>
        <v>0</v>
      </c>
      <c r="M32" s="28">
        <f t="shared" si="3"/>
        <v>0</v>
      </c>
      <c r="N32" s="30"/>
      <c r="O32" s="27">
        <f>ROUND((D32*Input!$C$26),2)+ROUND((D32*Input!$K$26),2)+ROUND((D32*Input!$N$26),2)</f>
        <v>19510</v>
      </c>
      <c r="P32" s="27">
        <f>ROUND((D32*Input!$Q$26),2)+ROUND((D32*Input!$AA$26),2)</f>
        <v>21317.5</v>
      </c>
      <c r="Q32" s="27">
        <f t="shared" si="4"/>
        <v>1807.5</v>
      </c>
      <c r="R32" s="28">
        <f t="shared" si="5"/>
        <v>9.2999999999999999E-2</v>
      </c>
      <c r="S32" s="27">
        <f t="shared" si="6"/>
        <v>23492.3</v>
      </c>
      <c r="T32" s="27">
        <f t="shared" si="7"/>
        <v>26317.5</v>
      </c>
      <c r="U32" s="28">
        <f t="shared" si="8"/>
        <v>0.12</v>
      </c>
    </row>
    <row r="33" spans="1:21" x14ac:dyDescent="0.35">
      <c r="A33" s="59">
        <v>13</v>
      </c>
      <c r="D33" s="43">
        <v>30000</v>
      </c>
      <c r="E33" s="27">
        <f>Input!$H$26</f>
        <v>3982.3</v>
      </c>
      <c r="F33" s="27">
        <f>Input!$V$26</f>
        <v>5000</v>
      </c>
      <c r="G33" s="50">
        <f t="shared" si="0"/>
        <v>1017.6999999999998</v>
      </c>
      <c r="H33" s="28">
        <f t="shared" si="1"/>
        <v>0.25600000000000001</v>
      </c>
      <c r="I33" s="30"/>
      <c r="J33" s="27">
        <f>Input!$I$26</f>
        <v>0</v>
      </c>
      <c r="K33" s="27">
        <f>Input!$W$26</f>
        <v>0</v>
      </c>
      <c r="L33" s="27">
        <f t="shared" si="2"/>
        <v>0</v>
      </c>
      <c r="M33" s="28">
        <f t="shared" si="3"/>
        <v>0</v>
      </c>
      <c r="N33" s="30"/>
      <c r="O33" s="27">
        <f>ROUND((D33*Input!$C$26),2)+ROUND((D33*Input!$K$26),2)+ROUND((D33*Input!$N$26),2)</f>
        <v>23412</v>
      </c>
      <c r="P33" s="27">
        <f>ROUND((D33*Input!$Q$26),2)+ROUND((D33*Input!$AA$26),2)</f>
        <v>25581</v>
      </c>
      <c r="Q33" s="27">
        <f t="shared" si="4"/>
        <v>2169</v>
      </c>
      <c r="R33" s="28">
        <f t="shared" si="5"/>
        <v>9.2999999999999999E-2</v>
      </c>
      <c r="S33" s="27">
        <f t="shared" si="6"/>
        <v>27394.3</v>
      </c>
      <c r="T33" s="27">
        <f t="shared" si="7"/>
        <v>30581</v>
      </c>
      <c r="U33" s="28">
        <f t="shared" si="8"/>
        <v>0.11600000000000001</v>
      </c>
    </row>
    <row r="34" spans="1:21" x14ac:dyDescent="0.35">
      <c r="A34" s="59">
        <v>14</v>
      </c>
      <c r="D34" s="43">
        <v>35000</v>
      </c>
      <c r="E34" s="27">
        <f>Input!$H$26</f>
        <v>3982.3</v>
      </c>
      <c r="F34" s="27">
        <f>Input!$V$26</f>
        <v>5000</v>
      </c>
      <c r="G34" s="50">
        <f t="shared" si="0"/>
        <v>1017.6999999999998</v>
      </c>
      <c r="H34" s="28">
        <f t="shared" si="1"/>
        <v>0.25600000000000001</v>
      </c>
      <c r="I34" s="30"/>
      <c r="J34" s="27">
        <f>Input!$I$26</f>
        <v>0</v>
      </c>
      <c r="K34" s="27">
        <f>Input!$W$26</f>
        <v>0</v>
      </c>
      <c r="L34" s="27">
        <f t="shared" si="2"/>
        <v>0</v>
      </c>
      <c r="M34" s="28">
        <f t="shared" si="3"/>
        <v>0</v>
      </c>
      <c r="N34" s="30"/>
      <c r="O34" s="27">
        <f>ROUND((Input!$C$26*Input!$AD$26),2)+ROUND((Input!$D$26*(D34-Input!$AD$26)),2)+ROUND((D34*Input!$K$26),2)+ROUND((D34*Input!$N$26),2)</f>
        <v>25956.5</v>
      </c>
      <c r="P34" s="27">
        <f>ROUND((Input!$Q$26*Input!$AK$26),2)+ROUND((Input!$R$26*(D34-Input!$AK$26)),2)+ROUND((D34*Input!$AA$26),2)</f>
        <v>28236.5</v>
      </c>
      <c r="Q34" s="27">
        <f t="shared" si="4"/>
        <v>2280</v>
      </c>
      <c r="R34" s="28">
        <f t="shared" si="5"/>
        <v>8.7999999999999995E-2</v>
      </c>
      <c r="S34" s="27">
        <f t="shared" si="6"/>
        <v>29938.799999999999</v>
      </c>
      <c r="T34" s="27">
        <f t="shared" si="7"/>
        <v>33236.5</v>
      </c>
      <c r="U34" s="28">
        <f t="shared" si="8"/>
        <v>0.11</v>
      </c>
    </row>
    <row r="35" spans="1:21" x14ac:dyDescent="0.35">
      <c r="A35" s="59">
        <v>15</v>
      </c>
      <c r="D35" s="43">
        <v>40000</v>
      </c>
      <c r="E35" s="27">
        <f>Input!$H$26</f>
        <v>3982.3</v>
      </c>
      <c r="F35" s="27">
        <f>Input!$V$26</f>
        <v>5000</v>
      </c>
      <c r="G35" s="50">
        <f t="shared" si="0"/>
        <v>1017.6999999999998</v>
      </c>
      <c r="H35" s="28">
        <f t="shared" si="1"/>
        <v>0.25600000000000001</v>
      </c>
      <c r="I35" s="30"/>
      <c r="J35" s="27">
        <f>Input!$I$26</f>
        <v>0</v>
      </c>
      <c r="K35" s="27">
        <f>Input!$W$26</f>
        <v>0</v>
      </c>
      <c r="L35" s="27">
        <f t="shared" si="2"/>
        <v>0</v>
      </c>
      <c r="M35" s="28">
        <f t="shared" si="3"/>
        <v>0</v>
      </c>
      <c r="N35" s="30"/>
      <c r="O35" s="27">
        <f>ROUND((Input!$C$26*Input!$AD$26),2)+ROUND((Input!$D$26*(D35-Input!$AD$26)),2)+ROUND((D35*Input!$K$26),2)+ROUND((D35*Input!$N$26),2)</f>
        <v>28501</v>
      </c>
      <c r="P35" s="27">
        <f>ROUND((Input!$Q$26*Input!$AK$26),2)+ROUND((Input!$R$26*(D35-Input!$AK$26)),2)+ROUND((D35*Input!$AA$26),2)</f>
        <v>30892</v>
      </c>
      <c r="Q35" s="27">
        <f t="shared" si="4"/>
        <v>2391</v>
      </c>
      <c r="R35" s="28">
        <f t="shared" si="5"/>
        <v>8.4000000000000005E-2</v>
      </c>
      <c r="S35" s="27">
        <f t="shared" si="6"/>
        <v>32483.3</v>
      </c>
      <c r="T35" s="27">
        <f t="shared" si="7"/>
        <v>35892</v>
      </c>
      <c r="U35" s="28">
        <f t="shared" si="8"/>
        <v>0.105</v>
      </c>
    </row>
    <row r="36" spans="1:21" x14ac:dyDescent="0.35">
      <c r="A36" s="59">
        <v>16</v>
      </c>
      <c r="D36" s="43">
        <v>45000</v>
      </c>
      <c r="E36" s="27">
        <f>Input!$H$26</f>
        <v>3982.3</v>
      </c>
      <c r="F36" s="27">
        <f>Input!$V$26</f>
        <v>5000</v>
      </c>
      <c r="G36" s="50">
        <f>F36-E36</f>
        <v>1017.6999999999998</v>
      </c>
      <c r="H36" s="28">
        <f t="shared" si="1"/>
        <v>0.25600000000000001</v>
      </c>
      <c r="I36" s="30"/>
      <c r="J36" s="27">
        <f>Input!$I$26</f>
        <v>0</v>
      </c>
      <c r="K36" s="27">
        <f>Input!$W$26</f>
        <v>0</v>
      </c>
      <c r="L36" s="27">
        <f t="shared" si="2"/>
        <v>0</v>
      </c>
      <c r="M36" s="28">
        <f t="shared" si="3"/>
        <v>0</v>
      </c>
      <c r="N36" s="30"/>
      <c r="O36" s="27">
        <f>ROUND((Input!$C$26*Input!$AD$26),2)+ROUND((Input!$D$26*(D36-Input!$AD$26)),2)+ROUND((D36*Input!$K$26),2)+ROUND((D36*Input!$N$26),2)</f>
        <v>31045.5</v>
      </c>
      <c r="P36" s="27">
        <f>ROUND((Input!$Q$26*Input!$AK$26),2)+ROUND((Input!$R$26*(D36-Input!$AK$26)),2)+ROUND((D36*Input!$AA$26),2)</f>
        <v>33547.5</v>
      </c>
      <c r="Q36" s="27">
        <f>P36-O36</f>
        <v>2502</v>
      </c>
      <c r="R36" s="28">
        <f t="shared" si="5"/>
        <v>8.1000000000000003E-2</v>
      </c>
      <c r="S36" s="27">
        <f t="shared" si="6"/>
        <v>35027.800000000003</v>
      </c>
      <c r="T36" s="27">
        <f t="shared" si="7"/>
        <v>38547.5</v>
      </c>
      <c r="U36" s="28">
        <f t="shared" si="8"/>
        <v>0.1</v>
      </c>
    </row>
    <row r="37" spans="1:21" x14ac:dyDescent="0.35">
      <c r="A37" s="59">
        <v>17</v>
      </c>
      <c r="D37" s="43">
        <v>50000</v>
      </c>
      <c r="E37" s="27">
        <f>Input!$H$26</f>
        <v>3982.3</v>
      </c>
      <c r="F37" s="27">
        <f>Input!$V$26</f>
        <v>5000</v>
      </c>
      <c r="G37" s="50">
        <f>F37-E37</f>
        <v>1017.6999999999998</v>
      </c>
      <c r="H37" s="28">
        <f t="shared" si="1"/>
        <v>0.25600000000000001</v>
      </c>
      <c r="I37" s="30"/>
      <c r="J37" s="27">
        <f>Input!$I$26</f>
        <v>0</v>
      </c>
      <c r="K37" s="27">
        <f>Input!$W$26</f>
        <v>0</v>
      </c>
      <c r="L37" s="27">
        <f t="shared" si="2"/>
        <v>0</v>
      </c>
      <c r="M37" s="28">
        <f t="shared" si="3"/>
        <v>0</v>
      </c>
      <c r="N37" s="30"/>
      <c r="O37" s="27">
        <f>ROUND((Input!$C$26*Input!$AD$26),2)+ROUND((Input!$D$26*(D37-Input!$AD$26)),2)+ROUND((D37*Input!$K$26),2)+ROUND((D37*Input!$N$26),2)</f>
        <v>33590</v>
      </c>
      <c r="P37" s="27">
        <f>ROUND((Input!$Q$26*Input!$AK$26),2)+ROUND((Input!$R$26*(D37-Input!$AK$26)),2)+ROUND((D37*Input!$AA$26),2)</f>
        <v>36203</v>
      </c>
      <c r="Q37" s="27">
        <f>P37-O37</f>
        <v>2613</v>
      </c>
      <c r="R37" s="28">
        <f t="shared" si="5"/>
        <v>7.8E-2</v>
      </c>
      <c r="S37" s="27">
        <f t="shared" si="6"/>
        <v>37572.300000000003</v>
      </c>
      <c r="T37" s="27">
        <f t="shared" si="7"/>
        <v>41203</v>
      </c>
      <c r="U37" s="28">
        <f t="shared" si="8"/>
        <v>9.7000000000000003E-2</v>
      </c>
    </row>
    <row r="38" spans="1:21" x14ac:dyDescent="0.35">
      <c r="A38" s="59">
        <v>18</v>
      </c>
      <c r="D38" s="43">
        <v>55000</v>
      </c>
      <c r="E38" s="27">
        <f>Input!$H$26</f>
        <v>3982.3</v>
      </c>
      <c r="F38" s="27">
        <f>Input!$V$26</f>
        <v>5000</v>
      </c>
      <c r="G38" s="50">
        <f>F38-E38</f>
        <v>1017.6999999999998</v>
      </c>
      <c r="H38" s="28">
        <f t="shared" si="1"/>
        <v>0.25600000000000001</v>
      </c>
      <c r="I38" s="30"/>
      <c r="J38" s="27">
        <f>Input!$I$26</f>
        <v>0</v>
      </c>
      <c r="K38" s="27">
        <f>Input!$W$26</f>
        <v>0</v>
      </c>
      <c r="L38" s="27">
        <f t="shared" si="2"/>
        <v>0</v>
      </c>
      <c r="M38" s="28">
        <f t="shared" si="3"/>
        <v>0</v>
      </c>
      <c r="N38" s="30"/>
      <c r="O38" s="27">
        <f>ROUND((Input!$C$26*Input!$AD$26),2)+ROUND((Input!$D$26*(D38-Input!$AD$26)),2)+ROUND((D38*Input!$K$26),2)+ROUND((D38*Input!$N$26),2)</f>
        <v>36134.5</v>
      </c>
      <c r="P38" s="27">
        <f>ROUND((Input!$Q$26*Input!$AK$26),2)+ROUND((Input!$R$26*(D38-Input!$AK$26)),2)+ROUND((D38*Input!$AA$26),2)</f>
        <v>38858.5</v>
      </c>
      <c r="Q38" s="27">
        <f>P38-O38</f>
        <v>2724</v>
      </c>
      <c r="R38" s="28">
        <f t="shared" si="5"/>
        <v>7.4999999999999997E-2</v>
      </c>
      <c r="S38" s="27">
        <f t="shared" si="6"/>
        <v>40116.800000000003</v>
      </c>
      <c r="T38" s="27">
        <f t="shared" si="7"/>
        <v>43858.5</v>
      </c>
      <c r="U38" s="28">
        <f t="shared" si="8"/>
        <v>9.2999999999999999E-2</v>
      </c>
    </row>
    <row r="39" spans="1:21" x14ac:dyDescent="0.35">
      <c r="A39" s="59">
        <v>19</v>
      </c>
      <c r="D39" s="43">
        <v>60000</v>
      </c>
      <c r="E39" s="27">
        <f>Input!$H$26</f>
        <v>3982.3</v>
      </c>
      <c r="F39" s="27">
        <f>Input!$V$26</f>
        <v>5000</v>
      </c>
      <c r="G39" s="50">
        <f>F39-E39</f>
        <v>1017.6999999999998</v>
      </c>
      <c r="H39" s="28">
        <f t="shared" si="1"/>
        <v>0.25600000000000001</v>
      </c>
      <c r="I39" s="30"/>
      <c r="J39" s="27">
        <f>Input!$I$26</f>
        <v>0</v>
      </c>
      <c r="K39" s="27">
        <f>Input!$W$26</f>
        <v>0</v>
      </c>
      <c r="L39" s="27">
        <f t="shared" si="2"/>
        <v>0</v>
      </c>
      <c r="M39" s="28">
        <f t="shared" si="3"/>
        <v>0</v>
      </c>
      <c r="N39" s="30"/>
      <c r="O39" s="27">
        <f>ROUND((Input!$C$26*Input!$AD$26),2)+ROUND((Input!$D$26*(D39-Input!$AD$26)),2)+ROUND((D39*Input!$K$26),2)+ROUND((D39*Input!$N$26),2)</f>
        <v>38679</v>
      </c>
      <c r="P39" s="27">
        <f>ROUND((Input!$Q$26*Input!$AK$26),2)+ROUND((Input!$R$26*(D39-Input!$AK$26)),2)+ROUND((D39*Input!$AA$26),2)</f>
        <v>41514</v>
      </c>
      <c r="Q39" s="27">
        <f>P39-O39</f>
        <v>2835</v>
      </c>
      <c r="R39" s="28">
        <f t="shared" si="5"/>
        <v>7.2999999999999995E-2</v>
      </c>
      <c r="S39" s="27">
        <f t="shared" si="6"/>
        <v>42661.3</v>
      </c>
      <c r="T39" s="27">
        <f t="shared" si="7"/>
        <v>46514</v>
      </c>
      <c r="U39" s="28">
        <f t="shared" si="8"/>
        <v>0.09</v>
      </c>
    </row>
    <row r="40" spans="1:21" x14ac:dyDescent="0.35">
      <c r="A40" s="59"/>
    </row>
    <row r="41" spans="1:21" x14ac:dyDescent="0.35">
      <c r="A41" s="59"/>
      <c r="B41" s="8" t="s">
        <v>98</v>
      </c>
      <c r="D41" s="46">
        <f>ROUND(Input!AT26,0)</f>
        <v>0</v>
      </c>
    </row>
    <row r="42" spans="1:21" x14ac:dyDescent="0.35">
      <c r="A42" s="59"/>
      <c r="C42" s="8" t="s">
        <v>144</v>
      </c>
    </row>
  </sheetData>
  <mergeCells count="8">
    <mergeCell ref="A5:U5"/>
    <mergeCell ref="E13:H13"/>
    <mergeCell ref="O13:R13"/>
    <mergeCell ref="A1:U1"/>
    <mergeCell ref="A2:U2"/>
    <mergeCell ref="A3:U3"/>
    <mergeCell ref="A4:U4"/>
    <mergeCell ref="J13:M13"/>
  </mergeCells>
  <phoneticPr fontId="0" type="noConversion"/>
  <printOptions horizontalCentered="1"/>
  <pageMargins left="0" right="0" top="0.75" bottom="0.75" header="0.5" footer="0.5"/>
  <pageSetup scale="7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>
    <pageSetUpPr fitToPage="1"/>
  </sheetPr>
  <dimension ref="A1:AE42"/>
  <sheetViews>
    <sheetView workbookViewId="0">
      <selection activeCell="S42" sqref="S42"/>
    </sheetView>
  </sheetViews>
  <sheetFormatPr defaultColWidth="9.36328125" defaultRowHeight="12.9" x14ac:dyDescent="0.35"/>
  <cols>
    <col min="1" max="1" width="4.453125" style="8" customWidth="1"/>
    <col min="2" max="2" width="10.81640625" style="8" customWidth="1"/>
    <col min="3" max="3" width="11.6328125" style="8" bestFit="1" customWidth="1"/>
    <col min="4" max="4" width="13.1796875" style="8" bestFit="1" customWidth="1"/>
    <col min="5" max="5" width="11.453125" style="8" bestFit="1" customWidth="1"/>
    <col min="6" max="6" width="10.81640625" style="8" bestFit="1" customWidth="1"/>
    <col min="7" max="7" width="12.1796875" style="59" bestFit="1" customWidth="1"/>
    <col min="8" max="8" width="12.1796875" style="8" bestFit="1" customWidth="1"/>
    <col min="9" max="9" width="1.81640625" style="8" customWidth="1"/>
    <col min="10" max="11" width="15.6328125" style="8" bestFit="1" customWidth="1"/>
    <col min="12" max="13" width="12.1796875" style="8" bestFit="1" customWidth="1"/>
    <col min="14" max="14" width="1.81640625" style="8" customWidth="1"/>
    <col min="15" max="16" width="12.81640625" style="8" bestFit="1" customWidth="1"/>
    <col min="17" max="18" width="12.1796875" style="8" bestFit="1" customWidth="1"/>
    <col min="19" max="19" width="13.1796875" style="59" bestFit="1" customWidth="1"/>
    <col min="20" max="20" width="13" style="59" bestFit="1" customWidth="1"/>
    <col min="21" max="21" width="11.1796875" style="59" customWidth="1"/>
    <col min="23" max="23" width="14.81640625" customWidth="1"/>
    <col min="24" max="24" width="10.1796875" customWidth="1"/>
    <col min="25" max="25" width="10.6328125" customWidth="1"/>
    <col min="26" max="27" width="9.36328125" customWidth="1"/>
    <col min="28" max="29" width="10.1796875" customWidth="1"/>
    <col min="30" max="30" width="9.36328125" customWidth="1"/>
    <col min="32" max="16384" width="9.36328125" style="8"/>
  </cols>
  <sheetData>
    <row r="1" spans="1:21" x14ac:dyDescent="0.35">
      <c r="A1" s="73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x14ac:dyDescent="0.35">
      <c r="A2" s="73" t="str">
        <f>Input!$B$1</f>
        <v>CASE NO. 2024-xxxxx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x14ac:dyDescent="0.35">
      <c r="A3" s="73" t="s">
        <v>85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x14ac:dyDescent="0.35">
      <c r="A4" s="73" t="s">
        <v>36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x14ac:dyDescent="0.35">
      <c r="A5" s="73" t="str">
        <f>Input!$B$5</f>
        <v>TWELVE MONTHS ENDING DECEMBER 31, 2025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x14ac:dyDescent="0.35">
      <c r="A6" s="59"/>
      <c r="B6" s="60"/>
      <c r="C6" s="60"/>
      <c r="D6" s="60"/>
      <c r="E6" s="60"/>
      <c r="F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21" x14ac:dyDescent="0.35">
      <c r="A7" s="59"/>
      <c r="B7" s="60"/>
      <c r="C7" s="60"/>
      <c r="D7" s="60"/>
      <c r="E7" s="60"/>
      <c r="F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21" x14ac:dyDescent="0.35">
      <c r="A8" s="8" t="s">
        <v>123</v>
      </c>
      <c r="U8" s="30" t="s">
        <v>37</v>
      </c>
    </row>
    <row r="9" spans="1:21" x14ac:dyDescent="0.35">
      <c r="A9" s="8" t="s">
        <v>124</v>
      </c>
      <c r="U9" s="30" t="s">
        <v>137</v>
      </c>
    </row>
    <row r="10" spans="1:21" x14ac:dyDescent="0.35">
      <c r="A10" s="8" t="s">
        <v>38</v>
      </c>
      <c r="U10" s="30" t="str">
        <f>Input!$B$3</f>
        <v>Witness: R. J. Amen</v>
      </c>
    </row>
    <row r="12" spans="1:21" x14ac:dyDescent="0.35">
      <c r="A12" s="24"/>
      <c r="B12" s="24"/>
      <c r="C12" s="24"/>
      <c r="D12" s="24"/>
      <c r="E12" s="24"/>
      <c r="F12" s="24"/>
      <c r="G12" s="61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61"/>
      <c r="T12" s="61"/>
      <c r="U12" s="61"/>
    </row>
    <row r="13" spans="1:21" x14ac:dyDescent="0.35">
      <c r="E13" s="75" t="s">
        <v>77</v>
      </c>
      <c r="F13" s="75"/>
      <c r="G13" s="75"/>
      <c r="H13" s="75"/>
      <c r="I13" s="25"/>
      <c r="J13" s="75" t="s">
        <v>119</v>
      </c>
      <c r="K13" s="75"/>
      <c r="L13" s="75"/>
      <c r="M13" s="75"/>
      <c r="N13" s="25"/>
      <c r="O13" s="75" t="s">
        <v>78</v>
      </c>
      <c r="P13" s="75"/>
      <c r="Q13" s="75"/>
      <c r="R13" s="75"/>
    </row>
    <row r="14" spans="1:21" x14ac:dyDescent="0.35">
      <c r="E14" s="59" t="s">
        <v>43</v>
      </c>
      <c r="F14" s="59" t="s">
        <v>44</v>
      </c>
      <c r="G14" s="59" t="s">
        <v>75</v>
      </c>
      <c r="H14" s="59" t="s">
        <v>46</v>
      </c>
      <c r="I14" s="59"/>
      <c r="J14" s="59" t="s">
        <v>43</v>
      </c>
      <c r="K14" s="59" t="s">
        <v>44</v>
      </c>
      <c r="L14" s="59" t="s">
        <v>75</v>
      </c>
      <c r="M14" s="59" t="s">
        <v>46</v>
      </c>
      <c r="Q14" s="59" t="s">
        <v>75</v>
      </c>
      <c r="R14" s="59" t="s">
        <v>46</v>
      </c>
      <c r="S14" s="59" t="s">
        <v>39</v>
      </c>
      <c r="T14" s="59" t="s">
        <v>39</v>
      </c>
      <c r="U14" s="59" t="s">
        <v>46</v>
      </c>
    </row>
    <row r="15" spans="1:21" x14ac:dyDescent="0.35">
      <c r="D15" s="59" t="s">
        <v>71</v>
      </c>
      <c r="E15" s="59" t="s">
        <v>71</v>
      </c>
      <c r="F15" s="59" t="s">
        <v>71</v>
      </c>
      <c r="G15" s="59" t="s">
        <v>45</v>
      </c>
      <c r="H15" s="59" t="s">
        <v>45</v>
      </c>
      <c r="I15" s="59"/>
      <c r="J15" s="59" t="s">
        <v>71</v>
      </c>
      <c r="K15" s="59" t="s">
        <v>71</v>
      </c>
      <c r="L15" s="59" t="s">
        <v>45</v>
      </c>
      <c r="M15" s="59" t="s">
        <v>45</v>
      </c>
      <c r="N15" s="59"/>
      <c r="O15" s="59" t="s">
        <v>43</v>
      </c>
      <c r="P15" s="59" t="s">
        <v>44</v>
      </c>
      <c r="Q15" s="59" t="s">
        <v>45</v>
      </c>
      <c r="R15" s="59" t="s">
        <v>45</v>
      </c>
      <c r="S15" s="59" t="s">
        <v>43</v>
      </c>
      <c r="T15" s="59" t="s">
        <v>44</v>
      </c>
      <c r="U15" s="59" t="s">
        <v>45</v>
      </c>
    </row>
    <row r="16" spans="1:21" x14ac:dyDescent="0.35">
      <c r="A16" s="59" t="s">
        <v>40</v>
      </c>
      <c r="B16" s="59" t="s">
        <v>41</v>
      </c>
      <c r="C16" s="59" t="s">
        <v>42</v>
      </c>
      <c r="D16" s="59" t="s">
        <v>72</v>
      </c>
      <c r="E16" s="59" t="s">
        <v>68</v>
      </c>
      <c r="F16" s="59" t="s">
        <v>68</v>
      </c>
      <c r="G16" s="59" t="s">
        <v>76</v>
      </c>
      <c r="H16" s="59" t="s">
        <v>76</v>
      </c>
      <c r="I16" s="59"/>
      <c r="J16" s="59" t="s">
        <v>109</v>
      </c>
      <c r="K16" s="59" t="s">
        <v>109</v>
      </c>
      <c r="L16" s="59" t="s">
        <v>76</v>
      </c>
      <c r="M16" s="59" t="s">
        <v>76</v>
      </c>
      <c r="N16" s="59"/>
      <c r="O16" s="59" t="s">
        <v>79</v>
      </c>
      <c r="P16" s="59" t="s">
        <v>79</v>
      </c>
      <c r="Q16" s="59" t="s">
        <v>76</v>
      </c>
      <c r="R16" s="59" t="s">
        <v>76</v>
      </c>
      <c r="S16" s="59" t="s">
        <v>49</v>
      </c>
      <c r="T16" s="59" t="s">
        <v>49</v>
      </c>
      <c r="U16" s="59" t="s">
        <v>76</v>
      </c>
    </row>
    <row r="17" spans="1:21" x14ac:dyDescent="0.35">
      <c r="A17" s="59" t="s">
        <v>47</v>
      </c>
      <c r="B17" s="59" t="s">
        <v>48</v>
      </c>
      <c r="C17" s="59" t="s">
        <v>15</v>
      </c>
      <c r="D17" s="59" t="s">
        <v>73</v>
      </c>
      <c r="E17" s="59" t="s">
        <v>74</v>
      </c>
      <c r="F17" s="59" t="s">
        <v>74</v>
      </c>
      <c r="G17" s="26" t="s">
        <v>50</v>
      </c>
      <c r="H17" s="26" t="s">
        <v>51</v>
      </c>
      <c r="I17" s="26"/>
      <c r="J17" s="59" t="s">
        <v>74</v>
      </c>
      <c r="K17" s="59" t="s">
        <v>74</v>
      </c>
      <c r="L17" s="26" t="s">
        <v>80</v>
      </c>
      <c r="M17" s="26" t="s">
        <v>81</v>
      </c>
      <c r="N17" s="26"/>
      <c r="O17" s="59" t="s">
        <v>74</v>
      </c>
      <c r="P17" s="59" t="s">
        <v>74</v>
      </c>
      <c r="Q17" s="26" t="s">
        <v>114</v>
      </c>
      <c r="R17" s="26" t="s">
        <v>115</v>
      </c>
      <c r="S17" s="26" t="s">
        <v>116</v>
      </c>
      <c r="T17" s="26" t="s">
        <v>117</v>
      </c>
      <c r="U17" s="26" t="s">
        <v>118</v>
      </c>
    </row>
    <row r="18" spans="1:21" x14ac:dyDescent="0.35">
      <c r="D18" s="26" t="s">
        <v>52</v>
      </c>
      <c r="E18" s="26" t="s">
        <v>53</v>
      </c>
      <c r="F18" s="26" t="s">
        <v>53</v>
      </c>
      <c r="G18" s="26" t="s">
        <v>53</v>
      </c>
      <c r="H18" s="26" t="s">
        <v>54</v>
      </c>
      <c r="I18" s="26"/>
      <c r="J18" s="26" t="s">
        <v>53</v>
      </c>
      <c r="K18" s="26" t="s">
        <v>53</v>
      </c>
      <c r="L18" s="26" t="s">
        <v>53</v>
      </c>
      <c r="M18" s="26" t="s">
        <v>54</v>
      </c>
      <c r="N18" s="26"/>
      <c r="O18" s="26" t="s">
        <v>53</v>
      </c>
      <c r="P18" s="26" t="s">
        <v>53</v>
      </c>
      <c r="Q18" s="26" t="s">
        <v>53</v>
      </c>
      <c r="R18" s="26" t="s">
        <v>54</v>
      </c>
      <c r="S18" s="26" t="s">
        <v>53</v>
      </c>
      <c r="T18" s="26" t="s">
        <v>53</v>
      </c>
      <c r="U18" s="26" t="s">
        <v>54</v>
      </c>
    </row>
    <row r="19" spans="1:21" x14ac:dyDescent="0.35">
      <c r="C19" s="26" t="s">
        <v>55</v>
      </c>
      <c r="D19" s="26" t="s">
        <v>56</v>
      </c>
      <c r="E19" s="26" t="s">
        <v>57</v>
      </c>
      <c r="F19" s="26" t="s">
        <v>58</v>
      </c>
      <c r="G19" s="26" t="s">
        <v>59</v>
      </c>
      <c r="H19" s="26" t="s">
        <v>60</v>
      </c>
      <c r="I19" s="26"/>
      <c r="J19" s="26" t="s">
        <v>61</v>
      </c>
      <c r="K19" s="26" t="s">
        <v>62</v>
      </c>
      <c r="L19" s="26" t="s">
        <v>63</v>
      </c>
      <c r="M19" s="26" t="s">
        <v>64</v>
      </c>
      <c r="N19" s="26"/>
      <c r="O19" s="26" t="s">
        <v>82</v>
      </c>
      <c r="P19" s="26" t="s">
        <v>83</v>
      </c>
      <c r="Q19" s="26" t="s">
        <v>84</v>
      </c>
      <c r="R19" s="26" t="s">
        <v>110</v>
      </c>
      <c r="S19" s="26" t="s">
        <v>111</v>
      </c>
      <c r="T19" s="26" t="s">
        <v>112</v>
      </c>
      <c r="U19" s="26" t="s">
        <v>113</v>
      </c>
    </row>
    <row r="20" spans="1:21" x14ac:dyDescent="0.35">
      <c r="D20" s="59"/>
      <c r="E20" s="59"/>
      <c r="F20" s="59"/>
      <c r="H20" s="59"/>
      <c r="I20" s="59"/>
      <c r="J20" s="59"/>
      <c r="K20" s="59"/>
      <c r="L20" s="59"/>
      <c r="M20" s="59"/>
      <c r="N20" s="59"/>
      <c r="O20" s="59"/>
      <c r="P20" s="26"/>
      <c r="Q20" s="26"/>
      <c r="R20" s="26"/>
    </row>
    <row r="21" spans="1:21" x14ac:dyDescent="0.35">
      <c r="A21" s="59">
        <v>1</v>
      </c>
      <c r="B21" s="59" t="s">
        <v>34</v>
      </c>
      <c r="C21" s="59" t="s">
        <v>65</v>
      </c>
      <c r="D21" s="43">
        <f>+D40</f>
        <v>0</v>
      </c>
      <c r="E21" s="27">
        <f>Input!$H$27</f>
        <v>0</v>
      </c>
      <c r="F21" s="27">
        <f>Input!$V$27</f>
        <v>0</v>
      </c>
      <c r="G21" s="50">
        <f>F21-E21</f>
        <v>0</v>
      </c>
      <c r="H21" s="28">
        <f>IF(E21=0,0,ROUND(G21/E21,3))</f>
        <v>0</v>
      </c>
      <c r="I21" s="28"/>
      <c r="J21" s="27">
        <f>Input!$I$27</f>
        <v>0</v>
      </c>
      <c r="K21" s="27">
        <f>Input!$W$27</f>
        <v>0</v>
      </c>
      <c r="L21" s="27">
        <f>K21-J21</f>
        <v>0</v>
      </c>
      <c r="M21" s="28">
        <f>IF(J21=0,0,ROUND(L21/J21,3))</f>
        <v>0</v>
      </c>
      <c r="N21" s="29"/>
      <c r="O21" s="27">
        <f>ROUND((D21*Input!$C$27),2)</f>
        <v>0</v>
      </c>
      <c r="P21" s="27">
        <f>ROUND((D21*Input!$Q$27),2)</f>
        <v>0</v>
      </c>
      <c r="Q21" s="27">
        <f>P21-O21</f>
        <v>0</v>
      </c>
      <c r="R21" s="28">
        <f>IF(O21=0,0,ROUND(Q21/O21,3))</f>
        <v>0</v>
      </c>
      <c r="S21" s="27">
        <f>E21+J21+O21</f>
        <v>0</v>
      </c>
      <c r="T21" s="27">
        <f>F21+K21+P21</f>
        <v>0</v>
      </c>
      <c r="U21" s="28">
        <f>IF(S21=0,0,ROUND((T21-S21)/S21,3))</f>
        <v>0</v>
      </c>
    </row>
    <row r="22" spans="1:21" x14ac:dyDescent="0.35">
      <c r="A22" s="59">
        <v>2</v>
      </c>
      <c r="B22" s="59" t="s">
        <v>69</v>
      </c>
      <c r="C22" s="59" t="s">
        <v>67</v>
      </c>
      <c r="D22" s="43">
        <v>100</v>
      </c>
      <c r="E22" s="27">
        <f>Input!$H$27</f>
        <v>0</v>
      </c>
      <c r="F22" s="27">
        <f>Input!$V$27</f>
        <v>0</v>
      </c>
      <c r="G22" s="50">
        <f t="shared" ref="G22:G38" si="0">F22-E22</f>
        <v>0</v>
      </c>
      <c r="H22" s="28">
        <f t="shared" ref="H22:H38" si="1">IF(E22=0,0,ROUND(G22/E22,3))</f>
        <v>0</v>
      </c>
      <c r="I22" s="28"/>
      <c r="J22" s="27">
        <f>Input!$I$27</f>
        <v>0</v>
      </c>
      <c r="K22" s="27">
        <f>Input!$W$27</f>
        <v>0</v>
      </c>
      <c r="L22" s="27">
        <f t="shared" ref="L22:L38" si="2">K22-J22</f>
        <v>0</v>
      </c>
      <c r="M22" s="28">
        <f t="shared" ref="M22:M38" si="3">IF(J22=0,0,ROUND(L22/J22,3))</f>
        <v>0</v>
      </c>
      <c r="N22" s="29"/>
      <c r="O22" s="27">
        <f>ROUND((D22*Input!$C$27),2)</f>
        <v>0</v>
      </c>
      <c r="P22" s="27">
        <f>ROUND((D22*Input!$Q$27),2)</f>
        <v>0</v>
      </c>
      <c r="Q22" s="27">
        <f t="shared" ref="Q22:Q38" si="4">P22-O22</f>
        <v>0</v>
      </c>
      <c r="R22" s="28">
        <f t="shared" ref="R22:R38" si="5">IF(O22=0,0,ROUND(Q22/O22,3))</f>
        <v>0</v>
      </c>
      <c r="S22" s="27">
        <f t="shared" ref="S22:S38" si="6">E22+J22+O22</f>
        <v>0</v>
      </c>
      <c r="T22" s="27">
        <f t="shared" ref="T22:T38" si="7">F22+K22+P22</f>
        <v>0</v>
      </c>
      <c r="U22" s="28">
        <f t="shared" ref="U22:U38" si="8">IF(S22=0,0,ROUND((T22-S22)/S22,3))</f>
        <v>0</v>
      </c>
    </row>
    <row r="23" spans="1:21" x14ac:dyDescent="0.35">
      <c r="A23" s="59">
        <v>3</v>
      </c>
      <c r="B23" s="59" t="s">
        <v>91</v>
      </c>
      <c r="D23" s="43">
        <v>500</v>
      </c>
      <c r="E23" s="27">
        <f>Input!$H$27</f>
        <v>0</v>
      </c>
      <c r="F23" s="27">
        <f>Input!$V$27</f>
        <v>0</v>
      </c>
      <c r="G23" s="50">
        <f t="shared" si="0"/>
        <v>0</v>
      </c>
      <c r="H23" s="28">
        <f t="shared" si="1"/>
        <v>0</v>
      </c>
      <c r="I23" s="28"/>
      <c r="J23" s="27">
        <f>Input!$I$27</f>
        <v>0</v>
      </c>
      <c r="K23" s="27">
        <f>Input!$W$27</f>
        <v>0</v>
      </c>
      <c r="L23" s="27">
        <f t="shared" si="2"/>
        <v>0</v>
      </c>
      <c r="M23" s="28">
        <f t="shared" si="3"/>
        <v>0</v>
      </c>
      <c r="N23" s="29"/>
      <c r="O23" s="27">
        <f>ROUND((D23*Input!$C$27),2)</f>
        <v>0</v>
      </c>
      <c r="P23" s="27">
        <f>ROUND((D23*Input!$Q$27),2)</f>
        <v>0</v>
      </c>
      <c r="Q23" s="27">
        <f t="shared" si="4"/>
        <v>0</v>
      </c>
      <c r="R23" s="28">
        <f t="shared" si="5"/>
        <v>0</v>
      </c>
      <c r="S23" s="27">
        <f t="shared" si="6"/>
        <v>0</v>
      </c>
      <c r="T23" s="27">
        <f t="shared" si="7"/>
        <v>0</v>
      </c>
      <c r="U23" s="28">
        <f t="shared" si="8"/>
        <v>0</v>
      </c>
    </row>
    <row r="24" spans="1:21" x14ac:dyDescent="0.35">
      <c r="A24" s="59">
        <v>4</v>
      </c>
      <c r="B24" s="59" t="s">
        <v>41</v>
      </c>
      <c r="D24" s="43">
        <v>1000</v>
      </c>
      <c r="E24" s="27">
        <f>Input!$H$27</f>
        <v>0</v>
      </c>
      <c r="F24" s="27">
        <f>Input!$V$27</f>
        <v>0</v>
      </c>
      <c r="G24" s="50">
        <f t="shared" si="0"/>
        <v>0</v>
      </c>
      <c r="H24" s="28">
        <f t="shared" si="1"/>
        <v>0</v>
      </c>
      <c r="I24" s="28"/>
      <c r="J24" s="27">
        <f>Input!$I$27</f>
        <v>0</v>
      </c>
      <c r="K24" s="27">
        <f>Input!$W$27</f>
        <v>0</v>
      </c>
      <c r="L24" s="27">
        <f t="shared" si="2"/>
        <v>0</v>
      </c>
      <c r="M24" s="28">
        <f t="shared" si="3"/>
        <v>0</v>
      </c>
      <c r="N24" s="29"/>
      <c r="O24" s="27">
        <f>ROUND((D24*Input!$C$27),2)</f>
        <v>0</v>
      </c>
      <c r="P24" s="27">
        <f>ROUND((D24*Input!$Q$27),2)</f>
        <v>0</v>
      </c>
      <c r="Q24" s="27">
        <f t="shared" si="4"/>
        <v>0</v>
      </c>
      <c r="R24" s="28">
        <f t="shared" si="5"/>
        <v>0</v>
      </c>
      <c r="S24" s="27">
        <f t="shared" si="6"/>
        <v>0</v>
      </c>
      <c r="T24" s="27">
        <f t="shared" si="7"/>
        <v>0</v>
      </c>
      <c r="U24" s="28">
        <f t="shared" si="8"/>
        <v>0</v>
      </c>
    </row>
    <row r="25" spans="1:21" x14ac:dyDescent="0.35">
      <c r="A25" s="59">
        <v>5</v>
      </c>
      <c r="B25" s="59" t="s">
        <v>88</v>
      </c>
      <c r="D25" s="43">
        <v>3000</v>
      </c>
      <c r="E25" s="27">
        <f>Input!$H$27</f>
        <v>0</v>
      </c>
      <c r="F25" s="27">
        <f>Input!$V$27</f>
        <v>0</v>
      </c>
      <c r="G25" s="50">
        <f t="shared" si="0"/>
        <v>0</v>
      </c>
      <c r="H25" s="28">
        <f t="shared" si="1"/>
        <v>0</v>
      </c>
      <c r="I25" s="28"/>
      <c r="J25" s="27">
        <f>Input!$I$27</f>
        <v>0</v>
      </c>
      <c r="K25" s="27">
        <f>Input!$W$27</f>
        <v>0</v>
      </c>
      <c r="L25" s="27">
        <f t="shared" si="2"/>
        <v>0</v>
      </c>
      <c r="M25" s="28">
        <f t="shared" si="3"/>
        <v>0</v>
      </c>
      <c r="N25" s="29"/>
      <c r="O25" s="27">
        <f>ROUND((D25*Input!$C$27),2)</f>
        <v>0</v>
      </c>
      <c r="P25" s="27">
        <f>ROUND((D25*Input!$Q$27),2)</f>
        <v>0</v>
      </c>
      <c r="Q25" s="27">
        <f t="shared" si="4"/>
        <v>0</v>
      </c>
      <c r="R25" s="28">
        <f t="shared" si="5"/>
        <v>0</v>
      </c>
      <c r="S25" s="27">
        <f t="shared" si="6"/>
        <v>0</v>
      </c>
      <c r="T25" s="27">
        <f t="shared" si="7"/>
        <v>0</v>
      </c>
      <c r="U25" s="28">
        <f t="shared" si="8"/>
        <v>0</v>
      </c>
    </row>
    <row r="26" spans="1:21" x14ac:dyDescent="0.35">
      <c r="A26" s="59">
        <v>6</v>
      </c>
      <c r="D26" s="43">
        <v>5000</v>
      </c>
      <c r="E26" s="27">
        <f>Input!$H$27</f>
        <v>0</v>
      </c>
      <c r="F26" s="27">
        <f>Input!$V$27</f>
        <v>0</v>
      </c>
      <c r="G26" s="50">
        <f t="shared" si="0"/>
        <v>0</v>
      </c>
      <c r="H26" s="28">
        <f t="shared" si="1"/>
        <v>0</v>
      </c>
      <c r="I26" s="28"/>
      <c r="J26" s="27">
        <f>Input!$I$27</f>
        <v>0</v>
      </c>
      <c r="K26" s="27">
        <f>Input!$W$27</f>
        <v>0</v>
      </c>
      <c r="L26" s="27">
        <f t="shared" si="2"/>
        <v>0</v>
      </c>
      <c r="M26" s="28">
        <f t="shared" si="3"/>
        <v>0</v>
      </c>
      <c r="N26" s="29"/>
      <c r="O26" s="27">
        <f>ROUND((D26*Input!$C$27),2)</f>
        <v>0</v>
      </c>
      <c r="P26" s="27">
        <f>ROUND((D26*Input!$Q$27),2)</f>
        <v>0</v>
      </c>
      <c r="Q26" s="27">
        <f t="shared" si="4"/>
        <v>0</v>
      </c>
      <c r="R26" s="28">
        <f t="shared" si="5"/>
        <v>0</v>
      </c>
      <c r="S26" s="27">
        <f t="shared" si="6"/>
        <v>0</v>
      </c>
      <c r="T26" s="27">
        <f t="shared" si="7"/>
        <v>0</v>
      </c>
      <c r="U26" s="28">
        <f t="shared" si="8"/>
        <v>0</v>
      </c>
    </row>
    <row r="27" spans="1:21" x14ac:dyDescent="0.35">
      <c r="A27" s="59">
        <v>7</v>
      </c>
      <c r="D27" s="43">
        <v>10000</v>
      </c>
      <c r="E27" s="27">
        <f>Input!$H$27</f>
        <v>0</v>
      </c>
      <c r="F27" s="27">
        <f>Input!$V$27</f>
        <v>0</v>
      </c>
      <c r="G27" s="50">
        <f t="shared" si="0"/>
        <v>0</v>
      </c>
      <c r="H27" s="28">
        <f t="shared" si="1"/>
        <v>0</v>
      </c>
      <c r="I27" s="28"/>
      <c r="J27" s="27">
        <f>Input!$I$27</f>
        <v>0</v>
      </c>
      <c r="K27" s="27">
        <f>Input!$W$27</f>
        <v>0</v>
      </c>
      <c r="L27" s="27">
        <f t="shared" si="2"/>
        <v>0</v>
      </c>
      <c r="M27" s="28">
        <f t="shared" si="3"/>
        <v>0</v>
      </c>
      <c r="N27" s="29"/>
      <c r="O27" s="27">
        <f>ROUND((D27*Input!$C$27),2)</f>
        <v>0</v>
      </c>
      <c r="P27" s="27">
        <f>ROUND((D27*Input!$Q$27),2)</f>
        <v>0</v>
      </c>
      <c r="Q27" s="27">
        <f t="shared" si="4"/>
        <v>0</v>
      </c>
      <c r="R27" s="28">
        <f t="shared" si="5"/>
        <v>0</v>
      </c>
      <c r="S27" s="27">
        <f t="shared" si="6"/>
        <v>0</v>
      </c>
      <c r="T27" s="27">
        <f t="shared" si="7"/>
        <v>0</v>
      </c>
      <c r="U27" s="28">
        <f t="shared" si="8"/>
        <v>0</v>
      </c>
    </row>
    <row r="28" spans="1:21" x14ac:dyDescent="0.35">
      <c r="A28" s="59">
        <v>8</v>
      </c>
      <c r="B28" s="59"/>
      <c r="D28" s="43">
        <v>20000</v>
      </c>
      <c r="E28" s="27">
        <f>Input!$H$27</f>
        <v>0</v>
      </c>
      <c r="F28" s="27">
        <f>Input!$V$27</f>
        <v>0</v>
      </c>
      <c r="G28" s="50">
        <f t="shared" si="0"/>
        <v>0</v>
      </c>
      <c r="H28" s="28">
        <f t="shared" si="1"/>
        <v>0</v>
      </c>
      <c r="I28" s="28"/>
      <c r="J28" s="27">
        <f>Input!$I$27</f>
        <v>0</v>
      </c>
      <c r="K28" s="27">
        <f>Input!$W$27</f>
        <v>0</v>
      </c>
      <c r="L28" s="27">
        <f t="shared" si="2"/>
        <v>0</v>
      </c>
      <c r="M28" s="28">
        <f t="shared" si="3"/>
        <v>0</v>
      </c>
      <c r="N28" s="29"/>
      <c r="O28" s="27">
        <f>ROUND((D28*Input!$C$27),2)</f>
        <v>0</v>
      </c>
      <c r="P28" s="27">
        <f>ROUND((D28*Input!$Q$27),2)</f>
        <v>0</v>
      </c>
      <c r="Q28" s="27">
        <f t="shared" si="4"/>
        <v>0</v>
      </c>
      <c r="R28" s="28">
        <f t="shared" si="5"/>
        <v>0</v>
      </c>
      <c r="S28" s="27">
        <f t="shared" si="6"/>
        <v>0</v>
      </c>
      <c r="T28" s="27">
        <f t="shared" si="7"/>
        <v>0</v>
      </c>
      <c r="U28" s="28">
        <f t="shared" si="8"/>
        <v>0</v>
      </c>
    </row>
    <row r="29" spans="1:21" x14ac:dyDescent="0.35">
      <c r="A29" s="59">
        <v>9</v>
      </c>
      <c r="B29" s="59"/>
      <c r="D29" s="43">
        <v>40000</v>
      </c>
      <c r="E29" s="27">
        <f>Input!$H$27</f>
        <v>0</v>
      </c>
      <c r="F29" s="27">
        <f>Input!$V$27</f>
        <v>0</v>
      </c>
      <c r="G29" s="50">
        <f t="shared" si="0"/>
        <v>0</v>
      </c>
      <c r="H29" s="28">
        <f t="shared" si="1"/>
        <v>0</v>
      </c>
      <c r="I29" s="28"/>
      <c r="J29" s="27">
        <f>Input!$I$27</f>
        <v>0</v>
      </c>
      <c r="K29" s="27">
        <f>Input!$W$27</f>
        <v>0</v>
      </c>
      <c r="L29" s="27">
        <f t="shared" si="2"/>
        <v>0</v>
      </c>
      <c r="M29" s="28">
        <f t="shared" si="3"/>
        <v>0</v>
      </c>
      <c r="N29" s="29"/>
      <c r="O29" s="27">
        <f>ROUND((D29*Input!$C$27),2)</f>
        <v>0</v>
      </c>
      <c r="P29" s="27">
        <f>ROUND((D29*Input!$Q$27),2)</f>
        <v>0</v>
      </c>
      <c r="Q29" s="27">
        <f t="shared" si="4"/>
        <v>0</v>
      </c>
      <c r="R29" s="28">
        <f t="shared" si="5"/>
        <v>0</v>
      </c>
      <c r="S29" s="27">
        <f t="shared" si="6"/>
        <v>0</v>
      </c>
      <c r="T29" s="27">
        <f t="shared" si="7"/>
        <v>0</v>
      </c>
      <c r="U29" s="28">
        <f t="shared" si="8"/>
        <v>0</v>
      </c>
    </row>
    <row r="30" spans="1:21" x14ac:dyDescent="0.35">
      <c r="A30" s="59">
        <v>10</v>
      </c>
      <c r="D30" s="43">
        <v>60000</v>
      </c>
      <c r="E30" s="27">
        <f>Input!$H$27</f>
        <v>0</v>
      </c>
      <c r="F30" s="27">
        <f>Input!$V$27</f>
        <v>0</v>
      </c>
      <c r="G30" s="50">
        <f t="shared" si="0"/>
        <v>0</v>
      </c>
      <c r="H30" s="28">
        <f t="shared" si="1"/>
        <v>0</v>
      </c>
      <c r="I30" s="28"/>
      <c r="J30" s="27">
        <f>Input!$I$27</f>
        <v>0</v>
      </c>
      <c r="K30" s="27">
        <f>Input!$W$27</f>
        <v>0</v>
      </c>
      <c r="L30" s="27">
        <f t="shared" si="2"/>
        <v>0</v>
      </c>
      <c r="M30" s="28">
        <f t="shared" si="3"/>
        <v>0</v>
      </c>
      <c r="N30" s="29"/>
      <c r="O30" s="27">
        <f>ROUND((D30*Input!$C$27),2)</f>
        <v>0</v>
      </c>
      <c r="P30" s="27">
        <f>ROUND((D30*Input!$Q$27),2)</f>
        <v>0</v>
      </c>
      <c r="Q30" s="27">
        <f t="shared" si="4"/>
        <v>0</v>
      </c>
      <c r="R30" s="28">
        <f t="shared" si="5"/>
        <v>0</v>
      </c>
      <c r="S30" s="27">
        <f t="shared" si="6"/>
        <v>0</v>
      </c>
      <c r="T30" s="27">
        <f t="shared" si="7"/>
        <v>0</v>
      </c>
      <c r="U30" s="28">
        <f t="shared" si="8"/>
        <v>0</v>
      </c>
    </row>
    <row r="31" spans="1:21" x14ac:dyDescent="0.35">
      <c r="A31" s="59">
        <v>11</v>
      </c>
      <c r="D31" s="43">
        <v>80000</v>
      </c>
      <c r="E31" s="27">
        <f>Input!$H$27</f>
        <v>0</v>
      </c>
      <c r="F31" s="27">
        <f>Input!$V$27</f>
        <v>0</v>
      </c>
      <c r="G31" s="50">
        <f t="shared" si="0"/>
        <v>0</v>
      </c>
      <c r="H31" s="28">
        <f t="shared" si="1"/>
        <v>0</v>
      </c>
      <c r="I31" s="28"/>
      <c r="J31" s="27">
        <f>Input!$I$27</f>
        <v>0</v>
      </c>
      <c r="K31" s="27">
        <f>Input!$W$27</f>
        <v>0</v>
      </c>
      <c r="L31" s="27">
        <f t="shared" si="2"/>
        <v>0</v>
      </c>
      <c r="M31" s="28">
        <f t="shared" si="3"/>
        <v>0</v>
      </c>
      <c r="N31" s="29"/>
      <c r="O31" s="27">
        <f>ROUND((D31*Input!$C$27),2)</f>
        <v>0</v>
      </c>
      <c r="P31" s="27">
        <f>ROUND((D31*Input!$Q$27),2)</f>
        <v>0</v>
      </c>
      <c r="Q31" s="27">
        <f t="shared" si="4"/>
        <v>0</v>
      </c>
      <c r="R31" s="28">
        <f t="shared" si="5"/>
        <v>0</v>
      </c>
      <c r="S31" s="27">
        <f t="shared" si="6"/>
        <v>0</v>
      </c>
      <c r="T31" s="27">
        <f t="shared" si="7"/>
        <v>0</v>
      </c>
      <c r="U31" s="28">
        <f t="shared" si="8"/>
        <v>0</v>
      </c>
    </row>
    <row r="32" spans="1:21" x14ac:dyDescent="0.35">
      <c r="A32" s="59">
        <v>12</v>
      </c>
      <c r="D32" s="43">
        <v>100000</v>
      </c>
      <c r="E32" s="27">
        <f>Input!$H$27</f>
        <v>0</v>
      </c>
      <c r="F32" s="27">
        <f>Input!$V$27</f>
        <v>0</v>
      </c>
      <c r="G32" s="50">
        <f t="shared" si="0"/>
        <v>0</v>
      </c>
      <c r="H32" s="28">
        <f t="shared" si="1"/>
        <v>0</v>
      </c>
      <c r="I32" s="28"/>
      <c r="J32" s="27">
        <f>Input!$I$27</f>
        <v>0</v>
      </c>
      <c r="K32" s="27">
        <f>Input!$W$27</f>
        <v>0</v>
      </c>
      <c r="L32" s="27">
        <f t="shared" si="2"/>
        <v>0</v>
      </c>
      <c r="M32" s="28">
        <f t="shared" si="3"/>
        <v>0</v>
      </c>
      <c r="N32" s="30"/>
      <c r="O32" s="27">
        <f>ROUND((D32*Input!$C$27),2)</f>
        <v>0</v>
      </c>
      <c r="P32" s="27">
        <f>ROUND((D32*Input!$Q$27),2)</f>
        <v>0</v>
      </c>
      <c r="Q32" s="27">
        <f t="shared" si="4"/>
        <v>0</v>
      </c>
      <c r="R32" s="28">
        <f t="shared" si="5"/>
        <v>0</v>
      </c>
      <c r="S32" s="27">
        <f t="shared" si="6"/>
        <v>0</v>
      </c>
      <c r="T32" s="27">
        <f t="shared" si="7"/>
        <v>0</v>
      </c>
      <c r="U32" s="28">
        <f t="shared" si="8"/>
        <v>0</v>
      </c>
    </row>
    <row r="33" spans="1:21" x14ac:dyDescent="0.35">
      <c r="A33" s="59">
        <v>13</v>
      </c>
      <c r="D33" s="43">
        <v>125000</v>
      </c>
      <c r="E33" s="27">
        <f>Input!$H$27</f>
        <v>0</v>
      </c>
      <c r="F33" s="27">
        <f>Input!$V$27</f>
        <v>0</v>
      </c>
      <c r="G33" s="50">
        <f t="shared" si="0"/>
        <v>0</v>
      </c>
      <c r="H33" s="28">
        <f t="shared" si="1"/>
        <v>0</v>
      </c>
      <c r="I33" s="28"/>
      <c r="J33" s="27">
        <f>Input!$I$27</f>
        <v>0</v>
      </c>
      <c r="K33" s="27">
        <f>Input!$W$27</f>
        <v>0</v>
      </c>
      <c r="L33" s="27">
        <f t="shared" si="2"/>
        <v>0</v>
      </c>
      <c r="M33" s="28">
        <f t="shared" si="3"/>
        <v>0</v>
      </c>
      <c r="N33" s="30"/>
      <c r="O33" s="27">
        <f>ROUND((D33*Input!$C$27),2)</f>
        <v>0</v>
      </c>
      <c r="P33" s="27">
        <f>ROUND((D33*Input!$Q$27),2)</f>
        <v>0</v>
      </c>
      <c r="Q33" s="27">
        <f t="shared" si="4"/>
        <v>0</v>
      </c>
      <c r="R33" s="28">
        <f t="shared" si="5"/>
        <v>0</v>
      </c>
      <c r="S33" s="27">
        <f t="shared" si="6"/>
        <v>0</v>
      </c>
      <c r="T33" s="27">
        <f t="shared" si="7"/>
        <v>0</v>
      </c>
      <c r="U33" s="28">
        <f t="shared" si="8"/>
        <v>0</v>
      </c>
    </row>
    <row r="34" spans="1:21" x14ac:dyDescent="0.35">
      <c r="A34" s="59">
        <v>14</v>
      </c>
      <c r="D34" s="43">
        <v>150000</v>
      </c>
      <c r="E34" s="27">
        <f>Input!$H$27</f>
        <v>0</v>
      </c>
      <c r="F34" s="27">
        <f>Input!$V$27</f>
        <v>0</v>
      </c>
      <c r="G34" s="50">
        <f t="shared" si="0"/>
        <v>0</v>
      </c>
      <c r="H34" s="28">
        <f t="shared" si="1"/>
        <v>0</v>
      </c>
      <c r="I34" s="28"/>
      <c r="J34" s="27">
        <f>Input!$I$27</f>
        <v>0</v>
      </c>
      <c r="K34" s="27">
        <f>Input!$W$27</f>
        <v>0</v>
      </c>
      <c r="L34" s="27">
        <f t="shared" si="2"/>
        <v>0</v>
      </c>
      <c r="M34" s="28">
        <f t="shared" si="3"/>
        <v>0</v>
      </c>
      <c r="N34" s="30"/>
      <c r="O34" s="27">
        <f>ROUND((Input!$C$27*Input!$AD$27),2)+ROUND(Input!$D$27*(D34-Input!$AD$27),2)</f>
        <v>0</v>
      </c>
      <c r="P34" s="27">
        <f>ROUND((Input!$Q$27*Input!$AK$27),2)+ROUND(Input!$R$27*(D34-Input!$AK$27),2)</f>
        <v>0</v>
      </c>
      <c r="Q34" s="27">
        <f t="shared" si="4"/>
        <v>0</v>
      </c>
      <c r="R34" s="28">
        <f t="shared" si="5"/>
        <v>0</v>
      </c>
      <c r="S34" s="27">
        <f t="shared" si="6"/>
        <v>0</v>
      </c>
      <c r="T34" s="27">
        <f t="shared" si="7"/>
        <v>0</v>
      </c>
      <c r="U34" s="28">
        <f t="shared" si="8"/>
        <v>0</v>
      </c>
    </row>
    <row r="35" spans="1:21" x14ac:dyDescent="0.35">
      <c r="A35" s="59">
        <v>15</v>
      </c>
      <c r="D35" s="43">
        <v>175000</v>
      </c>
      <c r="E35" s="27">
        <f>Input!$H$27</f>
        <v>0</v>
      </c>
      <c r="F35" s="27">
        <f>Input!$V$27</f>
        <v>0</v>
      </c>
      <c r="G35" s="50">
        <f t="shared" si="0"/>
        <v>0</v>
      </c>
      <c r="H35" s="28">
        <f t="shared" si="1"/>
        <v>0</v>
      </c>
      <c r="I35" s="28"/>
      <c r="J35" s="27">
        <f>Input!$I$27</f>
        <v>0</v>
      </c>
      <c r="K35" s="27">
        <f>Input!$W$27</f>
        <v>0</v>
      </c>
      <c r="L35" s="27">
        <f t="shared" si="2"/>
        <v>0</v>
      </c>
      <c r="M35" s="28">
        <f t="shared" si="3"/>
        <v>0</v>
      </c>
      <c r="N35" s="30"/>
      <c r="O35" s="27">
        <f>ROUND((Input!$C$27*Input!$AD$27),2)+ROUND(Input!$D$27*(D35-Input!$AD$27),2)</f>
        <v>0</v>
      </c>
      <c r="P35" s="27">
        <f>ROUND((Input!$Q$27*Input!$AK$27),2)+ROUND(Input!$R$27*(D35-Input!$AK$27),2)</f>
        <v>0</v>
      </c>
      <c r="Q35" s="27">
        <f t="shared" si="4"/>
        <v>0</v>
      </c>
      <c r="R35" s="28">
        <f t="shared" si="5"/>
        <v>0</v>
      </c>
      <c r="S35" s="27">
        <f t="shared" si="6"/>
        <v>0</v>
      </c>
      <c r="T35" s="27">
        <f t="shared" si="7"/>
        <v>0</v>
      </c>
      <c r="U35" s="28">
        <f t="shared" si="8"/>
        <v>0</v>
      </c>
    </row>
    <row r="36" spans="1:21" x14ac:dyDescent="0.35">
      <c r="A36" s="59">
        <v>16</v>
      </c>
      <c r="D36" s="43">
        <v>200000</v>
      </c>
      <c r="E36" s="27">
        <f>Input!$H$27</f>
        <v>0</v>
      </c>
      <c r="F36" s="27">
        <f>Input!$V$27</f>
        <v>0</v>
      </c>
      <c r="G36" s="50">
        <f>F36-E36</f>
        <v>0</v>
      </c>
      <c r="H36" s="28">
        <f t="shared" si="1"/>
        <v>0</v>
      </c>
      <c r="I36" s="28"/>
      <c r="J36" s="27">
        <f>Input!$I$27</f>
        <v>0</v>
      </c>
      <c r="K36" s="27">
        <f>Input!$W$27</f>
        <v>0</v>
      </c>
      <c r="L36" s="27">
        <f t="shared" si="2"/>
        <v>0</v>
      </c>
      <c r="M36" s="28">
        <f t="shared" si="3"/>
        <v>0</v>
      </c>
      <c r="N36" s="30"/>
      <c r="O36" s="27">
        <f>ROUND((Input!$C$27*Input!$AD$27),2)+ROUND(Input!$D$27*(D36-Input!$AD$27),2)</f>
        <v>0</v>
      </c>
      <c r="P36" s="27">
        <f>ROUND((Input!$Q$27*Input!$AK$27),2)+ROUND(Input!$R$27*(D36-Input!$AK$27),2)</f>
        <v>0</v>
      </c>
      <c r="Q36" s="27">
        <f>P36-O36</f>
        <v>0</v>
      </c>
      <c r="R36" s="28">
        <f t="shared" si="5"/>
        <v>0</v>
      </c>
      <c r="S36" s="27">
        <f t="shared" si="6"/>
        <v>0</v>
      </c>
      <c r="T36" s="27">
        <f t="shared" si="7"/>
        <v>0</v>
      </c>
      <c r="U36" s="28">
        <f t="shared" si="8"/>
        <v>0</v>
      </c>
    </row>
    <row r="37" spans="1:21" x14ac:dyDescent="0.35">
      <c r="A37" s="59">
        <v>17</v>
      </c>
      <c r="D37" s="43">
        <v>225000</v>
      </c>
      <c r="E37" s="27">
        <f>Input!$H$27</f>
        <v>0</v>
      </c>
      <c r="F37" s="27">
        <f>Input!$V$27</f>
        <v>0</v>
      </c>
      <c r="G37" s="50">
        <f t="shared" si="0"/>
        <v>0</v>
      </c>
      <c r="H37" s="28">
        <f t="shared" si="1"/>
        <v>0</v>
      </c>
      <c r="I37" s="28"/>
      <c r="J37" s="27">
        <f>Input!$I$27</f>
        <v>0</v>
      </c>
      <c r="K37" s="27">
        <f>Input!$W$27</f>
        <v>0</v>
      </c>
      <c r="L37" s="27">
        <f t="shared" si="2"/>
        <v>0</v>
      </c>
      <c r="M37" s="28">
        <f t="shared" si="3"/>
        <v>0</v>
      </c>
      <c r="N37" s="30"/>
      <c r="O37" s="27">
        <f>ROUND((Input!$C$27*Input!$AD$27),2)+ROUND(Input!$D$27*(D37-Input!$AD$27),2)</f>
        <v>0</v>
      </c>
      <c r="P37" s="27">
        <f>ROUND((Input!$Q$27*Input!$AK$27),2)+ROUND(Input!$R$27*(D37-Input!$AK$27),2)</f>
        <v>0</v>
      </c>
      <c r="Q37" s="27">
        <f t="shared" si="4"/>
        <v>0</v>
      </c>
      <c r="R37" s="28">
        <f t="shared" si="5"/>
        <v>0</v>
      </c>
      <c r="S37" s="27">
        <f t="shared" si="6"/>
        <v>0</v>
      </c>
      <c r="T37" s="27">
        <f t="shared" si="7"/>
        <v>0</v>
      </c>
      <c r="U37" s="28">
        <f t="shared" si="8"/>
        <v>0</v>
      </c>
    </row>
    <row r="38" spans="1:21" x14ac:dyDescent="0.35">
      <c r="A38" s="59">
        <v>18</v>
      </c>
      <c r="D38" s="43">
        <v>250000</v>
      </c>
      <c r="E38" s="27">
        <f>Input!$H$27</f>
        <v>0</v>
      </c>
      <c r="F38" s="27">
        <f>Input!$V$27</f>
        <v>0</v>
      </c>
      <c r="G38" s="50">
        <f t="shared" si="0"/>
        <v>0</v>
      </c>
      <c r="H38" s="28">
        <f t="shared" si="1"/>
        <v>0</v>
      </c>
      <c r="I38" s="28"/>
      <c r="J38" s="27">
        <f>Input!$I$27</f>
        <v>0</v>
      </c>
      <c r="K38" s="27">
        <f>Input!$W$27</f>
        <v>0</v>
      </c>
      <c r="L38" s="27">
        <f t="shared" si="2"/>
        <v>0</v>
      </c>
      <c r="M38" s="28">
        <f t="shared" si="3"/>
        <v>0</v>
      </c>
      <c r="N38" s="30"/>
      <c r="O38" s="27">
        <f>ROUND((Input!$C$27*Input!$AD$27),2)+ROUND(Input!$D$27*(D38-Input!$AD$27),2)</f>
        <v>0</v>
      </c>
      <c r="P38" s="27">
        <f>ROUND((Input!$Q$27*Input!$AK$27),2)+ROUND(Input!$R$27*(D38-Input!$AK$27),2)</f>
        <v>0</v>
      </c>
      <c r="Q38" s="27">
        <f t="shared" si="4"/>
        <v>0</v>
      </c>
      <c r="R38" s="28">
        <f t="shared" si="5"/>
        <v>0</v>
      </c>
      <c r="S38" s="27">
        <f t="shared" si="6"/>
        <v>0</v>
      </c>
      <c r="T38" s="27">
        <f t="shared" si="7"/>
        <v>0</v>
      </c>
      <c r="U38" s="28">
        <f t="shared" si="8"/>
        <v>0</v>
      </c>
    </row>
    <row r="39" spans="1:21" ht="12" customHeight="1" x14ac:dyDescent="0.35">
      <c r="A39" s="59"/>
      <c r="D39" s="32"/>
      <c r="G39" s="33"/>
      <c r="H39" s="34"/>
      <c r="I39" s="34"/>
      <c r="J39" s="34"/>
      <c r="K39" s="34"/>
      <c r="L39" s="34"/>
      <c r="M39" s="34"/>
      <c r="N39" s="59"/>
      <c r="O39" s="59"/>
      <c r="Q39" s="33"/>
      <c r="R39" s="34"/>
      <c r="S39" s="33"/>
      <c r="T39" s="33"/>
      <c r="U39" s="34"/>
    </row>
    <row r="40" spans="1:21" x14ac:dyDescent="0.35">
      <c r="A40" s="59"/>
      <c r="B40" s="8" t="s">
        <v>98</v>
      </c>
      <c r="D40" s="45">
        <f>ROUND(Input!AT27,0)</f>
        <v>0</v>
      </c>
    </row>
    <row r="41" spans="1:21" x14ac:dyDescent="0.35">
      <c r="A41" s="59"/>
      <c r="C41" s="8" t="s">
        <v>144</v>
      </c>
    </row>
    <row r="42" spans="1:21" x14ac:dyDescent="0.35">
      <c r="A42" s="59"/>
    </row>
  </sheetData>
  <mergeCells count="8">
    <mergeCell ref="A5:U5"/>
    <mergeCell ref="E13:H13"/>
    <mergeCell ref="O13:R13"/>
    <mergeCell ref="A1:U1"/>
    <mergeCell ref="A2:U2"/>
    <mergeCell ref="A3:U3"/>
    <mergeCell ref="A4:U4"/>
    <mergeCell ref="J13:M13"/>
  </mergeCells>
  <phoneticPr fontId="0" type="noConversion"/>
  <printOptions horizontalCentered="1"/>
  <pageMargins left="0" right="0" top="0.75" bottom="0.75" header="0.5" footer="0.5"/>
  <pageSetup scale="7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42"/>
  <sheetViews>
    <sheetView workbookViewId="0">
      <selection activeCell="T1" sqref="T1:AC1048576"/>
    </sheetView>
  </sheetViews>
  <sheetFormatPr defaultColWidth="9.36328125" defaultRowHeight="12.9" x14ac:dyDescent="0.35"/>
  <cols>
    <col min="1" max="1" width="4.453125" style="8" customWidth="1"/>
    <col min="2" max="2" width="12.453125" style="8" customWidth="1"/>
    <col min="3" max="3" width="11.6328125" style="8" customWidth="1"/>
    <col min="4" max="4" width="9.453125" style="8" bestFit="1" customWidth="1"/>
    <col min="5" max="6" width="10.81640625" style="8" bestFit="1" customWidth="1"/>
    <col min="7" max="7" width="12.1796875" style="59" bestFit="1" customWidth="1"/>
    <col min="8" max="8" width="12.1796875" style="8" bestFit="1" customWidth="1"/>
    <col min="9" max="9" width="1.81640625" style="8" customWidth="1"/>
    <col min="10" max="11" width="12.81640625" style="8" bestFit="1" customWidth="1"/>
    <col min="12" max="13" width="12.1796875" style="8" bestFit="1" customWidth="1"/>
    <col min="14" max="14" width="10.36328125" style="8" customWidth="1"/>
    <col min="15" max="15" width="13.1796875" style="59" bestFit="1" customWidth="1"/>
    <col min="16" max="16" width="14.453125" style="59" customWidth="1"/>
    <col min="17" max="17" width="12.453125" style="59" customWidth="1"/>
    <col min="18" max="18" width="12.81640625" style="8" customWidth="1"/>
    <col min="19" max="19" width="17.453125" style="8" bestFit="1" customWidth="1"/>
    <col min="20" max="20" width="10.36328125" style="8" customWidth="1"/>
    <col min="21" max="22" width="10.6328125" style="8" customWidth="1"/>
    <col min="23" max="23" width="8.6328125" style="8" customWidth="1"/>
    <col min="24" max="24" width="9.36328125" style="8" customWidth="1"/>
    <col min="25" max="25" width="9.6328125" style="8" customWidth="1"/>
    <col min="26" max="26" width="10.6328125" style="8" customWidth="1"/>
    <col min="27" max="16384" width="9.36328125" style="8"/>
  </cols>
  <sheetData>
    <row r="1" spans="1:17" x14ac:dyDescent="0.35">
      <c r="A1" s="73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x14ac:dyDescent="0.35">
      <c r="A2" s="73" t="str">
        <f>Input!$B$1</f>
        <v>CASE NO. 2024-xxxxx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x14ac:dyDescent="0.35">
      <c r="A3" s="73" t="s">
        <v>85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x14ac:dyDescent="0.35">
      <c r="A4" s="73" t="s">
        <v>36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x14ac:dyDescent="0.35">
      <c r="A5" s="73" t="str">
        <f>Input!$B$5</f>
        <v>TWELVE MONTHS ENDING DECEMBER 31, 2025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x14ac:dyDescent="0.35">
      <c r="A6" s="59"/>
      <c r="B6" s="60"/>
      <c r="C6" s="60"/>
      <c r="D6" s="60"/>
      <c r="E6" s="60"/>
      <c r="F6" s="60"/>
      <c r="H6" s="60"/>
      <c r="I6" s="60"/>
      <c r="J6" s="60"/>
      <c r="K6" s="60"/>
      <c r="L6" s="60"/>
      <c r="M6" s="60"/>
      <c r="N6" s="60"/>
    </row>
    <row r="7" spans="1:17" x14ac:dyDescent="0.35">
      <c r="A7" s="59"/>
      <c r="B7" s="60"/>
      <c r="C7" s="60"/>
      <c r="D7" s="60"/>
      <c r="E7" s="60"/>
      <c r="F7" s="60"/>
      <c r="H7" s="60"/>
      <c r="I7" s="60"/>
      <c r="J7" s="60"/>
      <c r="K7" s="60"/>
      <c r="L7" s="60"/>
      <c r="M7" s="60"/>
      <c r="N7" s="60"/>
    </row>
    <row r="8" spans="1:17" x14ac:dyDescent="0.35">
      <c r="A8" s="8" t="s">
        <v>123</v>
      </c>
      <c r="Q8" s="30" t="s">
        <v>37</v>
      </c>
    </row>
    <row r="9" spans="1:17" x14ac:dyDescent="0.35">
      <c r="A9" s="8" t="s">
        <v>124</v>
      </c>
      <c r="Q9" s="30" t="s">
        <v>127</v>
      </c>
    </row>
    <row r="10" spans="1:17" x14ac:dyDescent="0.35">
      <c r="A10" s="8" t="s">
        <v>38</v>
      </c>
      <c r="Q10" s="30" t="str">
        <f>Input!$B$3</f>
        <v>Witness: R. J. Amen</v>
      </c>
    </row>
    <row r="12" spans="1:17" x14ac:dyDescent="0.35">
      <c r="A12" s="24"/>
      <c r="B12" s="24"/>
      <c r="C12" s="24"/>
      <c r="D12" s="24"/>
      <c r="E12" s="24"/>
      <c r="F12" s="24"/>
      <c r="G12" s="61"/>
      <c r="H12" s="24"/>
      <c r="I12" s="24"/>
      <c r="J12" s="24"/>
      <c r="K12" s="24"/>
      <c r="L12" s="24"/>
      <c r="M12" s="24"/>
      <c r="N12" s="24"/>
      <c r="O12" s="61"/>
      <c r="P12" s="61"/>
      <c r="Q12" s="61"/>
    </row>
    <row r="13" spans="1:17" x14ac:dyDescent="0.35">
      <c r="E13" s="75" t="s">
        <v>77</v>
      </c>
      <c r="F13" s="75"/>
      <c r="G13" s="75"/>
      <c r="H13" s="75"/>
      <c r="I13" s="25"/>
      <c r="J13" s="75" t="s">
        <v>78</v>
      </c>
      <c r="K13" s="75"/>
      <c r="L13" s="75"/>
      <c r="M13" s="75"/>
      <c r="N13" s="25"/>
    </row>
    <row r="14" spans="1:17" x14ac:dyDescent="0.35">
      <c r="E14" s="59" t="s">
        <v>43</v>
      </c>
      <c r="F14" s="59" t="s">
        <v>44</v>
      </c>
      <c r="G14" s="59" t="s">
        <v>75</v>
      </c>
      <c r="H14" s="59" t="s">
        <v>46</v>
      </c>
      <c r="L14" s="59" t="s">
        <v>75</v>
      </c>
      <c r="M14" s="59" t="s">
        <v>46</v>
      </c>
      <c r="N14" s="59"/>
      <c r="O14" s="59" t="s">
        <v>39</v>
      </c>
      <c r="P14" s="59" t="s">
        <v>39</v>
      </c>
      <c r="Q14" s="59" t="s">
        <v>46</v>
      </c>
    </row>
    <row r="15" spans="1:17" x14ac:dyDescent="0.35">
      <c r="D15" s="59" t="s">
        <v>71</v>
      </c>
      <c r="E15" s="59" t="s">
        <v>71</v>
      </c>
      <c r="F15" s="59" t="s">
        <v>71</v>
      </c>
      <c r="G15" s="59" t="s">
        <v>45</v>
      </c>
      <c r="H15" s="59" t="s">
        <v>45</v>
      </c>
      <c r="I15" s="59"/>
      <c r="J15" s="59" t="s">
        <v>43</v>
      </c>
      <c r="K15" s="59" t="s">
        <v>44</v>
      </c>
      <c r="L15" s="59" t="s">
        <v>45</v>
      </c>
      <c r="M15" s="59" t="s">
        <v>45</v>
      </c>
      <c r="N15" s="59"/>
      <c r="O15" s="59" t="s">
        <v>43</v>
      </c>
      <c r="P15" s="59" t="s">
        <v>44</v>
      </c>
      <c r="Q15" s="59" t="s">
        <v>45</v>
      </c>
    </row>
    <row r="16" spans="1:17" x14ac:dyDescent="0.35">
      <c r="A16" s="59" t="s">
        <v>40</v>
      </c>
      <c r="B16" s="59" t="s">
        <v>41</v>
      </c>
      <c r="C16" s="59" t="s">
        <v>42</v>
      </c>
      <c r="D16" s="59" t="s">
        <v>72</v>
      </c>
      <c r="E16" s="59" t="s">
        <v>68</v>
      </c>
      <c r="F16" s="59" t="s">
        <v>68</v>
      </c>
      <c r="G16" s="59" t="s">
        <v>76</v>
      </c>
      <c r="H16" s="59" t="s">
        <v>76</v>
      </c>
      <c r="I16" s="59"/>
      <c r="J16" s="59" t="s">
        <v>79</v>
      </c>
      <c r="K16" s="59" t="s">
        <v>79</v>
      </c>
      <c r="L16" s="59" t="s">
        <v>76</v>
      </c>
      <c r="M16" s="59" t="s">
        <v>76</v>
      </c>
      <c r="N16" s="59" t="s">
        <v>138</v>
      </c>
      <c r="O16" s="59" t="s">
        <v>49</v>
      </c>
      <c r="P16" s="59" t="s">
        <v>49</v>
      </c>
      <c r="Q16" s="59" t="s">
        <v>76</v>
      </c>
    </row>
    <row r="17" spans="1:17" x14ac:dyDescent="0.35">
      <c r="A17" s="59" t="s">
        <v>47</v>
      </c>
      <c r="B17" s="59" t="s">
        <v>48</v>
      </c>
      <c r="C17" s="59" t="s">
        <v>15</v>
      </c>
      <c r="D17" s="59" t="s">
        <v>73</v>
      </c>
      <c r="E17" s="59" t="s">
        <v>74</v>
      </c>
      <c r="F17" s="59" t="s">
        <v>74</v>
      </c>
      <c r="G17" s="26" t="s">
        <v>50</v>
      </c>
      <c r="H17" s="26" t="s">
        <v>51</v>
      </c>
      <c r="I17" s="26"/>
      <c r="J17" s="59" t="s">
        <v>74</v>
      </c>
      <c r="K17" s="59" t="s">
        <v>74</v>
      </c>
      <c r="L17" s="26" t="s">
        <v>80</v>
      </c>
      <c r="M17" s="26" t="s">
        <v>81</v>
      </c>
      <c r="N17" s="26" t="s">
        <v>141</v>
      </c>
      <c r="O17" s="26" t="s">
        <v>116</v>
      </c>
      <c r="P17" s="26" t="s">
        <v>140</v>
      </c>
      <c r="Q17" s="26" t="s">
        <v>139</v>
      </c>
    </row>
    <row r="18" spans="1:17" x14ac:dyDescent="0.35">
      <c r="D18" s="26" t="s">
        <v>52</v>
      </c>
      <c r="E18" s="26" t="s">
        <v>53</v>
      </c>
      <c r="F18" s="26" t="s">
        <v>53</v>
      </c>
      <c r="G18" s="26" t="s">
        <v>53</v>
      </c>
      <c r="H18" s="26" t="s">
        <v>54</v>
      </c>
      <c r="I18" s="26"/>
      <c r="J18" s="26" t="s">
        <v>53</v>
      </c>
      <c r="K18" s="26" t="s">
        <v>53</v>
      </c>
      <c r="L18" s="26" t="s">
        <v>53</v>
      </c>
      <c r="M18" s="26" t="s">
        <v>54</v>
      </c>
      <c r="N18" s="26" t="s">
        <v>53</v>
      </c>
      <c r="O18" s="26" t="s">
        <v>53</v>
      </c>
      <c r="P18" s="26" t="s">
        <v>53</v>
      </c>
      <c r="Q18" s="26" t="s">
        <v>54</v>
      </c>
    </row>
    <row r="19" spans="1:17" x14ac:dyDescent="0.35">
      <c r="C19" s="26" t="s">
        <v>55</v>
      </c>
      <c r="D19" s="26" t="s">
        <v>56</v>
      </c>
      <c r="E19" s="26" t="s">
        <v>57</v>
      </c>
      <c r="F19" s="26" t="s">
        <v>58</v>
      </c>
      <c r="G19" s="26" t="s">
        <v>59</v>
      </c>
      <c r="H19" s="26" t="s">
        <v>60</v>
      </c>
      <c r="I19" s="26"/>
      <c r="J19" s="26" t="s">
        <v>61</v>
      </c>
      <c r="K19" s="26" t="s">
        <v>62</v>
      </c>
      <c r="L19" s="26" t="s">
        <v>63</v>
      </c>
      <c r="M19" s="26" t="s">
        <v>64</v>
      </c>
      <c r="N19" s="26" t="s">
        <v>82</v>
      </c>
      <c r="O19" s="26" t="s">
        <v>83</v>
      </c>
      <c r="P19" s="26" t="s">
        <v>84</v>
      </c>
      <c r="Q19" s="26" t="s">
        <v>110</v>
      </c>
    </row>
    <row r="20" spans="1:17" x14ac:dyDescent="0.35">
      <c r="D20" s="59"/>
      <c r="E20" s="59"/>
      <c r="F20" s="59"/>
      <c r="H20" s="59"/>
      <c r="I20" s="59"/>
      <c r="J20" s="59"/>
      <c r="K20" s="26"/>
      <c r="L20" s="26"/>
      <c r="M20" s="26"/>
      <c r="N20" s="26"/>
    </row>
    <row r="21" spans="1:17" x14ac:dyDescent="0.35">
      <c r="A21" s="59">
        <v>1</v>
      </c>
      <c r="B21" s="59" t="s">
        <v>17</v>
      </c>
      <c r="C21" s="59" t="s">
        <v>65</v>
      </c>
      <c r="D21" s="41">
        <v>1</v>
      </c>
      <c r="E21" s="27">
        <f>Input!$H$14+Input!$L$14+Input!$M$14</f>
        <v>20.13</v>
      </c>
      <c r="F21" s="27">
        <f>Input!$V$14+Input!$Y$14+Input!$Z$14</f>
        <v>27.38</v>
      </c>
      <c r="G21" s="27">
        <f>F21-E21</f>
        <v>7.25</v>
      </c>
      <c r="H21" s="28">
        <f>ROUND(G21/E21,3)</f>
        <v>0.36</v>
      </c>
      <c r="I21" s="29"/>
      <c r="J21" s="27">
        <f>ROUND((D21*Input!$C$14),2)+ROUND((Input!$N$14*D21),2)+ROUND((D21*Input!$J$14),2)+ROUND((D21*Input!$K$14),2)</f>
        <v>5.79</v>
      </c>
      <c r="K21" s="27">
        <f>ROUND((D21*Input!$Q$14),2)+ROUND((Input!$AA$14*D21),2)+ROUND((Input!$X$14*D21),2)</f>
        <v>5.8</v>
      </c>
      <c r="L21" s="27">
        <f>K21-J21</f>
        <v>9.9999999999997868E-3</v>
      </c>
      <c r="M21" s="28">
        <f>ROUND(L21/J21,3)</f>
        <v>2E-3</v>
      </c>
      <c r="N21" s="27">
        <v>0</v>
      </c>
      <c r="O21" s="27">
        <f>E21+J21+N21</f>
        <v>25.919999999999998</v>
      </c>
      <c r="P21" s="27">
        <f>F21+K21+N21</f>
        <v>33.18</v>
      </c>
      <c r="Q21" s="28">
        <f>ROUND((P21-O21)/O21,3)</f>
        <v>0.28000000000000003</v>
      </c>
    </row>
    <row r="22" spans="1:17" x14ac:dyDescent="0.35">
      <c r="A22" s="59">
        <v>2</v>
      </c>
      <c r="B22" s="59" t="s">
        <v>69</v>
      </c>
      <c r="C22" s="59" t="s">
        <v>67</v>
      </c>
      <c r="D22" s="41">
        <v>2</v>
      </c>
      <c r="E22" s="27">
        <f>Input!$H$14+Input!$L$14+Input!$M$14</f>
        <v>20.13</v>
      </c>
      <c r="F22" s="27">
        <f>Input!$V$14+Input!$Y$14+Input!$Z$14</f>
        <v>27.38</v>
      </c>
      <c r="G22" s="27">
        <f t="shared" ref="G22:G31" si="0">F22-E22</f>
        <v>7.25</v>
      </c>
      <c r="H22" s="28">
        <f t="shared" ref="H22:H31" si="1">ROUND(G22/E22,3)</f>
        <v>0.36</v>
      </c>
      <c r="I22" s="29"/>
      <c r="J22" s="27">
        <f>ROUND((D22*Input!$C$14),2)+ROUND((Input!$N$14*D22),2)+ROUND((D22*Input!$J$14),2)+ROUND((D22*Input!$K$14),2)</f>
        <v>11.59</v>
      </c>
      <c r="K22" s="27">
        <f>ROUND((D22*Input!$Q$14),2)+ROUND((Input!$AA$14*D22),2)+ROUND((Input!$X$14*D22),2)</f>
        <v>11.59</v>
      </c>
      <c r="L22" s="27">
        <f t="shared" ref="L22:L31" si="2">K22-J22</f>
        <v>0</v>
      </c>
      <c r="M22" s="28">
        <f t="shared" ref="M22:M31" si="3">ROUND(L22/J22,3)</f>
        <v>0</v>
      </c>
      <c r="N22" s="27">
        <v>0</v>
      </c>
      <c r="O22" s="27">
        <f t="shared" ref="O22:O32" si="4">E22+J22+N22</f>
        <v>31.72</v>
      </c>
      <c r="P22" s="27">
        <f t="shared" ref="P22:P32" si="5">F22+K22+N22</f>
        <v>38.97</v>
      </c>
      <c r="Q22" s="28">
        <f t="shared" ref="Q22:Q31" si="6">ROUND((P22-O22)/O22,3)</f>
        <v>0.22900000000000001</v>
      </c>
    </row>
    <row r="23" spans="1:17" x14ac:dyDescent="0.35">
      <c r="A23" s="59">
        <v>3</v>
      </c>
      <c r="B23" s="59" t="s">
        <v>70</v>
      </c>
      <c r="D23" s="41">
        <v>4</v>
      </c>
      <c r="E23" s="27">
        <f>Input!$H$14+Input!$L$14+Input!$M$14</f>
        <v>20.13</v>
      </c>
      <c r="F23" s="27">
        <f>Input!$V$14+Input!$Y$14+Input!$Z$14</f>
        <v>27.38</v>
      </c>
      <c r="G23" s="27">
        <f t="shared" si="0"/>
        <v>7.25</v>
      </c>
      <c r="H23" s="28">
        <f t="shared" si="1"/>
        <v>0.36</v>
      </c>
      <c r="I23" s="29"/>
      <c r="J23" s="27">
        <f>ROUND((D23*Input!$C$14),2)+ROUND((Input!$N$14*D23),2)+ROUND((D23*Input!$J$14),2)+ROUND((D23*Input!$K$14),2)</f>
        <v>23.180000000000003</v>
      </c>
      <c r="K23" s="27">
        <f>ROUND((D23*Input!$Q$14),2)+ROUND((Input!$AA$14*D23),2)+ROUND((Input!$X$14*D23),2)</f>
        <v>23.2</v>
      </c>
      <c r="L23" s="27">
        <f t="shared" si="2"/>
        <v>1.9999999999996021E-2</v>
      </c>
      <c r="M23" s="28">
        <f t="shared" si="3"/>
        <v>1E-3</v>
      </c>
      <c r="N23" s="27">
        <v>0</v>
      </c>
      <c r="O23" s="27">
        <f t="shared" si="4"/>
        <v>43.31</v>
      </c>
      <c r="P23" s="27">
        <f t="shared" si="5"/>
        <v>50.58</v>
      </c>
      <c r="Q23" s="28">
        <f t="shared" si="6"/>
        <v>0.16800000000000001</v>
      </c>
    </row>
    <row r="24" spans="1:17" x14ac:dyDescent="0.35">
      <c r="A24" s="59">
        <v>4</v>
      </c>
      <c r="B24" s="59" t="s">
        <v>66</v>
      </c>
      <c r="D24" s="41">
        <v>5</v>
      </c>
      <c r="E24" s="27">
        <f>Input!$H$14+Input!$L$14+Input!$M$14</f>
        <v>20.13</v>
      </c>
      <c r="F24" s="27">
        <f>Input!$V$14+Input!$Y$14+Input!$Z$14</f>
        <v>27.38</v>
      </c>
      <c r="G24" s="27">
        <f t="shared" si="0"/>
        <v>7.25</v>
      </c>
      <c r="H24" s="28">
        <f t="shared" si="1"/>
        <v>0.36</v>
      </c>
      <c r="I24" s="29"/>
      <c r="J24" s="27">
        <f>ROUND((D24*Input!$C$14),2)+ROUND((Input!$N$14*D24),2)+ROUND((D24*Input!$J$14),2)+ROUND((D24*Input!$K$14),2)</f>
        <v>28.97</v>
      </c>
      <c r="K24" s="27">
        <f>ROUND((D24*Input!$Q$14),2)+ROUND((Input!$AA$14*D24),2)+ROUND((Input!$X$14*D24),2)</f>
        <v>29</v>
      </c>
      <c r="L24" s="27">
        <f t="shared" si="2"/>
        <v>3.0000000000001137E-2</v>
      </c>
      <c r="M24" s="28">
        <f t="shared" si="3"/>
        <v>1E-3</v>
      </c>
      <c r="N24" s="27">
        <v>0</v>
      </c>
      <c r="O24" s="27">
        <f t="shared" si="4"/>
        <v>49.099999999999994</v>
      </c>
      <c r="P24" s="27">
        <f t="shared" si="5"/>
        <v>56.379999999999995</v>
      </c>
      <c r="Q24" s="28">
        <f t="shared" si="6"/>
        <v>0.14799999999999999</v>
      </c>
    </row>
    <row r="25" spans="1:17" x14ac:dyDescent="0.35">
      <c r="A25" s="59">
        <v>5</v>
      </c>
      <c r="B25" s="59"/>
      <c r="D25" s="41">
        <f>Input!AT14</f>
        <v>6.1</v>
      </c>
      <c r="E25" s="27">
        <f>Input!$H$14+Input!$L$14+Input!$M$14</f>
        <v>20.13</v>
      </c>
      <c r="F25" s="27">
        <f>Input!$V$14+Input!$Y$14+Input!$Z$14</f>
        <v>27.38</v>
      </c>
      <c r="G25" s="27">
        <f t="shared" si="0"/>
        <v>7.25</v>
      </c>
      <c r="H25" s="28">
        <f t="shared" si="1"/>
        <v>0.36</v>
      </c>
      <c r="I25" s="29"/>
      <c r="J25" s="27">
        <f>ROUND((D25*Input!$C$14),2)+ROUND((Input!$N$14*D25),2)+ROUND((D25*Input!$J$14),2)+ROUND((D25*Input!$K$14),2)</f>
        <v>35.349999999999994</v>
      </c>
      <c r="K25" s="27">
        <f>ROUND((D25*Input!$Q$14),2)+ROUND((Input!$AA$14*D25),2)+ROUND((Input!$X$14*D25),2)</f>
        <v>35.379999999999995</v>
      </c>
      <c r="L25" s="27">
        <f t="shared" si="2"/>
        <v>3.0000000000001137E-2</v>
      </c>
      <c r="M25" s="28">
        <f t="shared" si="3"/>
        <v>1E-3</v>
      </c>
      <c r="N25" s="27">
        <v>0</v>
      </c>
      <c r="O25" s="27">
        <f>E25+J25+N25</f>
        <v>55.47999999999999</v>
      </c>
      <c r="P25" s="27">
        <f t="shared" si="5"/>
        <v>62.759999999999991</v>
      </c>
      <c r="Q25" s="28">
        <f t="shared" si="6"/>
        <v>0.13100000000000001</v>
      </c>
    </row>
    <row r="26" spans="1:17" x14ac:dyDescent="0.35">
      <c r="A26" s="59">
        <v>6</v>
      </c>
      <c r="B26" s="59"/>
      <c r="D26" s="41">
        <v>8</v>
      </c>
      <c r="E26" s="27">
        <f>Input!$H$14+Input!$L$14+Input!$M$14</f>
        <v>20.13</v>
      </c>
      <c r="F26" s="27">
        <f>Input!$V$14+Input!$Y$14+Input!$Z$14</f>
        <v>27.38</v>
      </c>
      <c r="G26" s="27">
        <f t="shared" si="0"/>
        <v>7.25</v>
      </c>
      <c r="H26" s="28">
        <f t="shared" si="1"/>
        <v>0.36</v>
      </c>
      <c r="I26" s="29"/>
      <c r="J26" s="27">
        <f>ROUND((D26*Input!$C$14),2)+ROUND((Input!$N$14*D26),2)+ROUND((D26*Input!$J$14),2)+ROUND((D26*Input!$K$14),2)</f>
        <v>46.360000000000007</v>
      </c>
      <c r="K26" s="27">
        <f>ROUND((D26*Input!$Q$14),2)+ROUND((Input!$AA$14*D26),2)+ROUND((Input!$X$14*D26),2)</f>
        <v>46.4</v>
      </c>
      <c r="L26" s="27">
        <f t="shared" si="2"/>
        <v>3.9999999999992042E-2</v>
      </c>
      <c r="M26" s="28">
        <f t="shared" si="3"/>
        <v>1E-3</v>
      </c>
      <c r="N26" s="27">
        <v>0</v>
      </c>
      <c r="O26" s="27">
        <f t="shared" si="4"/>
        <v>66.490000000000009</v>
      </c>
      <c r="P26" s="27">
        <f t="shared" si="5"/>
        <v>73.78</v>
      </c>
      <c r="Q26" s="28">
        <f t="shared" si="6"/>
        <v>0.11</v>
      </c>
    </row>
    <row r="27" spans="1:17" x14ac:dyDescent="0.35">
      <c r="A27" s="59">
        <v>7</v>
      </c>
      <c r="B27" s="59"/>
      <c r="D27" s="41">
        <v>10</v>
      </c>
      <c r="E27" s="27">
        <f>Input!$H$14+Input!$L$14+Input!$M$14</f>
        <v>20.13</v>
      </c>
      <c r="F27" s="27">
        <f>Input!$V$14+Input!$Y$14+Input!$Z$14</f>
        <v>27.38</v>
      </c>
      <c r="G27" s="27">
        <f t="shared" si="0"/>
        <v>7.25</v>
      </c>
      <c r="H27" s="28">
        <f t="shared" si="1"/>
        <v>0.36</v>
      </c>
      <c r="I27" s="29"/>
      <c r="J27" s="27">
        <f>ROUND((D27*Input!$C$14),2)+ROUND((Input!$N$14*D27),2)+ROUND((D27*Input!$J$14),2)+ROUND((D27*Input!$K$14),2)</f>
        <v>57.949999999999996</v>
      </c>
      <c r="K27" s="27">
        <f>ROUND((D27*Input!$Q$14),2)+ROUND((Input!$AA$14*D27),2)+ROUND((Input!$X$14*D27),2)</f>
        <v>57.989999999999995</v>
      </c>
      <c r="L27" s="27">
        <f t="shared" si="2"/>
        <v>3.9999999999999147E-2</v>
      </c>
      <c r="M27" s="28">
        <f t="shared" si="3"/>
        <v>1E-3</v>
      </c>
      <c r="N27" s="27">
        <v>0</v>
      </c>
      <c r="O27" s="27">
        <f t="shared" si="4"/>
        <v>78.08</v>
      </c>
      <c r="P27" s="27">
        <f t="shared" si="5"/>
        <v>85.36999999999999</v>
      </c>
      <c r="Q27" s="28">
        <f t="shared" si="6"/>
        <v>9.2999999999999999E-2</v>
      </c>
    </row>
    <row r="28" spans="1:17" x14ac:dyDescent="0.35">
      <c r="A28" s="59">
        <v>8</v>
      </c>
      <c r="B28" s="59"/>
      <c r="D28" s="41">
        <v>12</v>
      </c>
      <c r="E28" s="27">
        <f>Input!$H$14+Input!$L$14+Input!$M$14</f>
        <v>20.13</v>
      </c>
      <c r="F28" s="27">
        <f>Input!$V$14+Input!$Y$14+Input!$Z$14</f>
        <v>27.38</v>
      </c>
      <c r="G28" s="27">
        <f t="shared" si="0"/>
        <v>7.25</v>
      </c>
      <c r="H28" s="28">
        <f t="shared" si="1"/>
        <v>0.36</v>
      </c>
      <c r="I28" s="29"/>
      <c r="J28" s="27">
        <f>ROUND((D28*Input!$C$14),2)+ROUND((Input!$N$14*D28),2)+ROUND((D28*Input!$J$14),2)+ROUND((D28*Input!$K$14),2)</f>
        <v>69.540000000000006</v>
      </c>
      <c r="K28" s="27">
        <f>ROUND((D28*Input!$Q$14),2)+ROUND((Input!$AA$14*D28),2)+ROUND((Input!$X$14*D28),2)</f>
        <v>69.600000000000009</v>
      </c>
      <c r="L28" s="27">
        <f t="shared" si="2"/>
        <v>6.0000000000002274E-2</v>
      </c>
      <c r="M28" s="28">
        <f t="shared" si="3"/>
        <v>1E-3</v>
      </c>
      <c r="N28" s="27">
        <v>0</v>
      </c>
      <c r="O28" s="27">
        <f t="shared" si="4"/>
        <v>89.67</v>
      </c>
      <c r="P28" s="27">
        <f t="shared" si="5"/>
        <v>96.98</v>
      </c>
      <c r="Q28" s="28">
        <f t="shared" si="6"/>
        <v>8.2000000000000003E-2</v>
      </c>
    </row>
    <row r="29" spans="1:17" x14ac:dyDescent="0.35">
      <c r="A29" s="59">
        <v>9</v>
      </c>
      <c r="B29" s="59"/>
      <c r="D29" s="41">
        <v>16</v>
      </c>
      <c r="E29" s="27">
        <f>Input!$H$14+Input!$L$14+Input!$M$14</f>
        <v>20.13</v>
      </c>
      <c r="F29" s="27">
        <f>Input!$V$14+Input!$Y$14+Input!$Z$14</f>
        <v>27.38</v>
      </c>
      <c r="G29" s="27">
        <f t="shared" si="0"/>
        <v>7.25</v>
      </c>
      <c r="H29" s="28">
        <f t="shared" si="1"/>
        <v>0.36</v>
      </c>
      <c r="I29" s="29"/>
      <c r="J29" s="27">
        <f>ROUND((D29*Input!$C$14),2)+ROUND((Input!$N$14*D29),2)+ROUND((D29*Input!$J$14),2)+ROUND((D29*Input!$K$14),2)</f>
        <v>92.720000000000013</v>
      </c>
      <c r="K29" s="27">
        <f>ROUND((D29*Input!$Q$14),2)+ROUND((Input!$AA$14*D29),2)+ROUND((Input!$X$14*D29),2)</f>
        <v>92.8</v>
      </c>
      <c r="L29" s="27">
        <f t="shared" si="2"/>
        <v>7.9999999999984084E-2</v>
      </c>
      <c r="M29" s="28">
        <f t="shared" si="3"/>
        <v>1E-3</v>
      </c>
      <c r="N29" s="27">
        <v>0</v>
      </c>
      <c r="O29" s="27">
        <f t="shared" si="4"/>
        <v>112.85000000000001</v>
      </c>
      <c r="P29" s="27">
        <f t="shared" si="5"/>
        <v>120.17999999999999</v>
      </c>
      <c r="Q29" s="28">
        <f t="shared" si="6"/>
        <v>6.5000000000000002E-2</v>
      </c>
    </row>
    <row r="30" spans="1:17" x14ac:dyDescent="0.35">
      <c r="A30" s="59">
        <v>10</v>
      </c>
      <c r="D30" s="41">
        <v>18</v>
      </c>
      <c r="E30" s="27">
        <f>Input!$H$14+Input!$L$14+Input!$M$14</f>
        <v>20.13</v>
      </c>
      <c r="F30" s="27">
        <f>Input!$V$14+Input!$Y$14+Input!$Z$14</f>
        <v>27.38</v>
      </c>
      <c r="G30" s="27">
        <f t="shared" si="0"/>
        <v>7.25</v>
      </c>
      <c r="H30" s="28">
        <f t="shared" si="1"/>
        <v>0.36</v>
      </c>
      <c r="I30" s="29"/>
      <c r="J30" s="27">
        <f>ROUND((D30*Input!$C$14),2)+ROUND((Input!$N$14*D30),2)+ROUND((D30*Input!$J$14),2)+ROUND((D30*Input!$K$14),2)</f>
        <v>104.31</v>
      </c>
      <c r="K30" s="27">
        <f>ROUND((D30*Input!$Q$14),2)+ROUND((Input!$AA$14*D30),2)+ROUND((Input!$X$14*D30),2)</f>
        <v>104.39</v>
      </c>
      <c r="L30" s="27">
        <f t="shared" si="2"/>
        <v>7.9999999999998295E-2</v>
      </c>
      <c r="M30" s="28">
        <f t="shared" si="3"/>
        <v>1E-3</v>
      </c>
      <c r="N30" s="27">
        <v>0</v>
      </c>
      <c r="O30" s="27">
        <f t="shared" si="4"/>
        <v>124.44</v>
      </c>
      <c r="P30" s="27">
        <f t="shared" si="5"/>
        <v>131.77000000000001</v>
      </c>
      <c r="Q30" s="28">
        <f t="shared" si="6"/>
        <v>5.8999999999999997E-2</v>
      </c>
    </row>
    <row r="31" spans="1:17" x14ac:dyDescent="0.35">
      <c r="A31" s="59">
        <v>11</v>
      </c>
      <c r="D31" s="41">
        <v>22</v>
      </c>
      <c r="E31" s="27">
        <f>Input!$H$14+Input!$L$14+Input!$M$14</f>
        <v>20.13</v>
      </c>
      <c r="F31" s="27">
        <f>Input!$V$14+Input!$Y$14+Input!$Z$14</f>
        <v>27.38</v>
      </c>
      <c r="G31" s="27">
        <f t="shared" si="0"/>
        <v>7.25</v>
      </c>
      <c r="H31" s="28">
        <f t="shared" si="1"/>
        <v>0.36</v>
      </c>
      <c r="I31" s="29"/>
      <c r="J31" s="27">
        <f>ROUND((D31*Input!$C$14),2)+ROUND((Input!$N$14*D31),2)+ROUND((D31*Input!$J$14),2)+ROUND((D31*Input!$K$14),2)</f>
        <v>127.49</v>
      </c>
      <c r="K31" s="27">
        <f>ROUND((D31*Input!$Q$14),2)+ROUND((Input!$AA$14*D31),2)+ROUND((Input!$X$14*D31),2)</f>
        <v>127.58999999999999</v>
      </c>
      <c r="L31" s="27">
        <f t="shared" si="2"/>
        <v>9.9999999999994316E-2</v>
      </c>
      <c r="M31" s="28">
        <f t="shared" si="3"/>
        <v>1E-3</v>
      </c>
      <c r="N31" s="27">
        <v>0</v>
      </c>
      <c r="O31" s="27">
        <f t="shared" si="4"/>
        <v>147.62</v>
      </c>
      <c r="P31" s="27">
        <f t="shared" si="5"/>
        <v>154.97</v>
      </c>
      <c r="Q31" s="28">
        <f t="shared" si="6"/>
        <v>0.05</v>
      </c>
    </row>
    <row r="32" spans="1:17" x14ac:dyDescent="0.35">
      <c r="A32" s="59">
        <v>11</v>
      </c>
      <c r="D32" s="41">
        <v>25</v>
      </c>
      <c r="E32" s="27">
        <f>Input!$H$14+Input!$L$14+Input!$M$14</f>
        <v>20.13</v>
      </c>
      <c r="F32" s="27">
        <f>Input!$V$14+Input!$Y$14+Input!$Z$14</f>
        <v>27.38</v>
      </c>
      <c r="G32" s="27">
        <f>F32-E32</f>
        <v>7.25</v>
      </c>
      <c r="H32" s="28">
        <f>ROUND(G32/E32,3)</f>
        <v>0.36</v>
      </c>
      <c r="I32" s="29"/>
      <c r="J32" s="27">
        <f>ROUND((D32*Input!$C$14),2)+ROUND((Input!$N$14*D32),2)+ROUND((D32*Input!$J$14),2)+ROUND((D32*Input!$K$14),2)</f>
        <v>144.88</v>
      </c>
      <c r="K32" s="27">
        <f>ROUND((D32*Input!$Q$14),2)+ROUND((Input!$AA$14*D32),2)+ROUND((Input!$X$14*D32),2)</f>
        <v>145</v>
      </c>
      <c r="L32" s="27">
        <f>K32-J32</f>
        <v>0.12000000000000455</v>
      </c>
      <c r="M32" s="28">
        <f>ROUND(L32/J32,3)</f>
        <v>1E-3</v>
      </c>
      <c r="N32" s="27">
        <v>0</v>
      </c>
      <c r="O32" s="27">
        <f t="shared" si="4"/>
        <v>165.01</v>
      </c>
      <c r="P32" s="27">
        <f t="shared" si="5"/>
        <v>172.38</v>
      </c>
      <c r="Q32" s="28">
        <f>ROUND((P32-O32)/O32,3)</f>
        <v>4.4999999999999998E-2</v>
      </c>
    </row>
    <row r="33" spans="1:14" x14ac:dyDescent="0.35">
      <c r="A33" s="59"/>
      <c r="D33" s="59"/>
      <c r="E33" s="59"/>
      <c r="F33" s="59"/>
      <c r="H33" s="59"/>
      <c r="I33" s="59"/>
      <c r="J33" s="59"/>
      <c r="K33" s="59"/>
      <c r="L33" s="59"/>
      <c r="M33" s="59"/>
      <c r="N33" s="59"/>
    </row>
    <row r="34" spans="1:14" x14ac:dyDescent="0.35">
      <c r="A34" s="59"/>
      <c r="B34" s="8" t="s">
        <v>98</v>
      </c>
      <c r="D34" s="42">
        <f>Input!AT14</f>
        <v>6.1</v>
      </c>
      <c r="E34" s="59"/>
      <c r="F34" s="59"/>
      <c r="H34" s="59"/>
      <c r="I34" s="59"/>
      <c r="J34" s="59"/>
      <c r="K34" s="59"/>
      <c r="L34" s="59"/>
      <c r="M34" s="59"/>
      <c r="N34" s="59"/>
    </row>
    <row r="35" spans="1:14" x14ac:dyDescent="0.35">
      <c r="A35" s="59"/>
      <c r="D35" s="59"/>
      <c r="E35" s="59"/>
      <c r="F35" s="59"/>
      <c r="H35" s="59"/>
      <c r="I35" s="59"/>
      <c r="J35" s="59"/>
      <c r="K35" s="59"/>
      <c r="L35" s="59"/>
      <c r="M35" s="59"/>
      <c r="N35" s="59"/>
    </row>
    <row r="36" spans="1:14" x14ac:dyDescent="0.35">
      <c r="A36" s="40" t="s">
        <v>142</v>
      </c>
      <c r="D36" s="59"/>
      <c r="E36" s="59"/>
      <c r="F36" s="59"/>
      <c r="H36" s="59"/>
      <c r="I36" s="59"/>
      <c r="J36" s="59"/>
      <c r="K36" s="59"/>
      <c r="L36" s="59"/>
      <c r="M36" s="59"/>
      <c r="N36" s="59"/>
    </row>
    <row r="37" spans="1:14" x14ac:dyDescent="0.35">
      <c r="A37" s="59"/>
      <c r="D37" s="59"/>
      <c r="E37" s="59"/>
      <c r="F37" s="59"/>
      <c r="H37" s="59"/>
      <c r="I37" s="59"/>
      <c r="J37" s="59"/>
      <c r="K37" s="59"/>
      <c r="L37" s="59"/>
      <c r="M37" s="59"/>
      <c r="N37" s="59"/>
    </row>
    <row r="38" spans="1:14" x14ac:dyDescent="0.35">
      <c r="A38" s="59"/>
    </row>
    <row r="39" spans="1:14" x14ac:dyDescent="0.35">
      <c r="A39" s="59"/>
    </row>
    <row r="40" spans="1:14" x14ac:dyDescent="0.35">
      <c r="A40" s="59"/>
    </row>
    <row r="41" spans="1:14" x14ac:dyDescent="0.35">
      <c r="A41" s="59"/>
    </row>
    <row r="42" spans="1:14" x14ac:dyDescent="0.35">
      <c r="A42" s="59"/>
    </row>
  </sheetData>
  <mergeCells count="7">
    <mergeCell ref="A5:Q5"/>
    <mergeCell ref="E13:H13"/>
    <mergeCell ref="J13:M13"/>
    <mergeCell ref="A1:Q1"/>
    <mergeCell ref="A2:Q2"/>
    <mergeCell ref="A3:Q3"/>
    <mergeCell ref="A4:Q4"/>
  </mergeCells>
  <phoneticPr fontId="0" type="noConversion"/>
  <printOptions horizontalCentered="1"/>
  <pageMargins left="0.25" right="0.25" top="0.75" bottom="0.75" header="0.5" footer="0.5"/>
  <pageSetup scale="7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43"/>
  <sheetViews>
    <sheetView workbookViewId="0">
      <selection sqref="A1:Q1"/>
    </sheetView>
  </sheetViews>
  <sheetFormatPr defaultColWidth="9.36328125" defaultRowHeight="12.9" x14ac:dyDescent="0.35"/>
  <cols>
    <col min="1" max="1" width="4.453125" style="8" customWidth="1"/>
    <col min="2" max="2" width="13.36328125" style="8" customWidth="1"/>
    <col min="3" max="3" width="11.6328125" style="8" bestFit="1" customWidth="1"/>
    <col min="4" max="4" width="10.453125" style="8" bestFit="1" customWidth="1"/>
    <col min="5" max="5" width="15.36328125" style="8" bestFit="1" customWidth="1"/>
    <col min="6" max="6" width="10.81640625" style="8" bestFit="1" customWidth="1"/>
    <col min="7" max="7" width="12.1796875" style="59" bestFit="1" customWidth="1"/>
    <col min="8" max="8" width="12.1796875" style="8" bestFit="1" customWidth="1"/>
    <col min="9" max="9" width="1.81640625" style="8" customWidth="1"/>
    <col min="10" max="11" width="12.81640625" style="8" bestFit="1" customWidth="1"/>
    <col min="12" max="13" width="12.1796875" style="8" bestFit="1" customWidth="1"/>
    <col min="14" max="14" width="10.36328125" style="8" customWidth="1"/>
    <col min="15" max="15" width="13.1796875" style="59" bestFit="1" customWidth="1"/>
    <col min="16" max="16" width="12.6328125" style="59" bestFit="1" customWidth="1"/>
    <col min="17" max="17" width="13.6328125" style="59" customWidth="1"/>
    <col min="18" max="18" width="8.453125" style="8" customWidth="1"/>
    <col min="19" max="19" width="17.453125" style="8" bestFit="1" customWidth="1"/>
    <col min="20" max="20" width="11.453125" style="8" bestFit="1" customWidth="1"/>
    <col min="21" max="24" width="0" style="8" hidden="1" customWidth="1"/>
    <col min="25" max="25" width="11.453125" style="8" bestFit="1" customWidth="1"/>
    <col min="26" max="26" width="12.1796875" style="8" bestFit="1" customWidth="1"/>
    <col min="27" max="16384" width="9.36328125" style="8"/>
  </cols>
  <sheetData>
    <row r="1" spans="1:17" x14ac:dyDescent="0.35">
      <c r="A1" s="73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x14ac:dyDescent="0.35">
      <c r="A2" s="73" t="str">
        <f>Input!$B$1</f>
        <v>CASE NO. 2024-xxxxx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x14ac:dyDescent="0.35">
      <c r="A3" s="73" t="s">
        <v>85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x14ac:dyDescent="0.35">
      <c r="A4" s="73" t="s">
        <v>36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x14ac:dyDescent="0.35">
      <c r="A5" s="73" t="str">
        <f>Input!$B$5</f>
        <v>TWELVE MONTHS ENDING DECEMBER 31, 2025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x14ac:dyDescent="0.35">
      <c r="A6" s="59"/>
      <c r="B6" s="60"/>
      <c r="C6" s="60"/>
      <c r="D6" s="60"/>
      <c r="E6" s="60"/>
      <c r="F6" s="60"/>
      <c r="H6" s="60"/>
      <c r="I6" s="60"/>
      <c r="J6" s="60"/>
      <c r="K6" s="60"/>
      <c r="L6" s="60"/>
      <c r="M6" s="60"/>
      <c r="N6" s="60"/>
    </row>
    <row r="7" spans="1:17" x14ac:dyDescent="0.35">
      <c r="A7" s="59"/>
      <c r="B7" s="60"/>
      <c r="C7" s="60"/>
      <c r="D7" s="60"/>
      <c r="E7" s="60"/>
      <c r="F7" s="60"/>
      <c r="H7" s="60"/>
      <c r="I7" s="60"/>
      <c r="J7" s="60"/>
      <c r="K7" s="60"/>
      <c r="L7" s="60"/>
      <c r="M7" s="60"/>
      <c r="N7" s="60"/>
    </row>
    <row r="8" spans="1:17" x14ac:dyDescent="0.35">
      <c r="A8" s="8" t="s">
        <v>123</v>
      </c>
      <c r="Q8" s="30" t="s">
        <v>37</v>
      </c>
    </row>
    <row r="9" spans="1:17" x14ac:dyDescent="0.35">
      <c r="A9" s="8" t="s">
        <v>124</v>
      </c>
      <c r="Q9" s="30" t="s">
        <v>128</v>
      </c>
    </row>
    <row r="10" spans="1:17" x14ac:dyDescent="0.35">
      <c r="A10" s="8" t="s">
        <v>38</v>
      </c>
      <c r="Q10" s="30" t="str">
        <f>Input!$B$3</f>
        <v>Witness: R. J. Amen</v>
      </c>
    </row>
    <row r="12" spans="1:17" x14ac:dyDescent="0.35">
      <c r="A12" s="24"/>
      <c r="B12" s="24"/>
      <c r="C12" s="24"/>
      <c r="D12" s="24"/>
      <c r="E12" s="24"/>
      <c r="F12" s="24"/>
      <c r="G12" s="61"/>
      <c r="H12" s="24"/>
      <c r="I12" s="24"/>
      <c r="J12" s="24"/>
      <c r="K12" s="24"/>
      <c r="L12" s="24"/>
      <c r="M12" s="24"/>
      <c r="N12" s="24"/>
      <c r="O12" s="61"/>
      <c r="P12" s="61"/>
      <c r="Q12" s="61"/>
    </row>
    <row r="13" spans="1:17" x14ac:dyDescent="0.35">
      <c r="E13" s="75" t="s">
        <v>77</v>
      </c>
      <c r="F13" s="75"/>
      <c r="G13" s="75"/>
      <c r="H13" s="75"/>
      <c r="I13" s="25"/>
      <c r="J13" s="75" t="s">
        <v>78</v>
      </c>
      <c r="K13" s="75"/>
      <c r="L13" s="75"/>
      <c r="M13" s="75"/>
      <c r="N13" s="25"/>
    </row>
    <row r="14" spans="1:17" x14ac:dyDescent="0.35">
      <c r="E14" s="59" t="s">
        <v>43</v>
      </c>
      <c r="F14" s="59" t="s">
        <v>44</v>
      </c>
      <c r="G14" s="59" t="s">
        <v>75</v>
      </c>
      <c r="H14" s="59" t="s">
        <v>46</v>
      </c>
      <c r="L14" s="59" t="s">
        <v>75</v>
      </c>
      <c r="M14" s="59" t="s">
        <v>46</v>
      </c>
      <c r="N14" s="59"/>
      <c r="O14" s="59" t="s">
        <v>39</v>
      </c>
      <c r="P14" s="59" t="s">
        <v>39</v>
      </c>
      <c r="Q14" s="59" t="s">
        <v>46</v>
      </c>
    </row>
    <row r="15" spans="1:17" x14ac:dyDescent="0.35">
      <c r="D15" s="59" t="s">
        <v>71</v>
      </c>
      <c r="E15" s="59" t="s">
        <v>71</v>
      </c>
      <c r="F15" s="59" t="s">
        <v>71</v>
      </c>
      <c r="G15" s="59" t="s">
        <v>45</v>
      </c>
      <c r="H15" s="59" t="s">
        <v>45</v>
      </c>
      <c r="I15" s="59"/>
      <c r="J15" s="59" t="s">
        <v>43</v>
      </c>
      <c r="K15" s="59" t="s">
        <v>44</v>
      </c>
      <c r="L15" s="59" t="s">
        <v>45</v>
      </c>
      <c r="M15" s="59" t="s">
        <v>45</v>
      </c>
      <c r="N15" s="59"/>
      <c r="O15" s="59" t="s">
        <v>43</v>
      </c>
      <c r="P15" s="59" t="s">
        <v>44</v>
      </c>
      <c r="Q15" s="59" t="s">
        <v>45</v>
      </c>
    </row>
    <row r="16" spans="1:17" x14ac:dyDescent="0.35">
      <c r="A16" s="59" t="s">
        <v>40</v>
      </c>
      <c r="B16" s="59" t="s">
        <v>41</v>
      </c>
      <c r="C16" s="59" t="s">
        <v>42</v>
      </c>
      <c r="D16" s="59" t="s">
        <v>72</v>
      </c>
      <c r="E16" s="59" t="s">
        <v>68</v>
      </c>
      <c r="F16" s="59" t="s">
        <v>68</v>
      </c>
      <c r="G16" s="59" t="s">
        <v>76</v>
      </c>
      <c r="H16" s="59" t="s">
        <v>76</v>
      </c>
      <c r="I16" s="59"/>
      <c r="J16" s="59" t="s">
        <v>79</v>
      </c>
      <c r="K16" s="59" t="s">
        <v>79</v>
      </c>
      <c r="L16" s="59" t="s">
        <v>76</v>
      </c>
      <c r="M16" s="59" t="s">
        <v>76</v>
      </c>
      <c r="N16" s="59" t="s">
        <v>138</v>
      </c>
      <c r="O16" s="59" t="s">
        <v>49</v>
      </c>
      <c r="P16" s="59" t="s">
        <v>49</v>
      </c>
      <c r="Q16" s="59" t="s">
        <v>76</v>
      </c>
    </row>
    <row r="17" spans="1:17" x14ac:dyDescent="0.35">
      <c r="A17" s="59" t="s">
        <v>47</v>
      </c>
      <c r="B17" s="59" t="s">
        <v>48</v>
      </c>
      <c r="C17" s="59" t="s">
        <v>15</v>
      </c>
      <c r="D17" s="59" t="s">
        <v>73</v>
      </c>
      <c r="E17" s="59" t="s">
        <v>74</v>
      </c>
      <c r="F17" s="59" t="s">
        <v>74</v>
      </c>
      <c r="G17" s="26" t="s">
        <v>50</v>
      </c>
      <c r="H17" s="26" t="s">
        <v>51</v>
      </c>
      <c r="I17" s="26"/>
      <c r="J17" s="59" t="s">
        <v>74</v>
      </c>
      <c r="K17" s="59" t="s">
        <v>74</v>
      </c>
      <c r="L17" s="26" t="s">
        <v>80</v>
      </c>
      <c r="M17" s="26" t="s">
        <v>81</v>
      </c>
      <c r="N17" s="26" t="s">
        <v>141</v>
      </c>
      <c r="O17" s="26" t="s">
        <v>116</v>
      </c>
      <c r="P17" s="26" t="s">
        <v>140</v>
      </c>
      <c r="Q17" s="26" t="s">
        <v>139</v>
      </c>
    </row>
    <row r="18" spans="1:17" x14ac:dyDescent="0.35">
      <c r="D18" s="26" t="s">
        <v>52</v>
      </c>
      <c r="E18" s="26" t="s">
        <v>53</v>
      </c>
      <c r="F18" s="26" t="s">
        <v>53</v>
      </c>
      <c r="G18" s="26" t="s">
        <v>53</v>
      </c>
      <c r="H18" s="26" t="s">
        <v>54</v>
      </c>
      <c r="I18" s="26"/>
      <c r="J18" s="26" t="s">
        <v>53</v>
      </c>
      <c r="K18" s="26" t="s">
        <v>53</v>
      </c>
      <c r="L18" s="26" t="s">
        <v>53</v>
      </c>
      <c r="M18" s="26" t="s">
        <v>54</v>
      </c>
      <c r="N18" s="26" t="s">
        <v>53</v>
      </c>
      <c r="O18" s="26" t="s">
        <v>53</v>
      </c>
      <c r="P18" s="26" t="s">
        <v>53</v>
      </c>
      <c r="Q18" s="26" t="s">
        <v>54</v>
      </c>
    </row>
    <row r="19" spans="1:17" x14ac:dyDescent="0.35">
      <c r="C19" s="26" t="s">
        <v>55</v>
      </c>
      <c r="D19" s="26" t="s">
        <v>56</v>
      </c>
      <c r="E19" s="26" t="s">
        <v>57</v>
      </c>
      <c r="F19" s="26" t="s">
        <v>58</v>
      </c>
      <c r="G19" s="26" t="s">
        <v>59</v>
      </c>
      <c r="H19" s="26" t="s">
        <v>60</v>
      </c>
      <c r="I19" s="26"/>
      <c r="J19" s="26" t="s">
        <v>61</v>
      </c>
      <c r="K19" s="26" t="s">
        <v>62</v>
      </c>
      <c r="L19" s="26" t="s">
        <v>63</v>
      </c>
      <c r="M19" s="26" t="s">
        <v>64</v>
      </c>
      <c r="N19" s="26" t="s">
        <v>82</v>
      </c>
      <c r="O19" s="26" t="s">
        <v>83</v>
      </c>
      <c r="P19" s="26" t="s">
        <v>84</v>
      </c>
      <c r="Q19" s="26" t="s">
        <v>110</v>
      </c>
    </row>
    <row r="20" spans="1:17" x14ac:dyDescent="0.35">
      <c r="D20" s="59"/>
      <c r="E20" s="59"/>
      <c r="F20" s="59"/>
      <c r="H20" s="59"/>
      <c r="I20" s="59"/>
      <c r="J20" s="59"/>
      <c r="K20" s="26"/>
      <c r="L20" s="26"/>
      <c r="M20" s="26"/>
      <c r="N20" s="26"/>
    </row>
    <row r="21" spans="1:17" x14ac:dyDescent="0.35">
      <c r="A21" s="59">
        <v>1</v>
      </c>
      <c r="B21" s="59" t="s">
        <v>19</v>
      </c>
      <c r="C21" s="59" t="s">
        <v>65</v>
      </c>
      <c r="D21" s="43">
        <v>10</v>
      </c>
      <c r="E21" s="27">
        <f>Input!$H$15</f>
        <v>83.71</v>
      </c>
      <c r="F21" s="27">
        <f>Input!$V$15</f>
        <v>110</v>
      </c>
      <c r="G21" s="50">
        <f>F21-E21</f>
        <v>26.290000000000006</v>
      </c>
      <c r="H21" s="28">
        <f>ROUND(G21/E21,3)</f>
        <v>0.314</v>
      </c>
      <c r="I21" s="29"/>
      <c r="J21" s="27">
        <f>ROUND((D21*Input!$M$15),2)+ROUND((D21*Input!$C$15),2)+ROUND((D21*Input!$J$15),2)+ROUND((D21*Input!$K$15),2)+ROUND((D21*Input!$N$15),2)</f>
        <v>35.839999999999996</v>
      </c>
      <c r="K21" s="27">
        <f>ROUND((D21*Input!$AA$15),2)+ROUND((D21*Input!$Q$15),2)+ROUND((Input!$X$15*D21),2)</f>
        <v>36.65</v>
      </c>
      <c r="L21" s="27">
        <f>K21-J21</f>
        <v>0.81000000000000227</v>
      </c>
      <c r="M21" s="28">
        <f>ROUND(L21/J21,3)</f>
        <v>2.3E-2</v>
      </c>
      <c r="N21" s="27">
        <v>0</v>
      </c>
      <c r="O21" s="27">
        <f>E21+J21+N21</f>
        <v>119.54999999999998</v>
      </c>
      <c r="P21" s="27">
        <f>F21+K21+N21</f>
        <v>146.65</v>
      </c>
      <c r="Q21" s="28">
        <f>ROUND((P21-O21)/O21,3)</f>
        <v>0.22700000000000001</v>
      </c>
    </row>
    <row r="22" spans="1:17" x14ac:dyDescent="0.35">
      <c r="A22" s="59">
        <v>2</v>
      </c>
      <c r="B22" s="59" t="s">
        <v>69</v>
      </c>
      <c r="C22" s="59" t="s">
        <v>67</v>
      </c>
      <c r="D22" s="43">
        <v>30</v>
      </c>
      <c r="E22" s="27">
        <f>Input!$H$15</f>
        <v>83.71</v>
      </c>
      <c r="F22" s="27">
        <f>Input!$V$15</f>
        <v>110</v>
      </c>
      <c r="G22" s="50">
        <f t="shared" ref="G22:G32" si="0">F22-E22</f>
        <v>26.290000000000006</v>
      </c>
      <c r="H22" s="28">
        <f t="shared" ref="H22:H38" si="1">ROUND(G22/E22,3)</f>
        <v>0.314</v>
      </c>
      <c r="I22" s="29"/>
      <c r="J22" s="27">
        <f>ROUND((D22*Input!$M$15),2)+ROUND((D22*Input!$C$15),2)+ROUND((D22*Input!$J$15),2)+ROUND((D22*Input!$K$15),2)+ROUND((D22*Input!$N$15),2)</f>
        <v>107.54</v>
      </c>
      <c r="K22" s="27">
        <f>ROUND((D22*Input!$AA$15),2)+ROUND((D22*Input!$Q$15),2)+ROUND((Input!$X$15*D22),2)</f>
        <v>109.95</v>
      </c>
      <c r="L22" s="27">
        <f t="shared" ref="L22:L32" si="2">K22-J22</f>
        <v>2.4099999999999966</v>
      </c>
      <c r="M22" s="28">
        <f t="shared" ref="M22:M38" si="3">ROUND(L22/J22,3)</f>
        <v>2.1999999999999999E-2</v>
      </c>
      <c r="N22" s="27">
        <v>0</v>
      </c>
      <c r="O22" s="27">
        <f t="shared" ref="O22:O38" si="4">E22+J22+N22</f>
        <v>191.25</v>
      </c>
      <c r="P22" s="27">
        <f t="shared" ref="P22:P38" si="5">F22+K22+N22</f>
        <v>219.95</v>
      </c>
      <c r="Q22" s="28">
        <f t="shared" ref="Q22:Q38" si="6">ROUND((P22-O22)/O22,3)</f>
        <v>0.15</v>
      </c>
    </row>
    <row r="23" spans="1:17" x14ac:dyDescent="0.35">
      <c r="A23" s="59">
        <v>3</v>
      </c>
      <c r="B23" s="59" t="s">
        <v>70</v>
      </c>
      <c r="C23" s="59"/>
      <c r="D23" s="43">
        <f>D40</f>
        <v>47</v>
      </c>
      <c r="E23" s="27">
        <f>Input!$H$15</f>
        <v>83.71</v>
      </c>
      <c r="F23" s="27">
        <f>Input!$V$15</f>
        <v>110</v>
      </c>
      <c r="G23" s="50">
        <f>F23-E23</f>
        <v>26.290000000000006</v>
      </c>
      <c r="H23" s="28">
        <f t="shared" si="1"/>
        <v>0.314</v>
      </c>
      <c r="I23" s="29"/>
      <c r="J23" s="27">
        <f>ROUND((D23*Input!$M$15),2)+ROUND((D23*Input!$C$15),2)+ROUND((D23*Input!$J$15),2)+ROUND((D23*Input!$K$15),2)+ROUND((D23*Input!$N$15),2)</f>
        <v>168.48000000000002</v>
      </c>
      <c r="K23" s="27">
        <f>ROUND((D23*Input!$AA$15),2)+ROUND((D23*Input!$Q$15),2)+ROUND((Input!$X$15*D23),2)</f>
        <v>172.25</v>
      </c>
      <c r="L23" s="27">
        <f>K23-J23</f>
        <v>3.7699999999999818</v>
      </c>
      <c r="M23" s="28">
        <f t="shared" si="3"/>
        <v>2.1999999999999999E-2</v>
      </c>
      <c r="N23" s="27">
        <v>0</v>
      </c>
      <c r="O23" s="27">
        <f t="shared" si="4"/>
        <v>252.19</v>
      </c>
      <c r="P23" s="27">
        <f t="shared" si="5"/>
        <v>282.25</v>
      </c>
      <c r="Q23" s="28">
        <f t="shared" si="6"/>
        <v>0.11899999999999999</v>
      </c>
    </row>
    <row r="24" spans="1:17" x14ac:dyDescent="0.35">
      <c r="A24" s="59">
        <v>4</v>
      </c>
      <c r="B24" s="59" t="s">
        <v>86</v>
      </c>
      <c r="D24" s="43">
        <v>50</v>
      </c>
      <c r="E24" s="27">
        <f>Input!$H$15</f>
        <v>83.71</v>
      </c>
      <c r="F24" s="27">
        <f>Input!$V$15</f>
        <v>110</v>
      </c>
      <c r="G24" s="50">
        <f t="shared" si="0"/>
        <v>26.290000000000006</v>
      </c>
      <c r="H24" s="28">
        <f t="shared" si="1"/>
        <v>0.314</v>
      </c>
      <c r="I24" s="29"/>
      <c r="J24" s="27">
        <f>ROUND((D24*Input!$M$15),2)+ROUND((D24*Input!$C$15),2)+ROUND((D24*Input!$J$15),2)+ROUND((D24*Input!$K$15),2)+ROUND((D24*Input!$N$15),2)</f>
        <v>179.24</v>
      </c>
      <c r="K24" s="27">
        <f>ROUND((D24*Input!$AA$15),2)+ROUND((D24*Input!$Q$15),2)+ROUND((Input!$X$15*D24),2)</f>
        <v>183.25</v>
      </c>
      <c r="L24" s="27">
        <f t="shared" si="2"/>
        <v>4.0099999999999909</v>
      </c>
      <c r="M24" s="28">
        <f t="shared" si="3"/>
        <v>2.1999999999999999E-2</v>
      </c>
      <c r="N24" s="27">
        <v>0</v>
      </c>
      <c r="O24" s="27">
        <f t="shared" si="4"/>
        <v>262.95</v>
      </c>
      <c r="P24" s="27">
        <f t="shared" si="5"/>
        <v>293.25</v>
      </c>
      <c r="Q24" s="28">
        <f t="shared" si="6"/>
        <v>0.115</v>
      </c>
    </row>
    <row r="25" spans="1:17" x14ac:dyDescent="0.35">
      <c r="A25" s="59">
        <v>5</v>
      </c>
      <c r="B25" s="59" t="s">
        <v>87</v>
      </c>
      <c r="D25" s="43">
        <v>70</v>
      </c>
      <c r="E25" s="27">
        <f>Input!$H$15</f>
        <v>83.71</v>
      </c>
      <c r="F25" s="27">
        <f>Input!$V$15</f>
        <v>110</v>
      </c>
      <c r="G25" s="50">
        <f t="shared" si="0"/>
        <v>26.290000000000006</v>
      </c>
      <c r="H25" s="28">
        <f t="shared" si="1"/>
        <v>0.314</v>
      </c>
      <c r="I25" s="29"/>
      <c r="J25" s="27">
        <f>ROUND((D25*Input!$M$15),2)+ROUND((Input!$AD$15*Input!$C$15),2)+ROUND(((D25-Input!$AD$15)*Input!$D$15),2)+ROUND((D25*Input!$J$15),2)+ROUND((D25*Input!$K$15),2)+ROUND((D25*Input!$N$15),2)</f>
        <v>236.1</v>
      </c>
      <c r="K25" s="27">
        <f>ROUND((D25*Input!$AA$15),2)+ROUND((Input!$AK$15*Input!$Q$15),2)+ROUND(((D25-Input!$AK$15)*Input!$R$15),2)+ROUND((Input!$X$15*D25),2)</f>
        <v>239.89</v>
      </c>
      <c r="L25" s="27">
        <f t="shared" si="2"/>
        <v>3.789999999999992</v>
      </c>
      <c r="M25" s="28">
        <f t="shared" si="3"/>
        <v>1.6E-2</v>
      </c>
      <c r="N25" s="27">
        <v>0</v>
      </c>
      <c r="O25" s="27">
        <f t="shared" si="4"/>
        <v>319.81</v>
      </c>
      <c r="P25" s="27">
        <f t="shared" si="5"/>
        <v>349.89</v>
      </c>
      <c r="Q25" s="28">
        <f t="shared" si="6"/>
        <v>9.4E-2</v>
      </c>
    </row>
    <row r="26" spans="1:17" x14ac:dyDescent="0.35">
      <c r="A26" s="59">
        <v>6</v>
      </c>
      <c r="B26" s="59" t="s">
        <v>88</v>
      </c>
      <c r="D26" s="43">
        <v>100</v>
      </c>
      <c r="E26" s="27">
        <f>Input!$H$15</f>
        <v>83.71</v>
      </c>
      <c r="F26" s="27">
        <f>Input!$V$15</f>
        <v>110</v>
      </c>
      <c r="G26" s="50">
        <f t="shared" si="0"/>
        <v>26.290000000000006</v>
      </c>
      <c r="H26" s="28">
        <f t="shared" si="1"/>
        <v>0.314</v>
      </c>
      <c r="I26" s="29"/>
      <c r="J26" s="27">
        <f>ROUND((D26*Input!$M$15),2)+ROUND((Input!$AD$15*Input!$C$15),2)+ROUND(((D26-Input!$AD$15)*Input!$D$15),2)+ROUND((D26*Input!$J$15),2)+ROUND((D26*Input!$K$15),2)+ROUND((D26*Input!$N$15),2)</f>
        <v>321.39000000000004</v>
      </c>
      <c r="K26" s="27">
        <f>ROUND((D26*Input!$AA$15),2)+ROUND((Input!$AK$15*Input!$Q$15),2)+ROUND(((D26-Input!$AK$15)*Input!$R$15),2)+ROUND((Input!$X$15*D26),2)</f>
        <v>324.84000000000003</v>
      </c>
      <c r="L26" s="27">
        <f t="shared" si="2"/>
        <v>3.4499999999999886</v>
      </c>
      <c r="M26" s="28">
        <f t="shared" si="3"/>
        <v>1.0999999999999999E-2</v>
      </c>
      <c r="N26" s="27">
        <v>0</v>
      </c>
      <c r="O26" s="27">
        <f t="shared" si="4"/>
        <v>405.1</v>
      </c>
      <c r="P26" s="27">
        <f t="shared" si="5"/>
        <v>434.84000000000003</v>
      </c>
      <c r="Q26" s="28">
        <f t="shared" si="6"/>
        <v>7.2999999999999995E-2</v>
      </c>
    </row>
    <row r="27" spans="1:17" x14ac:dyDescent="0.35">
      <c r="A27" s="59">
        <v>7</v>
      </c>
      <c r="D27" s="43">
        <v>150</v>
      </c>
      <c r="E27" s="27">
        <f>Input!$H$15</f>
        <v>83.71</v>
      </c>
      <c r="F27" s="27">
        <f>Input!$V$15</f>
        <v>110</v>
      </c>
      <c r="G27" s="50">
        <f t="shared" si="0"/>
        <v>26.290000000000006</v>
      </c>
      <c r="H27" s="28">
        <f t="shared" si="1"/>
        <v>0.314</v>
      </c>
      <c r="I27" s="29"/>
      <c r="J27" s="27">
        <f>ROUND((D27*Input!$M$15),2)+ROUND((Input!$AD$15*Input!$C$15),2)+ROUND(((D27-Input!$AD$15)*Input!$D$15),2)+ROUND((D27*Input!$J$15),2)+ROUND((D27*Input!$K$15),2)+ROUND((D27*Input!$N$15),2)</f>
        <v>463.53999999999996</v>
      </c>
      <c r="K27" s="27">
        <f>ROUND((D27*Input!$AA$15),2)+ROUND((Input!$AK$15*Input!$Q$15),2)+ROUND(((D27-Input!$AK$15)*Input!$R$15),2)+ROUND((Input!$X$15*D27),2)</f>
        <v>466.42</v>
      </c>
      <c r="L27" s="27">
        <f t="shared" si="2"/>
        <v>2.8800000000000523</v>
      </c>
      <c r="M27" s="28">
        <f t="shared" si="3"/>
        <v>6.0000000000000001E-3</v>
      </c>
      <c r="N27" s="27">
        <v>0</v>
      </c>
      <c r="O27" s="27">
        <f t="shared" si="4"/>
        <v>547.25</v>
      </c>
      <c r="P27" s="27">
        <f t="shared" si="5"/>
        <v>576.42000000000007</v>
      </c>
      <c r="Q27" s="28">
        <f t="shared" si="6"/>
        <v>5.2999999999999999E-2</v>
      </c>
    </row>
    <row r="28" spans="1:17" x14ac:dyDescent="0.35">
      <c r="A28" s="59">
        <v>8</v>
      </c>
      <c r="B28" s="59"/>
      <c r="D28" s="43">
        <v>200</v>
      </c>
      <c r="E28" s="27">
        <f>Input!$H$15</f>
        <v>83.71</v>
      </c>
      <c r="F28" s="27">
        <f>Input!$V$15</f>
        <v>110</v>
      </c>
      <c r="G28" s="50">
        <f t="shared" si="0"/>
        <v>26.290000000000006</v>
      </c>
      <c r="H28" s="28">
        <f t="shared" si="1"/>
        <v>0.314</v>
      </c>
      <c r="I28" s="29"/>
      <c r="J28" s="27">
        <f>ROUND((D28*Input!$M$15),2)+ROUND((Input!$AD$15*Input!$C$15),2)+ROUND(((D28-Input!$AD$15)*Input!$D$15),2)+ROUND((D28*Input!$J$15),2)+ROUND((D28*Input!$K$15),2)+ROUND((D28*Input!$N$15),2)</f>
        <v>605.69000000000005</v>
      </c>
      <c r="K28" s="27">
        <f>ROUND((D28*Input!$AA$15),2)+ROUND((Input!$AK$15*Input!$Q$15),2)+ROUND(((D28-Input!$AK$15)*Input!$R$15),2)+ROUND((Input!$X$15*D28),2)</f>
        <v>608.01</v>
      </c>
      <c r="L28" s="27">
        <f t="shared" si="2"/>
        <v>2.3199999999999363</v>
      </c>
      <c r="M28" s="28">
        <f t="shared" si="3"/>
        <v>4.0000000000000001E-3</v>
      </c>
      <c r="N28" s="27">
        <v>0</v>
      </c>
      <c r="O28" s="27">
        <f t="shared" si="4"/>
        <v>689.40000000000009</v>
      </c>
      <c r="P28" s="27">
        <f t="shared" si="5"/>
        <v>718.01</v>
      </c>
      <c r="Q28" s="28">
        <f t="shared" si="6"/>
        <v>4.1000000000000002E-2</v>
      </c>
    </row>
    <row r="29" spans="1:17" x14ac:dyDescent="0.35">
      <c r="A29" s="59">
        <v>9</v>
      </c>
      <c r="B29" s="59"/>
      <c r="D29" s="43">
        <v>250</v>
      </c>
      <c r="E29" s="27">
        <f>Input!$H$15</f>
        <v>83.71</v>
      </c>
      <c r="F29" s="27">
        <f>Input!$V$15</f>
        <v>110</v>
      </c>
      <c r="G29" s="50">
        <f t="shared" si="0"/>
        <v>26.290000000000006</v>
      </c>
      <c r="H29" s="28">
        <f t="shared" si="1"/>
        <v>0.314</v>
      </c>
      <c r="I29" s="29"/>
      <c r="J29" s="27">
        <f>ROUND((D29*Input!$M$15),2)+ROUND((Input!$AD$15*Input!$C$15),2)+ROUND(((D29-Input!$AD$15)*Input!$D$15),2)+ROUND((D29*Input!$J$15),2)+ROUND((D29*Input!$K$15),2)+ROUND((D29*Input!$N$15),2)</f>
        <v>747.84</v>
      </c>
      <c r="K29" s="27">
        <f>ROUND((D29*Input!$AA$15),2)+ROUND((Input!$AK$15*Input!$Q$15),2)+ROUND(((D29-Input!$AK$15)*Input!$R$15),2)+ROUND((Input!$X$15*D29),2)</f>
        <v>749.59</v>
      </c>
      <c r="L29" s="27">
        <f t="shared" si="2"/>
        <v>1.75</v>
      </c>
      <c r="M29" s="28">
        <f t="shared" si="3"/>
        <v>2E-3</v>
      </c>
      <c r="N29" s="27">
        <v>0</v>
      </c>
      <c r="O29" s="27">
        <f t="shared" si="4"/>
        <v>831.55000000000007</v>
      </c>
      <c r="P29" s="27">
        <f t="shared" si="5"/>
        <v>859.59</v>
      </c>
      <c r="Q29" s="28">
        <f t="shared" si="6"/>
        <v>3.4000000000000002E-2</v>
      </c>
    </row>
    <row r="30" spans="1:17" x14ac:dyDescent="0.35">
      <c r="A30" s="59">
        <v>10</v>
      </c>
      <c r="B30" s="59"/>
      <c r="D30" s="43">
        <v>300</v>
      </c>
      <c r="E30" s="27">
        <f>Input!$H$15</f>
        <v>83.71</v>
      </c>
      <c r="F30" s="27">
        <f>Input!$V$15</f>
        <v>110</v>
      </c>
      <c r="G30" s="50">
        <f t="shared" si="0"/>
        <v>26.290000000000006</v>
      </c>
      <c r="H30" s="28">
        <f t="shared" si="1"/>
        <v>0.314</v>
      </c>
      <c r="I30" s="29"/>
      <c r="J30" s="27">
        <f>ROUND((D30*Input!$M$15),2)+ROUND((Input!$AD$15*Input!$C$15),2)+ROUND(((D30-Input!$AD$15)*Input!$D$15),2)+ROUND((D30*Input!$J$15),2)+ROUND((D30*Input!$K$15),2)+ROUND((D30*Input!$N$15),2)</f>
        <v>889.99</v>
      </c>
      <c r="K30" s="27">
        <f>ROUND((D30*Input!$AA$15),2)+ROUND((Input!$AK$15*Input!$Q$15),2)+ROUND(((D30-Input!$AK$15)*Input!$R$15),2)+ROUND((Input!$X$15*D30),2)</f>
        <v>891.18000000000006</v>
      </c>
      <c r="L30" s="27">
        <f t="shared" si="2"/>
        <v>1.1900000000000546</v>
      </c>
      <c r="M30" s="28">
        <f t="shared" si="3"/>
        <v>1E-3</v>
      </c>
      <c r="N30" s="27">
        <v>0</v>
      </c>
      <c r="O30" s="27">
        <f t="shared" si="4"/>
        <v>973.7</v>
      </c>
      <c r="P30" s="27">
        <f t="shared" si="5"/>
        <v>1001.1800000000001</v>
      </c>
      <c r="Q30" s="28">
        <f t="shared" si="6"/>
        <v>2.8000000000000001E-2</v>
      </c>
    </row>
    <row r="31" spans="1:17" x14ac:dyDescent="0.35">
      <c r="A31" s="59">
        <v>11</v>
      </c>
      <c r="D31" s="43">
        <v>350</v>
      </c>
      <c r="E31" s="27">
        <f>Input!$H$15</f>
        <v>83.71</v>
      </c>
      <c r="F31" s="27">
        <f>Input!$V$15</f>
        <v>110</v>
      </c>
      <c r="G31" s="50">
        <f t="shared" si="0"/>
        <v>26.290000000000006</v>
      </c>
      <c r="H31" s="28">
        <f t="shared" si="1"/>
        <v>0.314</v>
      </c>
      <c r="I31" s="29"/>
      <c r="J31" s="27">
        <f>+ROUND((Input!$AD$15*Input!$C$15),2)+ROUND(((D31-Input!$AD$15)*Input!$D$15),2)+ROUND((D31*Input!$J$15),2)+ROUND((D31*Input!$K$15),2)+ROUND((D31*Input!$N$15),2)</f>
        <v>1032.1399999999999</v>
      </c>
      <c r="K31" s="27">
        <f>ROUND((D31*Input!$AA$15),2)+ROUND((Input!$AK$15*Input!$Q$15),2)+ROUND(((D31-Input!$AK$15)*Input!$R$15),2)+ROUND((Input!$X$15*D31),2)</f>
        <v>1032.76</v>
      </c>
      <c r="L31" s="27">
        <f t="shared" si="2"/>
        <v>0.62000000000011823</v>
      </c>
      <c r="M31" s="28">
        <f t="shared" si="3"/>
        <v>1E-3</v>
      </c>
      <c r="N31" s="27">
        <v>0</v>
      </c>
      <c r="O31" s="27">
        <f t="shared" si="4"/>
        <v>1115.8499999999999</v>
      </c>
      <c r="P31" s="27">
        <f t="shared" si="5"/>
        <v>1142.76</v>
      </c>
      <c r="Q31" s="28">
        <f t="shared" si="6"/>
        <v>2.4E-2</v>
      </c>
    </row>
    <row r="32" spans="1:17" x14ac:dyDescent="0.35">
      <c r="A32" s="59">
        <v>12</v>
      </c>
      <c r="D32" s="43">
        <v>400</v>
      </c>
      <c r="E32" s="27">
        <f>Input!$H$15</f>
        <v>83.71</v>
      </c>
      <c r="F32" s="27">
        <f>Input!$V$15</f>
        <v>110</v>
      </c>
      <c r="G32" s="50">
        <f t="shared" si="0"/>
        <v>26.290000000000006</v>
      </c>
      <c r="H32" s="28">
        <f t="shared" si="1"/>
        <v>0.314</v>
      </c>
      <c r="I32" s="29"/>
      <c r="J32" s="27">
        <f>+ROUND((Input!$AD$15*Input!$C$15),2)+ROUND(((D32-Input!$AD$15)*Input!$D$15),2)+ROUND((D32*Input!$J$15),2)+ROUND((D32*Input!$K$15),2)+ROUND((D32*Input!$N$15),2)</f>
        <v>1174.2900000000002</v>
      </c>
      <c r="K32" s="27">
        <f>ROUND((D32*Input!$AA$15),2)+ROUND((Input!$AK$15*Input!$Q$15),2)+ROUND(((D32-Input!$AK$15)*Input!$R$15),2)+ROUND((Input!$X$15*D32),2)</f>
        <v>1174.3499999999999</v>
      </c>
      <c r="L32" s="27">
        <f t="shared" si="2"/>
        <v>5.9999999999718057E-2</v>
      </c>
      <c r="M32" s="28">
        <f t="shared" si="3"/>
        <v>0</v>
      </c>
      <c r="N32" s="27">
        <v>0</v>
      </c>
      <c r="O32" s="27">
        <f t="shared" si="4"/>
        <v>1258.0000000000002</v>
      </c>
      <c r="P32" s="27">
        <f t="shared" si="5"/>
        <v>1284.3499999999999</v>
      </c>
      <c r="Q32" s="28">
        <f t="shared" si="6"/>
        <v>2.1000000000000001E-2</v>
      </c>
    </row>
    <row r="33" spans="1:17" x14ac:dyDescent="0.35">
      <c r="A33" s="59">
        <v>13</v>
      </c>
      <c r="D33" s="43">
        <f>D41</f>
        <v>437.5</v>
      </c>
      <c r="E33" s="27">
        <f>Input!$H$15</f>
        <v>83.71</v>
      </c>
      <c r="F33" s="27">
        <f>Input!$V$15</f>
        <v>110</v>
      </c>
      <c r="G33" s="50">
        <f t="shared" ref="G33:G38" si="7">F33-E33</f>
        <v>26.290000000000006</v>
      </c>
      <c r="H33" s="28">
        <f t="shared" si="1"/>
        <v>0.314</v>
      </c>
      <c r="I33" s="30"/>
      <c r="J33" s="27">
        <f>ROUND((D33*Input!$M$15),2)+ROUND((Input!$AD$15*Input!$C$15),2)+ROUND((Input!$AE$15*Input!$D$15),2)+ROUND(((D33-Input!$AE$15-Input!$AD$15)*Input!$E$15),2)+ROUND((D33*Input!$J$15),2)+ROUND((D33*Input!$K$15),2)+ROUND((D33*Input!$N$15),2)</f>
        <v>1276.2600000000002</v>
      </c>
      <c r="K33" s="27">
        <f>ROUND((D33*Input!$AA$15),2)+ROUND((Input!$AK$15*Input!$Q$15),2)+ROUND((Input!$AL$15*Input!$R$15),2)+ROUND(((D33-Input!$AK$15-Input!$AL$15)*Input!$S$15),2)+ROUND((Input!$X$15*D33),2)</f>
        <v>1275.31</v>
      </c>
      <c r="L33" s="27">
        <f t="shared" ref="L33:L38" si="8">K33-J33</f>
        <v>-0.95000000000027285</v>
      </c>
      <c r="M33" s="28">
        <f t="shared" si="3"/>
        <v>-1E-3</v>
      </c>
      <c r="N33" s="27">
        <v>0</v>
      </c>
      <c r="O33" s="27">
        <f t="shared" si="4"/>
        <v>1359.9700000000003</v>
      </c>
      <c r="P33" s="27">
        <f t="shared" si="5"/>
        <v>1385.31</v>
      </c>
      <c r="Q33" s="28">
        <f t="shared" si="6"/>
        <v>1.9E-2</v>
      </c>
    </row>
    <row r="34" spans="1:17" x14ac:dyDescent="0.35">
      <c r="A34" s="59">
        <v>14</v>
      </c>
      <c r="D34" s="43">
        <v>450</v>
      </c>
      <c r="E34" s="27">
        <f>Input!$H$15</f>
        <v>83.71</v>
      </c>
      <c r="F34" s="27">
        <f>Input!$V$15</f>
        <v>110</v>
      </c>
      <c r="G34" s="50">
        <f t="shared" si="7"/>
        <v>26.290000000000006</v>
      </c>
      <c r="H34" s="28">
        <f t="shared" si="1"/>
        <v>0.314</v>
      </c>
      <c r="I34" s="30"/>
      <c r="J34" s="27">
        <f>ROUND((D34*Input!$M$15),2)+ROUND((Input!$AD$15*Input!$C$15),2)+ROUND((Input!$AE$15*Input!$D$15),2)+ROUND(((D34-Input!$AE$15-Input!$AD$15)*Input!$E$15),2)+ROUND((D34*Input!$J$15),2)+ROUND((D34*Input!$K$15),2)+ROUND((D34*Input!$N$15),2)</f>
        <v>1310.24</v>
      </c>
      <c r="K34" s="27">
        <f>ROUND((D34*Input!$AA$15),2)+ROUND((Input!$AK$15*Input!$Q$15),2)+ROUND((Input!$AL$15*Input!$R$15),2)+ROUND(((D34-Input!$AK$15-Input!$AL$15)*Input!$S$15),2)+ROUND((Input!$X$15*D34),2)</f>
        <v>1308.96</v>
      </c>
      <c r="L34" s="27">
        <f t="shared" si="8"/>
        <v>-1.2799999999999727</v>
      </c>
      <c r="M34" s="28">
        <f t="shared" si="3"/>
        <v>-1E-3</v>
      </c>
      <c r="N34" s="27">
        <v>0</v>
      </c>
      <c r="O34" s="27">
        <f t="shared" si="4"/>
        <v>1393.95</v>
      </c>
      <c r="P34" s="27">
        <f t="shared" si="5"/>
        <v>1418.96</v>
      </c>
      <c r="Q34" s="28">
        <f t="shared" si="6"/>
        <v>1.7999999999999999E-2</v>
      </c>
    </row>
    <row r="35" spans="1:17" x14ac:dyDescent="0.35">
      <c r="A35" s="59">
        <v>15</v>
      </c>
      <c r="D35" s="43">
        <v>500</v>
      </c>
      <c r="E35" s="27">
        <f>Input!$H$15</f>
        <v>83.71</v>
      </c>
      <c r="F35" s="27">
        <f>Input!$V$15</f>
        <v>110</v>
      </c>
      <c r="G35" s="50">
        <f t="shared" si="7"/>
        <v>26.290000000000006</v>
      </c>
      <c r="H35" s="28">
        <f t="shared" si="1"/>
        <v>0.314</v>
      </c>
      <c r="I35" s="30"/>
      <c r="J35" s="27">
        <f>ROUND((D35*Input!$M$15),2)+ROUND((Input!$AD$15*Input!$C$15),2)+ROUND((Input!$AE$15*Input!$D$15),2)+ROUND(((D35-Input!$AE$15-Input!$AD$15)*Input!$E$15),2)+ROUND((D35*Input!$J$15),2)+ROUND((D35*Input!$K$15),2)+ROUND((D35*Input!$N$15),2)</f>
        <v>1446.18</v>
      </c>
      <c r="K35" s="27">
        <f>ROUND((D35*Input!$AA$15),2)+ROUND((Input!$AK$15*Input!$Q$15),2)+ROUND((Input!$AL$15*Input!$R$15),2)+ROUND(((D35-Input!$AK$15-Input!$AL$15)*Input!$S$15),2)+ROUND((Input!$X$15*D35),2)</f>
        <v>1443.57</v>
      </c>
      <c r="L35" s="27">
        <f t="shared" si="8"/>
        <v>-2.6100000000001273</v>
      </c>
      <c r="M35" s="28">
        <f t="shared" si="3"/>
        <v>-2E-3</v>
      </c>
      <c r="N35" s="27">
        <v>0</v>
      </c>
      <c r="O35" s="27">
        <f t="shared" si="4"/>
        <v>1529.89</v>
      </c>
      <c r="P35" s="27">
        <f t="shared" si="5"/>
        <v>1553.57</v>
      </c>
      <c r="Q35" s="28">
        <f t="shared" si="6"/>
        <v>1.4999999999999999E-2</v>
      </c>
    </row>
    <row r="36" spans="1:17" x14ac:dyDescent="0.35">
      <c r="A36" s="59">
        <v>16</v>
      </c>
      <c r="D36" s="43">
        <v>700</v>
      </c>
      <c r="E36" s="27">
        <f>Input!$H$15</f>
        <v>83.71</v>
      </c>
      <c r="F36" s="27">
        <f>Input!$V$15</f>
        <v>110</v>
      </c>
      <c r="G36" s="50">
        <f t="shared" si="7"/>
        <v>26.290000000000006</v>
      </c>
      <c r="H36" s="28">
        <f t="shared" si="1"/>
        <v>0.314</v>
      </c>
      <c r="I36" s="30"/>
      <c r="J36" s="27">
        <f>ROUND((D36*Input!$M$15),2)+ROUND((Input!$AD$15*Input!$C$15),2)+ROUND((Input!$AE$15*Input!$D$15),2)+ROUND(((D36-Input!$AE$15-Input!$AD$15)*Input!$E$15),2)+ROUND((D36*Input!$J$15),2)+ROUND((D36*Input!$K$15),2)+ROUND((D36*Input!$N$15),2)</f>
        <v>1989.96</v>
      </c>
      <c r="K36" s="27">
        <f>ROUND((D36*Input!$AA$15),2)+ROUND((Input!$AK$15*Input!$Q$15),2)+ROUND((Input!$AL$15*Input!$R$15),2)+ROUND(((D36-Input!$AK$15-Input!$AL$15)*Input!$S$15),2)+ROUND((Input!$X$15*D36),2)</f>
        <v>1982.01</v>
      </c>
      <c r="L36" s="27">
        <f t="shared" si="8"/>
        <v>-7.9500000000000455</v>
      </c>
      <c r="M36" s="28">
        <f t="shared" si="3"/>
        <v>-4.0000000000000001E-3</v>
      </c>
      <c r="N36" s="27">
        <v>0</v>
      </c>
      <c r="O36" s="27">
        <f t="shared" si="4"/>
        <v>2073.67</v>
      </c>
      <c r="P36" s="27">
        <f t="shared" si="5"/>
        <v>2092.0100000000002</v>
      </c>
      <c r="Q36" s="28">
        <f t="shared" si="6"/>
        <v>8.9999999999999993E-3</v>
      </c>
    </row>
    <row r="37" spans="1:17" x14ac:dyDescent="0.35">
      <c r="A37" s="59">
        <v>17</v>
      </c>
      <c r="D37" s="43">
        <v>1000</v>
      </c>
      <c r="E37" s="27">
        <f>Input!$H$15</f>
        <v>83.71</v>
      </c>
      <c r="F37" s="27">
        <f>Input!$V$15</f>
        <v>110</v>
      </c>
      <c r="G37" s="50">
        <f t="shared" si="7"/>
        <v>26.290000000000006</v>
      </c>
      <c r="H37" s="28">
        <f t="shared" si="1"/>
        <v>0.314</v>
      </c>
      <c r="I37" s="30"/>
      <c r="J37" s="27">
        <f>ROUND((D37*Input!$M$15),2)+ROUND((Input!$AD$15*Input!$C$15),2)+ROUND((Input!$AE$15*Input!$D$15),2)+ROUND(((D37-Input!$AE$15-Input!$AD$15)*Input!$E$15),2)+ROUND((D37*Input!$J$15),2)+ROUND((D37*Input!$K$15),2)+ROUND((D37*Input!$N$15),2)</f>
        <v>2805.63</v>
      </c>
      <c r="K37" s="27">
        <f>ROUND((D37*Input!$AA$15),2)+ROUND((Input!$AK$15*Input!$Q$15),2)+ROUND((Input!$AL$15*Input!$R$15),2)+ROUND(((D37-Input!$AK$15-Input!$AL$15)*Input!$S$15),2)+ROUND((Input!$X$15*D37),2)</f>
        <v>2789.67</v>
      </c>
      <c r="L37" s="27">
        <f t="shared" si="8"/>
        <v>-15.960000000000036</v>
      </c>
      <c r="M37" s="28">
        <f t="shared" si="3"/>
        <v>-6.0000000000000001E-3</v>
      </c>
      <c r="N37" s="27">
        <v>0</v>
      </c>
      <c r="O37" s="27">
        <f t="shared" si="4"/>
        <v>2889.34</v>
      </c>
      <c r="P37" s="27">
        <f t="shared" si="5"/>
        <v>2899.67</v>
      </c>
      <c r="Q37" s="28">
        <f t="shared" si="6"/>
        <v>4.0000000000000001E-3</v>
      </c>
    </row>
    <row r="38" spans="1:17" x14ac:dyDescent="0.35">
      <c r="A38" s="59">
        <v>18</v>
      </c>
      <c r="D38" s="43">
        <v>1200</v>
      </c>
      <c r="E38" s="27">
        <f>Input!$H$15</f>
        <v>83.71</v>
      </c>
      <c r="F38" s="27">
        <f>Input!$V$15</f>
        <v>110</v>
      </c>
      <c r="G38" s="50">
        <f t="shared" si="7"/>
        <v>26.290000000000006</v>
      </c>
      <c r="H38" s="28">
        <f t="shared" si="1"/>
        <v>0.314</v>
      </c>
      <c r="I38" s="30"/>
      <c r="J38" s="27">
        <f>ROUND((D38*Input!$M$15),2)+ROUND((Input!$AD$15*Input!$C$15),2)+ROUND((Input!$AE$15*Input!$D$15),2)+ROUND((Input!$AF$15*Input!$E$15),2)+ROUND(((D38-Input!$AD$15-Input!$AE$15-Input!$AF$15)*Input!$F$15),2)+ROUND((D38*Input!$J$15),2)+ROUND((D38*Input!$K$15),2)+ROUND((D38*Input!$N$15),2)</f>
        <v>3306.31</v>
      </c>
      <c r="K38" s="27">
        <f>ROUND((D38*Input!$AA$15),2)+ROUND((Input!$AK$15*Input!$Q$15),2)+ROUND((Input!$AL$15*Input!$R$15),2)+ROUND((Input!$AM$15*Input!$S$15),2)+ROUND(((D38-Input!$AK$15-Input!$AL$15-Input!$AM$15)*Input!$T$15),2)+ROUND((Input!$X$15*D38),2)</f>
        <v>3279.69</v>
      </c>
      <c r="L38" s="27">
        <f t="shared" si="8"/>
        <v>-26.619999999999891</v>
      </c>
      <c r="M38" s="28">
        <f t="shared" si="3"/>
        <v>-8.0000000000000002E-3</v>
      </c>
      <c r="N38" s="27">
        <v>0</v>
      </c>
      <c r="O38" s="27">
        <f t="shared" si="4"/>
        <v>3390.02</v>
      </c>
      <c r="P38" s="27">
        <f t="shared" si="5"/>
        <v>3389.69</v>
      </c>
      <c r="Q38" s="28">
        <f t="shared" si="6"/>
        <v>0</v>
      </c>
    </row>
    <row r="39" spans="1:17" x14ac:dyDescent="0.35">
      <c r="A39" s="59"/>
    </row>
    <row r="40" spans="1:17" x14ac:dyDescent="0.35">
      <c r="A40" s="59"/>
      <c r="B40" s="8" t="s">
        <v>98</v>
      </c>
      <c r="D40" s="42">
        <f>ROUND(Input!AT15,2)</f>
        <v>47</v>
      </c>
      <c r="E40" s="37" t="s">
        <v>99</v>
      </c>
    </row>
    <row r="41" spans="1:17" x14ac:dyDescent="0.35">
      <c r="A41" s="59"/>
      <c r="B41" s="8" t="s">
        <v>98</v>
      </c>
      <c r="D41" s="42">
        <f>ROUND(Input!AT16,2)</f>
        <v>437.5</v>
      </c>
      <c r="E41" s="37" t="s">
        <v>100</v>
      </c>
    </row>
    <row r="42" spans="1:17" x14ac:dyDescent="0.35">
      <c r="A42" s="59"/>
    </row>
    <row r="43" spans="1:17" x14ac:dyDescent="0.35">
      <c r="A43" s="40" t="s">
        <v>142</v>
      </c>
    </row>
  </sheetData>
  <mergeCells count="7">
    <mergeCell ref="A5:Q5"/>
    <mergeCell ref="E13:H13"/>
    <mergeCell ref="J13:M13"/>
    <mergeCell ref="A1:Q1"/>
    <mergeCell ref="A2:Q2"/>
    <mergeCell ref="A3:Q3"/>
    <mergeCell ref="A4:Q4"/>
  </mergeCells>
  <phoneticPr fontId="0" type="noConversion"/>
  <printOptions horizontalCentered="1"/>
  <pageMargins left="0.25" right="0.25" top="0.75" bottom="0.75" header="0.5" footer="0.5"/>
  <pageSetup scale="7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V47"/>
  <sheetViews>
    <sheetView topLeftCell="E1" workbookViewId="0">
      <selection activeCell="W9" sqref="W9:AE42"/>
    </sheetView>
  </sheetViews>
  <sheetFormatPr defaultColWidth="9.36328125" defaultRowHeight="12.9" x14ac:dyDescent="0.35"/>
  <cols>
    <col min="1" max="1" width="4.453125" style="8" customWidth="1"/>
    <col min="2" max="2" width="14.81640625" style="8" customWidth="1"/>
    <col min="3" max="3" width="11.6328125" style="8" bestFit="1" customWidth="1"/>
    <col min="4" max="4" width="13.1796875" style="8" bestFit="1" customWidth="1"/>
    <col min="5" max="5" width="15.36328125" style="8" bestFit="1" customWidth="1"/>
    <col min="6" max="6" width="12.1796875" style="8" customWidth="1"/>
    <col min="7" max="7" width="12.1796875" style="59" bestFit="1" customWidth="1"/>
    <col min="8" max="8" width="12.1796875" style="8" bestFit="1" customWidth="1"/>
    <col min="9" max="9" width="1.81640625" style="8" customWidth="1"/>
    <col min="10" max="11" width="15.6328125" style="8" bestFit="1" customWidth="1"/>
    <col min="12" max="13" width="12.1796875" style="8" bestFit="1" customWidth="1"/>
    <col min="14" max="14" width="1.81640625" style="8" customWidth="1"/>
    <col min="15" max="16" width="12.81640625" style="8" bestFit="1" customWidth="1"/>
    <col min="17" max="17" width="12.6328125" style="8" bestFit="1" customWidth="1"/>
    <col min="18" max="18" width="12.1796875" style="8" bestFit="1" customWidth="1"/>
    <col min="19" max="19" width="13.1796875" style="59" bestFit="1" customWidth="1"/>
    <col min="20" max="20" width="13" style="59" bestFit="1" customWidth="1"/>
    <col min="21" max="21" width="13" style="59" customWidth="1"/>
    <col min="22" max="22" width="9.36328125" style="8"/>
    <col min="23" max="23" width="14.81640625" style="8" customWidth="1"/>
    <col min="24" max="24" width="10.1796875" style="8" customWidth="1"/>
    <col min="25" max="27" width="9.36328125" style="8" customWidth="1"/>
    <col min="28" max="29" width="10.1796875" style="8" customWidth="1"/>
    <col min="30" max="34" width="9.36328125" style="8" customWidth="1"/>
    <col min="35" max="16384" width="9.36328125" style="8"/>
  </cols>
  <sheetData>
    <row r="1" spans="1:21" x14ac:dyDescent="0.35">
      <c r="A1" s="73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x14ac:dyDescent="0.35">
      <c r="A2" s="73" t="str">
        <f>Input!$B$1</f>
        <v>CASE NO. 2024-xxxxx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x14ac:dyDescent="0.35">
      <c r="A3" s="73" t="s">
        <v>85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x14ac:dyDescent="0.35">
      <c r="A4" s="73" t="s">
        <v>36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x14ac:dyDescent="0.35">
      <c r="A5" s="73" t="str">
        <f>Input!$B$5</f>
        <v>TWELVE MONTHS ENDING DECEMBER 31, 2025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x14ac:dyDescent="0.35">
      <c r="A6" s="59"/>
      <c r="B6" s="60"/>
      <c r="C6" s="60"/>
      <c r="D6" s="60"/>
      <c r="E6" s="60"/>
      <c r="F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21" x14ac:dyDescent="0.35">
      <c r="A7" s="59"/>
      <c r="B7" s="60"/>
      <c r="C7" s="60"/>
      <c r="D7" s="60"/>
      <c r="E7" s="60"/>
      <c r="F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21" x14ac:dyDescent="0.35">
      <c r="A8" s="8" t="s">
        <v>123</v>
      </c>
      <c r="S8" s="8"/>
      <c r="U8" s="30" t="s">
        <v>37</v>
      </c>
    </row>
    <row r="9" spans="1:21" x14ac:dyDescent="0.35">
      <c r="A9" s="8" t="s">
        <v>124</v>
      </c>
      <c r="S9" s="8"/>
      <c r="U9" s="30" t="s">
        <v>129</v>
      </c>
    </row>
    <row r="10" spans="1:21" x14ac:dyDescent="0.35">
      <c r="A10" s="8" t="s">
        <v>38</v>
      </c>
      <c r="S10" s="8"/>
      <c r="U10" s="30" t="str">
        <f>Input!$B$3</f>
        <v>Witness: R. J. Amen</v>
      </c>
    </row>
    <row r="12" spans="1:21" x14ac:dyDescent="0.35">
      <c r="A12" s="24"/>
      <c r="B12" s="24"/>
      <c r="C12" s="24"/>
      <c r="D12" s="24"/>
      <c r="E12" s="24"/>
      <c r="F12" s="24"/>
      <c r="G12" s="61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61"/>
      <c r="T12" s="61"/>
      <c r="U12" s="61"/>
    </row>
    <row r="13" spans="1:21" x14ac:dyDescent="0.35">
      <c r="E13" s="75" t="s">
        <v>77</v>
      </c>
      <c r="F13" s="75"/>
      <c r="G13" s="75"/>
      <c r="H13" s="75"/>
      <c r="I13" s="61"/>
      <c r="J13" s="75" t="s">
        <v>119</v>
      </c>
      <c r="K13" s="75"/>
      <c r="L13" s="75"/>
      <c r="M13" s="75"/>
      <c r="N13" s="25"/>
      <c r="O13" s="75" t="s">
        <v>78</v>
      </c>
      <c r="P13" s="75"/>
      <c r="Q13" s="75"/>
      <c r="R13" s="75"/>
    </row>
    <row r="14" spans="1:21" x14ac:dyDescent="0.35">
      <c r="E14" s="59" t="s">
        <v>43</v>
      </c>
      <c r="F14" s="59" t="s">
        <v>44</v>
      </c>
      <c r="G14" s="59" t="s">
        <v>75</v>
      </c>
      <c r="H14" s="59" t="s">
        <v>46</v>
      </c>
      <c r="I14" s="59"/>
      <c r="J14" s="59" t="s">
        <v>43</v>
      </c>
      <c r="K14" s="59" t="s">
        <v>44</v>
      </c>
      <c r="L14" s="59" t="s">
        <v>75</v>
      </c>
      <c r="M14" s="59" t="s">
        <v>46</v>
      </c>
      <c r="Q14" s="59" t="s">
        <v>75</v>
      </c>
      <c r="R14" s="59" t="s">
        <v>46</v>
      </c>
      <c r="S14" s="59" t="s">
        <v>39</v>
      </c>
      <c r="T14" s="59" t="s">
        <v>39</v>
      </c>
      <c r="U14" s="59" t="s">
        <v>46</v>
      </c>
    </row>
    <row r="15" spans="1:21" x14ac:dyDescent="0.35">
      <c r="D15" s="59" t="s">
        <v>71</v>
      </c>
      <c r="E15" s="59" t="s">
        <v>71</v>
      </c>
      <c r="F15" s="59" t="s">
        <v>71</v>
      </c>
      <c r="G15" s="59" t="s">
        <v>45</v>
      </c>
      <c r="H15" s="59" t="s">
        <v>45</v>
      </c>
      <c r="I15" s="59"/>
      <c r="J15" s="59" t="s">
        <v>71</v>
      </c>
      <c r="K15" s="59" t="s">
        <v>71</v>
      </c>
      <c r="L15" s="59" t="s">
        <v>45</v>
      </c>
      <c r="M15" s="59" t="s">
        <v>45</v>
      </c>
      <c r="N15" s="59"/>
      <c r="O15" s="59" t="s">
        <v>43</v>
      </c>
      <c r="P15" s="59" t="s">
        <v>44</v>
      </c>
      <c r="Q15" s="59" t="s">
        <v>45</v>
      </c>
      <c r="R15" s="59" t="s">
        <v>45</v>
      </c>
      <c r="S15" s="59" t="s">
        <v>43</v>
      </c>
      <c r="T15" s="59" t="s">
        <v>44</v>
      </c>
      <c r="U15" s="59" t="s">
        <v>45</v>
      </c>
    </row>
    <row r="16" spans="1:21" x14ac:dyDescent="0.35">
      <c r="A16" s="59" t="s">
        <v>40</v>
      </c>
      <c r="B16" s="59" t="s">
        <v>41</v>
      </c>
      <c r="C16" s="59" t="s">
        <v>42</v>
      </c>
      <c r="D16" s="59" t="s">
        <v>72</v>
      </c>
      <c r="E16" s="59" t="s">
        <v>68</v>
      </c>
      <c r="F16" s="59" t="s">
        <v>68</v>
      </c>
      <c r="G16" s="59" t="s">
        <v>76</v>
      </c>
      <c r="H16" s="59" t="s">
        <v>76</v>
      </c>
      <c r="I16" s="59"/>
      <c r="J16" s="59" t="s">
        <v>109</v>
      </c>
      <c r="K16" s="59" t="s">
        <v>109</v>
      </c>
      <c r="L16" s="59" t="s">
        <v>76</v>
      </c>
      <c r="M16" s="59" t="s">
        <v>76</v>
      </c>
      <c r="N16" s="59"/>
      <c r="O16" s="59" t="s">
        <v>79</v>
      </c>
      <c r="P16" s="59" t="s">
        <v>79</v>
      </c>
      <c r="Q16" s="59" t="s">
        <v>76</v>
      </c>
      <c r="R16" s="59" t="s">
        <v>76</v>
      </c>
      <c r="S16" s="59" t="s">
        <v>49</v>
      </c>
      <c r="T16" s="59" t="s">
        <v>49</v>
      </c>
      <c r="U16" s="59" t="s">
        <v>76</v>
      </c>
    </row>
    <row r="17" spans="1:22" x14ac:dyDescent="0.35">
      <c r="A17" s="59" t="s">
        <v>47</v>
      </c>
      <c r="B17" s="59" t="s">
        <v>48</v>
      </c>
      <c r="C17" s="59" t="s">
        <v>15</v>
      </c>
      <c r="D17" s="59" t="s">
        <v>73</v>
      </c>
      <c r="E17" s="59" t="s">
        <v>74</v>
      </c>
      <c r="F17" s="59" t="s">
        <v>74</v>
      </c>
      <c r="G17" s="26" t="s">
        <v>50</v>
      </c>
      <c r="H17" s="26" t="s">
        <v>51</v>
      </c>
      <c r="I17" s="26"/>
      <c r="J17" s="59" t="s">
        <v>74</v>
      </c>
      <c r="K17" s="59" t="s">
        <v>74</v>
      </c>
      <c r="L17" s="26" t="s">
        <v>80</v>
      </c>
      <c r="M17" s="26" t="s">
        <v>81</v>
      </c>
      <c r="N17" s="26"/>
      <c r="O17" s="59" t="s">
        <v>74</v>
      </c>
      <c r="P17" s="59" t="s">
        <v>74</v>
      </c>
      <c r="Q17" s="26" t="s">
        <v>114</v>
      </c>
      <c r="R17" s="26" t="s">
        <v>115</v>
      </c>
      <c r="S17" s="26" t="s">
        <v>116</v>
      </c>
      <c r="T17" s="26" t="s">
        <v>117</v>
      </c>
      <c r="U17" s="26" t="s">
        <v>118</v>
      </c>
    </row>
    <row r="18" spans="1:22" x14ac:dyDescent="0.35">
      <c r="D18" s="26" t="s">
        <v>52</v>
      </c>
      <c r="E18" s="26" t="s">
        <v>53</v>
      </c>
      <c r="F18" s="26" t="s">
        <v>53</v>
      </c>
      <c r="G18" s="26" t="s">
        <v>53</v>
      </c>
      <c r="H18" s="26" t="s">
        <v>54</v>
      </c>
      <c r="I18" s="26"/>
      <c r="J18" s="26" t="s">
        <v>53</v>
      </c>
      <c r="K18" s="26" t="s">
        <v>53</v>
      </c>
      <c r="L18" s="26" t="s">
        <v>53</v>
      </c>
      <c r="M18" s="26" t="s">
        <v>54</v>
      </c>
      <c r="N18" s="26"/>
      <c r="O18" s="26" t="s">
        <v>53</v>
      </c>
      <c r="P18" s="26" t="s">
        <v>53</v>
      </c>
      <c r="Q18" s="26" t="s">
        <v>53</v>
      </c>
      <c r="R18" s="26" t="s">
        <v>54</v>
      </c>
      <c r="S18" s="26" t="s">
        <v>53</v>
      </c>
      <c r="T18" s="26" t="s">
        <v>53</v>
      </c>
      <c r="U18" s="26" t="s">
        <v>54</v>
      </c>
    </row>
    <row r="19" spans="1:22" x14ac:dyDescent="0.35">
      <c r="C19" s="26" t="s">
        <v>55</v>
      </c>
      <c r="D19" s="26" t="s">
        <v>56</v>
      </c>
      <c r="E19" s="26" t="s">
        <v>57</v>
      </c>
      <c r="F19" s="26" t="s">
        <v>58</v>
      </c>
      <c r="G19" s="26" t="s">
        <v>59</v>
      </c>
      <c r="H19" s="26" t="s">
        <v>60</v>
      </c>
      <c r="I19" s="26"/>
      <c r="J19" s="26" t="s">
        <v>61</v>
      </c>
      <c r="K19" s="26" t="s">
        <v>62</v>
      </c>
      <c r="L19" s="26" t="s">
        <v>63</v>
      </c>
      <c r="M19" s="26" t="s">
        <v>64</v>
      </c>
      <c r="N19" s="26"/>
      <c r="O19" s="26" t="s">
        <v>82</v>
      </c>
      <c r="P19" s="26" t="s">
        <v>83</v>
      </c>
      <c r="Q19" s="26" t="s">
        <v>84</v>
      </c>
      <c r="R19" s="26" t="s">
        <v>110</v>
      </c>
      <c r="S19" s="26" t="s">
        <v>111</v>
      </c>
      <c r="T19" s="26" t="s">
        <v>112</v>
      </c>
      <c r="U19" s="26" t="s">
        <v>113</v>
      </c>
    </row>
    <row r="20" spans="1:22" x14ac:dyDescent="0.35">
      <c r="D20" s="59"/>
      <c r="E20" s="59"/>
      <c r="F20" s="59"/>
      <c r="H20" s="59"/>
      <c r="I20" s="59"/>
      <c r="J20" s="59"/>
      <c r="K20" s="59"/>
      <c r="L20" s="59"/>
      <c r="M20" s="59"/>
      <c r="N20" s="59"/>
      <c r="O20" s="59"/>
      <c r="P20" s="26"/>
      <c r="Q20" s="26"/>
      <c r="R20" s="26"/>
    </row>
    <row r="21" spans="1:22" x14ac:dyDescent="0.35">
      <c r="A21" s="59">
        <v>1</v>
      </c>
      <c r="B21" s="59" t="s">
        <v>121</v>
      </c>
      <c r="C21" s="59" t="s">
        <v>65</v>
      </c>
      <c r="D21" s="43">
        <v>100</v>
      </c>
      <c r="E21" s="27">
        <f>Input!$H$17</f>
        <v>3982.3</v>
      </c>
      <c r="F21" s="27">
        <f>Input!$V$17</f>
        <v>5000</v>
      </c>
      <c r="G21" s="50">
        <f>F21-E21</f>
        <v>1017.6999999999998</v>
      </c>
      <c r="H21" s="28">
        <f>ROUND(G21/E21,3)</f>
        <v>0.25600000000000001</v>
      </c>
      <c r="I21" s="28"/>
      <c r="J21" s="27">
        <f>Input!$I$17</f>
        <v>0</v>
      </c>
      <c r="K21" s="27">
        <f>Input!$W$17</f>
        <v>0</v>
      </c>
      <c r="L21" s="27">
        <f>K21-J21</f>
        <v>0</v>
      </c>
      <c r="M21" s="28">
        <f>IF(J21=0,0,ROUND(L21/J21,3))</f>
        <v>0</v>
      </c>
      <c r="N21" s="29"/>
      <c r="O21" s="27">
        <f>ROUND((D21*Input!$C$17),2)+ROUND((D21*Input!$N$17),2)+ROUND((D21*Input!$O$17),2)+ROUND(+(D21*Input!$J$17),2)+ROUND(+(D21*Input!$K$17),2)</f>
        <v>78.040000000000006</v>
      </c>
      <c r="P21" s="27">
        <f>ROUND((D21*Input!$Q$17),2)+ROUND((D21*Input!$AA$17),2)+ROUND((D21*Input!$AB$17),2)+ROUND((Input!$X$17*D21),2)</f>
        <v>85.27</v>
      </c>
      <c r="Q21" s="27">
        <f>P21-O21</f>
        <v>7.2299999999999898</v>
      </c>
      <c r="R21" s="28">
        <f>ROUND(Q21/O21,3)</f>
        <v>9.2999999999999999E-2</v>
      </c>
      <c r="S21" s="27">
        <f t="shared" ref="S21:S36" si="0">E21+J21+O21</f>
        <v>4060.34</v>
      </c>
      <c r="T21" s="27">
        <f>F21+P21+K21</f>
        <v>5085.2700000000004</v>
      </c>
      <c r="U21" s="28">
        <f>ROUND((T21-S21)/S21,3)</f>
        <v>0.252</v>
      </c>
      <c r="V21" s="30"/>
    </row>
    <row r="22" spans="1:22" x14ac:dyDescent="0.35">
      <c r="A22" s="59">
        <v>2</v>
      </c>
      <c r="B22" s="59" t="s">
        <v>69</v>
      </c>
      <c r="C22" s="59" t="s">
        <v>67</v>
      </c>
      <c r="D22" s="43">
        <v>150</v>
      </c>
      <c r="E22" s="27">
        <f>Input!$H$17</f>
        <v>3982.3</v>
      </c>
      <c r="F22" s="27">
        <f>Input!$V$17</f>
        <v>5000</v>
      </c>
      <c r="G22" s="50">
        <f t="shared" ref="G22:G36" si="1">F22-E22</f>
        <v>1017.6999999999998</v>
      </c>
      <c r="H22" s="28">
        <f t="shared" ref="H22:H36" si="2">ROUND(G22/E22,3)</f>
        <v>0.25600000000000001</v>
      </c>
      <c r="I22" s="28"/>
      <c r="J22" s="27">
        <f>Input!$I$17</f>
        <v>0</v>
      </c>
      <c r="K22" s="27">
        <f>Input!$W$17</f>
        <v>0</v>
      </c>
      <c r="L22" s="27">
        <f t="shared" ref="L22:L36" si="3">K22-J22</f>
        <v>0</v>
      </c>
      <c r="M22" s="28">
        <f t="shared" ref="M22:M36" si="4">IF(J22=0,0,ROUND(L22/J22,3))</f>
        <v>0</v>
      </c>
      <c r="N22" s="29"/>
      <c r="O22" s="27">
        <f>ROUND((D22*Input!$C$17),2)+ROUND((D22*Input!$N$17),2)+ROUND((D22*Input!$O$17),2)+ROUND((D22*Input!$J$17),2)+ROUND((D22*Input!$K$17),2)</f>
        <v>117.07000000000001</v>
      </c>
      <c r="P22" s="27">
        <f>ROUND((D22*Input!$Q$17),2)+ROUND((D22*Input!$AA$17),2)+ROUND((D22*Input!$AB$17),2)+ROUND((Input!$X$17*D22),2)</f>
        <v>127.91</v>
      </c>
      <c r="Q22" s="27">
        <f t="shared" ref="Q22:Q36" si="5">P22-O22</f>
        <v>10.839999999999989</v>
      </c>
      <c r="R22" s="28">
        <f t="shared" ref="R22:R36" si="6">ROUND(Q22/O22,3)</f>
        <v>9.2999999999999999E-2</v>
      </c>
      <c r="S22" s="27">
        <f t="shared" si="0"/>
        <v>4099.37</v>
      </c>
      <c r="T22" s="27">
        <f t="shared" ref="T22:T36" si="7">F22+P22+K22</f>
        <v>5127.91</v>
      </c>
      <c r="U22" s="28">
        <f t="shared" ref="U22:U36" si="8">ROUND((T22-S22)/S22,3)</f>
        <v>0.251</v>
      </c>
      <c r="V22" s="30"/>
    </row>
    <row r="23" spans="1:22" x14ac:dyDescent="0.35">
      <c r="A23" s="59">
        <v>3</v>
      </c>
      <c r="B23" s="59" t="s">
        <v>89</v>
      </c>
      <c r="D23" s="43">
        <v>300</v>
      </c>
      <c r="E23" s="27">
        <f>Input!$H$17</f>
        <v>3982.3</v>
      </c>
      <c r="F23" s="27">
        <f>Input!$V$17</f>
        <v>5000</v>
      </c>
      <c r="G23" s="50">
        <f t="shared" si="1"/>
        <v>1017.6999999999998</v>
      </c>
      <c r="H23" s="28">
        <f t="shared" si="2"/>
        <v>0.25600000000000001</v>
      </c>
      <c r="I23" s="28"/>
      <c r="J23" s="27">
        <f>Input!$I$17</f>
        <v>0</v>
      </c>
      <c r="K23" s="27">
        <f>Input!$W$17</f>
        <v>0</v>
      </c>
      <c r="L23" s="27">
        <f t="shared" si="3"/>
        <v>0</v>
      </c>
      <c r="M23" s="28">
        <f t="shared" si="4"/>
        <v>0</v>
      </c>
      <c r="N23" s="29"/>
      <c r="O23" s="27">
        <f>ROUND((D23*Input!$C$17),2)+ROUND((D23*Input!$N$17),2)+ROUND((D23*Input!$O$17),2)+ROUND((D23*Input!$J$17),2)+ROUND((D23*Input!$K$17),2)</f>
        <v>234.12</v>
      </c>
      <c r="P23" s="27">
        <f>ROUND((D23*Input!$Q$17),2)+ROUND((D23*Input!$AA$17),2)+ROUND((D23*Input!$AB$17),2)+ROUND((Input!$X$17*D23),2)</f>
        <v>255.81</v>
      </c>
      <c r="Q23" s="27">
        <f t="shared" si="5"/>
        <v>21.689999999999998</v>
      </c>
      <c r="R23" s="28">
        <f t="shared" si="6"/>
        <v>9.2999999999999999E-2</v>
      </c>
      <c r="S23" s="27">
        <f t="shared" si="0"/>
        <v>4216.42</v>
      </c>
      <c r="T23" s="27">
        <f t="shared" si="7"/>
        <v>5255.81</v>
      </c>
      <c r="U23" s="28">
        <f t="shared" si="8"/>
        <v>0.247</v>
      </c>
      <c r="V23" s="30"/>
    </row>
    <row r="24" spans="1:22" x14ac:dyDescent="0.35">
      <c r="A24" s="59">
        <v>4</v>
      </c>
      <c r="B24" s="59" t="s">
        <v>90</v>
      </c>
      <c r="D24" s="43">
        <v>500</v>
      </c>
      <c r="E24" s="27">
        <f>Input!$H$17</f>
        <v>3982.3</v>
      </c>
      <c r="F24" s="27">
        <f>Input!$V$17</f>
        <v>5000</v>
      </c>
      <c r="G24" s="50">
        <f t="shared" si="1"/>
        <v>1017.6999999999998</v>
      </c>
      <c r="H24" s="28">
        <f t="shared" si="2"/>
        <v>0.25600000000000001</v>
      </c>
      <c r="I24" s="28"/>
      <c r="J24" s="27">
        <f>Input!$I$17</f>
        <v>0</v>
      </c>
      <c r="K24" s="27">
        <f>Input!$W$17</f>
        <v>0</v>
      </c>
      <c r="L24" s="27">
        <f t="shared" si="3"/>
        <v>0</v>
      </c>
      <c r="M24" s="28">
        <f t="shared" si="4"/>
        <v>0</v>
      </c>
      <c r="N24" s="29"/>
      <c r="O24" s="27">
        <f>ROUND((D24*Input!$C$17),2)+ROUND((D24*Input!$N$17),2)+ROUND((D24*Input!$O$17),2)+ROUND((D24*Input!$J$17),2)+ROUND((D24*Input!$K$17),2)</f>
        <v>390.2</v>
      </c>
      <c r="P24" s="27">
        <f>ROUND((D24*Input!$Q$17),2)+ROUND((D24*Input!$AA$17),2)+ROUND((D24*Input!$AB$17),2)+ROUND((Input!$X$17*D24),2)</f>
        <v>426.34999999999997</v>
      </c>
      <c r="Q24" s="27">
        <f t="shared" si="5"/>
        <v>36.149999999999977</v>
      </c>
      <c r="R24" s="28">
        <f t="shared" si="6"/>
        <v>9.2999999999999999E-2</v>
      </c>
      <c r="S24" s="27">
        <f t="shared" si="0"/>
        <v>4372.5</v>
      </c>
      <c r="T24" s="27">
        <f t="shared" si="7"/>
        <v>5426.35</v>
      </c>
      <c r="U24" s="28">
        <f t="shared" si="8"/>
        <v>0.24099999999999999</v>
      </c>
      <c r="V24" s="30"/>
    </row>
    <row r="25" spans="1:22" x14ac:dyDescent="0.35">
      <c r="A25" s="59">
        <v>5</v>
      </c>
      <c r="B25" s="59" t="s">
        <v>86</v>
      </c>
      <c r="D25" s="43">
        <v>1000</v>
      </c>
      <c r="E25" s="27">
        <f>Input!$H$17</f>
        <v>3982.3</v>
      </c>
      <c r="F25" s="27">
        <f>Input!$V$17</f>
        <v>5000</v>
      </c>
      <c r="G25" s="50">
        <f t="shared" si="1"/>
        <v>1017.6999999999998</v>
      </c>
      <c r="H25" s="28">
        <f t="shared" si="2"/>
        <v>0.25600000000000001</v>
      </c>
      <c r="I25" s="28"/>
      <c r="J25" s="27">
        <f>Input!$I$17</f>
        <v>0</v>
      </c>
      <c r="K25" s="27">
        <f>Input!$W$17</f>
        <v>0</v>
      </c>
      <c r="L25" s="27">
        <f t="shared" si="3"/>
        <v>0</v>
      </c>
      <c r="M25" s="28">
        <f t="shared" si="4"/>
        <v>0</v>
      </c>
      <c r="N25" s="29"/>
      <c r="O25" s="27">
        <f>ROUND((D25*Input!$C$17),2)+ROUND((D25*Input!$N$17),2)+ROUND((D25*Input!$O$17),2)+ROUND((D25*Input!$J$17),2)+ROUND((D25*Input!$K$17),2)</f>
        <v>780.4</v>
      </c>
      <c r="P25" s="27">
        <f>ROUND((D25*Input!$Q$17),2)+ROUND((D25*Input!$AA$17),2)+ROUND((D25*Input!$AB$17),2)+ROUND((Input!$X$17*D25),2)</f>
        <v>852.69999999999993</v>
      </c>
      <c r="Q25" s="27">
        <f t="shared" si="5"/>
        <v>72.299999999999955</v>
      </c>
      <c r="R25" s="28">
        <f t="shared" si="6"/>
        <v>9.2999999999999999E-2</v>
      </c>
      <c r="S25" s="27">
        <f t="shared" si="0"/>
        <v>4762.7</v>
      </c>
      <c r="T25" s="27">
        <f t="shared" si="7"/>
        <v>5852.7</v>
      </c>
      <c r="U25" s="28">
        <f t="shared" si="8"/>
        <v>0.22900000000000001</v>
      </c>
      <c r="V25" s="30"/>
    </row>
    <row r="26" spans="1:22" x14ac:dyDescent="0.35">
      <c r="A26" s="59">
        <v>6</v>
      </c>
      <c r="B26" s="59" t="s">
        <v>87</v>
      </c>
      <c r="D26" s="43">
        <v>3000</v>
      </c>
      <c r="E26" s="27">
        <f>Input!$H$17</f>
        <v>3982.3</v>
      </c>
      <c r="F26" s="27">
        <f>Input!$V$17</f>
        <v>5000</v>
      </c>
      <c r="G26" s="50">
        <f t="shared" si="1"/>
        <v>1017.6999999999998</v>
      </c>
      <c r="H26" s="28">
        <f t="shared" si="2"/>
        <v>0.25600000000000001</v>
      </c>
      <c r="I26" s="28"/>
      <c r="J26" s="27">
        <f>Input!$I$17</f>
        <v>0</v>
      </c>
      <c r="K26" s="27">
        <f>Input!$W$17</f>
        <v>0</v>
      </c>
      <c r="L26" s="27">
        <f t="shared" si="3"/>
        <v>0</v>
      </c>
      <c r="M26" s="28">
        <f t="shared" si="4"/>
        <v>0</v>
      </c>
      <c r="N26" s="29"/>
      <c r="O26" s="27">
        <f>ROUND((D26*Input!$C$17),2)+ROUND((D26*Input!$N$17),2)+ROUND((D26*Input!$O$17),2)+ROUND((D26*Input!$J$17),2)+ROUND((D26*Input!$K$17),2)</f>
        <v>2341.1999999999998</v>
      </c>
      <c r="P26" s="27">
        <f>ROUND((D26*Input!$Q$17),2)+ROUND((D26*Input!$AA$17),2)+ROUND((D26*Input!$AB$17),2)+ROUND((Input!$X$15*D26),2)</f>
        <v>2558.1</v>
      </c>
      <c r="Q26" s="27">
        <f t="shared" si="5"/>
        <v>216.90000000000009</v>
      </c>
      <c r="R26" s="28">
        <f t="shared" si="6"/>
        <v>9.2999999999999999E-2</v>
      </c>
      <c r="S26" s="27">
        <f t="shared" si="0"/>
        <v>6323.5</v>
      </c>
      <c r="T26" s="27">
        <f t="shared" si="7"/>
        <v>7558.1</v>
      </c>
      <c r="U26" s="28">
        <f t="shared" si="8"/>
        <v>0.19500000000000001</v>
      </c>
      <c r="V26" s="30"/>
    </row>
    <row r="27" spans="1:22" x14ac:dyDescent="0.35">
      <c r="A27" s="59">
        <v>7</v>
      </c>
      <c r="B27" s="59" t="s">
        <v>88</v>
      </c>
      <c r="D27" s="43">
        <v>5000</v>
      </c>
      <c r="E27" s="27">
        <f>Input!$H$17</f>
        <v>3982.3</v>
      </c>
      <c r="F27" s="27">
        <f>Input!$V$17</f>
        <v>5000</v>
      </c>
      <c r="G27" s="50">
        <f>F27-E27</f>
        <v>1017.6999999999998</v>
      </c>
      <c r="H27" s="28">
        <f t="shared" si="2"/>
        <v>0.25600000000000001</v>
      </c>
      <c r="I27" s="28"/>
      <c r="J27" s="27">
        <f>Input!$I$17</f>
        <v>0</v>
      </c>
      <c r="K27" s="27">
        <f>Input!$W$17</f>
        <v>0</v>
      </c>
      <c r="L27" s="27">
        <f t="shared" si="3"/>
        <v>0</v>
      </c>
      <c r="M27" s="28">
        <f t="shared" si="4"/>
        <v>0</v>
      </c>
      <c r="N27" s="29"/>
      <c r="O27" s="27">
        <f>ROUND((D27*Input!$C$17),2)+ROUND((D27*Input!$N$17),2)+ROUND((D27*Input!$O$17),2)+ROUND((D27*Input!$J$17),2)+ROUND((D27*Input!$K$17),2)</f>
        <v>3902</v>
      </c>
      <c r="P27" s="27">
        <f>ROUND((D27*Input!$Q$17),2)+ROUND((D27*Input!$AA$17),2)+ROUND((D27*Input!$AB$17),2)+ROUND((Input!$X$17*D27),2)</f>
        <v>4263.5</v>
      </c>
      <c r="Q27" s="27">
        <f>P27-O27</f>
        <v>361.5</v>
      </c>
      <c r="R27" s="28">
        <f t="shared" si="6"/>
        <v>9.2999999999999999E-2</v>
      </c>
      <c r="S27" s="27">
        <f t="shared" si="0"/>
        <v>7884.3</v>
      </c>
      <c r="T27" s="27">
        <f t="shared" si="7"/>
        <v>9263.5</v>
      </c>
      <c r="U27" s="28">
        <f t="shared" si="8"/>
        <v>0.17499999999999999</v>
      </c>
      <c r="V27" s="30"/>
    </row>
    <row r="28" spans="1:22" x14ac:dyDescent="0.35">
      <c r="A28" s="59">
        <v>8</v>
      </c>
      <c r="D28" s="43">
        <v>10000</v>
      </c>
      <c r="E28" s="27">
        <f>Input!$H$17</f>
        <v>3982.3</v>
      </c>
      <c r="F28" s="27">
        <f>Input!$V$17</f>
        <v>5000</v>
      </c>
      <c r="G28" s="50">
        <f t="shared" si="1"/>
        <v>1017.6999999999998</v>
      </c>
      <c r="H28" s="28">
        <f t="shared" si="2"/>
        <v>0.25600000000000001</v>
      </c>
      <c r="I28" s="28"/>
      <c r="J28" s="27">
        <f>Input!$I$17</f>
        <v>0</v>
      </c>
      <c r="K28" s="27">
        <f>Input!$W$17</f>
        <v>0</v>
      </c>
      <c r="L28" s="27">
        <f t="shared" si="3"/>
        <v>0</v>
      </c>
      <c r="M28" s="28">
        <f t="shared" si="4"/>
        <v>0</v>
      </c>
      <c r="N28" s="29"/>
      <c r="O28" s="27">
        <f>ROUND((D28*Input!$C$17),2)+ROUND((D28*Input!$N$17),2)+ROUND((D28*Input!$O$17),2)+ROUND((D28*Input!$J$17),2)+ROUND((D28*Input!$K$17),2)</f>
        <v>7804</v>
      </c>
      <c r="P28" s="27">
        <f>ROUND((D28*Input!$Q$17),2)+ROUND((D28*Input!$AA$17),2)+ROUND((D28*Input!$AB$17),2)+ROUND((Input!$X$15*D28),2)</f>
        <v>8527</v>
      </c>
      <c r="Q28" s="27">
        <f t="shared" si="5"/>
        <v>723</v>
      </c>
      <c r="R28" s="28">
        <f t="shared" si="6"/>
        <v>9.2999999999999999E-2</v>
      </c>
      <c r="S28" s="27">
        <f t="shared" si="0"/>
        <v>11786.3</v>
      </c>
      <c r="T28" s="27">
        <f t="shared" si="7"/>
        <v>13527</v>
      </c>
      <c r="U28" s="28">
        <f t="shared" si="8"/>
        <v>0.14799999999999999</v>
      </c>
      <c r="V28" s="30"/>
    </row>
    <row r="29" spans="1:22" x14ac:dyDescent="0.35">
      <c r="A29" s="59">
        <v>9</v>
      </c>
      <c r="B29" s="59"/>
      <c r="D29" s="43">
        <f>D42</f>
        <v>10847</v>
      </c>
      <c r="E29" s="27">
        <f>Input!$H$17</f>
        <v>3982.3</v>
      </c>
      <c r="F29" s="27">
        <f>Input!$V$17</f>
        <v>5000</v>
      </c>
      <c r="G29" s="50">
        <f t="shared" si="1"/>
        <v>1017.6999999999998</v>
      </c>
      <c r="H29" s="28">
        <f t="shared" si="2"/>
        <v>0.25600000000000001</v>
      </c>
      <c r="I29" s="28"/>
      <c r="J29" s="27">
        <f>Input!$I$17</f>
        <v>0</v>
      </c>
      <c r="K29" s="27">
        <f>Input!$W$17</f>
        <v>0</v>
      </c>
      <c r="L29" s="27">
        <f t="shared" si="3"/>
        <v>0</v>
      </c>
      <c r="M29" s="28">
        <f t="shared" si="4"/>
        <v>0</v>
      </c>
      <c r="N29" s="29"/>
      <c r="O29" s="27">
        <f>ROUND((D29*Input!$C$17),2)+ROUND((D29*Input!$N$17),2)+ROUND((D29*Input!$O$17),2)+ROUND((D29*Input!$J$17),2)+ROUND((D29*Input!$K$17),2)</f>
        <v>8465</v>
      </c>
      <c r="P29" s="27">
        <f>ROUND((D29*Input!$Q$17),2)+ROUND((D29*Input!$AA$17),2)+ROUND((D29*Input!$AB$17),2)+ROUND((Input!$X$17*D29),2)</f>
        <v>9249.23</v>
      </c>
      <c r="Q29" s="27">
        <f t="shared" si="5"/>
        <v>784.22999999999956</v>
      </c>
      <c r="R29" s="28">
        <f t="shared" si="6"/>
        <v>9.2999999999999999E-2</v>
      </c>
      <c r="S29" s="27">
        <f t="shared" si="0"/>
        <v>12447.3</v>
      </c>
      <c r="T29" s="27">
        <f t="shared" si="7"/>
        <v>14249.23</v>
      </c>
      <c r="U29" s="28">
        <f t="shared" si="8"/>
        <v>0.14499999999999999</v>
      </c>
      <c r="V29" s="30"/>
    </row>
    <row r="30" spans="1:22" x14ac:dyDescent="0.35">
      <c r="A30" s="59">
        <v>10</v>
      </c>
      <c r="B30" s="59"/>
      <c r="D30" s="43">
        <f>D43</f>
        <v>13039</v>
      </c>
      <c r="E30" s="27">
        <f>Input!$H$17</f>
        <v>3982.3</v>
      </c>
      <c r="F30" s="27">
        <f>Input!$V$17</f>
        <v>5000</v>
      </c>
      <c r="G30" s="50">
        <f>F30-E30</f>
        <v>1017.6999999999998</v>
      </c>
      <c r="H30" s="28">
        <f t="shared" si="2"/>
        <v>0.25600000000000001</v>
      </c>
      <c r="I30" s="28"/>
      <c r="J30" s="27">
        <f>Input!$I$17</f>
        <v>0</v>
      </c>
      <c r="K30" s="27">
        <f>Input!$W$17</f>
        <v>0</v>
      </c>
      <c r="L30" s="27">
        <f t="shared" si="3"/>
        <v>0</v>
      </c>
      <c r="M30" s="28">
        <f t="shared" si="4"/>
        <v>0</v>
      </c>
      <c r="N30" s="29"/>
      <c r="O30" s="27">
        <f>ROUND((D30*Input!$C$17),2)+ROUND((D30*Input!$N$17),2)+ROUND((D30*Input!$O$17),2)+ROUND((D30*Input!$J$17),2)+ROUND((D30*Input!$K$17),2)</f>
        <v>10175.629999999999</v>
      </c>
      <c r="P30" s="27">
        <f>ROUND((D30*Input!$Q$17),2)+ROUND((D30*Input!$AA$17),2)+ROUND((D30*Input!$AB$17),2)+ROUND((Input!$X$17*D30),2)</f>
        <v>11118.35</v>
      </c>
      <c r="Q30" s="27">
        <f>P30-O30</f>
        <v>942.72000000000116</v>
      </c>
      <c r="R30" s="28">
        <f t="shared" si="6"/>
        <v>9.2999999999999999E-2</v>
      </c>
      <c r="S30" s="27">
        <f t="shared" si="0"/>
        <v>14157.93</v>
      </c>
      <c r="T30" s="27">
        <f t="shared" si="7"/>
        <v>16118.35</v>
      </c>
      <c r="U30" s="28">
        <f t="shared" si="8"/>
        <v>0.13800000000000001</v>
      </c>
      <c r="V30" s="30"/>
    </row>
    <row r="31" spans="1:22" x14ac:dyDescent="0.35">
      <c r="A31" s="59">
        <v>11</v>
      </c>
      <c r="B31" s="59"/>
      <c r="D31" s="43">
        <v>15000</v>
      </c>
      <c r="E31" s="27">
        <f>Input!$H$17</f>
        <v>3982.3</v>
      </c>
      <c r="F31" s="27">
        <f>Input!$V$17</f>
        <v>5000</v>
      </c>
      <c r="G31" s="50">
        <f t="shared" si="1"/>
        <v>1017.6999999999998</v>
      </c>
      <c r="H31" s="28">
        <f t="shared" si="2"/>
        <v>0.25600000000000001</v>
      </c>
      <c r="I31" s="28"/>
      <c r="J31" s="27">
        <f>Input!$I$17</f>
        <v>0</v>
      </c>
      <c r="K31" s="27">
        <f>Input!$W$17</f>
        <v>0</v>
      </c>
      <c r="L31" s="27">
        <f t="shared" si="3"/>
        <v>0</v>
      </c>
      <c r="M31" s="28">
        <f t="shared" si="4"/>
        <v>0</v>
      </c>
      <c r="N31" s="29"/>
      <c r="O31" s="27">
        <f>ROUND((D31*Input!$C$17),2)+ROUND((D31*Input!$N$17),2)+ROUND((D31*Input!$O$17),2)+ROUND((D31*Input!$J$17),2)+ROUND((D31*Input!$K$17),2)</f>
        <v>11706</v>
      </c>
      <c r="P31" s="27">
        <f>ROUND((D31*Input!$Q$17),2)+ROUND((D31*Input!$AA$17),2)+ROUND((D31*Input!$AB$17),2)+ROUND((Input!$X$17*D31),2)</f>
        <v>12790.5</v>
      </c>
      <c r="Q31" s="27">
        <f t="shared" si="5"/>
        <v>1084.5</v>
      </c>
      <c r="R31" s="28">
        <f t="shared" si="6"/>
        <v>9.2999999999999999E-2</v>
      </c>
      <c r="S31" s="27">
        <f t="shared" si="0"/>
        <v>15688.3</v>
      </c>
      <c r="T31" s="27">
        <f t="shared" si="7"/>
        <v>17790.5</v>
      </c>
      <c r="U31" s="28">
        <f t="shared" si="8"/>
        <v>0.13400000000000001</v>
      </c>
      <c r="V31" s="30"/>
    </row>
    <row r="32" spans="1:22" x14ac:dyDescent="0.35">
      <c r="A32" s="59">
        <v>12</v>
      </c>
      <c r="D32" s="43">
        <v>20000</v>
      </c>
      <c r="E32" s="27">
        <f>Input!$H$17</f>
        <v>3982.3</v>
      </c>
      <c r="F32" s="27">
        <f>Input!$V$17</f>
        <v>5000</v>
      </c>
      <c r="G32" s="50">
        <f t="shared" si="1"/>
        <v>1017.6999999999998</v>
      </c>
      <c r="H32" s="28">
        <f t="shared" si="2"/>
        <v>0.25600000000000001</v>
      </c>
      <c r="I32" s="28"/>
      <c r="J32" s="27">
        <f>Input!$I$17</f>
        <v>0</v>
      </c>
      <c r="K32" s="27">
        <f>Input!$W$17</f>
        <v>0</v>
      </c>
      <c r="L32" s="27">
        <f t="shared" si="3"/>
        <v>0</v>
      </c>
      <c r="M32" s="28">
        <f t="shared" si="4"/>
        <v>0</v>
      </c>
      <c r="N32" s="29"/>
      <c r="O32" s="27">
        <f>ROUND((D32*Input!$C$17),2)+ROUND((D32*Input!$N$17),2)+ROUND((D32*Input!$O$17),2)+ROUND((D32*Input!$J$17),2)+ROUND((D32*Input!$K$17),2)</f>
        <v>15608</v>
      </c>
      <c r="P32" s="27">
        <f>ROUND((D32*Input!$Q$17),2)+ROUND((D32*Input!$AA$17),2)+ROUND((D32*Input!$AB$17),2)+ROUND((Input!$X$17*D32),2)</f>
        <v>17054</v>
      </c>
      <c r="Q32" s="27">
        <f t="shared" si="5"/>
        <v>1446</v>
      </c>
      <c r="R32" s="28">
        <f t="shared" si="6"/>
        <v>9.2999999999999999E-2</v>
      </c>
      <c r="S32" s="27">
        <f t="shared" si="0"/>
        <v>19590.3</v>
      </c>
      <c r="T32" s="27">
        <f t="shared" si="7"/>
        <v>22054</v>
      </c>
      <c r="U32" s="28">
        <f t="shared" si="8"/>
        <v>0.126</v>
      </c>
      <c r="V32" s="30"/>
    </row>
    <row r="33" spans="1:22" x14ac:dyDescent="0.35">
      <c r="A33" s="59">
        <v>13</v>
      </c>
      <c r="D33" s="43">
        <v>25000</v>
      </c>
      <c r="E33" s="27">
        <f>Input!$H$17</f>
        <v>3982.3</v>
      </c>
      <c r="F33" s="27">
        <f>Input!$V$17</f>
        <v>5000</v>
      </c>
      <c r="G33" s="50">
        <f t="shared" si="1"/>
        <v>1017.6999999999998</v>
      </c>
      <c r="H33" s="28">
        <f t="shared" si="2"/>
        <v>0.25600000000000001</v>
      </c>
      <c r="I33" s="28"/>
      <c r="J33" s="27">
        <f>Input!$I$17</f>
        <v>0</v>
      </c>
      <c r="K33" s="27">
        <f>Input!$W$17</f>
        <v>0</v>
      </c>
      <c r="L33" s="27">
        <f t="shared" si="3"/>
        <v>0</v>
      </c>
      <c r="M33" s="28">
        <f t="shared" si="4"/>
        <v>0</v>
      </c>
      <c r="N33" s="29"/>
      <c r="O33" s="27">
        <f>ROUND((D33*Input!$C$17),2)+ROUND((D33*Input!$N$17),2)+ROUND((D33*Input!$O$17),2)+ROUND((D33*Input!$J$17),2)+ROUND((D33*Input!$K$17),2)</f>
        <v>19510</v>
      </c>
      <c r="P33" s="27">
        <f>ROUND((D33*Input!$Q$17),2)+ROUND((D33*Input!$AA$17),2)+ROUND((D33*Input!$AB$17),2)+ROUND((Input!$X$17*D33),2)</f>
        <v>21317.5</v>
      </c>
      <c r="Q33" s="27">
        <f t="shared" si="5"/>
        <v>1807.5</v>
      </c>
      <c r="R33" s="28">
        <f t="shared" si="6"/>
        <v>9.2999999999999999E-2</v>
      </c>
      <c r="S33" s="27">
        <f t="shared" si="0"/>
        <v>23492.3</v>
      </c>
      <c r="T33" s="27">
        <f t="shared" si="7"/>
        <v>26317.5</v>
      </c>
      <c r="U33" s="28">
        <f t="shared" si="8"/>
        <v>0.12</v>
      </c>
      <c r="V33" s="30"/>
    </row>
    <row r="34" spans="1:22" x14ac:dyDescent="0.35">
      <c r="A34" s="59">
        <v>14</v>
      </c>
      <c r="D34" s="43">
        <v>30000</v>
      </c>
      <c r="E34" s="27">
        <f>Input!$H$17</f>
        <v>3982.3</v>
      </c>
      <c r="F34" s="27">
        <f>Input!$V$17</f>
        <v>5000</v>
      </c>
      <c r="G34" s="50">
        <f t="shared" si="1"/>
        <v>1017.6999999999998</v>
      </c>
      <c r="H34" s="28">
        <f t="shared" si="2"/>
        <v>0.25600000000000001</v>
      </c>
      <c r="I34" s="28"/>
      <c r="J34" s="27">
        <f>Input!$I$17</f>
        <v>0</v>
      </c>
      <c r="K34" s="27">
        <f>Input!$W$17</f>
        <v>0</v>
      </c>
      <c r="L34" s="27">
        <f t="shared" si="3"/>
        <v>0</v>
      </c>
      <c r="M34" s="28">
        <f t="shared" si="4"/>
        <v>0</v>
      </c>
      <c r="N34" s="30"/>
      <c r="O34" s="27">
        <f>ROUND((D34*Input!$C$17),2)+ROUND((D34*Input!$N$17),2)+ROUND((D34*Input!$O$17),2)+ROUND((D34*Input!$J$17),2)+ROUND((D34*Input!$K$17),2)</f>
        <v>23412</v>
      </c>
      <c r="P34" s="27">
        <f>ROUND((D34*Input!$Q$17),2)+ROUND((D34*Input!$AA$17),2)+ROUND((D34*Input!$AB$17),2)+ROUND((Input!$X$17*D34),2)</f>
        <v>25581</v>
      </c>
      <c r="Q34" s="27">
        <f t="shared" si="5"/>
        <v>2169</v>
      </c>
      <c r="R34" s="28">
        <f t="shared" si="6"/>
        <v>9.2999999999999999E-2</v>
      </c>
      <c r="S34" s="27">
        <f t="shared" si="0"/>
        <v>27394.3</v>
      </c>
      <c r="T34" s="27">
        <f t="shared" si="7"/>
        <v>30581</v>
      </c>
      <c r="U34" s="28">
        <f t="shared" si="8"/>
        <v>0.11600000000000001</v>
      </c>
      <c r="V34" s="30"/>
    </row>
    <row r="35" spans="1:22" x14ac:dyDescent="0.35">
      <c r="A35" s="59">
        <v>15</v>
      </c>
      <c r="D35" s="43">
        <v>35000</v>
      </c>
      <c r="E35" s="27">
        <f>Input!$H$17</f>
        <v>3982.3</v>
      </c>
      <c r="F35" s="27">
        <f>Input!$V$17</f>
        <v>5000</v>
      </c>
      <c r="G35" s="50">
        <f t="shared" si="1"/>
        <v>1017.6999999999998</v>
      </c>
      <c r="H35" s="28">
        <f t="shared" si="2"/>
        <v>0.25600000000000001</v>
      </c>
      <c r="I35" s="28"/>
      <c r="J35" s="27">
        <f>Input!$I$17</f>
        <v>0</v>
      </c>
      <c r="K35" s="27">
        <f>Input!$W$17</f>
        <v>0</v>
      </c>
      <c r="L35" s="27">
        <f t="shared" si="3"/>
        <v>0</v>
      </c>
      <c r="M35" s="28">
        <f t="shared" si="4"/>
        <v>0</v>
      </c>
      <c r="N35" s="30"/>
      <c r="O35" s="27">
        <f>ROUND((Input!$C$17*Input!$AD$17),2)+ROUND((Input!$D$17*(D35-Input!$AD$17)),2)+ROUND((D35*Input!$N$17),2)+ROUND((D35*Input!$O$17),2)+ROUND((D35*Input!$J$17),2)+ROUND((D35*Input!$K$17),2)</f>
        <v>25956.5</v>
      </c>
      <c r="P35" s="27">
        <f>ROUND((Input!$Q$17*Input!$AK$17),2)+ROUND((Input!$R$17*(D35-Input!$AK$17)),2)+ROUND((D35*Input!$AA$17),2)+ROUND((D35*Input!$AB$17),2)+ROUND((Input!$X$17*D35),2)</f>
        <v>28236.5</v>
      </c>
      <c r="Q35" s="27">
        <f t="shared" si="5"/>
        <v>2280</v>
      </c>
      <c r="R35" s="28">
        <f t="shared" si="6"/>
        <v>8.7999999999999995E-2</v>
      </c>
      <c r="S35" s="27">
        <f t="shared" si="0"/>
        <v>29938.799999999999</v>
      </c>
      <c r="T35" s="27">
        <f t="shared" si="7"/>
        <v>33236.5</v>
      </c>
      <c r="U35" s="28">
        <f t="shared" si="8"/>
        <v>0.11</v>
      </c>
      <c r="V35" s="30"/>
    </row>
    <row r="36" spans="1:22" x14ac:dyDescent="0.35">
      <c r="A36" s="59">
        <v>16</v>
      </c>
      <c r="D36" s="43">
        <v>40000</v>
      </c>
      <c r="E36" s="27">
        <f>Input!$H$17</f>
        <v>3982.3</v>
      </c>
      <c r="F36" s="27">
        <f>Input!$V$17</f>
        <v>5000</v>
      </c>
      <c r="G36" s="50">
        <f t="shared" si="1"/>
        <v>1017.6999999999998</v>
      </c>
      <c r="H36" s="28">
        <f t="shared" si="2"/>
        <v>0.25600000000000001</v>
      </c>
      <c r="I36" s="28"/>
      <c r="J36" s="27">
        <f>Input!$I$17</f>
        <v>0</v>
      </c>
      <c r="K36" s="27">
        <f>Input!$W$17</f>
        <v>0</v>
      </c>
      <c r="L36" s="27">
        <f t="shared" si="3"/>
        <v>0</v>
      </c>
      <c r="M36" s="28">
        <f t="shared" si="4"/>
        <v>0</v>
      </c>
      <c r="N36" s="30"/>
      <c r="O36" s="27">
        <f>ROUND((Input!$C$17*Input!$AD$17),2)+ROUND((Input!$D$17*(D36-Input!$AD$17)),2)+ROUND((D36*Input!$N$17),2)+ROUND((D36*Input!$O$17),2)+ROUND((D36*Input!$J$17),2)+ROUND((D36*Input!$K$17),2)</f>
        <v>28501</v>
      </c>
      <c r="P36" s="27">
        <f>ROUND((Input!$Q$17*Input!$AK$17),2)+ROUND((Input!$R$17*(D36-Input!$AK$17)),2)+ROUND((D36*Input!$AA$17),2)+ROUND((D36*Input!$AB$17),2)+ROUND((Input!$X$17*D36),2)</f>
        <v>30892</v>
      </c>
      <c r="Q36" s="27">
        <f t="shared" si="5"/>
        <v>2391</v>
      </c>
      <c r="R36" s="28">
        <f t="shared" si="6"/>
        <v>8.4000000000000005E-2</v>
      </c>
      <c r="S36" s="27">
        <f t="shared" si="0"/>
        <v>32483.3</v>
      </c>
      <c r="T36" s="27">
        <f t="shared" si="7"/>
        <v>35892</v>
      </c>
      <c r="U36" s="28">
        <f t="shared" si="8"/>
        <v>0.105</v>
      </c>
      <c r="V36" s="30"/>
    </row>
    <row r="37" spans="1:22" x14ac:dyDescent="0.35">
      <c r="A37" s="59">
        <v>17</v>
      </c>
      <c r="D37" s="43">
        <v>70000</v>
      </c>
      <c r="E37" s="27">
        <f>Input!$H$17</f>
        <v>3982.3</v>
      </c>
      <c r="F37" s="27">
        <f>Input!$V$17</f>
        <v>5000</v>
      </c>
      <c r="G37" s="50">
        <f t="shared" ref="G37:G40" si="9">F37-E37</f>
        <v>1017.6999999999998</v>
      </c>
      <c r="H37" s="28">
        <f t="shared" ref="H37:H40" si="10">ROUND(G37/E37,3)</f>
        <v>0.25600000000000001</v>
      </c>
      <c r="I37" s="28"/>
      <c r="J37" s="27">
        <f>Input!$I$17</f>
        <v>0</v>
      </c>
      <c r="K37" s="27">
        <f>Input!$W$17</f>
        <v>0</v>
      </c>
      <c r="L37" s="27">
        <f t="shared" ref="L37:L40" si="11">K37-J37</f>
        <v>0</v>
      </c>
      <c r="M37" s="28">
        <f t="shared" ref="M37:M40" si="12">IF(J37=0,0,ROUND(L37/J37,3))</f>
        <v>0</v>
      </c>
      <c r="N37" s="30"/>
      <c r="O37" s="27">
        <f>ROUND((Input!$C$17*Input!$AD$17),2)+ROUND((Input!$D$17*(D37-Input!$AD$17)),2)+ROUND((D37*Input!$N$17),2)+ROUND((D37*Input!$O$17),2)+ROUND((D37*Input!$J$17),2)+ROUND((D37*Input!$K$17),2)</f>
        <v>43768</v>
      </c>
      <c r="P37" s="27">
        <f>ROUND((Input!$Q$17*Input!$AK$17),2)+ROUND((Input!$R$17*(D37-Input!$AK$17)),2)+ROUND((D37*Input!$AA$17),2)+ROUND((D37*Input!$AB$17),2)+ROUND((Input!$X$17*D37),2)</f>
        <v>46825</v>
      </c>
      <c r="Q37" s="27">
        <f t="shared" ref="Q37:Q40" si="13">P37-O37</f>
        <v>3057</v>
      </c>
      <c r="R37" s="28">
        <f t="shared" ref="R37:R40" si="14">ROUND(Q37/O37,3)</f>
        <v>7.0000000000000007E-2</v>
      </c>
      <c r="S37" s="27">
        <f t="shared" ref="S37:S40" si="15">E37+J37+O37</f>
        <v>47750.3</v>
      </c>
      <c r="T37" s="27">
        <f t="shared" ref="T37:T40" si="16">F37+P37+K37</f>
        <v>51825</v>
      </c>
      <c r="U37" s="28">
        <f t="shared" ref="U37:U40" si="17">ROUND((T37-S37)/S37,3)</f>
        <v>8.5000000000000006E-2</v>
      </c>
      <c r="V37" s="30"/>
    </row>
    <row r="38" spans="1:22" x14ac:dyDescent="0.35">
      <c r="A38" s="59">
        <v>18</v>
      </c>
      <c r="D38" s="43">
        <v>90000</v>
      </c>
      <c r="E38" s="27">
        <f>Input!$H$17</f>
        <v>3982.3</v>
      </c>
      <c r="F38" s="27">
        <f>Input!$V$17</f>
        <v>5000</v>
      </c>
      <c r="G38" s="50">
        <f t="shared" si="9"/>
        <v>1017.6999999999998</v>
      </c>
      <c r="H38" s="28">
        <f t="shared" si="10"/>
        <v>0.25600000000000001</v>
      </c>
      <c r="I38" s="28"/>
      <c r="J38" s="27">
        <f>Input!$I$17</f>
        <v>0</v>
      </c>
      <c r="K38" s="27">
        <f>Input!$W$17</f>
        <v>0</v>
      </c>
      <c r="L38" s="27">
        <f t="shared" si="11"/>
        <v>0</v>
      </c>
      <c r="M38" s="28">
        <f t="shared" si="12"/>
        <v>0</v>
      </c>
      <c r="N38" s="30"/>
      <c r="O38" s="27">
        <f>ROUND((Input!$C$17*Input!$AD$17),2)+ROUND((Input!$D$17*(D38-Input!$AD$17)),2)+ROUND((D38*Input!$N$17),2)+ROUND((D38*Input!$O$17),2)+ROUND((D38*Input!$J$17),2)+ROUND((D38*Input!$K$17),2)</f>
        <v>53946</v>
      </c>
      <c r="P38" s="27">
        <f>ROUND((Input!$Q$17*Input!$AK$17),2)+ROUND((Input!$R$17*(D38-Input!$AK$17)),2)+ROUND((D38*Input!$AA$17),2)+ROUND((D38*Input!$AB$17),2)+ROUND((Input!$X$17*D38),2)</f>
        <v>57447</v>
      </c>
      <c r="Q38" s="27">
        <f t="shared" si="13"/>
        <v>3501</v>
      </c>
      <c r="R38" s="28">
        <f t="shared" si="14"/>
        <v>6.5000000000000002E-2</v>
      </c>
      <c r="S38" s="27">
        <f t="shared" si="15"/>
        <v>57928.3</v>
      </c>
      <c r="T38" s="27">
        <f t="shared" si="16"/>
        <v>62447</v>
      </c>
      <c r="U38" s="28">
        <f t="shared" si="17"/>
        <v>7.8E-2</v>
      </c>
      <c r="V38" s="30"/>
    </row>
    <row r="39" spans="1:22" x14ac:dyDescent="0.35">
      <c r="A39" s="59">
        <v>19</v>
      </c>
      <c r="D39" s="43">
        <v>100000</v>
      </c>
      <c r="E39" s="27">
        <f>Input!$H$17</f>
        <v>3982.3</v>
      </c>
      <c r="F39" s="27">
        <f>Input!$V$17</f>
        <v>5000</v>
      </c>
      <c r="G39" s="50">
        <f t="shared" si="9"/>
        <v>1017.6999999999998</v>
      </c>
      <c r="H39" s="28">
        <f t="shared" si="10"/>
        <v>0.25600000000000001</v>
      </c>
      <c r="I39" s="28"/>
      <c r="J39" s="27">
        <f>Input!$I$17</f>
        <v>0</v>
      </c>
      <c r="K39" s="27">
        <f>Input!$W$17</f>
        <v>0</v>
      </c>
      <c r="L39" s="27">
        <f t="shared" si="11"/>
        <v>0</v>
      </c>
      <c r="M39" s="28">
        <f t="shared" si="12"/>
        <v>0</v>
      </c>
      <c r="N39" s="30"/>
      <c r="O39" s="27">
        <f>ROUND((Input!$C$17*Input!$AD$17),2)+ROUND((Input!$D$17*(D39-Input!$AD$17)),2)+ROUND((D39*Input!$N$17),2)+ROUND((D39*Input!$O$17),2)+ROUND((D39*Input!$J$17),2)+ROUND((D39*Input!$K$17),2)</f>
        <v>59035</v>
      </c>
      <c r="P39" s="27">
        <f>ROUND((Input!$Q$17*Input!$AK$17),2)+ROUND((Input!$R$17*(D39-Input!$AK$17)),2)+ROUND((D39*Input!$AA$17),2)+ROUND((D39*Input!$AB$17),2)+ROUND((Input!$X$17*D39),2)</f>
        <v>62758</v>
      </c>
      <c r="Q39" s="27">
        <f t="shared" si="13"/>
        <v>3723</v>
      </c>
      <c r="R39" s="28">
        <f t="shared" si="14"/>
        <v>6.3E-2</v>
      </c>
      <c r="S39" s="27">
        <f t="shared" si="15"/>
        <v>63017.3</v>
      </c>
      <c r="T39" s="27">
        <f t="shared" si="16"/>
        <v>67758</v>
      </c>
      <c r="U39" s="28">
        <f t="shared" si="17"/>
        <v>7.4999999999999997E-2</v>
      </c>
      <c r="V39" s="30"/>
    </row>
    <row r="40" spans="1:22" x14ac:dyDescent="0.35">
      <c r="A40" s="59">
        <v>20</v>
      </c>
      <c r="D40" s="43">
        <v>125000</v>
      </c>
      <c r="E40" s="27">
        <f>Input!$H$17</f>
        <v>3982.3</v>
      </c>
      <c r="F40" s="27">
        <f>Input!$V$17</f>
        <v>5000</v>
      </c>
      <c r="G40" s="50">
        <f t="shared" si="9"/>
        <v>1017.6999999999998</v>
      </c>
      <c r="H40" s="28">
        <f t="shared" si="10"/>
        <v>0.25600000000000001</v>
      </c>
      <c r="I40" s="28"/>
      <c r="J40" s="27">
        <f>Input!$I$17</f>
        <v>0</v>
      </c>
      <c r="K40" s="27">
        <f>Input!$W$17</f>
        <v>0</v>
      </c>
      <c r="L40" s="27">
        <f t="shared" si="11"/>
        <v>0</v>
      </c>
      <c r="M40" s="28">
        <f t="shared" si="12"/>
        <v>0</v>
      </c>
      <c r="N40" s="30"/>
      <c r="O40" s="27">
        <f>ROUND((Input!$C$17*Input!$AD$17),2)+ROUND((Input!$D$17*(D40-Input!$AD$17)),2)+ROUND((D40*Input!$N$17),2)+ROUND((D40*Input!$O$17),2)+ROUND((D40*Input!$J$17),2)+ROUND((D40*Input!$K$17),2)</f>
        <v>71757.5</v>
      </c>
      <c r="P40" s="27">
        <f>ROUND((Input!$Q$17*Input!$AK$17),2)+ROUND((Input!$R$17*(D40-Input!$AK$17)),2)+ROUND((D40*Input!$AA$17),2)+ROUND((D40*Input!$AB$17),2)+ROUND((Input!$X$17*D40),2)</f>
        <v>76035.5</v>
      </c>
      <c r="Q40" s="27">
        <f t="shared" si="13"/>
        <v>4278</v>
      </c>
      <c r="R40" s="28">
        <f t="shared" si="14"/>
        <v>0.06</v>
      </c>
      <c r="S40" s="27">
        <f t="shared" si="15"/>
        <v>75739.8</v>
      </c>
      <c r="T40" s="27">
        <f t="shared" si="16"/>
        <v>81035.5</v>
      </c>
      <c r="U40" s="28">
        <f t="shared" si="17"/>
        <v>7.0000000000000007E-2</v>
      </c>
      <c r="V40" s="30"/>
    </row>
    <row r="41" spans="1:22" x14ac:dyDescent="0.35">
      <c r="A41" s="59"/>
      <c r="D41" s="31"/>
      <c r="E41" s="30"/>
      <c r="F41" s="30"/>
      <c r="G41" s="27"/>
      <c r="H41" s="29"/>
      <c r="I41" s="29"/>
      <c r="J41" s="29"/>
      <c r="K41" s="29"/>
      <c r="L41" s="29"/>
      <c r="M41" s="29"/>
      <c r="N41" s="30"/>
      <c r="O41" s="30"/>
      <c r="P41" s="30"/>
      <c r="Q41" s="27"/>
      <c r="R41" s="29"/>
      <c r="S41" s="27"/>
      <c r="T41" s="27"/>
      <c r="U41" s="29"/>
      <c r="V41" s="30"/>
    </row>
    <row r="42" spans="1:22" x14ac:dyDescent="0.35">
      <c r="A42" s="59"/>
      <c r="B42" s="8" t="s">
        <v>98</v>
      </c>
      <c r="D42" s="44">
        <f>ROUND(Input!AT17,0)</f>
        <v>10847</v>
      </c>
      <c r="E42" s="37" t="s">
        <v>99</v>
      </c>
      <c r="F42" s="59"/>
      <c r="G42" s="33"/>
      <c r="H42" s="34"/>
      <c r="I42" s="34"/>
      <c r="J42" s="34"/>
      <c r="K42" s="34"/>
      <c r="L42" s="34"/>
      <c r="M42" s="34"/>
      <c r="N42" s="59"/>
      <c r="O42" s="59"/>
      <c r="P42" s="59"/>
      <c r="Q42" s="33"/>
      <c r="R42" s="34"/>
      <c r="S42" s="33"/>
      <c r="T42" s="33"/>
      <c r="U42" s="34"/>
    </row>
    <row r="43" spans="1:22" x14ac:dyDescent="0.35">
      <c r="A43" s="59"/>
      <c r="B43" s="8" t="s">
        <v>98</v>
      </c>
      <c r="D43" s="44">
        <f>ROUND(Input!AT18,0)</f>
        <v>13039</v>
      </c>
      <c r="E43" s="37" t="s">
        <v>100</v>
      </c>
    </row>
    <row r="44" spans="1:22" x14ac:dyDescent="0.35">
      <c r="A44" s="59"/>
    </row>
    <row r="45" spans="1:22" x14ac:dyDescent="0.35">
      <c r="A45" s="59"/>
    </row>
    <row r="46" spans="1:22" x14ac:dyDescent="0.35">
      <c r="A46" s="59"/>
      <c r="B46" s="8" t="s">
        <v>149</v>
      </c>
    </row>
    <row r="47" spans="1:22" x14ac:dyDescent="0.35">
      <c r="A47" s="59"/>
    </row>
  </sheetData>
  <mergeCells count="8">
    <mergeCell ref="A5:U5"/>
    <mergeCell ref="E13:H13"/>
    <mergeCell ref="O13:R13"/>
    <mergeCell ref="A1:U1"/>
    <mergeCell ref="A2:U2"/>
    <mergeCell ref="A3:U3"/>
    <mergeCell ref="A4:U4"/>
    <mergeCell ref="J13:M13"/>
  </mergeCells>
  <phoneticPr fontId="0" type="noConversion"/>
  <printOptions horizontalCentered="1"/>
  <pageMargins left="0" right="0" top="0.75" bottom="0.75" header="0.5" footer="0.5"/>
  <pageSetup scale="5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V43"/>
  <sheetViews>
    <sheetView workbookViewId="0">
      <selection activeCell="W11" sqref="W11:AD42"/>
    </sheetView>
  </sheetViews>
  <sheetFormatPr defaultColWidth="9.36328125" defaultRowHeight="12.9" x14ac:dyDescent="0.35"/>
  <cols>
    <col min="1" max="1" width="4.453125" style="8" customWidth="1"/>
    <col min="2" max="2" width="14.1796875" style="8" customWidth="1"/>
    <col min="3" max="3" width="11.6328125" style="8" bestFit="1" customWidth="1"/>
    <col min="4" max="4" width="10.453125" style="8" bestFit="1" customWidth="1"/>
    <col min="5" max="5" width="15.36328125" style="8" bestFit="1" customWidth="1"/>
    <col min="6" max="6" width="10.81640625" style="8" bestFit="1" customWidth="1"/>
    <col min="7" max="7" width="12.1796875" style="59" bestFit="1" customWidth="1"/>
    <col min="8" max="8" width="12.1796875" style="8" bestFit="1" customWidth="1"/>
    <col min="9" max="9" width="1.81640625" style="8" customWidth="1"/>
    <col min="10" max="11" width="15.6328125" style="8" bestFit="1" customWidth="1"/>
    <col min="12" max="13" width="12.1796875" style="8" bestFit="1" customWidth="1"/>
    <col min="14" max="14" width="1.81640625" style="8" customWidth="1"/>
    <col min="15" max="16" width="12.81640625" style="8" bestFit="1" customWidth="1"/>
    <col min="17" max="18" width="12.1796875" style="8" bestFit="1" customWidth="1"/>
    <col min="19" max="19" width="13.1796875" style="59" bestFit="1" customWidth="1"/>
    <col min="20" max="20" width="13" style="59" bestFit="1" customWidth="1"/>
    <col min="21" max="21" width="12.453125" style="59" customWidth="1"/>
    <col min="22" max="22" width="9.36328125" style="8"/>
    <col min="23" max="31" width="9.36328125" style="8" customWidth="1"/>
    <col min="32" max="16384" width="9.36328125" style="8"/>
  </cols>
  <sheetData>
    <row r="1" spans="1:21" x14ac:dyDescent="0.35">
      <c r="A1" s="73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x14ac:dyDescent="0.35">
      <c r="A2" s="73" t="str">
        <f>Input!$B$1</f>
        <v>CASE NO. 2024-xxxxx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x14ac:dyDescent="0.35">
      <c r="A3" s="73" t="s">
        <v>85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x14ac:dyDescent="0.35">
      <c r="A4" s="73" t="s">
        <v>36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x14ac:dyDescent="0.35">
      <c r="A5" s="73" t="str">
        <f>Input!$B$5</f>
        <v>TWELVE MONTHS ENDING DECEMBER 31, 2025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x14ac:dyDescent="0.35">
      <c r="A6" s="59"/>
      <c r="B6" s="60"/>
      <c r="C6" s="60"/>
      <c r="D6" s="60"/>
      <c r="E6" s="60"/>
      <c r="F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21" x14ac:dyDescent="0.35">
      <c r="A7" s="59"/>
      <c r="B7" s="60"/>
      <c r="C7" s="60"/>
      <c r="D7" s="60"/>
      <c r="E7" s="60"/>
      <c r="F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21" x14ac:dyDescent="0.35">
      <c r="A8" s="8" t="s">
        <v>123</v>
      </c>
      <c r="U8" s="30" t="s">
        <v>37</v>
      </c>
    </row>
    <row r="9" spans="1:21" x14ac:dyDescent="0.35">
      <c r="A9" s="8" t="s">
        <v>124</v>
      </c>
      <c r="U9" s="30" t="s">
        <v>130</v>
      </c>
    </row>
    <row r="10" spans="1:21" x14ac:dyDescent="0.35">
      <c r="A10" s="8" t="s">
        <v>38</v>
      </c>
      <c r="U10" s="30" t="str">
        <f>Input!$B$3</f>
        <v>Witness: R. J. Amen</v>
      </c>
    </row>
    <row r="12" spans="1:21" x14ac:dyDescent="0.35">
      <c r="A12" s="24"/>
      <c r="B12" s="24"/>
      <c r="C12" s="24"/>
      <c r="D12" s="24"/>
      <c r="E12" s="24"/>
      <c r="F12" s="24"/>
      <c r="G12" s="61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61"/>
      <c r="T12" s="61"/>
      <c r="U12" s="61"/>
    </row>
    <row r="13" spans="1:21" x14ac:dyDescent="0.35">
      <c r="E13" s="75" t="s">
        <v>77</v>
      </c>
      <c r="F13" s="75"/>
      <c r="G13" s="75"/>
      <c r="H13" s="75"/>
      <c r="I13" s="25"/>
      <c r="J13" s="75" t="s">
        <v>119</v>
      </c>
      <c r="K13" s="75"/>
      <c r="L13" s="75"/>
      <c r="M13" s="75"/>
      <c r="N13" s="25"/>
      <c r="O13" s="75" t="s">
        <v>78</v>
      </c>
      <c r="P13" s="75"/>
      <c r="Q13" s="75"/>
      <c r="R13" s="75"/>
    </row>
    <row r="14" spans="1:21" x14ac:dyDescent="0.35">
      <c r="E14" s="59" t="s">
        <v>43</v>
      </c>
      <c r="F14" s="59" t="s">
        <v>44</v>
      </c>
      <c r="G14" s="59" t="s">
        <v>75</v>
      </c>
      <c r="H14" s="59" t="s">
        <v>46</v>
      </c>
      <c r="I14" s="59"/>
      <c r="J14" s="59" t="s">
        <v>43</v>
      </c>
      <c r="K14" s="59" t="s">
        <v>44</v>
      </c>
      <c r="L14" s="59" t="s">
        <v>75</v>
      </c>
      <c r="M14" s="59" t="s">
        <v>46</v>
      </c>
      <c r="Q14" s="59" t="s">
        <v>75</v>
      </c>
      <c r="R14" s="59" t="s">
        <v>46</v>
      </c>
      <c r="S14" s="59" t="s">
        <v>39</v>
      </c>
      <c r="T14" s="59" t="s">
        <v>39</v>
      </c>
      <c r="U14" s="59" t="s">
        <v>46</v>
      </c>
    </row>
    <row r="15" spans="1:21" x14ac:dyDescent="0.35">
      <c r="D15" s="59" t="s">
        <v>71</v>
      </c>
      <c r="E15" s="59" t="s">
        <v>71</v>
      </c>
      <c r="F15" s="59" t="s">
        <v>71</v>
      </c>
      <c r="G15" s="59" t="s">
        <v>45</v>
      </c>
      <c r="H15" s="59" t="s">
        <v>45</v>
      </c>
      <c r="I15" s="59"/>
      <c r="J15" s="59" t="s">
        <v>71</v>
      </c>
      <c r="K15" s="59" t="s">
        <v>71</v>
      </c>
      <c r="L15" s="59" t="s">
        <v>45</v>
      </c>
      <c r="M15" s="59" t="s">
        <v>45</v>
      </c>
      <c r="N15" s="59"/>
      <c r="O15" s="59" t="s">
        <v>43</v>
      </c>
      <c r="P15" s="59" t="s">
        <v>44</v>
      </c>
      <c r="Q15" s="59" t="s">
        <v>45</v>
      </c>
      <c r="R15" s="59" t="s">
        <v>45</v>
      </c>
      <c r="S15" s="59" t="s">
        <v>43</v>
      </c>
      <c r="T15" s="59" t="s">
        <v>44</v>
      </c>
      <c r="U15" s="59" t="s">
        <v>45</v>
      </c>
    </row>
    <row r="16" spans="1:21" x14ac:dyDescent="0.35">
      <c r="A16" s="59" t="s">
        <v>40</v>
      </c>
      <c r="B16" s="59" t="s">
        <v>41</v>
      </c>
      <c r="C16" s="59" t="s">
        <v>42</v>
      </c>
      <c r="D16" s="59" t="s">
        <v>72</v>
      </c>
      <c r="E16" s="59" t="s">
        <v>68</v>
      </c>
      <c r="F16" s="59" t="s">
        <v>68</v>
      </c>
      <c r="G16" s="59" t="s">
        <v>76</v>
      </c>
      <c r="H16" s="59" t="s">
        <v>76</v>
      </c>
      <c r="I16" s="59"/>
      <c r="J16" s="59" t="s">
        <v>109</v>
      </c>
      <c r="K16" s="59" t="s">
        <v>109</v>
      </c>
      <c r="L16" s="59" t="s">
        <v>76</v>
      </c>
      <c r="M16" s="59" t="s">
        <v>76</v>
      </c>
      <c r="N16" s="59"/>
      <c r="O16" s="59" t="s">
        <v>79</v>
      </c>
      <c r="P16" s="59" t="s">
        <v>79</v>
      </c>
      <c r="Q16" s="59" t="s">
        <v>76</v>
      </c>
      <c r="R16" s="59" t="s">
        <v>76</v>
      </c>
      <c r="S16" s="59" t="s">
        <v>49</v>
      </c>
      <c r="T16" s="59" t="s">
        <v>49</v>
      </c>
      <c r="U16" s="59" t="s">
        <v>76</v>
      </c>
    </row>
    <row r="17" spans="1:22" x14ac:dyDescent="0.35">
      <c r="A17" s="59" t="s">
        <v>47</v>
      </c>
      <c r="B17" s="59" t="s">
        <v>48</v>
      </c>
      <c r="C17" s="59" t="s">
        <v>15</v>
      </c>
      <c r="D17" s="59" t="s">
        <v>73</v>
      </c>
      <c r="E17" s="59" t="s">
        <v>74</v>
      </c>
      <c r="F17" s="59" t="s">
        <v>74</v>
      </c>
      <c r="G17" s="26" t="s">
        <v>50</v>
      </c>
      <c r="H17" s="26" t="s">
        <v>51</v>
      </c>
      <c r="I17" s="26"/>
      <c r="J17" s="59" t="s">
        <v>74</v>
      </c>
      <c r="K17" s="59" t="s">
        <v>74</v>
      </c>
      <c r="L17" s="26" t="s">
        <v>80</v>
      </c>
      <c r="M17" s="26" t="s">
        <v>81</v>
      </c>
      <c r="N17" s="26"/>
      <c r="O17" s="59" t="s">
        <v>74</v>
      </c>
      <c r="P17" s="59" t="s">
        <v>74</v>
      </c>
      <c r="Q17" s="26" t="s">
        <v>114</v>
      </c>
      <c r="R17" s="26" t="s">
        <v>115</v>
      </c>
      <c r="S17" s="26" t="s">
        <v>116</v>
      </c>
      <c r="T17" s="26" t="s">
        <v>117</v>
      </c>
      <c r="U17" s="26" t="s">
        <v>118</v>
      </c>
    </row>
    <row r="18" spans="1:22" x14ac:dyDescent="0.35">
      <c r="D18" s="26" t="s">
        <v>52</v>
      </c>
      <c r="E18" s="26" t="s">
        <v>53</v>
      </c>
      <c r="F18" s="26" t="s">
        <v>53</v>
      </c>
      <c r="G18" s="26" t="s">
        <v>53</v>
      </c>
      <c r="H18" s="26" t="s">
        <v>54</v>
      </c>
      <c r="I18" s="26"/>
      <c r="J18" s="26" t="s">
        <v>53</v>
      </c>
      <c r="K18" s="26" t="s">
        <v>53</v>
      </c>
      <c r="L18" s="26" t="s">
        <v>53</v>
      </c>
      <c r="M18" s="26" t="s">
        <v>54</v>
      </c>
      <c r="N18" s="26"/>
      <c r="O18" s="26" t="s">
        <v>53</v>
      </c>
      <c r="P18" s="26" t="s">
        <v>53</v>
      </c>
      <c r="Q18" s="26" t="s">
        <v>53</v>
      </c>
      <c r="R18" s="26" t="s">
        <v>54</v>
      </c>
      <c r="S18" s="26" t="s">
        <v>53</v>
      </c>
      <c r="T18" s="26" t="s">
        <v>53</v>
      </c>
      <c r="U18" s="26" t="s">
        <v>54</v>
      </c>
    </row>
    <row r="19" spans="1:22" x14ac:dyDescent="0.35">
      <c r="C19" s="26" t="s">
        <v>55</v>
      </c>
      <c r="D19" s="26" t="s">
        <v>56</v>
      </c>
      <c r="E19" s="26" t="s">
        <v>57</v>
      </c>
      <c r="F19" s="26" t="s">
        <v>58</v>
      </c>
      <c r="G19" s="26" t="s">
        <v>59</v>
      </c>
      <c r="H19" s="26" t="s">
        <v>60</v>
      </c>
      <c r="I19" s="26"/>
      <c r="J19" s="26" t="s">
        <v>61</v>
      </c>
      <c r="K19" s="26" t="s">
        <v>62</v>
      </c>
      <c r="L19" s="26" t="s">
        <v>63</v>
      </c>
      <c r="M19" s="26" t="s">
        <v>64</v>
      </c>
      <c r="N19" s="26"/>
      <c r="O19" s="26" t="s">
        <v>82</v>
      </c>
      <c r="P19" s="26" t="s">
        <v>83</v>
      </c>
      <c r="Q19" s="26" t="s">
        <v>84</v>
      </c>
      <c r="R19" s="26" t="s">
        <v>110</v>
      </c>
      <c r="S19" s="26" t="s">
        <v>111</v>
      </c>
      <c r="T19" s="26" t="s">
        <v>112</v>
      </c>
      <c r="U19" s="26" t="s">
        <v>113</v>
      </c>
    </row>
    <row r="20" spans="1:22" x14ac:dyDescent="0.35">
      <c r="D20" s="59"/>
      <c r="E20" s="59"/>
      <c r="F20" s="59"/>
      <c r="H20" s="59"/>
      <c r="I20" s="59"/>
      <c r="J20" s="59"/>
      <c r="K20" s="59"/>
      <c r="L20" s="59"/>
      <c r="M20" s="59"/>
      <c r="N20" s="59"/>
      <c r="O20" s="59"/>
      <c r="P20" s="26"/>
      <c r="Q20" s="26"/>
      <c r="R20" s="26"/>
    </row>
    <row r="21" spans="1:22" x14ac:dyDescent="0.35">
      <c r="A21" s="59">
        <v>1</v>
      </c>
      <c r="B21" s="59" t="s">
        <v>122</v>
      </c>
      <c r="C21" s="59" t="s">
        <v>65</v>
      </c>
      <c r="D21" s="62">
        <v>10</v>
      </c>
      <c r="E21" s="27">
        <f>Input!$H$19</f>
        <v>83.71</v>
      </c>
      <c r="F21" s="27">
        <f>Input!$V$19</f>
        <v>110</v>
      </c>
      <c r="G21" s="50">
        <f>F21-E21</f>
        <v>26.290000000000006</v>
      </c>
      <c r="H21" s="28">
        <f>ROUND(G21/E21,3)</f>
        <v>0.314</v>
      </c>
      <c r="I21" s="28"/>
      <c r="J21" s="27">
        <f>Input!$I$19</f>
        <v>0</v>
      </c>
      <c r="K21" s="27">
        <f>Input!$W$19</f>
        <v>0</v>
      </c>
      <c r="L21" s="27">
        <f>K21-J21</f>
        <v>0</v>
      </c>
      <c r="M21" s="28">
        <f>IF(J21=0,0,ROUND(L21/J21,3))</f>
        <v>0</v>
      </c>
      <c r="N21" s="29"/>
      <c r="O21" s="27">
        <f>ROUND((D21*Input!$C$19),2)+ROUND((D21*Input!$N$19),2)+ROUND((D21*Input!$O$19),2)+ROUND((D21*Input!$J$19),2)+ROUND((D21*Input!$K$19),2)</f>
        <v>35.839999999999996</v>
      </c>
      <c r="P21" s="27">
        <f>ROUND((D21*Input!$Q$19),2)+ROUND((D21*Input!$AA$19),2)+ROUND((D21*Input!$AB$19),2)+ROUND((Input!$X$19*D21),2)</f>
        <v>36.65</v>
      </c>
      <c r="Q21" s="27">
        <f>P21-O21</f>
        <v>0.81000000000000227</v>
      </c>
      <c r="R21" s="28">
        <f>ROUND(Q21/O21,3)</f>
        <v>2.3E-2</v>
      </c>
      <c r="S21" s="27">
        <f>E21+J21+O21</f>
        <v>119.54999999999998</v>
      </c>
      <c r="T21" s="27">
        <f>F21+K21+P21</f>
        <v>146.65</v>
      </c>
      <c r="U21" s="28">
        <f>ROUND((T21-S21)/S21,3)</f>
        <v>0.22700000000000001</v>
      </c>
      <c r="V21" s="30"/>
    </row>
    <row r="22" spans="1:22" x14ac:dyDescent="0.35">
      <c r="A22" s="59">
        <v>2</v>
      </c>
      <c r="B22" s="59" t="s">
        <v>69</v>
      </c>
      <c r="C22" s="59" t="s">
        <v>67</v>
      </c>
      <c r="D22" s="62">
        <v>30</v>
      </c>
      <c r="E22" s="27">
        <f>Input!$H$19</f>
        <v>83.71</v>
      </c>
      <c r="F22" s="27">
        <f>Input!$V$19</f>
        <v>110</v>
      </c>
      <c r="G22" s="50">
        <f t="shared" ref="G22:G38" si="0">F22-E22</f>
        <v>26.290000000000006</v>
      </c>
      <c r="H22" s="28">
        <f t="shared" ref="H22:H38" si="1">ROUND(G22/E22,3)</f>
        <v>0.314</v>
      </c>
      <c r="I22" s="28"/>
      <c r="J22" s="27">
        <f>Input!$I$19</f>
        <v>0</v>
      </c>
      <c r="K22" s="27">
        <f>Input!$W$19</f>
        <v>0</v>
      </c>
      <c r="L22" s="27">
        <f t="shared" ref="L22:L38" si="2">K22-J22</f>
        <v>0</v>
      </c>
      <c r="M22" s="28">
        <f t="shared" ref="M22:M38" si="3">IF(J22=0,0,ROUND(L22/J22,3))</f>
        <v>0</v>
      </c>
      <c r="N22" s="29"/>
      <c r="O22" s="27">
        <f>ROUND((D22*Input!$C$19),2)+ROUND((D22*Input!$N$19),2)+ROUND((D22*Input!$O$19),2)+ROUND((D22*Input!$J$19),2)+ROUND((D22*Input!$K$19),2)</f>
        <v>107.54</v>
      </c>
      <c r="P22" s="27">
        <f>ROUND((D22*Input!$Q$19),2)+ROUND((D22*Input!$AA$19),2)+ROUND((D22*Input!$AB$19),2)+ROUND((Input!$X$19*D22),2)</f>
        <v>109.95</v>
      </c>
      <c r="Q22" s="27">
        <f t="shared" ref="Q22:Q38" si="4">P22-O22</f>
        <v>2.4099999999999966</v>
      </c>
      <c r="R22" s="28">
        <f t="shared" ref="R22:R38" si="5">ROUND(Q22/O22,3)</f>
        <v>2.1999999999999999E-2</v>
      </c>
      <c r="S22" s="27">
        <f t="shared" ref="S22:S38" si="6">E22+J22+O22</f>
        <v>191.25</v>
      </c>
      <c r="T22" s="27">
        <f t="shared" ref="T22:T38" si="7">F22+K22+P22</f>
        <v>219.95</v>
      </c>
      <c r="U22" s="28">
        <f t="shared" ref="U22:U38" si="8">ROUND((T22-S22)/S22,3)</f>
        <v>0.15</v>
      </c>
      <c r="V22" s="30"/>
    </row>
    <row r="23" spans="1:22" x14ac:dyDescent="0.35">
      <c r="A23" s="59">
        <v>3</v>
      </c>
      <c r="B23" s="59" t="s">
        <v>92</v>
      </c>
      <c r="D23" s="62">
        <v>50</v>
      </c>
      <c r="E23" s="27">
        <f>Input!$H$19</f>
        <v>83.71</v>
      </c>
      <c r="F23" s="27">
        <f>Input!$V$19</f>
        <v>110</v>
      </c>
      <c r="G23" s="50">
        <f t="shared" si="0"/>
        <v>26.290000000000006</v>
      </c>
      <c r="H23" s="28">
        <f t="shared" si="1"/>
        <v>0.314</v>
      </c>
      <c r="I23" s="28"/>
      <c r="J23" s="27">
        <f>Input!$I$19</f>
        <v>0</v>
      </c>
      <c r="K23" s="27">
        <f>Input!$W$19</f>
        <v>0</v>
      </c>
      <c r="L23" s="27">
        <f t="shared" si="2"/>
        <v>0</v>
      </c>
      <c r="M23" s="28">
        <f t="shared" si="3"/>
        <v>0</v>
      </c>
      <c r="N23" s="29"/>
      <c r="O23" s="27">
        <f>ROUND((D23*Input!$C$19),2)+ROUND((D23*Input!$N$19),2)+ROUND((D23*Input!$O$19),2)+ROUND((D23*Input!$J$19),2)+ROUND((D23*Input!$K$19),2)</f>
        <v>179.24</v>
      </c>
      <c r="P23" s="27">
        <f>ROUND((D23*Input!$Q$19),2)+ROUND((D23*Input!$AA$19),2)+ROUND((D23*Input!$AB$19),2)+ROUND((Input!$X$19*D23),2)</f>
        <v>183.25</v>
      </c>
      <c r="Q23" s="27">
        <f t="shared" si="4"/>
        <v>4.0099999999999909</v>
      </c>
      <c r="R23" s="28">
        <f t="shared" si="5"/>
        <v>2.1999999999999999E-2</v>
      </c>
      <c r="S23" s="27">
        <f t="shared" si="6"/>
        <v>262.95</v>
      </c>
      <c r="T23" s="27">
        <f t="shared" si="7"/>
        <v>293.25</v>
      </c>
      <c r="U23" s="28">
        <f t="shared" si="8"/>
        <v>0.115</v>
      </c>
      <c r="V23" s="30"/>
    </row>
    <row r="24" spans="1:22" x14ac:dyDescent="0.35">
      <c r="A24" s="59">
        <v>4</v>
      </c>
      <c r="B24" s="59" t="s">
        <v>90</v>
      </c>
      <c r="D24" s="62">
        <v>70</v>
      </c>
      <c r="E24" s="27">
        <f>Input!$H$19</f>
        <v>83.71</v>
      </c>
      <c r="F24" s="27">
        <f>Input!$V$19</f>
        <v>110</v>
      </c>
      <c r="G24" s="50">
        <f t="shared" si="0"/>
        <v>26.290000000000006</v>
      </c>
      <c r="H24" s="28">
        <f t="shared" si="1"/>
        <v>0.314</v>
      </c>
      <c r="I24" s="28"/>
      <c r="J24" s="27">
        <f>Input!$I$19</f>
        <v>0</v>
      </c>
      <c r="K24" s="27">
        <f>Input!$W$19</f>
        <v>0</v>
      </c>
      <c r="L24" s="27">
        <f t="shared" si="2"/>
        <v>0</v>
      </c>
      <c r="M24" s="28">
        <f t="shared" si="3"/>
        <v>0</v>
      </c>
      <c r="N24" s="29"/>
      <c r="O24" s="27">
        <f>ROUND((Input!$AD$19*Input!$C$19),2)+ROUND(((D24-Input!$AD$19)*Input!$D$19),2)+ROUND((D24*Input!$N$19),2)+ROUND((D24*Input!$O$19),2)+ROUND((D24*Input!$J$19),2)+ROUND((D24*Input!$K$19),2)</f>
        <v>236.1</v>
      </c>
      <c r="P24" s="27">
        <f>ROUND((Input!$AK$19*Input!$Q$19),2)+ROUND(((D24-Input!$AK$19)*Input!$R$19),2)+ROUND((D24*Input!$AA$19),2)+ROUND((D24*Input!$AB$19),2)+ROUND((Input!$X$19*D24),2)</f>
        <v>239.89</v>
      </c>
      <c r="Q24" s="27">
        <f t="shared" si="4"/>
        <v>3.789999999999992</v>
      </c>
      <c r="R24" s="28">
        <f t="shared" si="5"/>
        <v>1.6E-2</v>
      </c>
      <c r="S24" s="27">
        <f t="shared" si="6"/>
        <v>319.81</v>
      </c>
      <c r="T24" s="27">
        <f t="shared" si="7"/>
        <v>349.89</v>
      </c>
      <c r="U24" s="28">
        <f t="shared" si="8"/>
        <v>9.4E-2</v>
      </c>
      <c r="V24" s="30"/>
    </row>
    <row r="25" spans="1:22" x14ac:dyDescent="0.35">
      <c r="A25" s="59">
        <v>5</v>
      </c>
      <c r="B25" s="59" t="s">
        <v>86</v>
      </c>
      <c r="D25" s="62">
        <v>100</v>
      </c>
      <c r="E25" s="27">
        <f>Input!$H$19</f>
        <v>83.71</v>
      </c>
      <c r="F25" s="27">
        <f>Input!$V$19</f>
        <v>110</v>
      </c>
      <c r="G25" s="50">
        <f t="shared" si="0"/>
        <v>26.290000000000006</v>
      </c>
      <c r="H25" s="28">
        <f t="shared" si="1"/>
        <v>0.314</v>
      </c>
      <c r="I25" s="28"/>
      <c r="J25" s="27">
        <f>Input!$I$19</f>
        <v>0</v>
      </c>
      <c r="K25" s="27">
        <f>Input!$W$19</f>
        <v>0</v>
      </c>
      <c r="L25" s="27">
        <f t="shared" si="2"/>
        <v>0</v>
      </c>
      <c r="M25" s="28">
        <f t="shared" si="3"/>
        <v>0</v>
      </c>
      <c r="N25" s="29"/>
      <c r="O25" s="27">
        <f>ROUND((Input!$AD$19*Input!$C$19),2)+ROUND(((D25-Input!$AD$19)*Input!$D$19),2)+ROUND((D25*Input!$N$19),2)+ROUND((D25*Input!$O$19),2)+ROUND((D25*Input!$J$19),2)+ROUND((D25*Input!$K$19),2)</f>
        <v>321.39000000000004</v>
      </c>
      <c r="P25" s="27">
        <f>ROUND((Input!$AK$19*Input!$Q$19),2)+ROUND(((D25-Input!$AK$19)*Input!$R$19),2)+ROUND((D25*Input!$AA$19),2)+ROUND((D25*Input!$AB$19),2)+ROUND((Input!$X$19*D25),2)</f>
        <v>324.84000000000003</v>
      </c>
      <c r="Q25" s="27">
        <f t="shared" si="4"/>
        <v>3.4499999999999886</v>
      </c>
      <c r="R25" s="28">
        <f t="shared" si="5"/>
        <v>1.0999999999999999E-2</v>
      </c>
      <c r="S25" s="27">
        <f t="shared" si="6"/>
        <v>405.1</v>
      </c>
      <c r="T25" s="27">
        <f t="shared" si="7"/>
        <v>434.84000000000003</v>
      </c>
      <c r="U25" s="28">
        <f t="shared" si="8"/>
        <v>7.2999999999999995E-2</v>
      </c>
      <c r="V25" s="30"/>
    </row>
    <row r="26" spans="1:22" x14ac:dyDescent="0.35">
      <c r="A26" s="59">
        <v>6</v>
      </c>
      <c r="B26" s="59" t="s">
        <v>87</v>
      </c>
      <c r="D26" s="62">
        <v>150</v>
      </c>
      <c r="E26" s="27">
        <f>Input!$H$19</f>
        <v>83.71</v>
      </c>
      <c r="F26" s="27">
        <f>Input!$V$19</f>
        <v>110</v>
      </c>
      <c r="G26" s="50">
        <f t="shared" si="0"/>
        <v>26.290000000000006</v>
      </c>
      <c r="H26" s="28">
        <f t="shared" si="1"/>
        <v>0.314</v>
      </c>
      <c r="I26" s="28"/>
      <c r="J26" s="27">
        <f>Input!$I$19</f>
        <v>0</v>
      </c>
      <c r="K26" s="27">
        <f>Input!$W$19</f>
        <v>0</v>
      </c>
      <c r="L26" s="27">
        <f t="shared" si="2"/>
        <v>0</v>
      </c>
      <c r="M26" s="28">
        <f t="shared" si="3"/>
        <v>0</v>
      </c>
      <c r="N26" s="29"/>
      <c r="O26" s="27">
        <f>ROUND((Input!$AD$19*Input!$C$19),2)+ROUND(((D26-Input!$AD$19)*Input!$D$19),2)+ROUND((D26*Input!$N$19),2)+ROUND((D26*Input!$O$19),2)+ROUND((D26*Input!$J$19),2)+ROUND((D26*Input!$K$19),2)</f>
        <v>463.53999999999996</v>
      </c>
      <c r="P26" s="27">
        <f>ROUND((Input!$AK$19*Input!$Q$19),2)+ROUND(((D26-Input!$AK$19)*Input!$R$19),2)+ROUND((D26*Input!$AA$19),2)+ROUND((D26*Input!$AB$19),2)+ROUND((Input!$X$19*D26),2)</f>
        <v>466.42</v>
      </c>
      <c r="Q26" s="27">
        <f t="shared" si="4"/>
        <v>2.8800000000000523</v>
      </c>
      <c r="R26" s="28">
        <f t="shared" si="5"/>
        <v>6.0000000000000001E-3</v>
      </c>
      <c r="S26" s="27">
        <f t="shared" si="6"/>
        <v>547.25</v>
      </c>
      <c r="T26" s="27">
        <f t="shared" si="7"/>
        <v>576.42000000000007</v>
      </c>
      <c r="U26" s="28">
        <f t="shared" si="8"/>
        <v>5.2999999999999999E-2</v>
      </c>
      <c r="V26" s="30"/>
    </row>
    <row r="27" spans="1:22" x14ac:dyDescent="0.35">
      <c r="A27" s="59">
        <v>7</v>
      </c>
      <c r="B27" s="59" t="s">
        <v>88</v>
      </c>
      <c r="D27" s="62">
        <v>200</v>
      </c>
      <c r="E27" s="27">
        <f>Input!$H$19</f>
        <v>83.71</v>
      </c>
      <c r="F27" s="27">
        <f>Input!$V$19</f>
        <v>110</v>
      </c>
      <c r="G27" s="50">
        <f t="shared" si="0"/>
        <v>26.290000000000006</v>
      </c>
      <c r="H27" s="28">
        <f t="shared" si="1"/>
        <v>0.314</v>
      </c>
      <c r="I27" s="28"/>
      <c r="J27" s="27">
        <f>Input!$I$19</f>
        <v>0</v>
      </c>
      <c r="K27" s="27">
        <f>Input!$W$19</f>
        <v>0</v>
      </c>
      <c r="L27" s="27">
        <f t="shared" si="2"/>
        <v>0</v>
      </c>
      <c r="M27" s="28">
        <f t="shared" si="3"/>
        <v>0</v>
      </c>
      <c r="N27" s="29"/>
      <c r="O27" s="27">
        <f>ROUND((Input!$AD$19*Input!$C$19),2)+ROUND(((D27-Input!$AD$19)*Input!$D$19),2)+ROUND((D27*Input!$N$19),2)+ROUND((D27*Input!$O$19),2)+ROUND((D27*Input!$J$19),2)+ROUND((D27*Input!$K$19),2)</f>
        <v>605.69000000000005</v>
      </c>
      <c r="P27" s="27">
        <f>ROUND((Input!$AK$19*Input!$Q$19),2)+ROUND(((D27-Input!$AK$19)*Input!$R$19),2)+ROUND((D27*Input!$AA$19),2)+ROUND((D27*Input!$AB$19),2)+ROUND((Input!$X$19*D27),2)</f>
        <v>608.01</v>
      </c>
      <c r="Q27" s="27">
        <f t="shared" si="4"/>
        <v>2.3199999999999363</v>
      </c>
      <c r="R27" s="28">
        <f t="shared" si="5"/>
        <v>4.0000000000000001E-3</v>
      </c>
      <c r="S27" s="27">
        <f t="shared" si="6"/>
        <v>689.40000000000009</v>
      </c>
      <c r="T27" s="27">
        <f t="shared" si="7"/>
        <v>718.01</v>
      </c>
      <c r="U27" s="28">
        <f t="shared" si="8"/>
        <v>4.1000000000000002E-2</v>
      </c>
      <c r="V27" s="30"/>
    </row>
    <row r="28" spans="1:22" x14ac:dyDescent="0.35">
      <c r="A28" s="59">
        <v>8</v>
      </c>
      <c r="B28" s="59"/>
      <c r="D28" s="62">
        <v>250</v>
      </c>
      <c r="E28" s="27">
        <f>Input!$H$19</f>
        <v>83.71</v>
      </c>
      <c r="F28" s="27">
        <f>Input!$V$19</f>
        <v>110</v>
      </c>
      <c r="G28" s="50">
        <f t="shared" si="0"/>
        <v>26.290000000000006</v>
      </c>
      <c r="H28" s="28">
        <f t="shared" si="1"/>
        <v>0.314</v>
      </c>
      <c r="I28" s="28"/>
      <c r="J28" s="27">
        <f>Input!$I$19</f>
        <v>0</v>
      </c>
      <c r="K28" s="27">
        <f>Input!$W$19</f>
        <v>0</v>
      </c>
      <c r="L28" s="27">
        <f t="shared" si="2"/>
        <v>0</v>
      </c>
      <c r="M28" s="28">
        <f t="shared" si="3"/>
        <v>0</v>
      </c>
      <c r="N28" s="29"/>
      <c r="O28" s="27">
        <f>ROUND((Input!$AD$19*Input!$C$19),2)+ROUND(((D28-Input!$AD$19)*Input!$D$19),2)+ROUND((D28*Input!$N$19),2)+ROUND((D28*Input!$O$19),2)+ROUND((D28*Input!$J$19),2)+ROUND((D28*Input!$K$19),2)</f>
        <v>747.84</v>
      </c>
      <c r="P28" s="27">
        <f>ROUND((Input!$AK$19*Input!$Q$19),2)+ROUND(((D28-Input!$AK$19)*Input!$R$19),2)+ROUND((D28*Input!$AA$19),2)+ROUND((D28*Input!$AB$19),2)+ROUND((Input!$X$19*D28),2)</f>
        <v>749.59</v>
      </c>
      <c r="Q28" s="27">
        <f t="shared" si="4"/>
        <v>1.75</v>
      </c>
      <c r="R28" s="28">
        <f t="shared" si="5"/>
        <v>2E-3</v>
      </c>
      <c r="S28" s="27">
        <f t="shared" si="6"/>
        <v>831.55000000000007</v>
      </c>
      <c r="T28" s="27">
        <f t="shared" si="7"/>
        <v>859.59</v>
      </c>
      <c r="U28" s="28">
        <f t="shared" si="8"/>
        <v>3.4000000000000002E-2</v>
      </c>
      <c r="V28" s="30"/>
    </row>
    <row r="29" spans="1:22" x14ac:dyDescent="0.35">
      <c r="A29" s="59">
        <v>9</v>
      </c>
      <c r="B29" s="59"/>
      <c r="D29" s="62">
        <v>300</v>
      </c>
      <c r="E29" s="27">
        <f>Input!$H$19</f>
        <v>83.71</v>
      </c>
      <c r="F29" s="27">
        <f>Input!$V$19</f>
        <v>110</v>
      </c>
      <c r="G29" s="50">
        <f t="shared" si="0"/>
        <v>26.290000000000006</v>
      </c>
      <c r="H29" s="28">
        <f t="shared" si="1"/>
        <v>0.314</v>
      </c>
      <c r="I29" s="28"/>
      <c r="J29" s="27">
        <f>Input!$I$19</f>
        <v>0</v>
      </c>
      <c r="K29" s="27">
        <f>Input!$W$19</f>
        <v>0</v>
      </c>
      <c r="L29" s="27">
        <f t="shared" si="2"/>
        <v>0</v>
      </c>
      <c r="M29" s="28">
        <f t="shared" si="3"/>
        <v>0</v>
      </c>
      <c r="N29" s="29"/>
      <c r="O29" s="27">
        <f>ROUND((Input!$AD$19*Input!$C$19),2)+ROUND(((D29-Input!$AD$19)*Input!$D$19),2)+ROUND((D29*Input!$N$19),2)+ROUND((D29*Input!$O$19),2)+ROUND((D29*Input!$J$19),2)+ROUND((D29*Input!$K$19),2)</f>
        <v>889.99</v>
      </c>
      <c r="P29" s="27">
        <f>ROUND((Input!$AK$19*Input!$Q$19),2)+ROUND(((D29-Input!$AK$19)*Input!$R$19),2)+ROUND((D29*Input!$AA$19),2)+ROUND((D29*Input!$AB$19),2)+ROUND((Input!$X$19*D29),2)</f>
        <v>891.18000000000006</v>
      </c>
      <c r="Q29" s="27">
        <f t="shared" si="4"/>
        <v>1.1900000000000546</v>
      </c>
      <c r="R29" s="28">
        <f t="shared" si="5"/>
        <v>1E-3</v>
      </c>
      <c r="S29" s="27">
        <f t="shared" si="6"/>
        <v>973.7</v>
      </c>
      <c r="T29" s="27">
        <f t="shared" si="7"/>
        <v>1001.1800000000001</v>
      </c>
      <c r="U29" s="28">
        <f t="shared" si="8"/>
        <v>2.8000000000000001E-2</v>
      </c>
      <c r="V29" s="30"/>
    </row>
    <row r="30" spans="1:22" x14ac:dyDescent="0.35">
      <c r="A30" s="59">
        <v>10</v>
      </c>
      <c r="D30" s="62">
        <v>350</v>
      </c>
      <c r="E30" s="27">
        <f>Input!$H$19</f>
        <v>83.71</v>
      </c>
      <c r="F30" s="27">
        <f>Input!$V$19</f>
        <v>110</v>
      </c>
      <c r="G30" s="50">
        <f t="shared" si="0"/>
        <v>26.290000000000006</v>
      </c>
      <c r="H30" s="28">
        <f t="shared" si="1"/>
        <v>0.314</v>
      </c>
      <c r="I30" s="28"/>
      <c r="J30" s="27">
        <f>Input!$I$19</f>
        <v>0</v>
      </c>
      <c r="K30" s="27">
        <f>Input!$W$19</f>
        <v>0</v>
      </c>
      <c r="L30" s="27">
        <f t="shared" si="2"/>
        <v>0</v>
      </c>
      <c r="M30" s="28">
        <f t="shared" si="3"/>
        <v>0</v>
      </c>
      <c r="N30" s="29"/>
      <c r="O30" s="27">
        <f>ROUND((Input!$AD$19*Input!$C$19),2)+ROUND(((D30-Input!$AD$19)*Input!$D$19),2)+ROUND((D30*Input!$N$19),2)+ROUND((D30*Input!$O$19),2)+ROUND((D30*Input!$J$19),2)+ROUND((D30*Input!$K$19),2)</f>
        <v>1032.1400000000001</v>
      </c>
      <c r="P30" s="27">
        <f>ROUND((Input!$AK$19*Input!$Q$19),2)+ROUND(((D30-Input!$AK$19)*Input!$R$19),2)+ROUND((D30*Input!$AA$19),2)+ROUND((D30*Input!$AB$19),2)+ROUND((Input!$X$19*D30),2)</f>
        <v>1032.76</v>
      </c>
      <c r="Q30" s="27">
        <f t="shared" si="4"/>
        <v>0.61999999999989086</v>
      </c>
      <c r="R30" s="28">
        <f t="shared" si="5"/>
        <v>1E-3</v>
      </c>
      <c r="S30" s="27">
        <f t="shared" si="6"/>
        <v>1115.8500000000001</v>
      </c>
      <c r="T30" s="27">
        <f t="shared" si="7"/>
        <v>1142.76</v>
      </c>
      <c r="U30" s="28">
        <f t="shared" si="8"/>
        <v>2.4E-2</v>
      </c>
      <c r="V30" s="30"/>
    </row>
    <row r="31" spans="1:22" x14ac:dyDescent="0.35">
      <c r="A31" s="59">
        <v>11</v>
      </c>
      <c r="D31" s="62">
        <v>400</v>
      </c>
      <c r="E31" s="27">
        <f>Input!$H$19</f>
        <v>83.71</v>
      </c>
      <c r="F31" s="27">
        <f>Input!$V$19</f>
        <v>110</v>
      </c>
      <c r="G31" s="50">
        <f t="shared" si="0"/>
        <v>26.290000000000006</v>
      </c>
      <c r="H31" s="28">
        <f t="shared" si="1"/>
        <v>0.314</v>
      </c>
      <c r="I31" s="28"/>
      <c r="J31" s="27">
        <f>Input!$I$19</f>
        <v>0</v>
      </c>
      <c r="K31" s="27">
        <f>Input!$W$19</f>
        <v>0</v>
      </c>
      <c r="L31" s="27">
        <f t="shared" si="2"/>
        <v>0</v>
      </c>
      <c r="M31" s="28">
        <f t="shared" si="3"/>
        <v>0</v>
      </c>
      <c r="N31" s="29"/>
      <c r="O31" s="27">
        <f>ROUND((Input!$AD$19*Input!$C$19),2)+ROUND(((D31-Input!$AD$19)*Input!$D$19),2)+ROUND((D31*Input!$N$19),2)+ROUND((D31*Input!$O$19),2)+ROUND((D31*Input!$J$19),2)+ROUND((D31*Input!$K$19),2)</f>
        <v>1174.2900000000002</v>
      </c>
      <c r="P31" s="27">
        <f>ROUND((Input!$AK$19*Input!$Q$19),2)+ROUND(((D31-Input!$AK$19)*Input!$R$19),2)+ROUND((D31*Input!$AA$19),2)+ROUND((D31*Input!$AB$19),2)+ROUND((Input!$X$19*D31),2)</f>
        <v>1174.3499999999999</v>
      </c>
      <c r="Q31" s="27">
        <f t="shared" si="4"/>
        <v>5.9999999999718057E-2</v>
      </c>
      <c r="R31" s="28">
        <f t="shared" si="5"/>
        <v>0</v>
      </c>
      <c r="S31" s="27">
        <f t="shared" si="6"/>
        <v>1258.0000000000002</v>
      </c>
      <c r="T31" s="27">
        <f t="shared" si="7"/>
        <v>1284.3499999999999</v>
      </c>
      <c r="U31" s="28">
        <f t="shared" si="8"/>
        <v>2.1000000000000001E-2</v>
      </c>
      <c r="V31" s="30"/>
    </row>
    <row r="32" spans="1:22" x14ac:dyDescent="0.35">
      <c r="A32" s="59">
        <v>12</v>
      </c>
      <c r="D32" s="62">
        <v>450</v>
      </c>
      <c r="E32" s="27">
        <f>Input!$H$19</f>
        <v>83.71</v>
      </c>
      <c r="F32" s="27">
        <f>Input!$V$19</f>
        <v>110</v>
      </c>
      <c r="G32" s="50">
        <f t="shared" si="0"/>
        <v>26.290000000000006</v>
      </c>
      <c r="H32" s="28">
        <f t="shared" si="1"/>
        <v>0.314</v>
      </c>
      <c r="I32" s="28"/>
      <c r="J32" s="27">
        <f>Input!$I$19</f>
        <v>0</v>
      </c>
      <c r="K32" s="27">
        <f>Input!$W$19</f>
        <v>0</v>
      </c>
      <c r="L32" s="27">
        <f t="shared" si="2"/>
        <v>0</v>
      </c>
      <c r="M32" s="28">
        <f t="shared" si="3"/>
        <v>0</v>
      </c>
      <c r="N32" s="30"/>
      <c r="O32" s="27">
        <f>ROUND((Input!$C$19*Input!$AD$19),2)+ROUND((Input!$D$19*Input!$AE$19),2)+ROUND((Input!$E$19*(D32-Input!$AD$19-Input!$AE$19)),2)+ROUND((D32*Input!$N$19),2)+ROUND((D32*Input!$O$19),2)+ROUND((D32*Input!$J$19),2)+ROUND((D32*Input!$K$19),2)</f>
        <v>1310.24</v>
      </c>
      <c r="P32" s="27">
        <f>ROUND((Input!$Q$19*Input!$AK$19),2)+ROUND((Input!$R$19*Input!$AL$19),2)+ROUND((Input!$S$19*(D32-Input!$AK$19-Input!$AL$19)),2)+ROUND((D32*Input!$AA$19),2)+ROUND((D32*Input!$AB$19),2)+ROUND((Input!$X$19*D32),2)</f>
        <v>1308.9599999999998</v>
      </c>
      <c r="Q32" s="27">
        <f t="shared" si="4"/>
        <v>-1.2800000000002001</v>
      </c>
      <c r="R32" s="28">
        <f t="shared" si="5"/>
        <v>-1E-3</v>
      </c>
      <c r="S32" s="27">
        <f t="shared" si="6"/>
        <v>1393.95</v>
      </c>
      <c r="T32" s="27">
        <f t="shared" si="7"/>
        <v>1418.9599999999998</v>
      </c>
      <c r="U32" s="28">
        <f t="shared" si="8"/>
        <v>1.7999999999999999E-2</v>
      </c>
      <c r="V32" s="30"/>
    </row>
    <row r="33" spans="1:22" x14ac:dyDescent="0.35">
      <c r="A33" s="59">
        <v>13</v>
      </c>
      <c r="D33" s="62">
        <v>500</v>
      </c>
      <c r="E33" s="27">
        <f>Input!$H$19</f>
        <v>83.71</v>
      </c>
      <c r="F33" s="27">
        <f>Input!$V$19</f>
        <v>110</v>
      </c>
      <c r="G33" s="50">
        <f t="shared" si="0"/>
        <v>26.290000000000006</v>
      </c>
      <c r="H33" s="28">
        <f t="shared" si="1"/>
        <v>0.314</v>
      </c>
      <c r="I33" s="28"/>
      <c r="J33" s="27">
        <f>Input!$I$19</f>
        <v>0</v>
      </c>
      <c r="K33" s="27">
        <f>Input!$W$19</f>
        <v>0</v>
      </c>
      <c r="L33" s="27">
        <f t="shared" si="2"/>
        <v>0</v>
      </c>
      <c r="M33" s="28">
        <f t="shared" si="3"/>
        <v>0</v>
      </c>
      <c r="N33" s="30"/>
      <c r="O33" s="27">
        <f>ROUND((Input!$C$19*Input!$AD$19),2)+ROUND((Input!$D$19*Input!$AE$19),2)+ROUND((Input!$E$19*(D33-Input!$AD$19-Input!$AE$19)),2)+ROUND((D33*Input!$N$19),2)+ROUND((D33*Input!$O$19),2)+ROUND((D33*Input!$J$19),2)+ROUND((D33*Input!$K$19),2)</f>
        <v>1446.18</v>
      </c>
      <c r="P33" s="27">
        <f>ROUND((Input!$Q$19*Input!$AK$19),2)+ROUND((Input!$R$19*Input!$AL$19),2)+ROUND((Input!$S$19*(D33-Input!$AK$19-Input!$AL$19)),2)+ROUND((D33*Input!$AA$19),2)+ROUND((D33*Input!$AB$19),2)+ROUND((Input!$X$19*D33),2)</f>
        <v>1443.57</v>
      </c>
      <c r="Q33" s="27">
        <f t="shared" si="4"/>
        <v>-2.6100000000001273</v>
      </c>
      <c r="R33" s="28">
        <f t="shared" si="5"/>
        <v>-2E-3</v>
      </c>
      <c r="S33" s="27">
        <f t="shared" si="6"/>
        <v>1529.89</v>
      </c>
      <c r="T33" s="27">
        <f t="shared" si="7"/>
        <v>1553.57</v>
      </c>
      <c r="U33" s="28">
        <f t="shared" si="8"/>
        <v>1.4999999999999999E-2</v>
      </c>
      <c r="V33" s="30"/>
    </row>
    <row r="34" spans="1:22" x14ac:dyDescent="0.35">
      <c r="A34" s="59">
        <v>14</v>
      </c>
      <c r="D34" s="43">
        <v>700</v>
      </c>
      <c r="E34" s="27">
        <f>Input!$H$19</f>
        <v>83.71</v>
      </c>
      <c r="F34" s="27">
        <f>Input!$V$19</f>
        <v>110</v>
      </c>
      <c r="G34" s="50">
        <f t="shared" si="0"/>
        <v>26.290000000000006</v>
      </c>
      <c r="H34" s="28">
        <f t="shared" si="1"/>
        <v>0.314</v>
      </c>
      <c r="I34" s="28"/>
      <c r="J34" s="27">
        <f>Input!$I$19</f>
        <v>0</v>
      </c>
      <c r="K34" s="27">
        <f>Input!$W$19</f>
        <v>0</v>
      </c>
      <c r="L34" s="27">
        <f t="shared" si="2"/>
        <v>0</v>
      </c>
      <c r="M34" s="28">
        <f t="shared" si="3"/>
        <v>0</v>
      </c>
      <c r="N34" s="30"/>
      <c r="O34" s="27">
        <f>ROUND((Input!$C$19*Input!$AD$19),2)+ROUND((Input!$D$19*Input!$AE$19),2)+ROUND((Input!$E$19*(D34-Input!$AD$19-Input!$AE$19)),2)+ROUND((D34*Input!$N$19),2)+ROUND((D34*Input!$O$19),2)+ROUND((D34*Input!$J$19),2)+ROUND((D34*Input!$K$19),2)</f>
        <v>1989.96</v>
      </c>
      <c r="P34" s="27">
        <f>ROUND((Input!$Q$19*Input!$AK$19),2)+ROUND((Input!$R$19*Input!$AL$19),2)+ROUND((Input!$S$19*(D34-Input!$AK$19-Input!$AL$19)),2)+ROUND((D34*Input!$AA$19),2)+ROUND((D34*Input!$AB$19),2)+ROUND((Input!$X$19*D34),2)</f>
        <v>1982.01</v>
      </c>
      <c r="Q34" s="27">
        <f t="shared" si="4"/>
        <v>-7.9500000000000455</v>
      </c>
      <c r="R34" s="28">
        <f t="shared" si="5"/>
        <v>-4.0000000000000001E-3</v>
      </c>
      <c r="S34" s="27">
        <f t="shared" si="6"/>
        <v>2073.67</v>
      </c>
      <c r="T34" s="27">
        <f t="shared" si="7"/>
        <v>2092.0100000000002</v>
      </c>
      <c r="U34" s="28">
        <f t="shared" si="8"/>
        <v>8.9999999999999993E-3</v>
      </c>
      <c r="V34" s="30"/>
    </row>
    <row r="35" spans="1:22" x14ac:dyDescent="0.35">
      <c r="A35" s="59">
        <v>15</v>
      </c>
      <c r="D35" s="43">
        <v>1000</v>
      </c>
      <c r="E35" s="27">
        <f>Input!$H$19</f>
        <v>83.71</v>
      </c>
      <c r="F35" s="27">
        <f>Input!$V$19</f>
        <v>110</v>
      </c>
      <c r="G35" s="50">
        <f>F35-E35</f>
        <v>26.290000000000006</v>
      </c>
      <c r="H35" s="28">
        <f t="shared" si="1"/>
        <v>0.314</v>
      </c>
      <c r="I35" s="28"/>
      <c r="J35" s="27">
        <f>Input!$I$19</f>
        <v>0</v>
      </c>
      <c r="K35" s="27">
        <f>Input!$W$19</f>
        <v>0</v>
      </c>
      <c r="L35" s="27">
        <f t="shared" si="2"/>
        <v>0</v>
      </c>
      <c r="M35" s="28">
        <f t="shared" si="3"/>
        <v>0</v>
      </c>
      <c r="N35" s="30"/>
      <c r="O35" s="27">
        <f>ROUND((Input!$C$19*Input!$AD$19),2)+ROUND((Input!$D$19*Input!$AE$19),2)+ROUND((Input!$E$19*(D35-Input!$AD$19-Input!$AE$19)),2)+ROUND((D35*Input!$N$19),2)+ROUND((D35*Input!$O$19),2)+ROUND((D35*Input!$J$19),2)+ROUND((D35*Input!$K$19),2)</f>
        <v>2805.63</v>
      </c>
      <c r="P35" s="27">
        <f>ROUND((Input!$Q$19*Input!$AK$19),2)+ROUND((Input!$R$19*Input!$AL$19),2)+ROUND((Input!$S$19*(D35-Input!$AK$19-Input!$AL$19)),2)+ROUND((D35*Input!$AA$19),2)+ROUND((D35*Input!$AB$19),2)+ROUND((Input!$X$19*D35),2)</f>
        <v>2789.67</v>
      </c>
      <c r="Q35" s="27">
        <f>P35-O35</f>
        <v>-15.960000000000036</v>
      </c>
      <c r="R35" s="28">
        <f t="shared" si="5"/>
        <v>-6.0000000000000001E-3</v>
      </c>
      <c r="S35" s="27">
        <f t="shared" si="6"/>
        <v>2889.34</v>
      </c>
      <c r="T35" s="27">
        <f t="shared" si="7"/>
        <v>2899.67</v>
      </c>
      <c r="U35" s="28">
        <f t="shared" si="8"/>
        <v>4.0000000000000001E-3</v>
      </c>
      <c r="V35" s="30"/>
    </row>
    <row r="36" spans="1:22" x14ac:dyDescent="0.35">
      <c r="A36" s="59">
        <v>16</v>
      </c>
      <c r="D36" s="43">
        <v>1200</v>
      </c>
      <c r="E36" s="27">
        <f>Input!$H$19</f>
        <v>83.71</v>
      </c>
      <c r="F36" s="27">
        <f>Input!$V$19</f>
        <v>110</v>
      </c>
      <c r="G36" s="50">
        <f>F36-E36</f>
        <v>26.290000000000006</v>
      </c>
      <c r="H36" s="28">
        <f t="shared" si="1"/>
        <v>0.314</v>
      </c>
      <c r="I36" s="28"/>
      <c r="J36" s="27">
        <f>Input!$I$19</f>
        <v>0</v>
      </c>
      <c r="K36" s="27">
        <f>Input!$W$19</f>
        <v>0</v>
      </c>
      <c r="L36" s="27">
        <f t="shared" si="2"/>
        <v>0</v>
      </c>
      <c r="M36" s="28">
        <f t="shared" si="3"/>
        <v>0</v>
      </c>
      <c r="N36" s="30"/>
      <c r="O36" s="27">
        <f>ROUND((Input!$C$19*Input!$AD$19),2)+ROUND((Input!$D$19*Input!$AE$19),2)+ROUND((Input!$E$19*Input!$AF$19),2)+ROUND((Input!$F$19*(D36-Input!$AD$19-Input!$AE$19-Input!$AF$19)),2)+ROUND((D36*Input!$N$19),2)+ROUND((D36*Input!$O$19),2)+ROUND((D36*Input!$J$19),2)+ROUND((D36*Input!$K$19),2)</f>
        <v>3306.31</v>
      </c>
      <c r="P36" s="27">
        <f>ROUND((Input!$Q$19*Input!$AK$19),2)+ROUND((Input!$R$19*Input!$AL$19),2)+ROUND((Input!$S$19*Input!$AM$19),2)+ROUND((Input!$T$19*(D36-Input!$AK$19-Input!$AL$19-Input!$AM$19)),2)+ROUND((D36*Input!$AA$19),2)+ROUND((D36*Input!$AB$19),2)+ROUND((Input!$X$19*D36),2)</f>
        <v>3279.69</v>
      </c>
      <c r="Q36" s="27">
        <f>P36-O36</f>
        <v>-26.619999999999891</v>
      </c>
      <c r="R36" s="28">
        <f t="shared" si="5"/>
        <v>-8.0000000000000002E-3</v>
      </c>
      <c r="S36" s="27">
        <f t="shared" si="6"/>
        <v>3390.02</v>
      </c>
      <c r="T36" s="27">
        <f t="shared" si="7"/>
        <v>3389.69</v>
      </c>
      <c r="U36" s="28">
        <f t="shared" si="8"/>
        <v>0</v>
      </c>
      <c r="V36" s="30"/>
    </row>
    <row r="37" spans="1:22" x14ac:dyDescent="0.35">
      <c r="A37" s="59">
        <v>17</v>
      </c>
      <c r="D37" s="43">
        <f>D41</f>
        <v>2120</v>
      </c>
      <c r="E37" s="27">
        <f>Input!$H$19</f>
        <v>83.71</v>
      </c>
      <c r="F37" s="27">
        <f>Input!$V$19</f>
        <v>110</v>
      </c>
      <c r="G37" s="50">
        <f t="shared" si="0"/>
        <v>26.290000000000006</v>
      </c>
      <c r="H37" s="28">
        <f t="shared" si="1"/>
        <v>0.314</v>
      </c>
      <c r="I37" s="28"/>
      <c r="J37" s="27">
        <f>Input!$I$19</f>
        <v>0</v>
      </c>
      <c r="K37" s="27">
        <f>Input!$W$19</f>
        <v>0</v>
      </c>
      <c r="L37" s="27">
        <f t="shared" si="2"/>
        <v>0</v>
      </c>
      <c r="M37" s="28">
        <f t="shared" si="3"/>
        <v>0</v>
      </c>
      <c r="N37" s="30"/>
      <c r="O37" s="27">
        <f>ROUND((Input!$C$19*Input!$AD$19),2)+ROUND((Input!$D$19*Input!$AE$19),2)+ROUND((Input!$E$19*Input!$AF$19),2)+ROUND((Input!$F$19*(D37-Input!$AD$19-Input!$AE$19-Input!$AF$19)),2)+ROUND((D37*Input!$N$19),2)+ROUND((D37*Input!$O$19),2)+ROUND((D37*Input!$J$19),2)+ROUND((D37*Input!$K$19),2)</f>
        <v>5609.4400000000005</v>
      </c>
      <c r="P37" s="27">
        <f>ROUND((Input!$Q$19*Input!$AK$19),2)+ROUND((Input!$R$19*Input!$AL$19),2)+ROUND((Input!$S$19*Input!$AM$19),2)+ROUND((Input!$T$19*(D37-Input!$AK$19-Input!$AL$19-Input!$AM$19)),2)+ROUND((D37*Input!$AA$19),2)+ROUND((D37*Input!$AB$19),2)+ROUND((Input!$X$19*D37),2)</f>
        <v>5533.78</v>
      </c>
      <c r="Q37" s="27">
        <f t="shared" si="4"/>
        <v>-75.660000000000764</v>
      </c>
      <c r="R37" s="28">
        <f t="shared" si="5"/>
        <v>-1.2999999999999999E-2</v>
      </c>
      <c r="S37" s="27">
        <f t="shared" si="6"/>
        <v>5693.1500000000005</v>
      </c>
      <c r="T37" s="27">
        <f t="shared" si="7"/>
        <v>5643.78</v>
      </c>
      <c r="U37" s="28">
        <f t="shared" si="8"/>
        <v>-8.9999999999999993E-3</v>
      </c>
      <c r="V37" s="30"/>
    </row>
    <row r="38" spans="1:22" x14ac:dyDescent="0.35">
      <c r="A38" s="59">
        <v>18</v>
      </c>
      <c r="D38" s="43">
        <f>D40</f>
        <v>2352</v>
      </c>
      <c r="E38" s="27">
        <f>Input!$H$19</f>
        <v>83.71</v>
      </c>
      <c r="F38" s="27">
        <f>Input!$V$19</f>
        <v>110</v>
      </c>
      <c r="G38" s="50">
        <f t="shared" si="0"/>
        <v>26.290000000000006</v>
      </c>
      <c r="H38" s="28">
        <f t="shared" si="1"/>
        <v>0.314</v>
      </c>
      <c r="I38" s="28"/>
      <c r="J38" s="27">
        <f>Input!$I$19</f>
        <v>0</v>
      </c>
      <c r="K38" s="27">
        <f>Input!$W$19</f>
        <v>0</v>
      </c>
      <c r="L38" s="27">
        <f t="shared" si="2"/>
        <v>0</v>
      </c>
      <c r="M38" s="28">
        <f t="shared" si="3"/>
        <v>0</v>
      </c>
      <c r="N38" s="30"/>
      <c r="O38" s="27">
        <f>ROUND((Input!$C$19*Input!$AD$19),2)+ROUND((Input!$D$19*Input!$AE$19),2)+ROUND((Input!$E$19*Input!$AF$19),2)+ROUND((Input!$F$19*(D38-Input!$AD$19-Input!$AE$19-Input!$AF$19)),2)+ROUND((D38*Input!$N$19),2)+ROUND((D38*Input!$O$19),2)+ROUND((D38*Input!$J$19),2)+ROUND((D38*Input!$K$19),2)</f>
        <v>6190.2199999999993</v>
      </c>
      <c r="P38" s="27">
        <f>ROUND((Input!$Q$19*Input!$AK$19),2)+ROUND((Input!$R$19*Input!$AL$19),2)+ROUND((Input!$S$19*Input!$AM$19),2)+ROUND((Input!$T$19*(D38-Input!$AK$19-Input!$AL$19-Input!$AM$19)),2)+ROUND((D38*Input!$AA$19),2)+ROUND((D38*Input!$AB$19),2)+ROUND((Input!$X$19*D38),2)</f>
        <v>6102.2</v>
      </c>
      <c r="Q38" s="27">
        <f t="shared" si="4"/>
        <v>-88.019999999999527</v>
      </c>
      <c r="R38" s="28">
        <f t="shared" si="5"/>
        <v>-1.4E-2</v>
      </c>
      <c r="S38" s="27">
        <f t="shared" si="6"/>
        <v>6273.9299999999994</v>
      </c>
      <c r="T38" s="27">
        <f t="shared" si="7"/>
        <v>6212.2</v>
      </c>
      <c r="U38" s="28">
        <f t="shared" si="8"/>
        <v>-0.01</v>
      </c>
      <c r="V38" s="30"/>
    </row>
    <row r="39" spans="1:22" x14ac:dyDescent="0.35">
      <c r="A39" s="5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:22" x14ac:dyDescent="0.35">
      <c r="A40" s="59"/>
      <c r="B40" s="8" t="s">
        <v>98</v>
      </c>
      <c r="D40" s="42">
        <f>ROUND(Input!AT19,0)</f>
        <v>2352</v>
      </c>
      <c r="E40" s="37" t="s">
        <v>99</v>
      </c>
    </row>
    <row r="41" spans="1:22" x14ac:dyDescent="0.35">
      <c r="A41" s="59"/>
      <c r="B41" s="8" t="s">
        <v>98</v>
      </c>
      <c r="D41" s="42">
        <f>ROUND(Input!AT20,)</f>
        <v>2120</v>
      </c>
      <c r="E41" s="37" t="s">
        <v>100</v>
      </c>
    </row>
    <row r="42" spans="1:22" x14ac:dyDescent="0.35">
      <c r="A42" s="59"/>
    </row>
    <row r="43" spans="1:22" x14ac:dyDescent="0.35">
      <c r="A43" s="59"/>
      <c r="B43" s="8" t="str">
        <f>DS!B46</f>
        <v>Note:  Customers electing Standby Service pay an additional $9.9772/Mcf per contracted volumes per month.  Standby rate is as of March 1, 2024.</v>
      </c>
    </row>
  </sheetData>
  <mergeCells count="8">
    <mergeCell ref="A5:U5"/>
    <mergeCell ref="E13:H13"/>
    <mergeCell ref="O13:R13"/>
    <mergeCell ref="A1:U1"/>
    <mergeCell ref="A2:U2"/>
    <mergeCell ref="A3:U3"/>
    <mergeCell ref="A4:U4"/>
    <mergeCell ref="J13:M13"/>
  </mergeCells>
  <phoneticPr fontId="0" type="noConversion"/>
  <printOptions horizontalCentered="1"/>
  <pageMargins left="0" right="0" top="0.75" bottom="0.75" header="0.5" footer="0.5"/>
  <pageSetup scale="6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U42"/>
  <sheetViews>
    <sheetView workbookViewId="0">
      <selection activeCell="W12" sqref="W12:AE43"/>
    </sheetView>
  </sheetViews>
  <sheetFormatPr defaultColWidth="9.36328125" defaultRowHeight="12.9" x14ac:dyDescent="0.35"/>
  <cols>
    <col min="1" max="1" width="4.453125" style="8" customWidth="1"/>
    <col min="2" max="2" width="10.81640625" style="8" customWidth="1"/>
    <col min="3" max="3" width="11.6328125" style="8" bestFit="1" customWidth="1"/>
    <col min="4" max="4" width="11.81640625" style="8" bestFit="1" customWidth="1"/>
    <col min="5" max="6" width="10.81640625" style="8" bestFit="1" customWidth="1"/>
    <col min="7" max="7" width="12.1796875" style="59" bestFit="1" customWidth="1"/>
    <col min="8" max="8" width="12.1796875" style="8" bestFit="1" customWidth="1"/>
    <col min="9" max="9" width="1.81640625" style="8" customWidth="1"/>
    <col min="10" max="11" width="15.6328125" style="8" bestFit="1" customWidth="1"/>
    <col min="12" max="13" width="12.1796875" style="8" bestFit="1" customWidth="1"/>
    <col min="14" max="14" width="1.81640625" style="8" customWidth="1"/>
    <col min="15" max="16" width="12.81640625" style="8" bestFit="1" customWidth="1"/>
    <col min="17" max="18" width="12.1796875" style="8" bestFit="1" customWidth="1"/>
    <col min="19" max="19" width="13.1796875" style="59" bestFit="1" customWidth="1"/>
    <col min="20" max="20" width="13" style="59" bestFit="1" customWidth="1"/>
    <col min="21" max="21" width="12.1796875" style="59" customWidth="1"/>
    <col min="22" max="22" width="9.36328125" style="8"/>
    <col min="23" max="30" width="9.36328125" style="8" customWidth="1"/>
    <col min="31" max="16384" width="9.36328125" style="8"/>
  </cols>
  <sheetData>
    <row r="1" spans="1:21" x14ac:dyDescent="0.35">
      <c r="A1" s="73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x14ac:dyDescent="0.35">
      <c r="A2" s="73" t="str">
        <f>Input!$B$1</f>
        <v>CASE NO. 2024-xxxxx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x14ac:dyDescent="0.35">
      <c r="A3" s="73" t="s">
        <v>85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x14ac:dyDescent="0.35">
      <c r="A4" s="73" t="s">
        <v>36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x14ac:dyDescent="0.35">
      <c r="A5" s="73" t="str">
        <f>Input!$B$5</f>
        <v>TWELVE MONTHS ENDING DECEMBER 31, 2025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x14ac:dyDescent="0.35">
      <c r="A6" s="59"/>
      <c r="B6" s="60"/>
      <c r="C6" s="60"/>
      <c r="D6" s="60"/>
      <c r="E6" s="60"/>
      <c r="F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21" x14ac:dyDescent="0.35">
      <c r="A7" s="59"/>
      <c r="B7" s="60"/>
      <c r="C7" s="60"/>
      <c r="D7" s="60"/>
      <c r="E7" s="60"/>
      <c r="F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21" x14ac:dyDescent="0.35">
      <c r="A8" s="8" t="s">
        <v>123</v>
      </c>
      <c r="U8" s="30" t="s">
        <v>37</v>
      </c>
    </row>
    <row r="9" spans="1:21" x14ac:dyDescent="0.35">
      <c r="A9" s="8" t="s">
        <v>124</v>
      </c>
      <c r="U9" s="30" t="s">
        <v>131</v>
      </c>
    </row>
    <row r="10" spans="1:21" x14ac:dyDescent="0.35">
      <c r="A10" s="8" t="s">
        <v>38</v>
      </c>
      <c r="U10" s="30" t="str">
        <f>Input!$B$3</f>
        <v>Witness: R. J. Amen</v>
      </c>
    </row>
    <row r="12" spans="1:21" x14ac:dyDescent="0.35">
      <c r="A12" s="24"/>
      <c r="B12" s="24"/>
      <c r="C12" s="24"/>
      <c r="D12" s="24"/>
      <c r="E12" s="24"/>
      <c r="F12" s="24"/>
      <c r="G12" s="61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61"/>
      <c r="T12" s="61"/>
      <c r="U12" s="61"/>
    </row>
    <row r="13" spans="1:21" x14ac:dyDescent="0.35">
      <c r="E13" s="75" t="s">
        <v>77</v>
      </c>
      <c r="F13" s="75"/>
      <c r="G13" s="75"/>
      <c r="H13" s="75"/>
      <c r="I13" s="25"/>
      <c r="J13" s="75" t="s">
        <v>119</v>
      </c>
      <c r="K13" s="75"/>
      <c r="L13" s="75"/>
      <c r="M13" s="75"/>
      <c r="N13" s="25"/>
      <c r="O13" s="75" t="s">
        <v>78</v>
      </c>
      <c r="P13" s="75"/>
      <c r="Q13" s="75"/>
      <c r="R13" s="75"/>
    </row>
    <row r="14" spans="1:21" x14ac:dyDescent="0.35">
      <c r="E14" s="59" t="s">
        <v>43</v>
      </c>
      <c r="F14" s="59" t="s">
        <v>44</v>
      </c>
      <c r="G14" s="59" t="s">
        <v>75</v>
      </c>
      <c r="H14" s="59" t="s">
        <v>46</v>
      </c>
      <c r="I14" s="59"/>
      <c r="J14" s="59" t="s">
        <v>43</v>
      </c>
      <c r="K14" s="59" t="s">
        <v>44</v>
      </c>
      <c r="L14" s="59" t="s">
        <v>75</v>
      </c>
      <c r="M14" s="59" t="s">
        <v>46</v>
      </c>
      <c r="Q14" s="59" t="s">
        <v>75</v>
      </c>
      <c r="R14" s="59" t="s">
        <v>46</v>
      </c>
      <c r="S14" s="59" t="s">
        <v>39</v>
      </c>
      <c r="T14" s="59" t="s">
        <v>39</v>
      </c>
      <c r="U14" s="59" t="s">
        <v>46</v>
      </c>
    </row>
    <row r="15" spans="1:21" x14ac:dyDescent="0.35">
      <c r="D15" s="59" t="s">
        <v>71</v>
      </c>
      <c r="E15" s="59" t="s">
        <v>71</v>
      </c>
      <c r="F15" s="59" t="s">
        <v>71</v>
      </c>
      <c r="G15" s="59" t="s">
        <v>45</v>
      </c>
      <c r="H15" s="59" t="s">
        <v>45</v>
      </c>
      <c r="I15" s="59"/>
      <c r="J15" s="59" t="s">
        <v>71</v>
      </c>
      <c r="K15" s="59" t="s">
        <v>71</v>
      </c>
      <c r="L15" s="59" t="s">
        <v>45</v>
      </c>
      <c r="M15" s="59" t="s">
        <v>45</v>
      </c>
      <c r="N15" s="59"/>
      <c r="O15" s="59" t="s">
        <v>43</v>
      </c>
      <c r="P15" s="59" t="s">
        <v>44</v>
      </c>
      <c r="Q15" s="59" t="s">
        <v>45</v>
      </c>
      <c r="R15" s="59" t="s">
        <v>45</v>
      </c>
      <c r="S15" s="59" t="s">
        <v>43</v>
      </c>
      <c r="T15" s="59" t="s">
        <v>44</v>
      </c>
      <c r="U15" s="59" t="s">
        <v>45</v>
      </c>
    </row>
    <row r="16" spans="1:21" x14ac:dyDescent="0.35">
      <c r="A16" s="59" t="s">
        <v>40</v>
      </c>
      <c r="B16" s="59" t="s">
        <v>41</v>
      </c>
      <c r="C16" s="59" t="s">
        <v>42</v>
      </c>
      <c r="D16" s="59" t="s">
        <v>72</v>
      </c>
      <c r="E16" s="59" t="s">
        <v>68</v>
      </c>
      <c r="F16" s="59" t="s">
        <v>68</v>
      </c>
      <c r="G16" s="59" t="s">
        <v>76</v>
      </c>
      <c r="H16" s="59" t="s">
        <v>76</v>
      </c>
      <c r="I16" s="59"/>
      <c r="J16" s="59" t="s">
        <v>109</v>
      </c>
      <c r="K16" s="59" t="s">
        <v>109</v>
      </c>
      <c r="L16" s="59" t="s">
        <v>76</v>
      </c>
      <c r="M16" s="59" t="s">
        <v>76</v>
      </c>
      <c r="N16" s="59"/>
      <c r="O16" s="59" t="s">
        <v>79</v>
      </c>
      <c r="P16" s="59" t="s">
        <v>79</v>
      </c>
      <c r="Q16" s="59" t="s">
        <v>76</v>
      </c>
      <c r="R16" s="59" t="s">
        <v>76</v>
      </c>
      <c r="S16" s="59" t="s">
        <v>49</v>
      </c>
      <c r="T16" s="59" t="s">
        <v>49</v>
      </c>
      <c r="U16" s="59" t="s">
        <v>76</v>
      </c>
    </row>
    <row r="17" spans="1:21" x14ac:dyDescent="0.35">
      <c r="A17" s="59" t="s">
        <v>47</v>
      </c>
      <c r="B17" s="59" t="s">
        <v>48</v>
      </c>
      <c r="C17" s="59" t="s">
        <v>15</v>
      </c>
      <c r="D17" s="59" t="s">
        <v>73</v>
      </c>
      <c r="E17" s="59" t="s">
        <v>74</v>
      </c>
      <c r="F17" s="59" t="s">
        <v>74</v>
      </c>
      <c r="G17" s="26" t="s">
        <v>50</v>
      </c>
      <c r="H17" s="26" t="s">
        <v>51</v>
      </c>
      <c r="I17" s="26"/>
      <c r="J17" s="59" t="s">
        <v>74</v>
      </c>
      <c r="K17" s="59" t="s">
        <v>74</v>
      </c>
      <c r="L17" s="26" t="s">
        <v>80</v>
      </c>
      <c r="M17" s="26" t="s">
        <v>81</v>
      </c>
      <c r="N17" s="26"/>
      <c r="O17" s="59" t="s">
        <v>74</v>
      </c>
      <c r="P17" s="59" t="s">
        <v>74</v>
      </c>
      <c r="Q17" s="26" t="s">
        <v>114</v>
      </c>
      <c r="R17" s="26" t="s">
        <v>115</v>
      </c>
      <c r="S17" s="26" t="s">
        <v>116</v>
      </c>
      <c r="T17" s="26" t="s">
        <v>117</v>
      </c>
      <c r="U17" s="26" t="s">
        <v>118</v>
      </c>
    </row>
    <row r="18" spans="1:21" x14ac:dyDescent="0.35">
      <c r="D18" s="26" t="s">
        <v>52</v>
      </c>
      <c r="E18" s="26" t="s">
        <v>53</v>
      </c>
      <c r="F18" s="26" t="s">
        <v>53</v>
      </c>
      <c r="G18" s="26" t="s">
        <v>53</v>
      </c>
      <c r="H18" s="26" t="s">
        <v>54</v>
      </c>
      <c r="I18" s="26"/>
      <c r="J18" s="26" t="s">
        <v>53</v>
      </c>
      <c r="K18" s="26" t="s">
        <v>53</v>
      </c>
      <c r="L18" s="26" t="s">
        <v>53</v>
      </c>
      <c r="M18" s="26" t="s">
        <v>54</v>
      </c>
      <c r="N18" s="26"/>
      <c r="O18" s="26" t="s">
        <v>53</v>
      </c>
      <c r="P18" s="26" t="s">
        <v>53</v>
      </c>
      <c r="Q18" s="26" t="s">
        <v>53</v>
      </c>
      <c r="R18" s="26" t="s">
        <v>54</v>
      </c>
      <c r="S18" s="26" t="s">
        <v>53</v>
      </c>
      <c r="T18" s="26" t="s">
        <v>53</v>
      </c>
      <c r="U18" s="26" t="s">
        <v>54</v>
      </c>
    </row>
    <row r="19" spans="1:21" x14ac:dyDescent="0.35">
      <c r="C19" s="26" t="s">
        <v>55</v>
      </c>
      <c r="D19" s="26" t="s">
        <v>56</v>
      </c>
      <c r="E19" s="26" t="s">
        <v>57</v>
      </c>
      <c r="F19" s="26" t="s">
        <v>58</v>
      </c>
      <c r="G19" s="26" t="s">
        <v>59</v>
      </c>
      <c r="H19" s="26" t="s">
        <v>60</v>
      </c>
      <c r="I19" s="26"/>
      <c r="J19" s="26" t="s">
        <v>61</v>
      </c>
      <c r="K19" s="26" t="s">
        <v>62</v>
      </c>
      <c r="L19" s="26" t="s">
        <v>63</v>
      </c>
      <c r="M19" s="26" t="s">
        <v>64</v>
      </c>
      <c r="N19" s="26"/>
      <c r="O19" s="26" t="s">
        <v>82</v>
      </c>
      <c r="P19" s="26" t="s">
        <v>83</v>
      </c>
      <c r="Q19" s="26" t="s">
        <v>84</v>
      </c>
      <c r="R19" s="26" t="s">
        <v>110</v>
      </c>
      <c r="S19" s="26" t="s">
        <v>111</v>
      </c>
      <c r="T19" s="26" t="s">
        <v>112</v>
      </c>
      <c r="U19" s="26" t="s">
        <v>113</v>
      </c>
    </row>
    <row r="20" spans="1:21" x14ac:dyDescent="0.35">
      <c r="D20" s="59"/>
      <c r="E20" s="59"/>
      <c r="F20" s="59"/>
      <c r="H20" s="59"/>
      <c r="I20" s="59"/>
      <c r="J20" s="59"/>
      <c r="K20" s="59"/>
      <c r="L20" s="59"/>
      <c r="M20" s="59"/>
      <c r="N20" s="59"/>
      <c r="O20" s="59"/>
      <c r="P20" s="26"/>
      <c r="Q20" s="26"/>
      <c r="R20" s="26"/>
    </row>
    <row r="21" spans="1:21" x14ac:dyDescent="0.35">
      <c r="A21" s="59">
        <v>1</v>
      </c>
      <c r="B21" s="59" t="s">
        <v>27</v>
      </c>
      <c r="C21" s="59" t="s">
        <v>65</v>
      </c>
      <c r="D21" s="43">
        <v>50</v>
      </c>
      <c r="E21" s="27">
        <f>Input!$H$21</f>
        <v>260.11</v>
      </c>
      <c r="F21" s="27">
        <f>Input!$V$21</f>
        <v>300</v>
      </c>
      <c r="G21" s="27">
        <f>F21-E21</f>
        <v>39.889999999999986</v>
      </c>
      <c r="H21" s="28">
        <f>ROUND(G21/E21,3)</f>
        <v>0.153</v>
      </c>
      <c r="I21" s="28"/>
      <c r="J21" s="27">
        <f>Input!$I$21</f>
        <v>0</v>
      </c>
      <c r="K21" s="27">
        <f>Input!$W$21</f>
        <v>0</v>
      </c>
      <c r="L21" s="27">
        <f>K21-J21</f>
        <v>0</v>
      </c>
      <c r="M21" s="28">
        <f>IF(J21=0,0,ROUND(L21/J21,3))</f>
        <v>0</v>
      </c>
      <c r="N21" s="29"/>
      <c r="O21" s="27">
        <f>ROUND((D21*Input!$C$21),2)+ROUND((D21*Input!$N$21),2)+ROUND((D21*Input!$O$21),2)</f>
        <v>4.96</v>
      </c>
      <c r="P21" s="27">
        <f>ROUND((D21*Input!$Q$21),2)+ROUND((D21*Input!$AA$21),2)+ROUND((D21*Input!$AB$21),2)</f>
        <v>5.43</v>
      </c>
      <c r="Q21" s="27">
        <f>P21-O21</f>
        <v>0.46999999999999975</v>
      </c>
      <c r="R21" s="28">
        <f>ROUND(Q21/O21,3)</f>
        <v>9.5000000000000001E-2</v>
      </c>
      <c r="S21" s="27">
        <f>E21+J21+O21</f>
        <v>265.07</v>
      </c>
      <c r="T21" s="27">
        <f>F21+K21+P21</f>
        <v>305.43</v>
      </c>
      <c r="U21" s="28">
        <f>ROUND((T21-S21)/S21,3)</f>
        <v>0.152</v>
      </c>
    </row>
    <row r="22" spans="1:21" x14ac:dyDescent="0.35">
      <c r="A22" s="59">
        <v>2</v>
      </c>
      <c r="B22" s="59" t="s">
        <v>69</v>
      </c>
      <c r="C22" s="59" t="s">
        <v>67</v>
      </c>
      <c r="D22" s="43">
        <v>100</v>
      </c>
      <c r="E22" s="27">
        <f>Input!$H$21</f>
        <v>260.11</v>
      </c>
      <c r="F22" s="27">
        <f>Input!$V$21</f>
        <v>300</v>
      </c>
      <c r="G22" s="27">
        <f t="shared" ref="G22:G37" si="0">F22-E22</f>
        <v>39.889999999999986</v>
      </c>
      <c r="H22" s="28">
        <f t="shared" ref="H22:H37" si="1">ROUND(G22/E22,3)</f>
        <v>0.153</v>
      </c>
      <c r="I22" s="28"/>
      <c r="J22" s="27">
        <f>Input!$I$21</f>
        <v>0</v>
      </c>
      <c r="K22" s="27">
        <f>Input!$W$21</f>
        <v>0</v>
      </c>
      <c r="L22" s="27">
        <f t="shared" ref="L22:L37" si="2">K22-J22</f>
        <v>0</v>
      </c>
      <c r="M22" s="28">
        <f t="shared" ref="M22:M37" si="3">IF(J22=0,0,ROUND(L22/J22,3))</f>
        <v>0</v>
      </c>
      <c r="N22" s="29"/>
      <c r="O22" s="27">
        <f>ROUND((D22*Input!$C$21),2)+ROUND((D22*Input!$N$21),2)+ROUND((D22*Input!$O$21),2)</f>
        <v>9.91</v>
      </c>
      <c r="P22" s="27">
        <f>ROUND((D22*Input!$Q$21),2)+ROUND((D22*Input!$AA$21),2)+ROUND((D22*Input!$AB$21),2)</f>
        <v>10.85</v>
      </c>
      <c r="Q22" s="27">
        <f t="shared" ref="Q22:Q37" si="4">P22-O22</f>
        <v>0.9399999999999995</v>
      </c>
      <c r="R22" s="28">
        <f t="shared" ref="R22:R37" si="5">ROUND(Q22/O22,3)</f>
        <v>9.5000000000000001E-2</v>
      </c>
      <c r="S22" s="27">
        <f t="shared" ref="S22:S37" si="6">E22+J22+O22</f>
        <v>270.02000000000004</v>
      </c>
      <c r="T22" s="27">
        <f t="shared" ref="T22:T37" si="7">F22+K22+P22</f>
        <v>310.85000000000002</v>
      </c>
      <c r="U22" s="28">
        <f t="shared" ref="U22:U37" si="8">ROUND((T22-S22)/S22,3)</f>
        <v>0.151</v>
      </c>
    </row>
    <row r="23" spans="1:21" x14ac:dyDescent="0.35">
      <c r="A23" s="59">
        <v>3</v>
      </c>
      <c r="B23" s="59" t="s">
        <v>93</v>
      </c>
      <c r="D23" s="43">
        <v>300</v>
      </c>
      <c r="E23" s="27">
        <f>Input!$H$21</f>
        <v>260.11</v>
      </c>
      <c r="F23" s="27">
        <f>Input!$V$21</f>
        <v>300</v>
      </c>
      <c r="G23" s="27">
        <f t="shared" si="0"/>
        <v>39.889999999999986</v>
      </c>
      <c r="H23" s="28">
        <f t="shared" si="1"/>
        <v>0.153</v>
      </c>
      <c r="I23" s="28"/>
      <c r="J23" s="27">
        <f>Input!$I$21</f>
        <v>0</v>
      </c>
      <c r="K23" s="27">
        <f>Input!$W$21</f>
        <v>0</v>
      </c>
      <c r="L23" s="27">
        <f t="shared" si="2"/>
        <v>0</v>
      </c>
      <c r="M23" s="28">
        <f t="shared" si="3"/>
        <v>0</v>
      </c>
      <c r="N23" s="29"/>
      <c r="O23" s="27">
        <f>ROUND((D23*Input!$C$21),2)+ROUND((D23*Input!$N$21),2)+ROUND((D23*Input!$O$21),2)</f>
        <v>29.73</v>
      </c>
      <c r="P23" s="27">
        <f>ROUND((D23*Input!$Q$21),2)+ROUND((D23*Input!$AA$21),2)+ROUND((D23*Input!$AB$21),2)</f>
        <v>32.549999999999997</v>
      </c>
      <c r="Q23" s="27">
        <f t="shared" si="4"/>
        <v>2.8199999999999967</v>
      </c>
      <c r="R23" s="28">
        <f t="shared" si="5"/>
        <v>9.5000000000000001E-2</v>
      </c>
      <c r="S23" s="27">
        <f t="shared" si="6"/>
        <v>289.84000000000003</v>
      </c>
      <c r="T23" s="27">
        <f t="shared" si="7"/>
        <v>332.55</v>
      </c>
      <c r="U23" s="28">
        <f t="shared" si="8"/>
        <v>0.14699999999999999</v>
      </c>
    </row>
    <row r="24" spans="1:21" x14ac:dyDescent="0.35">
      <c r="A24" s="59">
        <v>4</v>
      </c>
      <c r="B24" s="59" t="s">
        <v>40</v>
      </c>
      <c r="D24" s="43">
        <v>500</v>
      </c>
      <c r="E24" s="27">
        <f>Input!$H$21</f>
        <v>260.11</v>
      </c>
      <c r="F24" s="27">
        <f>Input!$V$21</f>
        <v>300</v>
      </c>
      <c r="G24" s="27">
        <f t="shared" si="0"/>
        <v>39.889999999999986</v>
      </c>
      <c r="H24" s="28">
        <f t="shared" si="1"/>
        <v>0.153</v>
      </c>
      <c r="I24" s="28"/>
      <c r="J24" s="27">
        <f>Input!$I$21</f>
        <v>0</v>
      </c>
      <c r="K24" s="27">
        <f>Input!$W$21</f>
        <v>0</v>
      </c>
      <c r="L24" s="27">
        <f t="shared" si="2"/>
        <v>0</v>
      </c>
      <c r="M24" s="28">
        <f t="shared" si="3"/>
        <v>0</v>
      </c>
      <c r="N24" s="29"/>
      <c r="O24" s="27">
        <f>ROUND((D24*Input!$C$21),2)+ROUND((D24*Input!$N$21),2)+ROUND((D24*Input!$O$21),2)</f>
        <v>49.550000000000004</v>
      </c>
      <c r="P24" s="27">
        <f>ROUND((D24*Input!$Q$21),2)+ROUND((D24*Input!$AA$21),2)+ROUND((D24*Input!$AB$21),2)</f>
        <v>54.25</v>
      </c>
      <c r="Q24" s="27">
        <f t="shared" si="4"/>
        <v>4.6999999999999957</v>
      </c>
      <c r="R24" s="28">
        <f t="shared" si="5"/>
        <v>9.5000000000000001E-2</v>
      </c>
      <c r="S24" s="27">
        <f t="shared" si="6"/>
        <v>309.66000000000003</v>
      </c>
      <c r="T24" s="27">
        <f t="shared" si="7"/>
        <v>354.25</v>
      </c>
      <c r="U24" s="28">
        <f t="shared" si="8"/>
        <v>0.14399999999999999</v>
      </c>
    </row>
    <row r="25" spans="1:21" x14ac:dyDescent="0.35">
      <c r="A25" s="59">
        <v>5</v>
      </c>
      <c r="B25" s="59" t="s">
        <v>90</v>
      </c>
      <c r="D25" s="43">
        <v>700</v>
      </c>
      <c r="E25" s="27">
        <f>Input!$H$21</f>
        <v>260.11</v>
      </c>
      <c r="F25" s="27">
        <f>Input!$V$21</f>
        <v>300</v>
      </c>
      <c r="G25" s="27">
        <f t="shared" si="0"/>
        <v>39.889999999999986</v>
      </c>
      <c r="H25" s="28">
        <f t="shared" si="1"/>
        <v>0.153</v>
      </c>
      <c r="I25" s="28"/>
      <c r="J25" s="27">
        <f>Input!$I$21</f>
        <v>0</v>
      </c>
      <c r="K25" s="27">
        <f>Input!$W$21</f>
        <v>0</v>
      </c>
      <c r="L25" s="27">
        <f t="shared" si="2"/>
        <v>0</v>
      </c>
      <c r="M25" s="28">
        <f t="shared" si="3"/>
        <v>0</v>
      </c>
      <c r="N25" s="29"/>
      <c r="O25" s="27">
        <f>ROUND((D25*Input!$C$21),2)+ROUND((D25*Input!$N$21),2)+ROUND((D25*Input!$O$21),2)</f>
        <v>69.37</v>
      </c>
      <c r="P25" s="27">
        <f>ROUND((D25*Input!$Q$21),2)+ROUND((D25*Input!$AA$21),2)+ROUND((D25*Input!$AB$21),2)</f>
        <v>75.949999999999989</v>
      </c>
      <c r="Q25" s="27">
        <f t="shared" si="4"/>
        <v>6.5799999999999841</v>
      </c>
      <c r="R25" s="28">
        <f t="shared" si="5"/>
        <v>9.5000000000000001E-2</v>
      </c>
      <c r="S25" s="27">
        <f t="shared" si="6"/>
        <v>329.48</v>
      </c>
      <c r="T25" s="27">
        <f t="shared" si="7"/>
        <v>375.95</v>
      </c>
      <c r="U25" s="28">
        <f t="shared" si="8"/>
        <v>0.14099999999999999</v>
      </c>
    </row>
    <row r="26" spans="1:21" x14ac:dyDescent="0.35">
      <c r="A26" s="59">
        <v>6</v>
      </c>
      <c r="B26" s="59" t="s">
        <v>88</v>
      </c>
      <c r="D26" s="43">
        <v>1000</v>
      </c>
      <c r="E26" s="27">
        <f>Input!$H$21</f>
        <v>260.11</v>
      </c>
      <c r="F26" s="27">
        <f>Input!$V$21</f>
        <v>300</v>
      </c>
      <c r="G26" s="27">
        <f t="shared" si="0"/>
        <v>39.889999999999986</v>
      </c>
      <c r="H26" s="28">
        <f t="shared" si="1"/>
        <v>0.153</v>
      </c>
      <c r="I26" s="28"/>
      <c r="J26" s="27">
        <f>Input!$I$21</f>
        <v>0</v>
      </c>
      <c r="K26" s="27">
        <f>Input!$W$21</f>
        <v>0</v>
      </c>
      <c r="L26" s="27">
        <f t="shared" si="2"/>
        <v>0</v>
      </c>
      <c r="M26" s="28">
        <f t="shared" si="3"/>
        <v>0</v>
      </c>
      <c r="N26" s="29"/>
      <c r="O26" s="27">
        <f>ROUND((D26*Input!$C$21),2)+ROUND((D26*Input!$N$21),2)+ROUND((D26*Input!$O$21),2)</f>
        <v>99.100000000000009</v>
      </c>
      <c r="P26" s="27">
        <f>ROUND((D26*Input!$Q$21),2)+ROUND((D26*Input!$AA$21),2)+ROUND((D26*Input!$AB$21),2)</f>
        <v>108.5</v>
      </c>
      <c r="Q26" s="27">
        <f t="shared" si="4"/>
        <v>9.3999999999999915</v>
      </c>
      <c r="R26" s="28">
        <f t="shared" si="5"/>
        <v>9.5000000000000001E-2</v>
      </c>
      <c r="S26" s="27">
        <f t="shared" si="6"/>
        <v>359.21000000000004</v>
      </c>
      <c r="T26" s="27">
        <f t="shared" si="7"/>
        <v>408.5</v>
      </c>
      <c r="U26" s="28">
        <f t="shared" si="8"/>
        <v>0.13700000000000001</v>
      </c>
    </row>
    <row r="27" spans="1:21" x14ac:dyDescent="0.35">
      <c r="A27" s="59">
        <v>7</v>
      </c>
      <c r="D27" s="43">
        <v>1500</v>
      </c>
      <c r="E27" s="27">
        <f>Input!$H$21</f>
        <v>260.11</v>
      </c>
      <c r="F27" s="27">
        <f>Input!$V$21</f>
        <v>300</v>
      </c>
      <c r="G27" s="27">
        <f t="shared" si="0"/>
        <v>39.889999999999986</v>
      </c>
      <c r="H27" s="28">
        <f t="shared" si="1"/>
        <v>0.153</v>
      </c>
      <c r="I27" s="28"/>
      <c r="J27" s="27">
        <f>Input!$I$21</f>
        <v>0</v>
      </c>
      <c r="K27" s="27">
        <f>Input!$W$21</f>
        <v>0</v>
      </c>
      <c r="L27" s="27">
        <f t="shared" si="2"/>
        <v>0</v>
      </c>
      <c r="M27" s="28">
        <f t="shared" si="3"/>
        <v>0</v>
      </c>
      <c r="N27" s="29"/>
      <c r="O27" s="27">
        <f>ROUND((D27*Input!$C$21),2)+ROUND((D27*Input!$N$21),2)+ROUND((D27*Input!$O$21),2)</f>
        <v>148.65</v>
      </c>
      <c r="P27" s="27">
        <f>ROUND((D27*Input!$Q$21),2)+ROUND((D27*Input!$AA$21),2)+ROUND((D27*Input!$AB$21),2)</f>
        <v>162.75</v>
      </c>
      <c r="Q27" s="27">
        <f t="shared" si="4"/>
        <v>14.099999999999994</v>
      </c>
      <c r="R27" s="28">
        <f t="shared" si="5"/>
        <v>9.5000000000000001E-2</v>
      </c>
      <c r="S27" s="27">
        <f t="shared" si="6"/>
        <v>408.76</v>
      </c>
      <c r="T27" s="27">
        <f t="shared" si="7"/>
        <v>462.75</v>
      </c>
      <c r="U27" s="28">
        <f t="shared" si="8"/>
        <v>0.13200000000000001</v>
      </c>
    </row>
    <row r="28" spans="1:21" x14ac:dyDescent="0.35">
      <c r="A28" s="59">
        <v>8</v>
      </c>
      <c r="B28" s="59"/>
      <c r="D28" s="43">
        <v>3000</v>
      </c>
      <c r="E28" s="27">
        <f>Input!$H$21</f>
        <v>260.11</v>
      </c>
      <c r="F28" s="27">
        <f>Input!$V$21</f>
        <v>300</v>
      </c>
      <c r="G28" s="27">
        <f t="shared" si="0"/>
        <v>39.889999999999986</v>
      </c>
      <c r="H28" s="28">
        <f t="shared" si="1"/>
        <v>0.153</v>
      </c>
      <c r="I28" s="28"/>
      <c r="J28" s="27">
        <f>Input!$I$21</f>
        <v>0</v>
      </c>
      <c r="K28" s="27">
        <f>Input!$W$21</f>
        <v>0</v>
      </c>
      <c r="L28" s="27">
        <f t="shared" si="2"/>
        <v>0</v>
      </c>
      <c r="M28" s="28">
        <f t="shared" si="3"/>
        <v>0</v>
      </c>
      <c r="N28" s="29"/>
      <c r="O28" s="27">
        <f>ROUND((D28*Input!$C$21),2)+ROUND((D28*Input!$N$21),2)+ROUND((D28*Input!$O$21),2)</f>
        <v>297.3</v>
      </c>
      <c r="P28" s="27">
        <f>ROUND((D28*Input!$Q$21),2)+ROUND((D28*Input!$AA$21),2)+ROUND((D28*Input!$AB$21),2)</f>
        <v>325.5</v>
      </c>
      <c r="Q28" s="27">
        <f t="shared" si="4"/>
        <v>28.199999999999989</v>
      </c>
      <c r="R28" s="28">
        <f t="shared" si="5"/>
        <v>9.5000000000000001E-2</v>
      </c>
      <c r="S28" s="27">
        <f t="shared" si="6"/>
        <v>557.41000000000008</v>
      </c>
      <c r="T28" s="27">
        <f t="shared" si="7"/>
        <v>625.5</v>
      </c>
      <c r="U28" s="28">
        <f t="shared" si="8"/>
        <v>0.122</v>
      </c>
    </row>
    <row r="29" spans="1:21" x14ac:dyDescent="0.35">
      <c r="A29" s="59">
        <v>9</v>
      </c>
      <c r="B29" s="59"/>
      <c r="D29" s="43">
        <v>4000</v>
      </c>
      <c r="E29" s="27">
        <f>Input!$H$21</f>
        <v>260.11</v>
      </c>
      <c r="F29" s="27">
        <f>Input!$V$21</f>
        <v>300</v>
      </c>
      <c r="G29" s="27">
        <f t="shared" si="0"/>
        <v>39.889999999999986</v>
      </c>
      <c r="H29" s="28">
        <f t="shared" si="1"/>
        <v>0.153</v>
      </c>
      <c r="I29" s="28"/>
      <c r="J29" s="27">
        <f>Input!$I$21</f>
        <v>0</v>
      </c>
      <c r="K29" s="27">
        <f>Input!$W$21</f>
        <v>0</v>
      </c>
      <c r="L29" s="27">
        <f t="shared" si="2"/>
        <v>0</v>
      </c>
      <c r="M29" s="28">
        <f t="shared" si="3"/>
        <v>0</v>
      </c>
      <c r="N29" s="29"/>
      <c r="O29" s="27">
        <f>ROUND((D29*Input!$C$21),2)+ROUND((D29*Input!$N$21),2)+ROUND((D29*Input!$O$21),2)</f>
        <v>396.40000000000003</v>
      </c>
      <c r="P29" s="27">
        <f>ROUND((D29*Input!$Q$21),2)+ROUND((D29*Input!$AA$21),2)+ROUND((D29*Input!$AB$21),2)</f>
        <v>434</v>
      </c>
      <c r="Q29" s="27">
        <f t="shared" si="4"/>
        <v>37.599999999999966</v>
      </c>
      <c r="R29" s="28">
        <f t="shared" si="5"/>
        <v>9.5000000000000001E-2</v>
      </c>
      <c r="S29" s="27">
        <f t="shared" si="6"/>
        <v>656.51</v>
      </c>
      <c r="T29" s="27">
        <f t="shared" si="7"/>
        <v>734</v>
      </c>
      <c r="U29" s="28">
        <f t="shared" si="8"/>
        <v>0.11799999999999999</v>
      </c>
    </row>
    <row r="30" spans="1:21" x14ac:dyDescent="0.35">
      <c r="A30" s="59">
        <v>10</v>
      </c>
      <c r="D30" s="43">
        <v>5000</v>
      </c>
      <c r="E30" s="27">
        <f>Input!$H$21</f>
        <v>260.11</v>
      </c>
      <c r="F30" s="27">
        <f>Input!$V$21</f>
        <v>300</v>
      </c>
      <c r="G30" s="27">
        <f t="shared" si="0"/>
        <v>39.889999999999986</v>
      </c>
      <c r="H30" s="28">
        <f t="shared" si="1"/>
        <v>0.153</v>
      </c>
      <c r="I30" s="28"/>
      <c r="J30" s="27">
        <f>Input!$I$21</f>
        <v>0</v>
      </c>
      <c r="K30" s="27">
        <f>Input!$W$21</f>
        <v>0</v>
      </c>
      <c r="L30" s="27">
        <f t="shared" si="2"/>
        <v>0</v>
      </c>
      <c r="M30" s="28">
        <f t="shared" si="3"/>
        <v>0</v>
      </c>
      <c r="N30" s="29"/>
      <c r="O30" s="27">
        <f>ROUND((D30*Input!$C$21),2)+ROUND((D30*Input!$N$21),2)+ROUND((D30*Input!$O$21),2)</f>
        <v>495.5</v>
      </c>
      <c r="P30" s="27">
        <f>ROUND((D30*Input!$Q$21),2)+ROUND((D30*Input!$AA$21),2)+ROUND((D30*Input!$AB$21),2)</f>
        <v>542.5</v>
      </c>
      <c r="Q30" s="27">
        <f t="shared" si="4"/>
        <v>47</v>
      </c>
      <c r="R30" s="28">
        <f t="shared" si="5"/>
        <v>9.5000000000000001E-2</v>
      </c>
      <c r="S30" s="27">
        <f t="shared" si="6"/>
        <v>755.61</v>
      </c>
      <c r="T30" s="27">
        <f t="shared" si="7"/>
        <v>842.5</v>
      </c>
      <c r="U30" s="28">
        <f t="shared" si="8"/>
        <v>0.115</v>
      </c>
    </row>
    <row r="31" spans="1:21" x14ac:dyDescent="0.35">
      <c r="A31" s="59">
        <v>11</v>
      </c>
      <c r="D31" s="43">
        <v>6000</v>
      </c>
      <c r="E31" s="27">
        <f>Input!$H$21</f>
        <v>260.11</v>
      </c>
      <c r="F31" s="27">
        <f>Input!$V$21</f>
        <v>300</v>
      </c>
      <c r="G31" s="27">
        <f t="shared" si="0"/>
        <v>39.889999999999986</v>
      </c>
      <c r="H31" s="28">
        <f t="shared" si="1"/>
        <v>0.153</v>
      </c>
      <c r="I31" s="28"/>
      <c r="J31" s="27">
        <f>Input!$I$21</f>
        <v>0</v>
      </c>
      <c r="K31" s="27">
        <f>Input!$W$21</f>
        <v>0</v>
      </c>
      <c r="L31" s="27">
        <f t="shared" si="2"/>
        <v>0</v>
      </c>
      <c r="M31" s="28">
        <f t="shared" si="3"/>
        <v>0</v>
      </c>
      <c r="N31" s="29"/>
      <c r="O31" s="27">
        <f>ROUND((D31*Input!$C$21),2)+ROUND((D31*Input!$N$21),2)+ROUND((D31*Input!$O$21),2)</f>
        <v>594.6</v>
      </c>
      <c r="P31" s="27">
        <f>ROUND((D31*Input!$Q$21),2)+ROUND((D31*Input!$AA$21),2)+ROUND((D31*Input!$AB$21),2)</f>
        <v>651</v>
      </c>
      <c r="Q31" s="27">
        <f t="shared" si="4"/>
        <v>56.399999999999977</v>
      </c>
      <c r="R31" s="28">
        <f t="shared" si="5"/>
        <v>9.5000000000000001E-2</v>
      </c>
      <c r="S31" s="27">
        <f t="shared" si="6"/>
        <v>854.71</v>
      </c>
      <c r="T31" s="27">
        <f t="shared" si="7"/>
        <v>951</v>
      </c>
      <c r="U31" s="28">
        <f t="shared" si="8"/>
        <v>0.113</v>
      </c>
    </row>
    <row r="32" spans="1:21" x14ac:dyDescent="0.35">
      <c r="A32" s="59">
        <v>12</v>
      </c>
      <c r="D32" s="43">
        <v>7000</v>
      </c>
      <c r="E32" s="27">
        <f>Input!$H$21</f>
        <v>260.11</v>
      </c>
      <c r="F32" s="27">
        <f>Input!$V$21</f>
        <v>300</v>
      </c>
      <c r="G32" s="27">
        <f t="shared" si="0"/>
        <v>39.889999999999986</v>
      </c>
      <c r="H32" s="28">
        <f t="shared" si="1"/>
        <v>0.153</v>
      </c>
      <c r="I32" s="28"/>
      <c r="J32" s="27">
        <f>Input!$I$21</f>
        <v>0</v>
      </c>
      <c r="K32" s="27">
        <f>Input!$W$21</f>
        <v>0</v>
      </c>
      <c r="L32" s="27">
        <f t="shared" si="2"/>
        <v>0</v>
      </c>
      <c r="M32" s="28">
        <f t="shared" si="3"/>
        <v>0</v>
      </c>
      <c r="N32" s="30"/>
      <c r="O32" s="27">
        <f>ROUND((D32*Input!$C$21),2)+ROUND((D32*Input!$N$21),2)+ROUND((D32*Input!$O$21),2)</f>
        <v>693.69999999999993</v>
      </c>
      <c r="P32" s="27">
        <f>ROUND((D32*Input!$Q$21),2)+ROUND((D32*Input!$AA$21),2)+ROUND((D32*Input!$AB$21),2)</f>
        <v>759.5</v>
      </c>
      <c r="Q32" s="27">
        <f t="shared" si="4"/>
        <v>65.800000000000068</v>
      </c>
      <c r="R32" s="28">
        <f t="shared" si="5"/>
        <v>9.5000000000000001E-2</v>
      </c>
      <c r="S32" s="27">
        <f t="shared" si="6"/>
        <v>953.81</v>
      </c>
      <c r="T32" s="27">
        <f t="shared" si="7"/>
        <v>1059.5</v>
      </c>
      <c r="U32" s="28">
        <f t="shared" si="8"/>
        <v>0.111</v>
      </c>
    </row>
    <row r="33" spans="1:21" x14ac:dyDescent="0.35">
      <c r="A33" s="59">
        <v>13</v>
      </c>
      <c r="D33" s="43">
        <v>8000</v>
      </c>
      <c r="E33" s="27">
        <f>Input!$H$21</f>
        <v>260.11</v>
      </c>
      <c r="F33" s="27">
        <f>Input!$V$21</f>
        <v>300</v>
      </c>
      <c r="G33" s="27">
        <f t="shared" si="0"/>
        <v>39.889999999999986</v>
      </c>
      <c r="H33" s="28">
        <f t="shared" si="1"/>
        <v>0.153</v>
      </c>
      <c r="I33" s="28"/>
      <c r="J33" s="27">
        <f>Input!$I$21</f>
        <v>0</v>
      </c>
      <c r="K33" s="27">
        <f>Input!$W$21</f>
        <v>0</v>
      </c>
      <c r="L33" s="27">
        <f t="shared" si="2"/>
        <v>0</v>
      </c>
      <c r="M33" s="28">
        <f t="shared" si="3"/>
        <v>0</v>
      </c>
      <c r="N33" s="30"/>
      <c r="O33" s="27">
        <f>ROUND((D33*Input!$C$21),2)+ROUND((D33*Input!$N$21),2)+ROUND((D33*Input!$O$21),2)</f>
        <v>792.80000000000007</v>
      </c>
      <c r="P33" s="27">
        <f>ROUND((D33*Input!$Q$21),2)+ROUND((D33*Input!$AA$21),2)+ROUND((D33*Input!$AB$21),2)</f>
        <v>868</v>
      </c>
      <c r="Q33" s="27">
        <f t="shared" si="4"/>
        <v>75.199999999999932</v>
      </c>
      <c r="R33" s="28">
        <f t="shared" si="5"/>
        <v>9.5000000000000001E-2</v>
      </c>
      <c r="S33" s="27">
        <f t="shared" si="6"/>
        <v>1052.9100000000001</v>
      </c>
      <c r="T33" s="27">
        <f t="shared" si="7"/>
        <v>1168</v>
      </c>
      <c r="U33" s="28">
        <f t="shared" si="8"/>
        <v>0.109</v>
      </c>
    </row>
    <row r="34" spans="1:21" x14ac:dyDescent="0.35">
      <c r="A34" s="59">
        <v>14</v>
      </c>
      <c r="D34" s="43">
        <v>9000</v>
      </c>
      <c r="E34" s="27">
        <f>Input!$H$21</f>
        <v>260.11</v>
      </c>
      <c r="F34" s="27">
        <f>Input!$V$21</f>
        <v>300</v>
      </c>
      <c r="G34" s="27">
        <f t="shared" si="0"/>
        <v>39.889999999999986</v>
      </c>
      <c r="H34" s="28">
        <f t="shared" si="1"/>
        <v>0.153</v>
      </c>
      <c r="I34" s="28"/>
      <c r="J34" s="27">
        <f>Input!$I$21</f>
        <v>0</v>
      </c>
      <c r="K34" s="27">
        <f>Input!$W$21</f>
        <v>0</v>
      </c>
      <c r="L34" s="27">
        <f t="shared" si="2"/>
        <v>0</v>
      </c>
      <c r="M34" s="28">
        <f t="shared" si="3"/>
        <v>0</v>
      </c>
      <c r="N34" s="30"/>
      <c r="O34" s="27">
        <f>ROUND((D34*Input!$C$21),2)+ROUND((D34*Input!$N$21),2)+ROUND((D34*Input!$O$21),2)</f>
        <v>891.9</v>
      </c>
      <c r="P34" s="27">
        <f>ROUND((D34*Input!$Q$21),2)+ROUND((D34*Input!$AA$21),2)+ROUND((D34*Input!$AB$21),2)</f>
        <v>976.5</v>
      </c>
      <c r="Q34" s="27">
        <f t="shared" si="4"/>
        <v>84.600000000000023</v>
      </c>
      <c r="R34" s="28">
        <f t="shared" si="5"/>
        <v>9.5000000000000001E-2</v>
      </c>
      <c r="S34" s="27">
        <f t="shared" si="6"/>
        <v>1152.01</v>
      </c>
      <c r="T34" s="27">
        <f t="shared" si="7"/>
        <v>1276.5</v>
      </c>
      <c r="U34" s="28">
        <f t="shared" si="8"/>
        <v>0.108</v>
      </c>
    </row>
    <row r="35" spans="1:21" x14ac:dyDescent="0.35">
      <c r="A35" s="59">
        <v>15</v>
      </c>
      <c r="D35" s="43">
        <v>10000</v>
      </c>
      <c r="E35" s="27">
        <f>Input!$H$21</f>
        <v>260.11</v>
      </c>
      <c r="F35" s="27">
        <f>Input!$V$21</f>
        <v>300</v>
      </c>
      <c r="G35" s="27">
        <f>F35-E35</f>
        <v>39.889999999999986</v>
      </c>
      <c r="H35" s="28">
        <f t="shared" si="1"/>
        <v>0.153</v>
      </c>
      <c r="I35" s="28"/>
      <c r="J35" s="27">
        <f>Input!$I$21</f>
        <v>0</v>
      </c>
      <c r="K35" s="27">
        <f>Input!$W$21</f>
        <v>0</v>
      </c>
      <c r="L35" s="27">
        <f t="shared" si="2"/>
        <v>0</v>
      </c>
      <c r="M35" s="28">
        <f t="shared" si="3"/>
        <v>0</v>
      </c>
      <c r="N35" s="30"/>
      <c r="O35" s="27">
        <f>ROUND((D35*Input!$C$21),2)+ROUND((D35*Input!$N$21),2)+ROUND((D35*Input!$O$21),2)</f>
        <v>991</v>
      </c>
      <c r="P35" s="27">
        <f>ROUND((D35*Input!$Q$21),2)+ROUND((D35*Input!$AA$21),2)+ROUND((D35*Input!$AB$21),2)</f>
        <v>1085</v>
      </c>
      <c r="Q35" s="27">
        <f>P35-O35</f>
        <v>94</v>
      </c>
      <c r="R35" s="28">
        <f t="shared" si="5"/>
        <v>9.5000000000000001E-2</v>
      </c>
      <c r="S35" s="27">
        <f t="shared" si="6"/>
        <v>1251.1100000000001</v>
      </c>
      <c r="T35" s="27">
        <f t="shared" si="7"/>
        <v>1385</v>
      </c>
      <c r="U35" s="28">
        <f t="shared" si="8"/>
        <v>0.107</v>
      </c>
    </row>
    <row r="36" spans="1:21" x14ac:dyDescent="0.35">
      <c r="A36" s="59">
        <v>16</v>
      </c>
      <c r="D36" s="43">
        <v>11000</v>
      </c>
      <c r="E36" s="27">
        <f>Input!$H$21</f>
        <v>260.11</v>
      </c>
      <c r="F36" s="27">
        <f>Input!$V$21</f>
        <v>300</v>
      </c>
      <c r="G36" s="27">
        <f t="shared" si="0"/>
        <v>39.889999999999986</v>
      </c>
      <c r="H36" s="28">
        <f t="shared" si="1"/>
        <v>0.153</v>
      </c>
      <c r="I36" s="28"/>
      <c r="J36" s="27">
        <f>Input!$I$21</f>
        <v>0</v>
      </c>
      <c r="K36" s="27">
        <f>Input!$W$21</f>
        <v>0</v>
      </c>
      <c r="L36" s="27">
        <f t="shared" si="2"/>
        <v>0</v>
      </c>
      <c r="M36" s="28">
        <f t="shared" si="3"/>
        <v>0</v>
      </c>
      <c r="N36" s="30"/>
      <c r="O36" s="27">
        <f>ROUND((D36*Input!$C$21),2)+ROUND((D36*Input!$N$21),2)+ROUND((D36*Input!$O$21),2)</f>
        <v>1090.1000000000001</v>
      </c>
      <c r="P36" s="27">
        <f>ROUND((D36*Input!$Q$21),2)+ROUND((D36*Input!$AA$21),2)+ROUND((D36*Input!$AB$21),2)</f>
        <v>1193.5</v>
      </c>
      <c r="Q36" s="27">
        <f t="shared" si="4"/>
        <v>103.39999999999986</v>
      </c>
      <c r="R36" s="28">
        <f t="shared" si="5"/>
        <v>9.5000000000000001E-2</v>
      </c>
      <c r="S36" s="27">
        <f t="shared" si="6"/>
        <v>1350.21</v>
      </c>
      <c r="T36" s="27">
        <f t="shared" si="7"/>
        <v>1493.5</v>
      </c>
      <c r="U36" s="28">
        <f t="shared" si="8"/>
        <v>0.106</v>
      </c>
    </row>
    <row r="37" spans="1:21" x14ac:dyDescent="0.35">
      <c r="A37" s="59">
        <v>17</v>
      </c>
      <c r="D37" s="43">
        <f>D39</f>
        <v>14511</v>
      </c>
      <c r="E37" s="27">
        <f>Input!$H$21</f>
        <v>260.11</v>
      </c>
      <c r="F37" s="27">
        <f>Input!$V$21</f>
        <v>300</v>
      </c>
      <c r="G37" s="27">
        <f t="shared" si="0"/>
        <v>39.889999999999986</v>
      </c>
      <c r="H37" s="28">
        <f t="shared" si="1"/>
        <v>0.153</v>
      </c>
      <c r="I37" s="28"/>
      <c r="J37" s="27">
        <f>Input!$I$21</f>
        <v>0</v>
      </c>
      <c r="K37" s="27">
        <f>Input!$W$21</f>
        <v>0</v>
      </c>
      <c r="L37" s="27">
        <f t="shared" si="2"/>
        <v>0</v>
      </c>
      <c r="M37" s="28">
        <f t="shared" si="3"/>
        <v>0</v>
      </c>
      <c r="N37" s="30"/>
      <c r="O37" s="27">
        <f>ROUND((D37*Input!$C$21),2)+ROUND((D37*Input!$N$21),2)+ROUND((D37*Input!$O$21),2)</f>
        <v>1438.04</v>
      </c>
      <c r="P37" s="27">
        <f>ROUND((D37*Input!$Q$21),2)+ROUND((D37*Input!$AA$21),2)+ROUND((D37*Input!$AB$21),2)</f>
        <v>1574.45</v>
      </c>
      <c r="Q37" s="27">
        <f t="shared" si="4"/>
        <v>136.41000000000008</v>
      </c>
      <c r="R37" s="28">
        <f t="shared" si="5"/>
        <v>9.5000000000000001E-2</v>
      </c>
      <c r="S37" s="27">
        <f t="shared" si="6"/>
        <v>1698.15</v>
      </c>
      <c r="T37" s="27">
        <f t="shared" si="7"/>
        <v>1874.45</v>
      </c>
      <c r="U37" s="28">
        <f t="shared" si="8"/>
        <v>0.104</v>
      </c>
    </row>
    <row r="38" spans="1:21" x14ac:dyDescent="0.35">
      <c r="A38" s="5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x14ac:dyDescent="0.35">
      <c r="A39" s="59"/>
      <c r="B39" s="8" t="s">
        <v>98</v>
      </c>
      <c r="D39" s="44">
        <f>ROUND(Input!AT21,0)</f>
        <v>14511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x14ac:dyDescent="0.35">
      <c r="A40" s="59"/>
    </row>
    <row r="41" spans="1:21" x14ac:dyDescent="0.35">
      <c r="A41" s="59"/>
    </row>
    <row r="42" spans="1:21" x14ac:dyDescent="0.35">
      <c r="A42" s="59"/>
    </row>
  </sheetData>
  <mergeCells count="8">
    <mergeCell ref="A5:U5"/>
    <mergeCell ref="E13:H13"/>
    <mergeCell ref="O13:R13"/>
    <mergeCell ref="A1:U1"/>
    <mergeCell ref="A2:U2"/>
    <mergeCell ref="A3:U3"/>
    <mergeCell ref="A4:U4"/>
    <mergeCell ref="J13:M13"/>
  </mergeCells>
  <phoneticPr fontId="0" type="noConversion"/>
  <printOptions horizontalCentered="1"/>
  <pageMargins left="0" right="0" top="0.75" bottom="0.75" header="0.5" footer="0.5"/>
  <pageSetup scale="6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V42"/>
  <sheetViews>
    <sheetView workbookViewId="0">
      <selection activeCell="W9" sqref="W9:AD41"/>
    </sheetView>
  </sheetViews>
  <sheetFormatPr defaultColWidth="9.36328125" defaultRowHeight="12.9" x14ac:dyDescent="0.35"/>
  <cols>
    <col min="1" max="1" width="4.453125" style="8" customWidth="1"/>
    <col min="2" max="2" width="12.453125" style="8" customWidth="1"/>
    <col min="3" max="3" width="11.6328125" style="8" bestFit="1" customWidth="1"/>
    <col min="4" max="4" width="11.81640625" style="8" bestFit="1" customWidth="1"/>
    <col min="5" max="5" width="11.453125" style="8" bestFit="1" customWidth="1"/>
    <col min="6" max="6" width="10.81640625" style="8" bestFit="1" customWidth="1"/>
    <col min="7" max="7" width="12.1796875" style="59" bestFit="1" customWidth="1"/>
    <col min="8" max="8" width="12.1796875" style="8" bestFit="1" customWidth="1"/>
    <col min="9" max="9" width="1.81640625" style="8" customWidth="1"/>
    <col min="10" max="11" width="15.6328125" style="8" bestFit="1" customWidth="1"/>
    <col min="12" max="13" width="12.1796875" style="8" bestFit="1" customWidth="1"/>
    <col min="14" max="14" width="1.81640625" style="8" customWidth="1"/>
    <col min="15" max="16" width="12.81640625" style="8" bestFit="1" customWidth="1"/>
    <col min="17" max="17" width="13.6328125" style="8" bestFit="1" customWidth="1"/>
    <col min="18" max="18" width="12.1796875" style="8" bestFit="1" customWidth="1"/>
    <col min="19" max="19" width="13.1796875" style="59" bestFit="1" customWidth="1"/>
    <col min="20" max="20" width="13" style="59" bestFit="1" customWidth="1"/>
    <col min="21" max="21" width="12" style="59" customWidth="1"/>
    <col min="22" max="22" width="9.36328125" style="8"/>
    <col min="23" max="30" width="9.36328125" style="8" customWidth="1"/>
    <col min="31" max="16384" width="9.36328125" style="8"/>
  </cols>
  <sheetData>
    <row r="1" spans="1:21" x14ac:dyDescent="0.35">
      <c r="A1" s="73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x14ac:dyDescent="0.35">
      <c r="A2" s="73" t="str">
        <f>Input!$B$1</f>
        <v>CASE NO. 2024-xxxxx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x14ac:dyDescent="0.35">
      <c r="A3" s="73" t="s">
        <v>85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x14ac:dyDescent="0.35">
      <c r="A4" s="73" t="s">
        <v>36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x14ac:dyDescent="0.35">
      <c r="A5" s="73" t="str">
        <f>Input!$B$5</f>
        <v>TWELVE MONTHS ENDING DECEMBER 31, 2025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x14ac:dyDescent="0.35">
      <c r="A6" s="59"/>
      <c r="B6" s="60"/>
      <c r="C6" s="60"/>
      <c r="D6" s="60"/>
      <c r="E6" s="60"/>
      <c r="F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21" x14ac:dyDescent="0.35">
      <c r="A7" s="59"/>
      <c r="B7" s="60"/>
      <c r="C7" s="60"/>
      <c r="D7" s="60"/>
      <c r="E7" s="60"/>
      <c r="F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21" x14ac:dyDescent="0.35">
      <c r="A8" s="8" t="s">
        <v>123</v>
      </c>
      <c r="U8" s="30" t="s">
        <v>37</v>
      </c>
    </row>
    <row r="9" spans="1:21" x14ac:dyDescent="0.35">
      <c r="A9" s="8" t="s">
        <v>124</v>
      </c>
      <c r="U9" s="30" t="s">
        <v>132</v>
      </c>
    </row>
    <row r="10" spans="1:21" x14ac:dyDescent="0.35">
      <c r="A10" s="8" t="s">
        <v>38</v>
      </c>
      <c r="U10" s="30" t="str">
        <f>Input!$B$3</f>
        <v>Witness: R. J. Amen</v>
      </c>
    </row>
    <row r="12" spans="1:21" x14ac:dyDescent="0.35">
      <c r="A12" s="24"/>
      <c r="B12" s="24"/>
      <c r="C12" s="24"/>
      <c r="D12" s="24"/>
      <c r="E12" s="24"/>
      <c r="F12" s="24"/>
      <c r="G12" s="61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61"/>
      <c r="T12" s="61"/>
      <c r="U12" s="61"/>
    </row>
    <row r="13" spans="1:21" x14ac:dyDescent="0.35">
      <c r="E13" s="75" t="s">
        <v>77</v>
      </c>
      <c r="F13" s="75"/>
      <c r="G13" s="75"/>
      <c r="H13" s="75"/>
      <c r="I13" s="25"/>
      <c r="J13" s="75" t="s">
        <v>119</v>
      </c>
      <c r="K13" s="75"/>
      <c r="L13" s="75"/>
      <c r="M13" s="75"/>
      <c r="N13" s="25"/>
      <c r="O13" s="75" t="s">
        <v>78</v>
      </c>
      <c r="P13" s="75"/>
      <c r="Q13" s="75"/>
      <c r="R13" s="75"/>
    </row>
    <row r="14" spans="1:21" x14ac:dyDescent="0.35">
      <c r="E14" s="59" t="s">
        <v>43</v>
      </c>
      <c r="F14" s="59" t="s">
        <v>44</v>
      </c>
      <c r="G14" s="59" t="s">
        <v>75</v>
      </c>
      <c r="H14" s="59" t="s">
        <v>46</v>
      </c>
      <c r="I14" s="59"/>
      <c r="J14" s="59" t="s">
        <v>43</v>
      </c>
      <c r="K14" s="59" t="s">
        <v>44</v>
      </c>
      <c r="L14" s="59" t="s">
        <v>75</v>
      </c>
      <c r="M14" s="59" t="s">
        <v>46</v>
      </c>
      <c r="Q14" s="59" t="s">
        <v>75</v>
      </c>
      <c r="R14" s="59" t="s">
        <v>46</v>
      </c>
      <c r="S14" s="59" t="s">
        <v>39</v>
      </c>
      <c r="T14" s="59" t="s">
        <v>39</v>
      </c>
      <c r="U14" s="59" t="s">
        <v>46</v>
      </c>
    </row>
    <row r="15" spans="1:21" x14ac:dyDescent="0.35">
      <c r="D15" s="59" t="s">
        <v>71</v>
      </c>
      <c r="E15" s="59" t="s">
        <v>71</v>
      </c>
      <c r="F15" s="59" t="s">
        <v>71</v>
      </c>
      <c r="G15" s="59" t="s">
        <v>45</v>
      </c>
      <c r="H15" s="59" t="s">
        <v>45</v>
      </c>
      <c r="I15" s="59"/>
      <c r="J15" s="59" t="s">
        <v>71</v>
      </c>
      <c r="K15" s="59" t="s">
        <v>71</v>
      </c>
      <c r="L15" s="59" t="s">
        <v>45</v>
      </c>
      <c r="M15" s="59" t="s">
        <v>45</v>
      </c>
      <c r="N15" s="59"/>
      <c r="O15" s="59" t="s">
        <v>43</v>
      </c>
      <c r="P15" s="59" t="s">
        <v>44</v>
      </c>
      <c r="Q15" s="59" t="s">
        <v>45</v>
      </c>
      <c r="R15" s="59" t="s">
        <v>45</v>
      </c>
      <c r="S15" s="59" t="s">
        <v>43</v>
      </c>
      <c r="T15" s="59" t="s">
        <v>44</v>
      </c>
      <c r="U15" s="59" t="s">
        <v>45</v>
      </c>
    </row>
    <row r="16" spans="1:21" x14ac:dyDescent="0.35">
      <c r="A16" s="59" t="s">
        <v>40</v>
      </c>
      <c r="B16" s="59" t="s">
        <v>41</v>
      </c>
      <c r="C16" s="59" t="s">
        <v>42</v>
      </c>
      <c r="D16" s="59" t="s">
        <v>72</v>
      </c>
      <c r="E16" s="59" t="s">
        <v>68</v>
      </c>
      <c r="F16" s="59" t="s">
        <v>68</v>
      </c>
      <c r="G16" s="59" t="s">
        <v>76</v>
      </c>
      <c r="H16" s="59" t="s">
        <v>76</v>
      </c>
      <c r="I16" s="59"/>
      <c r="J16" s="59" t="s">
        <v>109</v>
      </c>
      <c r="K16" s="59" t="s">
        <v>109</v>
      </c>
      <c r="L16" s="59" t="s">
        <v>76</v>
      </c>
      <c r="M16" s="59" t="s">
        <v>76</v>
      </c>
      <c r="N16" s="59"/>
      <c r="O16" s="59" t="s">
        <v>79</v>
      </c>
      <c r="P16" s="59" t="s">
        <v>79</v>
      </c>
      <c r="Q16" s="59" t="s">
        <v>76</v>
      </c>
      <c r="R16" s="59" t="s">
        <v>76</v>
      </c>
      <c r="S16" s="59" t="s">
        <v>49</v>
      </c>
      <c r="T16" s="59" t="s">
        <v>49</v>
      </c>
      <c r="U16" s="59" t="s">
        <v>76</v>
      </c>
    </row>
    <row r="17" spans="1:22" x14ac:dyDescent="0.35">
      <c r="A17" s="59" t="s">
        <v>47</v>
      </c>
      <c r="B17" s="59" t="s">
        <v>48</v>
      </c>
      <c r="C17" s="59" t="s">
        <v>15</v>
      </c>
      <c r="D17" s="59" t="s">
        <v>73</v>
      </c>
      <c r="E17" s="59" t="s">
        <v>74</v>
      </c>
      <c r="F17" s="59" t="s">
        <v>74</v>
      </c>
      <c r="G17" s="26" t="s">
        <v>50</v>
      </c>
      <c r="H17" s="26" t="s">
        <v>51</v>
      </c>
      <c r="I17" s="26"/>
      <c r="J17" s="59" t="s">
        <v>74</v>
      </c>
      <c r="K17" s="59" t="s">
        <v>74</v>
      </c>
      <c r="L17" s="26" t="s">
        <v>80</v>
      </c>
      <c r="M17" s="26" t="s">
        <v>81</v>
      </c>
      <c r="N17" s="26"/>
      <c r="O17" s="59" t="s">
        <v>74</v>
      </c>
      <c r="P17" s="59" t="s">
        <v>74</v>
      </c>
      <c r="Q17" s="26" t="s">
        <v>114</v>
      </c>
      <c r="R17" s="26" t="s">
        <v>115</v>
      </c>
      <c r="S17" s="26" t="s">
        <v>116</v>
      </c>
      <c r="T17" s="26" t="s">
        <v>117</v>
      </c>
      <c r="U17" s="26" t="s">
        <v>118</v>
      </c>
    </row>
    <row r="18" spans="1:22" x14ac:dyDescent="0.35">
      <c r="D18" s="26" t="s">
        <v>52</v>
      </c>
      <c r="E18" s="26" t="s">
        <v>53</v>
      </c>
      <c r="F18" s="26" t="s">
        <v>53</v>
      </c>
      <c r="G18" s="26" t="s">
        <v>53</v>
      </c>
      <c r="H18" s="26" t="s">
        <v>54</v>
      </c>
      <c r="I18" s="26"/>
      <c r="J18" s="26" t="s">
        <v>53</v>
      </c>
      <c r="K18" s="26" t="s">
        <v>53</v>
      </c>
      <c r="L18" s="26" t="s">
        <v>53</v>
      </c>
      <c r="M18" s="26" t="s">
        <v>54</v>
      </c>
      <c r="N18" s="26"/>
      <c r="O18" s="26" t="s">
        <v>53</v>
      </c>
      <c r="P18" s="26" t="s">
        <v>53</v>
      </c>
      <c r="Q18" s="26" t="s">
        <v>53</v>
      </c>
      <c r="R18" s="26" t="s">
        <v>54</v>
      </c>
      <c r="S18" s="26" t="s">
        <v>53</v>
      </c>
      <c r="T18" s="26" t="s">
        <v>53</v>
      </c>
      <c r="U18" s="26" t="s">
        <v>54</v>
      </c>
    </row>
    <row r="19" spans="1:22" x14ac:dyDescent="0.35">
      <c r="C19" s="26" t="s">
        <v>55</v>
      </c>
      <c r="D19" s="26" t="s">
        <v>56</v>
      </c>
      <c r="E19" s="26" t="s">
        <v>57</v>
      </c>
      <c r="F19" s="26" t="s">
        <v>58</v>
      </c>
      <c r="G19" s="26" t="s">
        <v>59</v>
      </c>
      <c r="H19" s="26" t="s">
        <v>60</v>
      </c>
      <c r="I19" s="26"/>
      <c r="J19" s="26" t="s">
        <v>61</v>
      </c>
      <c r="K19" s="26" t="s">
        <v>62</v>
      </c>
      <c r="L19" s="26" t="s">
        <v>63</v>
      </c>
      <c r="M19" s="26" t="s">
        <v>64</v>
      </c>
      <c r="N19" s="26"/>
      <c r="O19" s="26" t="s">
        <v>82</v>
      </c>
      <c r="P19" s="26" t="s">
        <v>83</v>
      </c>
      <c r="Q19" s="26" t="s">
        <v>84</v>
      </c>
      <c r="R19" s="26" t="s">
        <v>110</v>
      </c>
      <c r="S19" s="26" t="s">
        <v>111</v>
      </c>
      <c r="T19" s="26" t="s">
        <v>112</v>
      </c>
      <c r="U19" s="26" t="s">
        <v>113</v>
      </c>
    </row>
    <row r="20" spans="1:22" x14ac:dyDescent="0.35">
      <c r="D20" s="59"/>
      <c r="E20" s="59"/>
      <c r="F20" s="59"/>
      <c r="G20" s="51"/>
      <c r="H20" s="59"/>
      <c r="I20" s="59"/>
      <c r="J20" s="59"/>
      <c r="K20" s="59"/>
      <c r="L20" s="59"/>
      <c r="M20" s="59"/>
      <c r="N20" s="59"/>
      <c r="O20" s="59"/>
      <c r="P20" s="26"/>
      <c r="Q20" s="26"/>
      <c r="R20" s="26"/>
    </row>
    <row r="21" spans="1:22" x14ac:dyDescent="0.35">
      <c r="A21" s="59">
        <v>1</v>
      </c>
      <c r="B21" s="59" t="s">
        <v>29</v>
      </c>
      <c r="C21" s="59" t="s">
        <v>65</v>
      </c>
      <c r="D21" s="43">
        <f>+D37</f>
        <v>0</v>
      </c>
      <c r="E21" s="27">
        <f>Input!$H$22</f>
        <v>0</v>
      </c>
      <c r="F21" s="27">
        <f>Input!$V$22</f>
        <v>0</v>
      </c>
      <c r="G21" s="50">
        <f>F21-E21</f>
        <v>0</v>
      </c>
      <c r="H21" s="28">
        <f>IF(E21=0,0,ROUND(G21/E21,3))</f>
        <v>0</v>
      </c>
      <c r="I21" s="28"/>
      <c r="J21" s="27">
        <f>Input!$I$22</f>
        <v>0</v>
      </c>
      <c r="K21" s="27">
        <f>Input!$W$22</f>
        <v>0</v>
      </c>
      <c r="L21" s="27">
        <f>K21-J21</f>
        <v>0</v>
      </c>
      <c r="M21" s="28">
        <f>IF(J21=0,0,ROUND(L21/J21,3))</f>
        <v>0</v>
      </c>
      <c r="N21" s="29"/>
      <c r="O21" s="27">
        <f>ROUND((D21*Input!$C$22),2)</f>
        <v>0</v>
      </c>
      <c r="P21" s="27">
        <f>ROUND((D21*Input!$Q$22),2)</f>
        <v>0</v>
      </c>
      <c r="Q21" s="27">
        <f>P21-O21</f>
        <v>0</v>
      </c>
      <c r="R21" s="28">
        <f>IF(O21=0,0,ROUND(Q21/O21,3))</f>
        <v>0</v>
      </c>
      <c r="S21" s="27">
        <f>E21+J21+O21</f>
        <v>0</v>
      </c>
      <c r="T21" s="27">
        <f>F21+K21+P21</f>
        <v>0</v>
      </c>
      <c r="U21" s="28">
        <f>IF(S21=0,0,ROUND((T21-S21)/S21,3))</f>
        <v>0</v>
      </c>
      <c r="V21" s="30"/>
    </row>
    <row r="22" spans="1:22" x14ac:dyDescent="0.35">
      <c r="A22" s="59">
        <v>2</v>
      </c>
      <c r="B22" s="59" t="s">
        <v>69</v>
      </c>
      <c r="C22" s="59" t="s">
        <v>67</v>
      </c>
      <c r="D22" s="43">
        <v>100</v>
      </c>
      <c r="E22" s="27">
        <f>Input!$H$22</f>
        <v>0</v>
      </c>
      <c r="F22" s="27">
        <f>Input!$V$22</f>
        <v>0</v>
      </c>
      <c r="G22" s="50">
        <f t="shared" ref="G22:G35" si="0">F22-E22</f>
        <v>0</v>
      </c>
      <c r="H22" s="28">
        <f t="shared" ref="H22:H35" si="1">IF(E22=0,0,ROUND(G22/E22,3))</f>
        <v>0</v>
      </c>
      <c r="I22" s="28"/>
      <c r="J22" s="27">
        <f>Input!$I$22</f>
        <v>0</v>
      </c>
      <c r="K22" s="27">
        <f>Input!$W$22</f>
        <v>0</v>
      </c>
      <c r="L22" s="27">
        <f t="shared" ref="L22:L35" si="2">K22-J22</f>
        <v>0</v>
      </c>
      <c r="M22" s="28">
        <f t="shared" ref="M22:M35" si="3">IF(J22=0,0,ROUND(L22/J22,3))</f>
        <v>0</v>
      </c>
      <c r="N22" s="29"/>
      <c r="O22" s="27">
        <f>ROUND((D22*Input!$C$22),2)</f>
        <v>0</v>
      </c>
      <c r="P22" s="27">
        <f>ROUND((D22*Input!$Q$22),2)</f>
        <v>0</v>
      </c>
      <c r="Q22" s="27">
        <f t="shared" ref="Q22:Q35" si="4">P22-O22</f>
        <v>0</v>
      </c>
      <c r="R22" s="28">
        <f t="shared" ref="R22:R35" si="5">IF(O22=0,0,ROUND(Q22/O22,3))</f>
        <v>0</v>
      </c>
      <c r="S22" s="27">
        <f t="shared" ref="S22:S35" si="6">E22+J22+O22</f>
        <v>0</v>
      </c>
      <c r="T22" s="27">
        <f t="shared" ref="T22:T35" si="7">F22+K22+P22</f>
        <v>0</v>
      </c>
      <c r="U22" s="28">
        <f t="shared" ref="U22:U35" si="8">IF(S22=0,0,ROUND((T22-S22)/S22,3))</f>
        <v>0</v>
      </c>
      <c r="V22" s="30"/>
    </row>
    <row r="23" spans="1:22" x14ac:dyDescent="0.35">
      <c r="A23" s="59">
        <v>3</v>
      </c>
      <c r="B23" s="59" t="s">
        <v>94</v>
      </c>
      <c r="D23" s="43">
        <v>150</v>
      </c>
      <c r="E23" s="27">
        <f>Input!$H$22</f>
        <v>0</v>
      </c>
      <c r="F23" s="27">
        <f>Input!$V$22</f>
        <v>0</v>
      </c>
      <c r="G23" s="50">
        <f t="shared" si="0"/>
        <v>0</v>
      </c>
      <c r="H23" s="28">
        <f t="shared" si="1"/>
        <v>0</v>
      </c>
      <c r="I23" s="28"/>
      <c r="J23" s="27">
        <f>Input!$I$22</f>
        <v>0</v>
      </c>
      <c r="K23" s="27">
        <f>Input!$W$22</f>
        <v>0</v>
      </c>
      <c r="L23" s="27">
        <f t="shared" si="2"/>
        <v>0</v>
      </c>
      <c r="M23" s="28">
        <f t="shared" si="3"/>
        <v>0</v>
      </c>
      <c r="N23" s="29"/>
      <c r="O23" s="27">
        <f>ROUND((D23*Input!$C$22),2)</f>
        <v>0</v>
      </c>
      <c r="P23" s="27">
        <f>ROUND((D23*Input!$Q$22),2)</f>
        <v>0</v>
      </c>
      <c r="Q23" s="27">
        <f t="shared" si="4"/>
        <v>0</v>
      </c>
      <c r="R23" s="28">
        <f t="shared" si="5"/>
        <v>0</v>
      </c>
      <c r="S23" s="27">
        <f t="shared" si="6"/>
        <v>0</v>
      </c>
      <c r="T23" s="27">
        <f t="shared" si="7"/>
        <v>0</v>
      </c>
      <c r="U23" s="28">
        <f t="shared" si="8"/>
        <v>0</v>
      </c>
      <c r="V23" s="30"/>
    </row>
    <row r="24" spans="1:22" x14ac:dyDescent="0.35">
      <c r="A24" s="59">
        <v>4</v>
      </c>
      <c r="B24" s="59" t="s">
        <v>41</v>
      </c>
      <c r="D24" s="43">
        <v>300</v>
      </c>
      <c r="E24" s="27">
        <f>Input!$H$22</f>
        <v>0</v>
      </c>
      <c r="F24" s="27">
        <f>Input!$V$22</f>
        <v>0</v>
      </c>
      <c r="G24" s="50">
        <f t="shared" si="0"/>
        <v>0</v>
      </c>
      <c r="H24" s="28">
        <f t="shared" si="1"/>
        <v>0</v>
      </c>
      <c r="I24" s="28"/>
      <c r="J24" s="27">
        <f>Input!$I$22</f>
        <v>0</v>
      </c>
      <c r="K24" s="27">
        <f>Input!$W$22</f>
        <v>0</v>
      </c>
      <c r="L24" s="27">
        <f t="shared" si="2"/>
        <v>0</v>
      </c>
      <c r="M24" s="28">
        <f t="shared" si="3"/>
        <v>0</v>
      </c>
      <c r="N24" s="29"/>
      <c r="O24" s="27">
        <f>ROUND((D24*Input!$C$22),2)</f>
        <v>0</v>
      </c>
      <c r="P24" s="27">
        <f>ROUND((D24*Input!$Q$22),2)</f>
        <v>0</v>
      </c>
      <c r="Q24" s="27">
        <f t="shared" si="4"/>
        <v>0</v>
      </c>
      <c r="R24" s="28">
        <f t="shared" si="5"/>
        <v>0</v>
      </c>
      <c r="S24" s="27">
        <f t="shared" si="6"/>
        <v>0</v>
      </c>
      <c r="T24" s="27">
        <f t="shared" si="7"/>
        <v>0</v>
      </c>
      <c r="U24" s="28">
        <f t="shared" si="8"/>
        <v>0</v>
      </c>
      <c r="V24" s="30"/>
    </row>
    <row r="25" spans="1:22" x14ac:dyDescent="0.35">
      <c r="A25" s="59">
        <v>5</v>
      </c>
      <c r="B25" s="59" t="s">
        <v>86</v>
      </c>
      <c r="D25" s="43">
        <v>500</v>
      </c>
      <c r="E25" s="27">
        <f>Input!$H$22</f>
        <v>0</v>
      </c>
      <c r="F25" s="27">
        <f>Input!$V$22</f>
        <v>0</v>
      </c>
      <c r="G25" s="50">
        <f t="shared" si="0"/>
        <v>0</v>
      </c>
      <c r="H25" s="28">
        <f t="shared" si="1"/>
        <v>0</v>
      </c>
      <c r="I25" s="28"/>
      <c r="J25" s="27">
        <f>Input!$I$22</f>
        <v>0</v>
      </c>
      <c r="K25" s="27">
        <f>Input!$W$22</f>
        <v>0</v>
      </c>
      <c r="L25" s="27">
        <f t="shared" si="2"/>
        <v>0</v>
      </c>
      <c r="M25" s="28">
        <f t="shared" si="3"/>
        <v>0</v>
      </c>
      <c r="N25" s="29"/>
      <c r="O25" s="27">
        <f>ROUND((D25*Input!$C$22),2)</f>
        <v>0</v>
      </c>
      <c r="P25" s="27">
        <f>ROUND((D25*Input!$Q$22),2)</f>
        <v>0</v>
      </c>
      <c r="Q25" s="27">
        <f t="shared" si="4"/>
        <v>0</v>
      </c>
      <c r="R25" s="28">
        <f t="shared" si="5"/>
        <v>0</v>
      </c>
      <c r="S25" s="27">
        <f t="shared" si="6"/>
        <v>0</v>
      </c>
      <c r="T25" s="27">
        <f t="shared" si="7"/>
        <v>0</v>
      </c>
      <c r="U25" s="28">
        <f t="shared" si="8"/>
        <v>0</v>
      </c>
      <c r="V25" s="30"/>
    </row>
    <row r="26" spans="1:22" x14ac:dyDescent="0.35">
      <c r="A26" s="59">
        <v>6</v>
      </c>
      <c r="D26" s="43">
        <v>1000</v>
      </c>
      <c r="E26" s="27">
        <f>Input!$H$22</f>
        <v>0</v>
      </c>
      <c r="F26" s="27">
        <f>Input!$V$22</f>
        <v>0</v>
      </c>
      <c r="G26" s="50">
        <f t="shared" si="0"/>
        <v>0</v>
      </c>
      <c r="H26" s="28">
        <f t="shared" si="1"/>
        <v>0</v>
      </c>
      <c r="I26" s="28"/>
      <c r="J26" s="27">
        <f>Input!$I$22</f>
        <v>0</v>
      </c>
      <c r="K26" s="27">
        <f>Input!$W$22</f>
        <v>0</v>
      </c>
      <c r="L26" s="27">
        <f t="shared" si="2"/>
        <v>0</v>
      </c>
      <c r="M26" s="28">
        <f t="shared" si="3"/>
        <v>0</v>
      </c>
      <c r="N26" s="29"/>
      <c r="O26" s="27">
        <f>ROUND((D26*Input!$C$22),2)</f>
        <v>0</v>
      </c>
      <c r="P26" s="27">
        <f>ROUND((D26*Input!$Q$22),2)</f>
        <v>0</v>
      </c>
      <c r="Q26" s="27">
        <f t="shared" si="4"/>
        <v>0</v>
      </c>
      <c r="R26" s="28">
        <f t="shared" si="5"/>
        <v>0</v>
      </c>
      <c r="S26" s="27">
        <f t="shared" si="6"/>
        <v>0</v>
      </c>
      <c r="T26" s="27">
        <f t="shared" si="7"/>
        <v>0</v>
      </c>
      <c r="U26" s="28">
        <f t="shared" si="8"/>
        <v>0</v>
      </c>
      <c r="V26" s="30"/>
    </row>
    <row r="27" spans="1:22" x14ac:dyDescent="0.35">
      <c r="A27" s="59">
        <v>7</v>
      </c>
      <c r="D27" s="43">
        <v>3000</v>
      </c>
      <c r="E27" s="27">
        <f>Input!$H$22</f>
        <v>0</v>
      </c>
      <c r="F27" s="27">
        <f>Input!$V$22</f>
        <v>0</v>
      </c>
      <c r="G27" s="50">
        <f t="shared" si="0"/>
        <v>0</v>
      </c>
      <c r="H27" s="28">
        <f t="shared" si="1"/>
        <v>0</v>
      </c>
      <c r="I27" s="28"/>
      <c r="J27" s="27">
        <f>Input!$I$22</f>
        <v>0</v>
      </c>
      <c r="K27" s="27">
        <f>Input!$W$22</f>
        <v>0</v>
      </c>
      <c r="L27" s="27">
        <f t="shared" si="2"/>
        <v>0</v>
      </c>
      <c r="M27" s="28">
        <f t="shared" si="3"/>
        <v>0</v>
      </c>
      <c r="N27" s="29"/>
      <c r="O27" s="27">
        <f>ROUND((D27*Input!$C$22),2)</f>
        <v>0</v>
      </c>
      <c r="P27" s="27">
        <f>ROUND((D27*Input!$Q$22),2)</f>
        <v>0</v>
      </c>
      <c r="Q27" s="27">
        <f t="shared" si="4"/>
        <v>0</v>
      </c>
      <c r="R27" s="28">
        <f t="shared" si="5"/>
        <v>0</v>
      </c>
      <c r="S27" s="27">
        <f t="shared" si="6"/>
        <v>0</v>
      </c>
      <c r="T27" s="27">
        <f t="shared" si="7"/>
        <v>0</v>
      </c>
      <c r="U27" s="28">
        <f t="shared" si="8"/>
        <v>0</v>
      </c>
      <c r="V27" s="30"/>
    </row>
    <row r="28" spans="1:22" x14ac:dyDescent="0.35">
      <c r="A28" s="59">
        <v>8</v>
      </c>
      <c r="B28" s="59"/>
      <c r="D28" s="43">
        <v>5000</v>
      </c>
      <c r="E28" s="27">
        <f>Input!$H$22</f>
        <v>0</v>
      </c>
      <c r="F28" s="27">
        <f>Input!$V$22</f>
        <v>0</v>
      </c>
      <c r="G28" s="50">
        <f t="shared" si="0"/>
        <v>0</v>
      </c>
      <c r="H28" s="28">
        <f t="shared" si="1"/>
        <v>0</v>
      </c>
      <c r="I28" s="28"/>
      <c r="J28" s="27">
        <f>Input!$I$22</f>
        <v>0</v>
      </c>
      <c r="K28" s="27">
        <f>Input!$W$22</f>
        <v>0</v>
      </c>
      <c r="L28" s="27">
        <f t="shared" si="2"/>
        <v>0</v>
      </c>
      <c r="M28" s="28">
        <f t="shared" si="3"/>
        <v>0</v>
      </c>
      <c r="N28" s="29"/>
      <c r="O28" s="27">
        <f>ROUND((D28*Input!$C$22),2)</f>
        <v>0</v>
      </c>
      <c r="P28" s="27">
        <f>ROUND((D28*Input!$Q$22),2)</f>
        <v>0</v>
      </c>
      <c r="Q28" s="27">
        <f t="shared" si="4"/>
        <v>0</v>
      </c>
      <c r="R28" s="28">
        <f t="shared" si="5"/>
        <v>0</v>
      </c>
      <c r="S28" s="27">
        <f t="shared" si="6"/>
        <v>0</v>
      </c>
      <c r="T28" s="27">
        <f t="shared" si="7"/>
        <v>0</v>
      </c>
      <c r="U28" s="28">
        <f t="shared" si="8"/>
        <v>0</v>
      </c>
      <c r="V28" s="30"/>
    </row>
    <row r="29" spans="1:22" x14ac:dyDescent="0.35">
      <c r="A29" s="59">
        <v>9</v>
      </c>
      <c r="B29" s="59"/>
      <c r="D29" s="43">
        <v>10000</v>
      </c>
      <c r="E29" s="27">
        <f>Input!$H$22</f>
        <v>0</v>
      </c>
      <c r="F29" s="27">
        <f>Input!$V$22</f>
        <v>0</v>
      </c>
      <c r="G29" s="50">
        <f t="shared" si="0"/>
        <v>0</v>
      </c>
      <c r="H29" s="28">
        <f t="shared" si="1"/>
        <v>0</v>
      </c>
      <c r="I29" s="28"/>
      <c r="J29" s="27">
        <f>Input!$I$22</f>
        <v>0</v>
      </c>
      <c r="K29" s="27">
        <f>Input!$W$22</f>
        <v>0</v>
      </c>
      <c r="L29" s="27">
        <f t="shared" si="2"/>
        <v>0</v>
      </c>
      <c r="M29" s="28">
        <f t="shared" si="3"/>
        <v>0</v>
      </c>
      <c r="N29" s="29"/>
      <c r="O29" s="27">
        <f>ROUND((D29*Input!$C$22),2)</f>
        <v>0</v>
      </c>
      <c r="P29" s="27">
        <f>ROUND((D29*Input!$Q$22),2)</f>
        <v>0</v>
      </c>
      <c r="Q29" s="27">
        <f t="shared" si="4"/>
        <v>0</v>
      </c>
      <c r="R29" s="28">
        <f t="shared" si="5"/>
        <v>0</v>
      </c>
      <c r="S29" s="27">
        <f t="shared" si="6"/>
        <v>0</v>
      </c>
      <c r="T29" s="27">
        <f t="shared" si="7"/>
        <v>0</v>
      </c>
      <c r="U29" s="28">
        <f t="shared" si="8"/>
        <v>0</v>
      </c>
      <c r="V29" s="30"/>
    </row>
    <row r="30" spans="1:22" x14ac:dyDescent="0.35">
      <c r="A30" s="59">
        <v>10</v>
      </c>
      <c r="B30" s="59"/>
      <c r="D30" s="43">
        <v>15000</v>
      </c>
      <c r="E30" s="27">
        <f>Input!$H$22</f>
        <v>0</v>
      </c>
      <c r="F30" s="27">
        <f>Input!$V$22</f>
        <v>0</v>
      </c>
      <c r="G30" s="50">
        <f>F30-E30</f>
        <v>0</v>
      </c>
      <c r="H30" s="28">
        <f t="shared" si="1"/>
        <v>0</v>
      </c>
      <c r="I30" s="28"/>
      <c r="J30" s="27">
        <f>Input!$I$22</f>
        <v>0</v>
      </c>
      <c r="K30" s="27">
        <f>Input!$W$22</f>
        <v>0</v>
      </c>
      <c r="L30" s="27">
        <f t="shared" si="2"/>
        <v>0</v>
      </c>
      <c r="M30" s="28">
        <f t="shared" si="3"/>
        <v>0</v>
      </c>
      <c r="N30" s="29"/>
      <c r="O30" s="27">
        <f>ROUND((D30*Input!$C$22),2)</f>
        <v>0</v>
      </c>
      <c r="P30" s="27">
        <f>ROUND((D30*Input!$Q$22),2)</f>
        <v>0</v>
      </c>
      <c r="Q30" s="27">
        <f>P30-O30</f>
        <v>0</v>
      </c>
      <c r="R30" s="28">
        <f t="shared" si="5"/>
        <v>0</v>
      </c>
      <c r="S30" s="27">
        <f>E30+J30+O30</f>
        <v>0</v>
      </c>
      <c r="T30" s="27">
        <f>F30+K30+P30</f>
        <v>0</v>
      </c>
      <c r="U30" s="28">
        <f t="shared" si="8"/>
        <v>0</v>
      </c>
      <c r="V30" s="30"/>
    </row>
    <row r="31" spans="1:22" x14ac:dyDescent="0.35">
      <c r="A31" s="59">
        <v>11</v>
      </c>
      <c r="D31" s="43">
        <v>20000</v>
      </c>
      <c r="E31" s="27">
        <f>Input!$H$22</f>
        <v>0</v>
      </c>
      <c r="F31" s="27">
        <f>Input!$V$22</f>
        <v>0</v>
      </c>
      <c r="G31" s="50">
        <f t="shared" si="0"/>
        <v>0</v>
      </c>
      <c r="H31" s="28">
        <f t="shared" si="1"/>
        <v>0</v>
      </c>
      <c r="I31" s="28"/>
      <c r="J31" s="27">
        <f>Input!$I$22</f>
        <v>0</v>
      </c>
      <c r="K31" s="27">
        <f>Input!$W$22</f>
        <v>0</v>
      </c>
      <c r="L31" s="27">
        <f t="shared" si="2"/>
        <v>0</v>
      </c>
      <c r="M31" s="28">
        <f t="shared" si="3"/>
        <v>0</v>
      </c>
      <c r="N31" s="29"/>
      <c r="O31" s="27">
        <f>ROUND((D31*Input!$C$22),2)</f>
        <v>0</v>
      </c>
      <c r="P31" s="27">
        <f>ROUND((D31*Input!$Q$22),2)</f>
        <v>0</v>
      </c>
      <c r="Q31" s="27">
        <f t="shared" si="4"/>
        <v>0</v>
      </c>
      <c r="R31" s="28">
        <f t="shared" si="5"/>
        <v>0</v>
      </c>
      <c r="S31" s="27">
        <f t="shared" si="6"/>
        <v>0</v>
      </c>
      <c r="T31" s="27">
        <f t="shared" si="7"/>
        <v>0</v>
      </c>
      <c r="U31" s="28">
        <f t="shared" si="8"/>
        <v>0</v>
      </c>
      <c r="V31" s="30"/>
    </row>
    <row r="32" spans="1:22" x14ac:dyDescent="0.35">
      <c r="A32" s="59">
        <v>12</v>
      </c>
      <c r="D32" s="43">
        <v>25000</v>
      </c>
      <c r="E32" s="27">
        <f>Input!$H$22</f>
        <v>0</v>
      </c>
      <c r="F32" s="27">
        <f>Input!$V$22</f>
        <v>0</v>
      </c>
      <c r="G32" s="50">
        <f t="shared" si="0"/>
        <v>0</v>
      </c>
      <c r="H32" s="28">
        <f t="shared" si="1"/>
        <v>0</v>
      </c>
      <c r="I32" s="28"/>
      <c r="J32" s="27">
        <f>Input!$I$22</f>
        <v>0</v>
      </c>
      <c r="K32" s="27">
        <f>Input!$W$22</f>
        <v>0</v>
      </c>
      <c r="L32" s="27">
        <f t="shared" si="2"/>
        <v>0</v>
      </c>
      <c r="M32" s="28">
        <f t="shared" si="3"/>
        <v>0</v>
      </c>
      <c r="N32" s="29"/>
      <c r="O32" s="27">
        <f>ROUND((D32*Input!$C$22),2)</f>
        <v>0</v>
      </c>
      <c r="P32" s="27">
        <f>ROUND((D32*Input!$Q$22),2)</f>
        <v>0</v>
      </c>
      <c r="Q32" s="27">
        <f t="shared" si="4"/>
        <v>0</v>
      </c>
      <c r="R32" s="28">
        <f t="shared" si="5"/>
        <v>0</v>
      </c>
      <c r="S32" s="27">
        <f t="shared" si="6"/>
        <v>0</v>
      </c>
      <c r="T32" s="27">
        <f t="shared" si="7"/>
        <v>0</v>
      </c>
      <c r="U32" s="28">
        <f t="shared" si="8"/>
        <v>0</v>
      </c>
      <c r="V32" s="30"/>
    </row>
    <row r="33" spans="1:22" x14ac:dyDescent="0.35">
      <c r="A33" s="59">
        <v>13</v>
      </c>
      <c r="D33" s="43">
        <v>30000</v>
      </c>
      <c r="E33" s="27">
        <f>Input!$H$22</f>
        <v>0</v>
      </c>
      <c r="F33" s="27">
        <f>Input!$V$22</f>
        <v>0</v>
      </c>
      <c r="G33" s="50">
        <f t="shared" si="0"/>
        <v>0</v>
      </c>
      <c r="H33" s="28">
        <f t="shared" si="1"/>
        <v>0</v>
      </c>
      <c r="I33" s="28"/>
      <c r="J33" s="27">
        <f>Input!$I$22</f>
        <v>0</v>
      </c>
      <c r="K33" s="27">
        <f>Input!$W$22</f>
        <v>0</v>
      </c>
      <c r="L33" s="27">
        <f t="shared" si="2"/>
        <v>0</v>
      </c>
      <c r="M33" s="28">
        <f t="shared" si="3"/>
        <v>0</v>
      </c>
      <c r="N33" s="30"/>
      <c r="O33" s="27">
        <f>ROUND((D33*Input!$C$22),2)</f>
        <v>0</v>
      </c>
      <c r="P33" s="27">
        <f>ROUND((D33*Input!$Q$22),2)</f>
        <v>0</v>
      </c>
      <c r="Q33" s="27">
        <f t="shared" si="4"/>
        <v>0</v>
      </c>
      <c r="R33" s="28">
        <f t="shared" si="5"/>
        <v>0</v>
      </c>
      <c r="S33" s="27">
        <f t="shared" si="6"/>
        <v>0</v>
      </c>
      <c r="T33" s="27">
        <f t="shared" si="7"/>
        <v>0</v>
      </c>
      <c r="U33" s="28">
        <f t="shared" si="8"/>
        <v>0</v>
      </c>
      <c r="V33" s="30"/>
    </row>
    <row r="34" spans="1:22" x14ac:dyDescent="0.35">
      <c r="A34" s="59">
        <v>14</v>
      </c>
      <c r="D34" s="43">
        <v>35000</v>
      </c>
      <c r="E34" s="27">
        <f>Input!$H$22</f>
        <v>0</v>
      </c>
      <c r="F34" s="27">
        <f>Input!$V$22</f>
        <v>0</v>
      </c>
      <c r="G34" s="50">
        <f t="shared" si="0"/>
        <v>0</v>
      </c>
      <c r="H34" s="28">
        <f t="shared" si="1"/>
        <v>0</v>
      </c>
      <c r="I34" s="28"/>
      <c r="J34" s="27">
        <f>Input!$I$22</f>
        <v>0</v>
      </c>
      <c r="K34" s="27">
        <f>Input!$W$22</f>
        <v>0</v>
      </c>
      <c r="L34" s="27">
        <f t="shared" si="2"/>
        <v>0</v>
      </c>
      <c r="M34" s="28">
        <f t="shared" si="3"/>
        <v>0</v>
      </c>
      <c r="N34" s="30"/>
      <c r="O34" s="27">
        <f>ROUND((D34*Input!$C$22),2)</f>
        <v>0</v>
      </c>
      <c r="P34" s="27">
        <f>ROUND((D34*Input!$Q$22),2)</f>
        <v>0</v>
      </c>
      <c r="Q34" s="27">
        <f t="shared" si="4"/>
        <v>0</v>
      </c>
      <c r="R34" s="28">
        <f t="shared" si="5"/>
        <v>0</v>
      </c>
      <c r="S34" s="27">
        <f t="shared" si="6"/>
        <v>0</v>
      </c>
      <c r="T34" s="27">
        <f t="shared" si="7"/>
        <v>0</v>
      </c>
      <c r="U34" s="28">
        <f t="shared" si="8"/>
        <v>0</v>
      </c>
      <c r="V34" s="30"/>
    </row>
    <row r="35" spans="1:22" x14ac:dyDescent="0.35">
      <c r="A35" s="59">
        <v>15</v>
      </c>
      <c r="D35" s="43">
        <v>40000</v>
      </c>
      <c r="E35" s="27">
        <f>Input!$H$22</f>
        <v>0</v>
      </c>
      <c r="F35" s="27">
        <f>Input!$V$22</f>
        <v>0</v>
      </c>
      <c r="G35" s="50">
        <f t="shared" si="0"/>
        <v>0</v>
      </c>
      <c r="H35" s="28">
        <f t="shared" si="1"/>
        <v>0</v>
      </c>
      <c r="I35" s="28"/>
      <c r="J35" s="27">
        <f>Input!$I$22</f>
        <v>0</v>
      </c>
      <c r="K35" s="27">
        <f>Input!$W$22</f>
        <v>0</v>
      </c>
      <c r="L35" s="27">
        <f t="shared" si="2"/>
        <v>0</v>
      </c>
      <c r="M35" s="28">
        <f t="shared" si="3"/>
        <v>0</v>
      </c>
      <c r="N35" s="30"/>
      <c r="O35" s="27">
        <f>ROUND((D35*Input!$C$22),2)</f>
        <v>0</v>
      </c>
      <c r="P35" s="27">
        <f>ROUND((D35*Input!$Q$22),2)</f>
        <v>0</v>
      </c>
      <c r="Q35" s="27">
        <f t="shared" si="4"/>
        <v>0</v>
      </c>
      <c r="R35" s="28">
        <f t="shared" si="5"/>
        <v>0</v>
      </c>
      <c r="S35" s="27">
        <f t="shared" si="6"/>
        <v>0</v>
      </c>
      <c r="T35" s="27">
        <f t="shared" si="7"/>
        <v>0</v>
      </c>
      <c r="U35" s="28">
        <f t="shared" si="8"/>
        <v>0</v>
      </c>
      <c r="V35" s="30"/>
    </row>
    <row r="36" spans="1:22" x14ac:dyDescent="0.35">
      <c r="A36" s="59"/>
      <c r="D36" s="31"/>
      <c r="E36" s="30"/>
      <c r="F36" s="30"/>
      <c r="G36" s="52"/>
      <c r="H36" s="29"/>
      <c r="I36" s="29"/>
      <c r="J36" s="29"/>
      <c r="K36" s="29"/>
      <c r="L36" s="29"/>
      <c r="M36" s="29"/>
      <c r="N36" s="30"/>
      <c r="O36" s="30"/>
      <c r="P36" s="30"/>
      <c r="Q36" s="27"/>
      <c r="R36" s="29"/>
      <c r="S36" s="27"/>
      <c r="T36" s="27"/>
      <c r="U36" s="29"/>
      <c r="V36" s="30"/>
    </row>
    <row r="37" spans="1:22" x14ac:dyDescent="0.35">
      <c r="A37" s="59"/>
      <c r="B37" s="8" t="s">
        <v>98</v>
      </c>
      <c r="D37" s="44">
        <f>Input!AT22</f>
        <v>0</v>
      </c>
      <c r="E37" s="59"/>
      <c r="F37" s="59"/>
      <c r="G37" s="33"/>
      <c r="H37" s="34"/>
      <c r="I37" s="34"/>
      <c r="J37" s="34"/>
      <c r="K37" s="34"/>
      <c r="L37" s="34"/>
      <c r="M37" s="34"/>
      <c r="N37" s="59"/>
      <c r="O37" s="59"/>
      <c r="P37" s="59"/>
      <c r="Q37" s="33"/>
      <c r="R37" s="34"/>
      <c r="S37" s="33"/>
      <c r="T37" s="33"/>
      <c r="U37" s="34"/>
    </row>
    <row r="38" spans="1:22" x14ac:dyDescent="0.35">
      <c r="A38" s="59"/>
      <c r="C38" s="8" t="s">
        <v>144</v>
      </c>
    </row>
    <row r="39" spans="1:22" x14ac:dyDescent="0.35">
      <c r="A39" s="59"/>
    </row>
    <row r="40" spans="1:22" x14ac:dyDescent="0.35">
      <c r="A40" s="59"/>
    </row>
    <row r="41" spans="1:22" x14ac:dyDescent="0.35">
      <c r="A41" s="59"/>
    </row>
    <row r="42" spans="1:22" x14ac:dyDescent="0.35">
      <c r="A42" s="59"/>
    </row>
  </sheetData>
  <mergeCells count="8">
    <mergeCell ref="A5:U5"/>
    <mergeCell ref="E13:H13"/>
    <mergeCell ref="O13:R13"/>
    <mergeCell ref="A1:U1"/>
    <mergeCell ref="A2:U2"/>
    <mergeCell ref="A3:U3"/>
    <mergeCell ref="A4:U4"/>
    <mergeCell ref="J13:M13"/>
  </mergeCells>
  <phoneticPr fontId="0" type="noConversion"/>
  <printOptions horizontalCentered="1"/>
  <pageMargins left="0" right="0" top="0.75" bottom="0.75" header="0.5" footer="0.5"/>
  <pageSetup scale="61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V42"/>
  <sheetViews>
    <sheetView workbookViewId="0">
      <selection activeCell="W9" sqref="W9:AE40"/>
    </sheetView>
  </sheetViews>
  <sheetFormatPr defaultColWidth="9.36328125" defaultRowHeight="12.9" x14ac:dyDescent="0.35"/>
  <cols>
    <col min="1" max="1" width="4.453125" style="8" customWidth="1"/>
    <col min="2" max="2" width="10.81640625" style="8" customWidth="1"/>
    <col min="3" max="3" width="11.6328125" style="8" bestFit="1" customWidth="1"/>
    <col min="4" max="4" width="11.81640625" style="8" bestFit="1" customWidth="1"/>
    <col min="5" max="5" width="11.453125" style="8" bestFit="1" customWidth="1"/>
    <col min="6" max="6" width="10.81640625" style="8" bestFit="1" customWidth="1"/>
    <col min="7" max="7" width="12.1796875" style="59" bestFit="1" customWidth="1"/>
    <col min="8" max="8" width="12.1796875" style="8" bestFit="1" customWidth="1"/>
    <col min="9" max="9" width="1.81640625" style="8" customWidth="1"/>
    <col min="10" max="11" width="15.6328125" style="8" bestFit="1" customWidth="1"/>
    <col min="12" max="13" width="12.1796875" style="8" bestFit="1" customWidth="1"/>
    <col min="14" max="14" width="1.81640625" style="8" customWidth="1"/>
    <col min="15" max="16" width="12.81640625" style="8" bestFit="1" customWidth="1"/>
    <col min="17" max="17" width="13.6328125" style="8" bestFit="1" customWidth="1"/>
    <col min="18" max="18" width="12.1796875" style="8" bestFit="1" customWidth="1"/>
    <col min="19" max="19" width="13.1796875" style="59" bestFit="1" customWidth="1"/>
    <col min="20" max="20" width="13" style="59" bestFit="1" customWidth="1"/>
    <col min="21" max="21" width="12.81640625" style="59" customWidth="1"/>
    <col min="22" max="22" width="9.36328125" style="8"/>
    <col min="23" max="30" width="9.36328125" style="8" customWidth="1"/>
    <col min="31" max="16384" width="9.36328125" style="8"/>
  </cols>
  <sheetData>
    <row r="1" spans="1:21" x14ac:dyDescent="0.35">
      <c r="A1" s="73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x14ac:dyDescent="0.35">
      <c r="A2" s="73" t="str">
        <f>Input!$B$1</f>
        <v>CASE NO. 2024-xxxxx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x14ac:dyDescent="0.35">
      <c r="A3" s="73" t="s">
        <v>85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x14ac:dyDescent="0.35">
      <c r="A4" s="73" t="s">
        <v>36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x14ac:dyDescent="0.35">
      <c r="A5" s="73" t="str">
        <f>Input!$B$5</f>
        <v>TWELVE MONTHS ENDING DECEMBER 31, 2025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x14ac:dyDescent="0.35">
      <c r="A6" s="59"/>
      <c r="B6" s="60"/>
      <c r="C6" s="60"/>
      <c r="D6" s="60"/>
      <c r="E6" s="60"/>
      <c r="F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21" x14ac:dyDescent="0.35">
      <c r="A7" s="59"/>
      <c r="B7" s="60"/>
      <c r="C7" s="60"/>
      <c r="D7" s="60"/>
      <c r="E7" s="60"/>
      <c r="F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21" x14ac:dyDescent="0.35">
      <c r="A8" s="8" t="s">
        <v>123</v>
      </c>
      <c r="U8" s="30" t="s">
        <v>37</v>
      </c>
    </row>
    <row r="9" spans="1:21" x14ac:dyDescent="0.35">
      <c r="A9" s="8" t="s">
        <v>124</v>
      </c>
      <c r="U9" s="30" t="s">
        <v>133</v>
      </c>
    </row>
    <row r="10" spans="1:21" x14ac:dyDescent="0.35">
      <c r="A10" s="8" t="s">
        <v>38</v>
      </c>
      <c r="U10" s="30" t="str">
        <f>Input!$B$3</f>
        <v>Witness: R. J. Amen</v>
      </c>
    </row>
    <row r="12" spans="1:21" x14ac:dyDescent="0.35">
      <c r="A12" s="24"/>
      <c r="B12" s="24"/>
      <c r="C12" s="24"/>
      <c r="D12" s="24"/>
      <c r="E12" s="24"/>
      <c r="F12" s="24"/>
      <c r="G12" s="61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61"/>
      <c r="T12" s="61"/>
      <c r="U12" s="61"/>
    </row>
    <row r="13" spans="1:21" x14ac:dyDescent="0.35">
      <c r="E13" s="75" t="s">
        <v>77</v>
      </c>
      <c r="F13" s="75"/>
      <c r="G13" s="75"/>
      <c r="H13" s="75"/>
      <c r="I13" s="25"/>
      <c r="J13" s="75" t="s">
        <v>119</v>
      </c>
      <c r="K13" s="75"/>
      <c r="L13" s="75"/>
      <c r="M13" s="75"/>
      <c r="N13" s="25"/>
      <c r="O13" s="75" t="s">
        <v>78</v>
      </c>
      <c r="P13" s="75"/>
      <c r="Q13" s="75"/>
      <c r="R13" s="75"/>
    </row>
    <row r="14" spans="1:21" x14ac:dyDescent="0.35">
      <c r="E14" s="59" t="s">
        <v>43</v>
      </c>
      <c r="F14" s="59" t="s">
        <v>44</v>
      </c>
      <c r="G14" s="59" t="s">
        <v>75</v>
      </c>
      <c r="H14" s="59" t="s">
        <v>46</v>
      </c>
      <c r="I14" s="59"/>
      <c r="J14" s="59" t="s">
        <v>43</v>
      </c>
      <c r="K14" s="59" t="s">
        <v>44</v>
      </c>
      <c r="L14" s="59" t="s">
        <v>75</v>
      </c>
      <c r="M14" s="59" t="s">
        <v>46</v>
      </c>
      <c r="Q14" s="59" t="s">
        <v>75</v>
      </c>
      <c r="R14" s="59" t="s">
        <v>46</v>
      </c>
      <c r="S14" s="59" t="s">
        <v>39</v>
      </c>
      <c r="T14" s="59" t="s">
        <v>39</v>
      </c>
      <c r="U14" s="59" t="s">
        <v>46</v>
      </c>
    </row>
    <row r="15" spans="1:21" x14ac:dyDescent="0.35">
      <c r="D15" s="59" t="s">
        <v>71</v>
      </c>
      <c r="E15" s="59" t="s">
        <v>71</v>
      </c>
      <c r="F15" s="59" t="s">
        <v>71</v>
      </c>
      <c r="G15" s="59" t="s">
        <v>45</v>
      </c>
      <c r="H15" s="59" t="s">
        <v>45</v>
      </c>
      <c r="I15" s="59"/>
      <c r="J15" s="59" t="s">
        <v>71</v>
      </c>
      <c r="K15" s="59" t="s">
        <v>71</v>
      </c>
      <c r="L15" s="59" t="s">
        <v>45</v>
      </c>
      <c r="M15" s="59" t="s">
        <v>45</v>
      </c>
      <c r="N15" s="59"/>
      <c r="O15" s="59" t="s">
        <v>43</v>
      </c>
      <c r="P15" s="59" t="s">
        <v>44</v>
      </c>
      <c r="Q15" s="59" t="s">
        <v>45</v>
      </c>
      <c r="R15" s="59" t="s">
        <v>45</v>
      </c>
      <c r="S15" s="59" t="s">
        <v>43</v>
      </c>
      <c r="T15" s="59" t="s">
        <v>44</v>
      </c>
      <c r="U15" s="59" t="s">
        <v>45</v>
      </c>
    </row>
    <row r="16" spans="1:21" x14ac:dyDescent="0.35">
      <c r="A16" s="59" t="s">
        <v>40</v>
      </c>
      <c r="B16" s="59" t="s">
        <v>41</v>
      </c>
      <c r="C16" s="59" t="s">
        <v>42</v>
      </c>
      <c r="D16" s="59" t="s">
        <v>72</v>
      </c>
      <c r="E16" s="59" t="s">
        <v>68</v>
      </c>
      <c r="F16" s="59" t="s">
        <v>68</v>
      </c>
      <c r="G16" s="59" t="s">
        <v>76</v>
      </c>
      <c r="H16" s="59" t="s">
        <v>76</v>
      </c>
      <c r="I16" s="59"/>
      <c r="J16" s="59" t="s">
        <v>109</v>
      </c>
      <c r="K16" s="59" t="s">
        <v>109</v>
      </c>
      <c r="L16" s="59" t="s">
        <v>76</v>
      </c>
      <c r="M16" s="59" t="s">
        <v>76</v>
      </c>
      <c r="N16" s="59"/>
      <c r="O16" s="59" t="s">
        <v>79</v>
      </c>
      <c r="P16" s="59" t="s">
        <v>79</v>
      </c>
      <c r="Q16" s="59" t="s">
        <v>76</v>
      </c>
      <c r="R16" s="59" t="s">
        <v>76</v>
      </c>
      <c r="S16" s="59" t="s">
        <v>49</v>
      </c>
      <c r="T16" s="59" t="s">
        <v>49</v>
      </c>
      <c r="U16" s="59" t="s">
        <v>76</v>
      </c>
    </row>
    <row r="17" spans="1:22" x14ac:dyDescent="0.35">
      <c r="A17" s="59" t="s">
        <v>47</v>
      </c>
      <c r="B17" s="59" t="s">
        <v>48</v>
      </c>
      <c r="C17" s="59" t="s">
        <v>15</v>
      </c>
      <c r="D17" s="59" t="s">
        <v>73</v>
      </c>
      <c r="E17" s="59" t="s">
        <v>74</v>
      </c>
      <c r="F17" s="59" t="s">
        <v>74</v>
      </c>
      <c r="G17" s="26" t="s">
        <v>50</v>
      </c>
      <c r="H17" s="26" t="s">
        <v>51</v>
      </c>
      <c r="I17" s="26"/>
      <c r="J17" s="59" t="s">
        <v>74</v>
      </c>
      <c r="K17" s="59" t="s">
        <v>74</v>
      </c>
      <c r="L17" s="26" t="s">
        <v>80</v>
      </c>
      <c r="M17" s="26" t="s">
        <v>81</v>
      </c>
      <c r="N17" s="26"/>
      <c r="O17" s="59" t="s">
        <v>74</v>
      </c>
      <c r="P17" s="59" t="s">
        <v>74</v>
      </c>
      <c r="Q17" s="26" t="s">
        <v>114</v>
      </c>
      <c r="R17" s="26" t="s">
        <v>115</v>
      </c>
      <c r="S17" s="26" t="s">
        <v>116</v>
      </c>
      <c r="T17" s="26" t="s">
        <v>117</v>
      </c>
      <c r="U17" s="26" t="s">
        <v>118</v>
      </c>
    </row>
    <row r="18" spans="1:22" x14ac:dyDescent="0.35">
      <c r="D18" s="26" t="s">
        <v>52</v>
      </c>
      <c r="E18" s="26" t="s">
        <v>53</v>
      </c>
      <c r="F18" s="26" t="s">
        <v>53</v>
      </c>
      <c r="G18" s="26" t="s">
        <v>53</v>
      </c>
      <c r="H18" s="26" t="s">
        <v>54</v>
      </c>
      <c r="I18" s="26"/>
      <c r="J18" s="26" t="s">
        <v>53</v>
      </c>
      <c r="K18" s="26" t="s">
        <v>53</v>
      </c>
      <c r="L18" s="26" t="s">
        <v>53</v>
      </c>
      <c r="M18" s="26" t="s">
        <v>54</v>
      </c>
      <c r="N18" s="26"/>
      <c r="O18" s="26" t="s">
        <v>53</v>
      </c>
      <c r="P18" s="26" t="s">
        <v>53</v>
      </c>
      <c r="Q18" s="26" t="s">
        <v>53</v>
      </c>
      <c r="R18" s="26" t="s">
        <v>54</v>
      </c>
      <c r="S18" s="26" t="s">
        <v>53</v>
      </c>
      <c r="T18" s="26" t="s">
        <v>53</v>
      </c>
      <c r="U18" s="26" t="s">
        <v>54</v>
      </c>
    </row>
    <row r="19" spans="1:22" x14ac:dyDescent="0.35">
      <c r="C19" s="26" t="s">
        <v>55</v>
      </c>
      <c r="D19" s="26" t="s">
        <v>56</v>
      </c>
      <c r="E19" s="26" t="s">
        <v>57</v>
      </c>
      <c r="F19" s="26" t="s">
        <v>58</v>
      </c>
      <c r="G19" s="26" t="s">
        <v>59</v>
      </c>
      <c r="H19" s="26" t="s">
        <v>60</v>
      </c>
      <c r="I19" s="26"/>
      <c r="J19" s="26" t="s">
        <v>61</v>
      </c>
      <c r="K19" s="26" t="s">
        <v>62</v>
      </c>
      <c r="L19" s="26" t="s">
        <v>63</v>
      </c>
      <c r="M19" s="26" t="s">
        <v>64</v>
      </c>
      <c r="N19" s="26"/>
      <c r="O19" s="26" t="s">
        <v>82</v>
      </c>
      <c r="P19" s="26" t="s">
        <v>83</v>
      </c>
      <c r="Q19" s="26" t="s">
        <v>84</v>
      </c>
      <c r="R19" s="26" t="s">
        <v>110</v>
      </c>
      <c r="S19" s="26" t="s">
        <v>111</v>
      </c>
      <c r="T19" s="26" t="s">
        <v>112</v>
      </c>
      <c r="U19" s="26" t="s">
        <v>113</v>
      </c>
    </row>
    <row r="20" spans="1:22" x14ac:dyDescent="0.35">
      <c r="D20" s="59"/>
      <c r="E20" s="59"/>
      <c r="F20" s="59"/>
      <c r="H20" s="59"/>
      <c r="I20" s="59"/>
      <c r="J20" s="59"/>
      <c r="K20" s="59"/>
      <c r="L20" s="59"/>
      <c r="M20" s="59"/>
      <c r="N20" s="59"/>
      <c r="O20" s="59"/>
      <c r="P20" s="26"/>
      <c r="Q20" s="26"/>
      <c r="R20" s="26"/>
    </row>
    <row r="21" spans="1:22" x14ac:dyDescent="0.35">
      <c r="A21" s="59">
        <v>1</v>
      </c>
      <c r="B21" s="59" t="s">
        <v>31</v>
      </c>
      <c r="C21" s="59" t="s">
        <v>65</v>
      </c>
      <c r="D21" s="43">
        <f>+D37</f>
        <v>0</v>
      </c>
      <c r="E21" s="27">
        <f>Input!$H$23</f>
        <v>0</v>
      </c>
      <c r="F21" s="27">
        <f>Input!$V$23</f>
        <v>0</v>
      </c>
      <c r="G21" s="50">
        <f>F21-E21</f>
        <v>0</v>
      </c>
      <c r="H21" s="28">
        <f>IF(E21=0,0,ROUND(G21/E21,3))</f>
        <v>0</v>
      </c>
      <c r="I21" s="28"/>
      <c r="J21" s="27">
        <f>Input!$I$23</f>
        <v>0</v>
      </c>
      <c r="K21" s="27">
        <f>Input!$W$23</f>
        <v>0</v>
      </c>
      <c r="L21" s="27">
        <f>K21-J21</f>
        <v>0</v>
      </c>
      <c r="M21" s="28">
        <f>IF(J21=0,0,ROUND(L21/J21,3))</f>
        <v>0</v>
      </c>
      <c r="N21" s="29"/>
      <c r="O21" s="27">
        <f>ROUND((D21*Input!$C$23),2)</f>
        <v>0</v>
      </c>
      <c r="P21" s="27">
        <f>ROUND((D21*Input!$Q$23),2)</f>
        <v>0</v>
      </c>
      <c r="Q21" s="27">
        <f>P21-O21</f>
        <v>0</v>
      </c>
      <c r="R21" s="28">
        <f>IF(O21=0,0,ROUND(Q21/O21,3))</f>
        <v>0</v>
      </c>
      <c r="S21" s="27">
        <f>E21+J21+O21</f>
        <v>0</v>
      </c>
      <c r="T21" s="27">
        <f>F21+K21+P21</f>
        <v>0</v>
      </c>
      <c r="U21" s="28">
        <f>IF(S21=0,0,ROUND((T21-S21)/S21,3))</f>
        <v>0</v>
      </c>
      <c r="V21" s="30"/>
    </row>
    <row r="22" spans="1:22" x14ac:dyDescent="0.35">
      <c r="A22" s="59">
        <v>2</v>
      </c>
      <c r="B22" s="59" t="s">
        <v>69</v>
      </c>
      <c r="C22" s="59" t="s">
        <v>67</v>
      </c>
      <c r="D22" s="43">
        <v>100</v>
      </c>
      <c r="E22" s="27">
        <f>Input!$H$23</f>
        <v>0</v>
      </c>
      <c r="F22" s="27">
        <f>Input!$V$23</f>
        <v>0</v>
      </c>
      <c r="G22" s="50">
        <f t="shared" ref="G22:G35" si="0">F22-E22</f>
        <v>0</v>
      </c>
      <c r="H22" s="28">
        <f t="shared" ref="H22:H35" si="1">IF(E22=0,0,ROUND(G22/E22,3))</f>
        <v>0</v>
      </c>
      <c r="I22" s="28"/>
      <c r="J22" s="27">
        <f>Input!$I$23</f>
        <v>0</v>
      </c>
      <c r="K22" s="27">
        <f>Input!$W$23</f>
        <v>0</v>
      </c>
      <c r="L22" s="27">
        <f t="shared" ref="L22:L35" si="2">K22-J22</f>
        <v>0</v>
      </c>
      <c r="M22" s="28">
        <f t="shared" ref="M22:M35" si="3">IF(J22=0,0,ROUND(L22/J22,3))</f>
        <v>0</v>
      </c>
      <c r="N22" s="29"/>
      <c r="O22" s="27">
        <f>ROUND((D22*Input!$C$23),2)</f>
        <v>0</v>
      </c>
      <c r="P22" s="27">
        <f>ROUND((D22*Input!$Q$23),2)</f>
        <v>0</v>
      </c>
      <c r="Q22" s="27">
        <f t="shared" ref="Q22:Q35" si="4">P22-O22</f>
        <v>0</v>
      </c>
      <c r="R22" s="28">
        <f t="shared" ref="R22:R35" si="5">IF(O22=0,0,ROUND(Q22/O22,3))</f>
        <v>0</v>
      </c>
      <c r="S22" s="27">
        <f t="shared" ref="S22:S35" si="6">E22+J22+O22</f>
        <v>0</v>
      </c>
      <c r="T22" s="27">
        <f t="shared" ref="T22:T35" si="7">F22+K22+P22</f>
        <v>0</v>
      </c>
      <c r="U22" s="28">
        <f t="shared" ref="U22:U35" si="8">IF(S22=0,0,ROUND((T22-S22)/S22,3))</f>
        <v>0</v>
      </c>
      <c r="V22" s="30"/>
    </row>
    <row r="23" spans="1:22" x14ac:dyDescent="0.35">
      <c r="A23" s="59">
        <v>3</v>
      </c>
      <c r="B23" s="59" t="s">
        <v>94</v>
      </c>
      <c r="D23" s="43">
        <v>150</v>
      </c>
      <c r="E23" s="27">
        <f>Input!$H$23</f>
        <v>0</v>
      </c>
      <c r="F23" s="27">
        <f>Input!$V$23</f>
        <v>0</v>
      </c>
      <c r="G23" s="50">
        <f t="shared" si="0"/>
        <v>0</v>
      </c>
      <c r="H23" s="28">
        <f t="shared" si="1"/>
        <v>0</v>
      </c>
      <c r="I23" s="28"/>
      <c r="J23" s="27">
        <f>Input!$I$23</f>
        <v>0</v>
      </c>
      <c r="K23" s="27">
        <f>Input!$W$23</f>
        <v>0</v>
      </c>
      <c r="L23" s="27">
        <f t="shared" si="2"/>
        <v>0</v>
      </c>
      <c r="M23" s="28">
        <f t="shared" si="3"/>
        <v>0</v>
      </c>
      <c r="N23" s="29"/>
      <c r="O23" s="27">
        <f>ROUND((D23*Input!$C$23),2)</f>
        <v>0</v>
      </c>
      <c r="P23" s="27">
        <f>ROUND((D23*Input!$Q$23),2)</f>
        <v>0</v>
      </c>
      <c r="Q23" s="27">
        <f t="shared" si="4"/>
        <v>0</v>
      </c>
      <c r="R23" s="28">
        <f t="shared" si="5"/>
        <v>0</v>
      </c>
      <c r="S23" s="27">
        <f t="shared" si="6"/>
        <v>0</v>
      </c>
      <c r="T23" s="27">
        <f t="shared" si="7"/>
        <v>0</v>
      </c>
      <c r="U23" s="28">
        <f t="shared" si="8"/>
        <v>0</v>
      </c>
      <c r="V23" s="30"/>
    </row>
    <row r="24" spans="1:22" x14ac:dyDescent="0.35">
      <c r="A24" s="59">
        <v>4</v>
      </c>
      <c r="B24" s="59" t="s">
        <v>41</v>
      </c>
      <c r="D24" s="43">
        <v>300</v>
      </c>
      <c r="E24" s="27">
        <f>Input!$H$23</f>
        <v>0</v>
      </c>
      <c r="F24" s="27">
        <f>Input!$V$23</f>
        <v>0</v>
      </c>
      <c r="G24" s="50">
        <f>F24-E24</f>
        <v>0</v>
      </c>
      <c r="H24" s="28">
        <f t="shared" si="1"/>
        <v>0</v>
      </c>
      <c r="I24" s="28"/>
      <c r="J24" s="27">
        <f>Input!$I$23</f>
        <v>0</v>
      </c>
      <c r="K24" s="27">
        <f>Input!$W$23</f>
        <v>0</v>
      </c>
      <c r="L24" s="27">
        <f t="shared" si="2"/>
        <v>0</v>
      </c>
      <c r="M24" s="28">
        <f t="shared" si="3"/>
        <v>0</v>
      </c>
      <c r="N24" s="29"/>
      <c r="O24" s="27">
        <f>ROUND((D24*Input!$C$23),2)</f>
        <v>0</v>
      </c>
      <c r="P24" s="27">
        <f>ROUND((D24*Input!$Q$23),2)</f>
        <v>0</v>
      </c>
      <c r="Q24" s="27">
        <f>P24-O24</f>
        <v>0</v>
      </c>
      <c r="R24" s="28">
        <f t="shared" si="5"/>
        <v>0</v>
      </c>
      <c r="S24" s="27">
        <f t="shared" si="6"/>
        <v>0</v>
      </c>
      <c r="T24" s="27">
        <f t="shared" si="7"/>
        <v>0</v>
      </c>
      <c r="U24" s="28">
        <f t="shared" si="8"/>
        <v>0</v>
      </c>
      <c r="V24" s="30"/>
    </row>
    <row r="25" spans="1:22" x14ac:dyDescent="0.35">
      <c r="A25" s="59">
        <v>5</v>
      </c>
      <c r="B25" s="59" t="s">
        <v>88</v>
      </c>
      <c r="D25" s="43">
        <v>500</v>
      </c>
      <c r="E25" s="27">
        <f>Input!$H$23</f>
        <v>0</v>
      </c>
      <c r="F25" s="27">
        <f>Input!$V$23</f>
        <v>0</v>
      </c>
      <c r="G25" s="50">
        <f t="shared" si="0"/>
        <v>0</v>
      </c>
      <c r="H25" s="28">
        <f t="shared" si="1"/>
        <v>0</v>
      </c>
      <c r="I25" s="28"/>
      <c r="J25" s="27">
        <f>Input!$I$23</f>
        <v>0</v>
      </c>
      <c r="K25" s="27">
        <f>Input!$W$23</f>
        <v>0</v>
      </c>
      <c r="L25" s="27">
        <f t="shared" si="2"/>
        <v>0</v>
      </c>
      <c r="M25" s="28">
        <f t="shared" si="3"/>
        <v>0</v>
      </c>
      <c r="N25" s="29"/>
      <c r="O25" s="27">
        <f>ROUND((D25*Input!$C$23),2)</f>
        <v>0</v>
      </c>
      <c r="P25" s="27">
        <f>ROUND((D25*Input!$Q$23),2)</f>
        <v>0</v>
      </c>
      <c r="Q25" s="27">
        <f t="shared" si="4"/>
        <v>0</v>
      </c>
      <c r="R25" s="28">
        <f t="shared" si="5"/>
        <v>0</v>
      </c>
      <c r="S25" s="27">
        <f t="shared" si="6"/>
        <v>0</v>
      </c>
      <c r="T25" s="27">
        <f t="shared" si="7"/>
        <v>0</v>
      </c>
      <c r="U25" s="28">
        <f t="shared" si="8"/>
        <v>0</v>
      </c>
      <c r="V25" s="30"/>
    </row>
    <row r="26" spans="1:22" x14ac:dyDescent="0.35">
      <c r="A26" s="59">
        <v>6</v>
      </c>
      <c r="D26" s="43">
        <v>1000</v>
      </c>
      <c r="E26" s="27">
        <f>Input!$H$23</f>
        <v>0</v>
      </c>
      <c r="F26" s="27">
        <f>Input!$V$23</f>
        <v>0</v>
      </c>
      <c r="G26" s="50">
        <f t="shared" si="0"/>
        <v>0</v>
      </c>
      <c r="H26" s="28">
        <f t="shared" si="1"/>
        <v>0</v>
      </c>
      <c r="I26" s="28"/>
      <c r="J26" s="27">
        <f>Input!$I$23</f>
        <v>0</v>
      </c>
      <c r="K26" s="27">
        <f>Input!$W$23</f>
        <v>0</v>
      </c>
      <c r="L26" s="27">
        <f t="shared" si="2"/>
        <v>0</v>
      </c>
      <c r="M26" s="28">
        <f t="shared" si="3"/>
        <v>0</v>
      </c>
      <c r="N26" s="29"/>
      <c r="O26" s="27">
        <f>ROUND((D26*Input!$C$23),2)</f>
        <v>0</v>
      </c>
      <c r="P26" s="27">
        <f>ROUND((D26*Input!$Q$23),2)</f>
        <v>0</v>
      </c>
      <c r="Q26" s="27">
        <f t="shared" si="4"/>
        <v>0</v>
      </c>
      <c r="R26" s="28">
        <f t="shared" si="5"/>
        <v>0</v>
      </c>
      <c r="S26" s="27">
        <f t="shared" si="6"/>
        <v>0</v>
      </c>
      <c r="T26" s="27">
        <f t="shared" si="7"/>
        <v>0</v>
      </c>
      <c r="U26" s="28">
        <f t="shared" si="8"/>
        <v>0</v>
      </c>
      <c r="V26" s="30"/>
    </row>
    <row r="27" spans="1:22" x14ac:dyDescent="0.35">
      <c r="A27" s="59">
        <v>7</v>
      </c>
      <c r="D27" s="43">
        <v>3000</v>
      </c>
      <c r="E27" s="27">
        <f>Input!$H$23</f>
        <v>0</v>
      </c>
      <c r="F27" s="27">
        <f>Input!$V$23</f>
        <v>0</v>
      </c>
      <c r="G27" s="50">
        <f t="shared" si="0"/>
        <v>0</v>
      </c>
      <c r="H27" s="28">
        <f t="shared" si="1"/>
        <v>0</v>
      </c>
      <c r="I27" s="28"/>
      <c r="J27" s="27">
        <f>Input!$I$23</f>
        <v>0</v>
      </c>
      <c r="K27" s="27">
        <f>Input!$W$23</f>
        <v>0</v>
      </c>
      <c r="L27" s="27">
        <f t="shared" si="2"/>
        <v>0</v>
      </c>
      <c r="M27" s="28">
        <f t="shared" si="3"/>
        <v>0</v>
      </c>
      <c r="N27" s="29"/>
      <c r="O27" s="27">
        <f>ROUND((D27*Input!$C$23),2)</f>
        <v>0</v>
      </c>
      <c r="P27" s="27">
        <f>ROUND((D27*Input!$Q$23),2)</f>
        <v>0</v>
      </c>
      <c r="Q27" s="27">
        <f t="shared" si="4"/>
        <v>0</v>
      </c>
      <c r="R27" s="28">
        <f t="shared" si="5"/>
        <v>0</v>
      </c>
      <c r="S27" s="27">
        <f t="shared" si="6"/>
        <v>0</v>
      </c>
      <c r="T27" s="27">
        <f t="shared" si="7"/>
        <v>0</v>
      </c>
      <c r="U27" s="28">
        <f t="shared" si="8"/>
        <v>0</v>
      </c>
      <c r="V27" s="30"/>
    </row>
    <row r="28" spans="1:22" x14ac:dyDescent="0.35">
      <c r="A28" s="59">
        <v>8</v>
      </c>
      <c r="D28" s="43">
        <v>5000</v>
      </c>
      <c r="E28" s="27">
        <f>Input!$H$23</f>
        <v>0</v>
      </c>
      <c r="F28" s="27">
        <f>Input!$V$23</f>
        <v>0</v>
      </c>
      <c r="G28" s="50">
        <f t="shared" si="0"/>
        <v>0</v>
      </c>
      <c r="H28" s="28">
        <f t="shared" si="1"/>
        <v>0</v>
      </c>
      <c r="I28" s="28"/>
      <c r="J28" s="27">
        <f>Input!$I$23</f>
        <v>0</v>
      </c>
      <c r="K28" s="27">
        <f>Input!$W$23</f>
        <v>0</v>
      </c>
      <c r="L28" s="27">
        <f t="shared" si="2"/>
        <v>0</v>
      </c>
      <c r="M28" s="28">
        <f t="shared" si="3"/>
        <v>0</v>
      </c>
      <c r="N28" s="29"/>
      <c r="O28" s="27">
        <f>ROUND((D28*Input!$C$23),2)</f>
        <v>0</v>
      </c>
      <c r="P28" s="27">
        <f>ROUND((D28*Input!$Q$23),2)</f>
        <v>0</v>
      </c>
      <c r="Q28" s="27">
        <f t="shared" si="4"/>
        <v>0</v>
      </c>
      <c r="R28" s="28">
        <f t="shared" si="5"/>
        <v>0</v>
      </c>
      <c r="S28" s="27">
        <f t="shared" si="6"/>
        <v>0</v>
      </c>
      <c r="T28" s="27">
        <f t="shared" si="7"/>
        <v>0</v>
      </c>
      <c r="U28" s="28">
        <f t="shared" si="8"/>
        <v>0</v>
      </c>
      <c r="V28" s="30"/>
    </row>
    <row r="29" spans="1:22" x14ac:dyDescent="0.35">
      <c r="A29" s="59">
        <v>9</v>
      </c>
      <c r="B29" s="59"/>
      <c r="D29" s="43">
        <v>10000</v>
      </c>
      <c r="E29" s="27">
        <f>Input!$H$23</f>
        <v>0</v>
      </c>
      <c r="F29" s="27">
        <f>Input!$V$23</f>
        <v>0</v>
      </c>
      <c r="G29" s="50">
        <f t="shared" si="0"/>
        <v>0</v>
      </c>
      <c r="H29" s="28">
        <f t="shared" si="1"/>
        <v>0</v>
      </c>
      <c r="I29" s="28"/>
      <c r="J29" s="27">
        <f>Input!$I$23</f>
        <v>0</v>
      </c>
      <c r="K29" s="27">
        <f>Input!$W$23</f>
        <v>0</v>
      </c>
      <c r="L29" s="27">
        <f t="shared" si="2"/>
        <v>0</v>
      </c>
      <c r="M29" s="28">
        <f t="shared" si="3"/>
        <v>0</v>
      </c>
      <c r="N29" s="29"/>
      <c r="O29" s="27">
        <f>ROUND((D29*Input!$C$23),2)</f>
        <v>0</v>
      </c>
      <c r="P29" s="27">
        <f>ROUND((D29*Input!$Q$23),2)</f>
        <v>0</v>
      </c>
      <c r="Q29" s="27">
        <f t="shared" si="4"/>
        <v>0</v>
      </c>
      <c r="R29" s="28">
        <f t="shared" si="5"/>
        <v>0</v>
      </c>
      <c r="S29" s="27">
        <f t="shared" si="6"/>
        <v>0</v>
      </c>
      <c r="T29" s="27">
        <f t="shared" si="7"/>
        <v>0</v>
      </c>
      <c r="U29" s="28">
        <f t="shared" si="8"/>
        <v>0</v>
      </c>
      <c r="V29" s="30"/>
    </row>
    <row r="30" spans="1:22" x14ac:dyDescent="0.35">
      <c r="A30" s="59">
        <v>10</v>
      </c>
      <c r="B30" s="59"/>
      <c r="D30" s="43">
        <v>15000</v>
      </c>
      <c r="E30" s="27">
        <f>Input!$H$23</f>
        <v>0</v>
      </c>
      <c r="F30" s="27">
        <f>Input!$V$23</f>
        <v>0</v>
      </c>
      <c r="G30" s="50">
        <f t="shared" si="0"/>
        <v>0</v>
      </c>
      <c r="H30" s="28">
        <f t="shared" si="1"/>
        <v>0</v>
      </c>
      <c r="I30" s="28"/>
      <c r="J30" s="27">
        <f>Input!$I$23</f>
        <v>0</v>
      </c>
      <c r="K30" s="27">
        <f>Input!$W$23</f>
        <v>0</v>
      </c>
      <c r="L30" s="27">
        <f t="shared" si="2"/>
        <v>0</v>
      </c>
      <c r="M30" s="28">
        <f t="shared" si="3"/>
        <v>0</v>
      </c>
      <c r="N30" s="29"/>
      <c r="O30" s="27">
        <f>ROUND((D30*Input!$C$23),2)</f>
        <v>0</v>
      </c>
      <c r="P30" s="27">
        <f>ROUND((D30*Input!$Q$23),2)</f>
        <v>0</v>
      </c>
      <c r="Q30" s="27">
        <f t="shared" si="4"/>
        <v>0</v>
      </c>
      <c r="R30" s="28">
        <f t="shared" si="5"/>
        <v>0</v>
      </c>
      <c r="S30" s="27">
        <f t="shared" si="6"/>
        <v>0</v>
      </c>
      <c r="T30" s="27">
        <f t="shared" si="7"/>
        <v>0</v>
      </c>
      <c r="U30" s="28">
        <f t="shared" si="8"/>
        <v>0</v>
      </c>
      <c r="V30" s="30"/>
    </row>
    <row r="31" spans="1:22" x14ac:dyDescent="0.35">
      <c r="A31" s="59">
        <v>11</v>
      </c>
      <c r="D31" s="43">
        <v>20000</v>
      </c>
      <c r="E31" s="27">
        <f>Input!$H$23</f>
        <v>0</v>
      </c>
      <c r="F31" s="27">
        <f>Input!$V$23</f>
        <v>0</v>
      </c>
      <c r="G31" s="50">
        <f t="shared" si="0"/>
        <v>0</v>
      </c>
      <c r="H31" s="28">
        <f t="shared" si="1"/>
        <v>0</v>
      </c>
      <c r="I31" s="28"/>
      <c r="J31" s="27">
        <f>Input!$I$23</f>
        <v>0</v>
      </c>
      <c r="K31" s="27">
        <f>Input!$W$23</f>
        <v>0</v>
      </c>
      <c r="L31" s="27">
        <f t="shared" si="2"/>
        <v>0</v>
      </c>
      <c r="M31" s="28">
        <f t="shared" si="3"/>
        <v>0</v>
      </c>
      <c r="N31" s="29"/>
      <c r="O31" s="27">
        <f>ROUND((D31*Input!$C$23),2)</f>
        <v>0</v>
      </c>
      <c r="P31" s="27">
        <f>ROUND((D31*Input!$Q$23),2)</f>
        <v>0</v>
      </c>
      <c r="Q31" s="27">
        <f t="shared" si="4"/>
        <v>0</v>
      </c>
      <c r="R31" s="28">
        <f t="shared" si="5"/>
        <v>0</v>
      </c>
      <c r="S31" s="27">
        <f t="shared" si="6"/>
        <v>0</v>
      </c>
      <c r="T31" s="27">
        <f t="shared" si="7"/>
        <v>0</v>
      </c>
      <c r="U31" s="28">
        <f t="shared" si="8"/>
        <v>0</v>
      </c>
      <c r="V31" s="30"/>
    </row>
    <row r="32" spans="1:22" x14ac:dyDescent="0.35">
      <c r="A32" s="59">
        <v>12</v>
      </c>
      <c r="D32" s="43">
        <v>25000</v>
      </c>
      <c r="E32" s="27">
        <f>Input!$H$23</f>
        <v>0</v>
      </c>
      <c r="F32" s="27">
        <f>Input!$V$23</f>
        <v>0</v>
      </c>
      <c r="G32" s="50">
        <f t="shared" si="0"/>
        <v>0</v>
      </c>
      <c r="H32" s="28">
        <f t="shared" si="1"/>
        <v>0</v>
      </c>
      <c r="I32" s="28"/>
      <c r="J32" s="27">
        <f>Input!$I$23</f>
        <v>0</v>
      </c>
      <c r="K32" s="27">
        <f>Input!$W$23</f>
        <v>0</v>
      </c>
      <c r="L32" s="27">
        <f t="shared" si="2"/>
        <v>0</v>
      </c>
      <c r="M32" s="28">
        <f t="shared" si="3"/>
        <v>0</v>
      </c>
      <c r="N32" s="29"/>
      <c r="O32" s="27">
        <f>ROUND((D32*Input!$C$23),2)</f>
        <v>0</v>
      </c>
      <c r="P32" s="27">
        <f>ROUND((D32*Input!$Q$23),2)</f>
        <v>0</v>
      </c>
      <c r="Q32" s="27">
        <f t="shared" si="4"/>
        <v>0</v>
      </c>
      <c r="R32" s="28">
        <f t="shared" si="5"/>
        <v>0</v>
      </c>
      <c r="S32" s="27">
        <f t="shared" si="6"/>
        <v>0</v>
      </c>
      <c r="T32" s="27">
        <f t="shared" si="7"/>
        <v>0</v>
      </c>
      <c r="U32" s="28">
        <f t="shared" si="8"/>
        <v>0</v>
      </c>
      <c r="V32" s="30"/>
    </row>
    <row r="33" spans="1:22" x14ac:dyDescent="0.35">
      <c r="A33" s="59">
        <v>13</v>
      </c>
      <c r="D33" s="43">
        <v>30000</v>
      </c>
      <c r="E33" s="27">
        <f>Input!$H$23</f>
        <v>0</v>
      </c>
      <c r="F33" s="27">
        <f>Input!$V$23</f>
        <v>0</v>
      </c>
      <c r="G33" s="50">
        <f t="shared" si="0"/>
        <v>0</v>
      </c>
      <c r="H33" s="28">
        <f t="shared" si="1"/>
        <v>0</v>
      </c>
      <c r="I33" s="28"/>
      <c r="J33" s="27">
        <f>Input!$I$23</f>
        <v>0</v>
      </c>
      <c r="K33" s="27">
        <f>Input!$W$23</f>
        <v>0</v>
      </c>
      <c r="L33" s="27">
        <f t="shared" si="2"/>
        <v>0</v>
      </c>
      <c r="M33" s="28">
        <f t="shared" si="3"/>
        <v>0</v>
      </c>
      <c r="N33" s="30"/>
      <c r="O33" s="27">
        <f>ROUND((D33*Input!$C$23),2)</f>
        <v>0</v>
      </c>
      <c r="P33" s="27">
        <f>ROUND((D33*Input!$Q$23),2)</f>
        <v>0</v>
      </c>
      <c r="Q33" s="27">
        <f t="shared" si="4"/>
        <v>0</v>
      </c>
      <c r="R33" s="28">
        <f t="shared" si="5"/>
        <v>0</v>
      </c>
      <c r="S33" s="27">
        <f t="shared" si="6"/>
        <v>0</v>
      </c>
      <c r="T33" s="27">
        <f t="shared" si="7"/>
        <v>0</v>
      </c>
      <c r="U33" s="28">
        <f t="shared" si="8"/>
        <v>0</v>
      </c>
      <c r="V33" s="30"/>
    </row>
    <row r="34" spans="1:22" x14ac:dyDescent="0.35">
      <c r="A34" s="59">
        <v>14</v>
      </c>
      <c r="D34" s="43">
        <v>35000</v>
      </c>
      <c r="E34" s="27">
        <f>Input!$H$23</f>
        <v>0</v>
      </c>
      <c r="F34" s="27">
        <f>Input!$V$23</f>
        <v>0</v>
      </c>
      <c r="G34" s="50">
        <f t="shared" si="0"/>
        <v>0</v>
      </c>
      <c r="H34" s="28">
        <f t="shared" si="1"/>
        <v>0</v>
      </c>
      <c r="I34" s="28"/>
      <c r="J34" s="27">
        <f>Input!$I$23</f>
        <v>0</v>
      </c>
      <c r="K34" s="27">
        <f>Input!$W$23</f>
        <v>0</v>
      </c>
      <c r="L34" s="27">
        <f t="shared" si="2"/>
        <v>0</v>
      </c>
      <c r="M34" s="28">
        <f t="shared" si="3"/>
        <v>0</v>
      </c>
      <c r="N34" s="30"/>
      <c r="O34" s="27">
        <f>ROUND((D34*Input!$C$23),2)</f>
        <v>0</v>
      </c>
      <c r="P34" s="27">
        <f>ROUND((D34*Input!$Q$23),2)</f>
        <v>0</v>
      </c>
      <c r="Q34" s="27">
        <f t="shared" si="4"/>
        <v>0</v>
      </c>
      <c r="R34" s="28">
        <f t="shared" si="5"/>
        <v>0</v>
      </c>
      <c r="S34" s="27">
        <f t="shared" si="6"/>
        <v>0</v>
      </c>
      <c r="T34" s="27">
        <f t="shared" si="7"/>
        <v>0</v>
      </c>
      <c r="U34" s="28">
        <f t="shared" si="8"/>
        <v>0</v>
      </c>
      <c r="V34" s="30"/>
    </row>
    <row r="35" spans="1:22" x14ac:dyDescent="0.35">
      <c r="A35" s="59">
        <v>15</v>
      </c>
      <c r="D35" s="43">
        <v>40000</v>
      </c>
      <c r="E35" s="27">
        <f>Input!$H$23</f>
        <v>0</v>
      </c>
      <c r="F35" s="27">
        <f>Input!$V$23</f>
        <v>0</v>
      </c>
      <c r="G35" s="50">
        <f t="shared" si="0"/>
        <v>0</v>
      </c>
      <c r="H35" s="28">
        <f t="shared" si="1"/>
        <v>0</v>
      </c>
      <c r="I35" s="28"/>
      <c r="J35" s="27">
        <f>Input!$I$23</f>
        <v>0</v>
      </c>
      <c r="K35" s="27">
        <f>Input!$W$23</f>
        <v>0</v>
      </c>
      <c r="L35" s="27">
        <f t="shared" si="2"/>
        <v>0</v>
      </c>
      <c r="M35" s="28">
        <f t="shared" si="3"/>
        <v>0</v>
      </c>
      <c r="N35" s="30"/>
      <c r="O35" s="27">
        <f>ROUND((D35*Input!$C$23),2)</f>
        <v>0</v>
      </c>
      <c r="P35" s="27">
        <f>ROUND((D35*Input!$Q$23),2)</f>
        <v>0</v>
      </c>
      <c r="Q35" s="27">
        <f t="shared" si="4"/>
        <v>0</v>
      </c>
      <c r="R35" s="28">
        <f t="shared" si="5"/>
        <v>0</v>
      </c>
      <c r="S35" s="27">
        <f t="shared" si="6"/>
        <v>0</v>
      </c>
      <c r="T35" s="27">
        <f t="shared" si="7"/>
        <v>0</v>
      </c>
      <c r="U35" s="28">
        <f t="shared" si="8"/>
        <v>0</v>
      </c>
      <c r="V35" s="30"/>
    </row>
    <row r="36" spans="1:22" x14ac:dyDescent="0.35">
      <c r="A36" s="59"/>
      <c r="D36" s="31"/>
      <c r="E36" s="30"/>
      <c r="F36" s="30"/>
      <c r="G36" s="27"/>
      <c r="H36" s="29"/>
      <c r="I36" s="29"/>
      <c r="J36" s="29"/>
      <c r="K36" s="29"/>
      <c r="L36" s="29"/>
      <c r="M36" s="29"/>
      <c r="N36" s="30"/>
      <c r="O36" s="36"/>
      <c r="P36" s="30"/>
      <c r="Q36" s="27"/>
      <c r="R36" s="29"/>
      <c r="S36" s="27"/>
      <c r="T36" s="27"/>
      <c r="U36" s="28"/>
      <c r="V36" s="30"/>
    </row>
    <row r="37" spans="1:22" x14ac:dyDescent="0.35">
      <c r="A37" s="59"/>
      <c r="B37" s="8" t="s">
        <v>98</v>
      </c>
      <c r="D37" s="44">
        <f>ROUND(Input!AT23,0)</f>
        <v>0</v>
      </c>
      <c r="E37" s="59"/>
      <c r="F37" s="59"/>
      <c r="G37" s="33"/>
      <c r="H37" s="34"/>
      <c r="I37" s="34"/>
      <c r="J37" s="34"/>
      <c r="K37" s="34"/>
      <c r="L37" s="34"/>
      <c r="M37" s="34"/>
      <c r="N37" s="59"/>
      <c r="O37" s="59"/>
      <c r="P37" s="59"/>
      <c r="Q37" s="33"/>
      <c r="R37" s="34"/>
      <c r="S37" s="33"/>
      <c r="T37" s="33"/>
      <c r="U37" s="35"/>
    </row>
    <row r="38" spans="1:22" x14ac:dyDescent="0.35">
      <c r="A38" s="59"/>
      <c r="C38" s="8" t="s">
        <v>144</v>
      </c>
    </row>
    <row r="39" spans="1:22" x14ac:dyDescent="0.35">
      <c r="A39" s="59"/>
    </row>
    <row r="40" spans="1:22" x14ac:dyDescent="0.35">
      <c r="A40" s="59"/>
    </row>
    <row r="41" spans="1:22" x14ac:dyDescent="0.35">
      <c r="A41" s="59"/>
    </row>
    <row r="42" spans="1:22" x14ac:dyDescent="0.35">
      <c r="A42" s="59"/>
    </row>
  </sheetData>
  <mergeCells count="8">
    <mergeCell ref="A5:U5"/>
    <mergeCell ref="E13:H13"/>
    <mergeCell ref="O13:R13"/>
    <mergeCell ref="A1:U1"/>
    <mergeCell ref="A2:U2"/>
    <mergeCell ref="A3:U3"/>
    <mergeCell ref="A4:U4"/>
    <mergeCell ref="J13:M13"/>
  </mergeCells>
  <phoneticPr fontId="0" type="noConversion"/>
  <printOptions horizontalCentered="1"/>
  <pageMargins left="0" right="0" top="0.75" bottom="0.75" header="0.5" footer="0.5"/>
  <pageSetup scale="6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AE50"/>
  <sheetViews>
    <sheetView topLeftCell="K1" workbookViewId="0">
      <selection activeCell="W10" sqref="W10:AE50"/>
    </sheetView>
  </sheetViews>
  <sheetFormatPr defaultColWidth="9.36328125" defaultRowHeight="12.9" x14ac:dyDescent="0.35"/>
  <cols>
    <col min="1" max="1" width="4.453125" style="8" customWidth="1"/>
    <col min="2" max="2" width="10.81640625" style="8" customWidth="1"/>
    <col min="3" max="3" width="11.6328125" style="8" bestFit="1" customWidth="1"/>
    <col min="4" max="4" width="13.1796875" style="8" bestFit="1" customWidth="1"/>
    <col min="5" max="6" width="10.81640625" style="8" bestFit="1" customWidth="1"/>
    <col min="7" max="7" width="12.1796875" style="59" bestFit="1" customWidth="1"/>
    <col min="8" max="8" width="12.1796875" style="8" bestFit="1" customWidth="1"/>
    <col min="9" max="9" width="1.81640625" style="8" customWidth="1"/>
    <col min="10" max="11" width="15.6328125" style="8" bestFit="1" customWidth="1"/>
    <col min="12" max="13" width="12.1796875" style="8" bestFit="1" customWidth="1"/>
    <col min="14" max="14" width="1.81640625" style="8" customWidth="1"/>
    <col min="15" max="16" width="12.81640625" style="8" bestFit="1" customWidth="1"/>
    <col min="17" max="18" width="12.1796875" style="8" bestFit="1" customWidth="1"/>
    <col min="19" max="19" width="13.1796875" style="59" bestFit="1" customWidth="1"/>
    <col min="20" max="20" width="13" style="59" bestFit="1" customWidth="1"/>
    <col min="21" max="21" width="11.81640625" style="59" customWidth="1"/>
    <col min="22" max="22" width="9.36328125" style="8" customWidth="1"/>
    <col min="23" max="23" width="14.81640625" style="8" customWidth="1"/>
    <col min="24" max="24" width="10.1796875" style="8" customWidth="1"/>
    <col min="25" max="27" width="9.36328125" style="8" customWidth="1"/>
    <col min="28" max="29" width="10.1796875" style="8" customWidth="1"/>
    <col min="30" max="30" width="9.36328125" style="8" customWidth="1"/>
    <col min="31" max="16384" width="9.36328125" style="8"/>
  </cols>
  <sheetData>
    <row r="1" spans="1:31" x14ac:dyDescent="0.35">
      <c r="A1" s="73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31" x14ac:dyDescent="0.35">
      <c r="A2" s="73" t="str">
        <f>Input!$B$1</f>
        <v>CASE NO. 2024-xxxxx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31" x14ac:dyDescent="0.35">
      <c r="A3" s="73" t="s">
        <v>85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31" x14ac:dyDescent="0.35">
      <c r="A4" s="73" t="s">
        <v>36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31" x14ac:dyDescent="0.35">
      <c r="A5" s="73" t="str">
        <f>Input!$B$5</f>
        <v>TWELVE MONTHS ENDING DECEMBER 31, 2025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31" x14ac:dyDescent="0.35">
      <c r="A6" s="59"/>
      <c r="B6" s="60"/>
      <c r="C6" s="60"/>
      <c r="D6" s="60"/>
      <c r="E6" s="60"/>
      <c r="F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31" x14ac:dyDescent="0.35">
      <c r="A7" s="59"/>
      <c r="B7" s="60"/>
      <c r="C7" s="60"/>
      <c r="D7" s="60"/>
      <c r="E7" s="60"/>
      <c r="F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31" x14ac:dyDescent="0.35">
      <c r="A8" s="8" t="s">
        <v>123</v>
      </c>
      <c r="U8" s="30" t="s">
        <v>37</v>
      </c>
    </row>
    <row r="9" spans="1:31" x14ac:dyDescent="0.35">
      <c r="A9" s="8" t="s">
        <v>124</v>
      </c>
      <c r="U9" s="30" t="s">
        <v>134</v>
      </c>
    </row>
    <row r="10" spans="1:31" x14ac:dyDescent="0.35">
      <c r="A10" s="8" t="s">
        <v>38</v>
      </c>
      <c r="U10" s="30" t="str">
        <f>Input!$B$3</f>
        <v>Witness: R. J. Amen</v>
      </c>
      <c r="W10"/>
      <c r="X10"/>
      <c r="Y10"/>
      <c r="Z10"/>
      <c r="AA10"/>
      <c r="AB10"/>
      <c r="AC10"/>
      <c r="AD10"/>
      <c r="AE10"/>
    </row>
    <row r="11" spans="1:31" x14ac:dyDescent="0.35">
      <c r="W11"/>
      <c r="X11"/>
      <c r="Y11"/>
      <c r="Z11"/>
      <c r="AA11"/>
      <c r="AB11"/>
      <c r="AC11"/>
      <c r="AD11"/>
      <c r="AE11"/>
    </row>
    <row r="12" spans="1:31" x14ac:dyDescent="0.35">
      <c r="A12" s="24"/>
      <c r="B12" s="24"/>
      <c r="C12" s="24"/>
      <c r="D12" s="24"/>
      <c r="E12" s="24"/>
      <c r="F12" s="24"/>
      <c r="G12" s="61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61"/>
      <c r="T12" s="61"/>
      <c r="U12" s="61"/>
      <c r="W12"/>
      <c r="X12"/>
      <c r="Y12"/>
      <c r="Z12"/>
      <c r="AA12"/>
      <c r="AB12"/>
      <c r="AC12"/>
      <c r="AD12"/>
      <c r="AE12"/>
    </row>
    <row r="13" spans="1:31" x14ac:dyDescent="0.35">
      <c r="E13" s="75" t="s">
        <v>77</v>
      </c>
      <c r="F13" s="75"/>
      <c r="G13" s="75"/>
      <c r="H13" s="75"/>
      <c r="I13" s="25"/>
      <c r="J13" s="75" t="s">
        <v>119</v>
      </c>
      <c r="K13" s="75"/>
      <c r="L13" s="75"/>
      <c r="M13" s="75"/>
      <c r="N13" s="25"/>
      <c r="O13" s="75" t="s">
        <v>78</v>
      </c>
      <c r="P13" s="75"/>
      <c r="Q13" s="75"/>
      <c r="R13" s="75"/>
      <c r="W13"/>
      <c r="X13"/>
      <c r="Y13"/>
      <c r="Z13"/>
      <c r="AA13"/>
      <c r="AB13"/>
      <c r="AC13"/>
      <c r="AD13"/>
      <c r="AE13"/>
    </row>
    <row r="14" spans="1:31" x14ac:dyDescent="0.35">
      <c r="E14" s="59" t="s">
        <v>43</v>
      </c>
      <c r="F14" s="59" t="s">
        <v>44</v>
      </c>
      <c r="G14" s="59" t="s">
        <v>75</v>
      </c>
      <c r="H14" s="59" t="s">
        <v>46</v>
      </c>
      <c r="I14" s="59"/>
      <c r="J14" s="59" t="s">
        <v>43</v>
      </c>
      <c r="K14" s="59" t="s">
        <v>44</v>
      </c>
      <c r="L14" s="59" t="s">
        <v>75</v>
      </c>
      <c r="M14" s="59" t="s">
        <v>46</v>
      </c>
      <c r="Q14" s="59" t="s">
        <v>75</v>
      </c>
      <c r="R14" s="59" t="s">
        <v>46</v>
      </c>
      <c r="S14" s="59" t="s">
        <v>39</v>
      </c>
      <c r="T14" s="59" t="s">
        <v>39</v>
      </c>
      <c r="U14" s="59" t="s">
        <v>46</v>
      </c>
      <c r="W14"/>
      <c r="X14"/>
      <c r="Y14"/>
      <c r="Z14"/>
      <c r="AA14"/>
      <c r="AB14"/>
      <c r="AC14"/>
      <c r="AD14"/>
      <c r="AE14"/>
    </row>
    <row r="15" spans="1:31" x14ac:dyDescent="0.35">
      <c r="D15" s="59" t="s">
        <v>71</v>
      </c>
      <c r="E15" s="59" t="s">
        <v>71</v>
      </c>
      <c r="F15" s="59" t="s">
        <v>71</v>
      </c>
      <c r="G15" s="59" t="s">
        <v>45</v>
      </c>
      <c r="H15" s="59" t="s">
        <v>45</v>
      </c>
      <c r="I15" s="59"/>
      <c r="J15" s="59" t="s">
        <v>71</v>
      </c>
      <c r="K15" s="59" t="s">
        <v>71</v>
      </c>
      <c r="L15" s="59" t="s">
        <v>45</v>
      </c>
      <c r="M15" s="59" t="s">
        <v>45</v>
      </c>
      <c r="N15" s="59"/>
      <c r="O15" s="59" t="s">
        <v>43</v>
      </c>
      <c r="P15" s="59" t="s">
        <v>44</v>
      </c>
      <c r="Q15" s="59" t="s">
        <v>45</v>
      </c>
      <c r="R15" s="59" t="s">
        <v>45</v>
      </c>
      <c r="S15" s="59" t="s">
        <v>43</v>
      </c>
      <c r="T15" s="59" t="s">
        <v>44</v>
      </c>
      <c r="U15" s="59" t="s">
        <v>45</v>
      </c>
      <c r="W15"/>
      <c r="X15"/>
      <c r="Y15"/>
      <c r="Z15"/>
      <c r="AA15"/>
      <c r="AB15"/>
      <c r="AC15"/>
      <c r="AD15"/>
      <c r="AE15"/>
    </row>
    <row r="16" spans="1:31" x14ac:dyDescent="0.35">
      <c r="A16" s="59" t="s">
        <v>40</v>
      </c>
      <c r="B16" s="59" t="s">
        <v>41</v>
      </c>
      <c r="C16" s="59" t="s">
        <v>42</v>
      </c>
      <c r="D16" s="59" t="s">
        <v>72</v>
      </c>
      <c r="E16" s="59" t="s">
        <v>68</v>
      </c>
      <c r="F16" s="59" t="s">
        <v>68</v>
      </c>
      <c r="G16" s="59" t="s">
        <v>76</v>
      </c>
      <c r="H16" s="59" t="s">
        <v>76</v>
      </c>
      <c r="I16" s="59"/>
      <c r="J16" s="59" t="s">
        <v>109</v>
      </c>
      <c r="K16" s="59" t="s">
        <v>109</v>
      </c>
      <c r="L16" s="59" t="s">
        <v>76</v>
      </c>
      <c r="M16" s="59" t="s">
        <v>76</v>
      </c>
      <c r="N16" s="59"/>
      <c r="O16" s="59" t="s">
        <v>79</v>
      </c>
      <c r="P16" s="59" t="s">
        <v>79</v>
      </c>
      <c r="Q16" s="59" t="s">
        <v>76</v>
      </c>
      <c r="R16" s="59" t="s">
        <v>76</v>
      </c>
      <c r="S16" s="59" t="s">
        <v>49</v>
      </c>
      <c r="T16" s="59" t="s">
        <v>49</v>
      </c>
      <c r="U16" s="59" t="s">
        <v>76</v>
      </c>
      <c r="W16"/>
      <c r="X16"/>
      <c r="Y16"/>
      <c r="Z16"/>
      <c r="AA16"/>
      <c r="AB16"/>
      <c r="AC16"/>
      <c r="AD16"/>
      <c r="AE16"/>
    </row>
    <row r="17" spans="1:31" x14ac:dyDescent="0.35">
      <c r="A17" s="59" t="s">
        <v>47</v>
      </c>
      <c r="B17" s="59" t="s">
        <v>48</v>
      </c>
      <c r="C17" s="59" t="s">
        <v>15</v>
      </c>
      <c r="D17" s="59" t="s">
        <v>73</v>
      </c>
      <c r="E17" s="59" t="s">
        <v>74</v>
      </c>
      <c r="F17" s="59" t="s">
        <v>74</v>
      </c>
      <c r="G17" s="26" t="s">
        <v>50</v>
      </c>
      <c r="H17" s="26" t="s">
        <v>51</v>
      </c>
      <c r="I17" s="26"/>
      <c r="J17" s="59" t="s">
        <v>74</v>
      </c>
      <c r="K17" s="59" t="s">
        <v>74</v>
      </c>
      <c r="L17" s="26" t="s">
        <v>80</v>
      </c>
      <c r="M17" s="26" t="s">
        <v>81</v>
      </c>
      <c r="N17" s="26"/>
      <c r="O17" s="59" t="s">
        <v>74</v>
      </c>
      <c r="P17" s="59" t="s">
        <v>74</v>
      </c>
      <c r="Q17" s="26" t="s">
        <v>114</v>
      </c>
      <c r="R17" s="26" t="s">
        <v>115</v>
      </c>
      <c r="S17" s="26" t="s">
        <v>116</v>
      </c>
      <c r="T17" s="26" t="s">
        <v>117</v>
      </c>
      <c r="U17" s="26" t="s">
        <v>118</v>
      </c>
      <c r="W17"/>
      <c r="X17"/>
      <c r="Y17"/>
      <c r="Z17"/>
      <c r="AA17"/>
      <c r="AB17"/>
      <c r="AC17"/>
      <c r="AD17"/>
      <c r="AE17"/>
    </row>
    <row r="18" spans="1:31" x14ac:dyDescent="0.35">
      <c r="D18" s="26" t="s">
        <v>52</v>
      </c>
      <c r="E18" s="26" t="s">
        <v>53</v>
      </c>
      <c r="F18" s="26" t="s">
        <v>53</v>
      </c>
      <c r="G18" s="26" t="s">
        <v>53</v>
      </c>
      <c r="H18" s="26" t="s">
        <v>54</v>
      </c>
      <c r="I18" s="26"/>
      <c r="J18" s="26" t="s">
        <v>53</v>
      </c>
      <c r="K18" s="26" t="s">
        <v>53</v>
      </c>
      <c r="L18" s="26" t="s">
        <v>53</v>
      </c>
      <c r="M18" s="26" t="s">
        <v>54</v>
      </c>
      <c r="N18" s="26"/>
      <c r="O18" s="26" t="s">
        <v>53</v>
      </c>
      <c r="P18" s="26" t="s">
        <v>53</v>
      </c>
      <c r="Q18" s="26" t="s">
        <v>53</v>
      </c>
      <c r="R18" s="26" t="s">
        <v>54</v>
      </c>
      <c r="S18" s="26" t="s">
        <v>53</v>
      </c>
      <c r="T18" s="26" t="s">
        <v>53</v>
      </c>
      <c r="U18" s="26" t="s">
        <v>54</v>
      </c>
      <c r="W18"/>
      <c r="X18"/>
      <c r="Y18"/>
      <c r="Z18"/>
      <c r="AA18"/>
      <c r="AB18"/>
      <c r="AC18"/>
      <c r="AD18"/>
      <c r="AE18"/>
    </row>
    <row r="19" spans="1:31" x14ac:dyDescent="0.35">
      <c r="C19" s="26" t="s">
        <v>55</v>
      </c>
      <c r="D19" s="26" t="s">
        <v>56</v>
      </c>
      <c r="E19" s="26" t="s">
        <v>57</v>
      </c>
      <c r="F19" s="26" t="s">
        <v>58</v>
      </c>
      <c r="G19" s="26" t="s">
        <v>59</v>
      </c>
      <c r="H19" s="26" t="s">
        <v>60</v>
      </c>
      <c r="I19" s="26"/>
      <c r="J19" s="26" t="s">
        <v>61</v>
      </c>
      <c r="K19" s="26" t="s">
        <v>62</v>
      </c>
      <c r="L19" s="26" t="s">
        <v>63</v>
      </c>
      <c r="M19" s="26" t="s">
        <v>64</v>
      </c>
      <c r="N19" s="26"/>
      <c r="O19" s="26" t="s">
        <v>82</v>
      </c>
      <c r="P19" s="26" t="s">
        <v>83</v>
      </c>
      <c r="Q19" s="26" t="s">
        <v>84</v>
      </c>
      <c r="R19" s="26" t="s">
        <v>110</v>
      </c>
      <c r="S19" s="26" t="s">
        <v>111</v>
      </c>
      <c r="T19" s="26" t="s">
        <v>112</v>
      </c>
      <c r="U19" s="26" t="s">
        <v>113</v>
      </c>
      <c r="W19"/>
      <c r="X19"/>
      <c r="Y19"/>
      <c r="Z19"/>
      <c r="AA19"/>
      <c r="AB19"/>
      <c r="AC19"/>
      <c r="AD19"/>
      <c r="AE19"/>
    </row>
    <row r="20" spans="1:31" x14ac:dyDescent="0.35">
      <c r="D20" s="59"/>
      <c r="E20" s="59"/>
      <c r="F20" s="59"/>
      <c r="H20" s="59"/>
      <c r="I20" s="59"/>
      <c r="J20" s="59"/>
      <c r="K20" s="59"/>
      <c r="L20" s="59"/>
      <c r="M20" s="59"/>
      <c r="N20" s="59"/>
      <c r="O20" s="59"/>
      <c r="P20" s="26"/>
      <c r="Q20" s="26"/>
      <c r="R20" s="26"/>
      <c r="W20"/>
      <c r="X20"/>
      <c r="Y20"/>
      <c r="Z20"/>
      <c r="AA20"/>
      <c r="AB20"/>
      <c r="AC20"/>
      <c r="AD20"/>
      <c r="AE20"/>
    </row>
    <row r="21" spans="1:31" x14ac:dyDescent="0.35">
      <c r="A21" s="59">
        <v>1</v>
      </c>
      <c r="B21" s="59" t="s">
        <v>33</v>
      </c>
      <c r="C21" s="59" t="s">
        <v>65</v>
      </c>
      <c r="D21" s="43">
        <v>100</v>
      </c>
      <c r="E21" s="27">
        <f>Input!$H$24</f>
        <v>260.11</v>
      </c>
      <c r="F21" s="27">
        <f>Input!$V$24</f>
        <v>600</v>
      </c>
      <c r="G21" s="27">
        <f>F21-E21</f>
        <v>339.89</v>
      </c>
      <c r="H21" s="28">
        <f>ROUND(G21/E21,3)</f>
        <v>1.3069999999999999</v>
      </c>
      <c r="I21" s="28"/>
      <c r="J21" s="27">
        <f>Input!$I$24</f>
        <v>0</v>
      </c>
      <c r="K21" s="27">
        <f>Input!$W$24</f>
        <v>0</v>
      </c>
      <c r="L21" s="27">
        <f>K21-J21</f>
        <v>0</v>
      </c>
      <c r="M21" s="28">
        <f>IF(J21=0,0,ROUND(L21/J21,3))</f>
        <v>0</v>
      </c>
      <c r="N21" s="29"/>
      <c r="O21" s="27">
        <f>ROUND((D21*Input!$C$24),2)</f>
        <v>8.67</v>
      </c>
      <c r="P21" s="27">
        <f>ROUND((D21*Input!$Q$24),2)</f>
        <v>9.61</v>
      </c>
      <c r="Q21" s="27">
        <f>P21-O21</f>
        <v>0.9399999999999995</v>
      </c>
      <c r="R21" s="28">
        <f>ROUND(Q21/O21,3)</f>
        <v>0.108</v>
      </c>
      <c r="S21" s="27">
        <f>E21+J21+O21</f>
        <v>268.78000000000003</v>
      </c>
      <c r="T21" s="27">
        <f>F21+K21+P21</f>
        <v>609.61</v>
      </c>
      <c r="U21" s="28">
        <f>ROUND((T21-S21)/S21,3)</f>
        <v>1.268</v>
      </c>
      <c r="V21" s="30"/>
      <c r="W21"/>
      <c r="X21"/>
      <c r="Y21"/>
      <c r="Z21"/>
      <c r="AA21"/>
      <c r="AB21"/>
      <c r="AC21"/>
      <c r="AD21"/>
      <c r="AE21"/>
    </row>
    <row r="22" spans="1:31" x14ac:dyDescent="0.35">
      <c r="A22" s="59">
        <v>2</v>
      </c>
      <c r="B22" s="59" t="s">
        <v>69</v>
      </c>
      <c r="C22" s="59" t="s">
        <v>67</v>
      </c>
      <c r="D22" s="43">
        <v>200</v>
      </c>
      <c r="E22" s="27">
        <f>Input!$H$24</f>
        <v>260.11</v>
      </c>
      <c r="F22" s="27">
        <f>Input!$V$24</f>
        <v>600</v>
      </c>
      <c r="G22" s="27">
        <f t="shared" ref="G22:G34" si="0">F22-E22</f>
        <v>339.89</v>
      </c>
      <c r="H22" s="28">
        <f t="shared" ref="H22:H37" si="1">ROUND(G22/E22,3)</f>
        <v>1.3069999999999999</v>
      </c>
      <c r="I22" s="28"/>
      <c r="J22" s="27">
        <f>Input!$I$24</f>
        <v>0</v>
      </c>
      <c r="K22" s="27">
        <f>Input!$W$24</f>
        <v>0</v>
      </c>
      <c r="L22" s="27">
        <f t="shared" ref="L22:L37" si="2">K22-J22</f>
        <v>0</v>
      </c>
      <c r="M22" s="28">
        <f t="shared" ref="M22:M37" si="3">IF(J22=0,0,ROUND(L22/J22,3))</f>
        <v>0</v>
      </c>
      <c r="N22" s="29"/>
      <c r="O22" s="27">
        <f>ROUND((D22*Input!$C$24),2)</f>
        <v>17.34</v>
      </c>
      <c r="P22" s="27">
        <f>ROUND((D22*Input!$Q$24),2)</f>
        <v>19.22</v>
      </c>
      <c r="Q22" s="27">
        <f t="shared" ref="Q22:Q34" si="4">P22-O22</f>
        <v>1.879999999999999</v>
      </c>
      <c r="R22" s="28">
        <f t="shared" ref="R22:R37" si="5">ROUND(Q22/O22,3)</f>
        <v>0.108</v>
      </c>
      <c r="S22" s="27">
        <f t="shared" ref="S22:S37" si="6">E22+J22+O22</f>
        <v>277.45</v>
      </c>
      <c r="T22" s="27">
        <f t="shared" ref="T22:T37" si="7">F22+K22+P22</f>
        <v>619.22</v>
      </c>
      <c r="U22" s="28">
        <f t="shared" ref="U22:U37" si="8">ROUND((T22-S22)/S22,3)</f>
        <v>1.232</v>
      </c>
      <c r="V22" s="30"/>
      <c r="W22"/>
      <c r="X22"/>
      <c r="Y22"/>
      <c r="Z22"/>
      <c r="AA22"/>
      <c r="AB22"/>
      <c r="AC22"/>
      <c r="AD22"/>
      <c r="AE22"/>
    </row>
    <row r="23" spans="1:31" x14ac:dyDescent="0.35">
      <c r="A23" s="59">
        <v>3</v>
      </c>
      <c r="B23" s="59" t="s">
        <v>94</v>
      </c>
      <c r="D23" s="43">
        <v>500</v>
      </c>
      <c r="E23" s="27">
        <f>Input!$H$24</f>
        <v>260.11</v>
      </c>
      <c r="F23" s="27">
        <f>Input!$V$24</f>
        <v>600</v>
      </c>
      <c r="G23" s="27">
        <f t="shared" si="0"/>
        <v>339.89</v>
      </c>
      <c r="H23" s="28">
        <f t="shared" si="1"/>
        <v>1.3069999999999999</v>
      </c>
      <c r="I23" s="28"/>
      <c r="J23" s="27">
        <f>Input!$I$24</f>
        <v>0</v>
      </c>
      <c r="K23" s="27">
        <f>Input!$W$24</f>
        <v>0</v>
      </c>
      <c r="L23" s="27">
        <f t="shared" si="2"/>
        <v>0</v>
      </c>
      <c r="M23" s="28">
        <f t="shared" si="3"/>
        <v>0</v>
      </c>
      <c r="N23" s="29"/>
      <c r="O23" s="27">
        <f>ROUND((D23*Input!$C$24),2)</f>
        <v>43.35</v>
      </c>
      <c r="P23" s="27">
        <f>ROUND((D23*Input!$Q$24),2)</f>
        <v>48.05</v>
      </c>
      <c r="Q23" s="27">
        <f t="shared" si="4"/>
        <v>4.6999999999999957</v>
      </c>
      <c r="R23" s="28">
        <f t="shared" si="5"/>
        <v>0.108</v>
      </c>
      <c r="S23" s="27">
        <f t="shared" si="6"/>
        <v>303.46000000000004</v>
      </c>
      <c r="T23" s="27">
        <f t="shared" si="7"/>
        <v>648.04999999999995</v>
      </c>
      <c r="U23" s="28">
        <f t="shared" si="8"/>
        <v>1.1359999999999999</v>
      </c>
      <c r="V23" s="30"/>
      <c r="W23"/>
      <c r="X23"/>
      <c r="Y23"/>
      <c r="Z23"/>
      <c r="AA23"/>
      <c r="AB23"/>
      <c r="AC23"/>
      <c r="AD23"/>
      <c r="AE23"/>
    </row>
    <row r="24" spans="1:31" x14ac:dyDescent="0.35">
      <c r="A24" s="59">
        <v>4</v>
      </c>
      <c r="B24" s="59" t="s">
        <v>41</v>
      </c>
      <c r="D24" s="43">
        <v>1000</v>
      </c>
      <c r="E24" s="27">
        <f>Input!$H$24</f>
        <v>260.11</v>
      </c>
      <c r="F24" s="27">
        <f>Input!$V$24</f>
        <v>600</v>
      </c>
      <c r="G24" s="27">
        <f t="shared" si="0"/>
        <v>339.89</v>
      </c>
      <c r="H24" s="28">
        <f t="shared" si="1"/>
        <v>1.3069999999999999</v>
      </c>
      <c r="I24" s="28"/>
      <c r="J24" s="27">
        <f>Input!$I$24</f>
        <v>0</v>
      </c>
      <c r="K24" s="27">
        <f>Input!$W$24</f>
        <v>0</v>
      </c>
      <c r="L24" s="27">
        <f t="shared" si="2"/>
        <v>0</v>
      </c>
      <c r="M24" s="28">
        <f t="shared" si="3"/>
        <v>0</v>
      </c>
      <c r="N24" s="29"/>
      <c r="O24" s="27">
        <f>ROUND((D24*Input!$C$24),2)</f>
        <v>86.7</v>
      </c>
      <c r="P24" s="27">
        <f>ROUND((D24*Input!$Q$24),2)</f>
        <v>96.1</v>
      </c>
      <c r="Q24" s="27">
        <f t="shared" si="4"/>
        <v>9.3999999999999915</v>
      </c>
      <c r="R24" s="28">
        <f t="shared" si="5"/>
        <v>0.108</v>
      </c>
      <c r="S24" s="27">
        <f t="shared" si="6"/>
        <v>346.81</v>
      </c>
      <c r="T24" s="27">
        <f t="shared" si="7"/>
        <v>696.1</v>
      </c>
      <c r="U24" s="28">
        <f t="shared" si="8"/>
        <v>1.0069999999999999</v>
      </c>
      <c r="V24" s="30"/>
      <c r="W24"/>
      <c r="X24"/>
      <c r="Y24"/>
      <c r="Z24"/>
      <c r="AA24"/>
      <c r="AB24"/>
      <c r="AC24"/>
      <c r="AD24"/>
      <c r="AE24"/>
    </row>
    <row r="25" spans="1:31" x14ac:dyDescent="0.35">
      <c r="A25" s="59">
        <v>5</v>
      </c>
      <c r="B25" s="59" t="s">
        <v>88</v>
      </c>
      <c r="D25" s="43">
        <v>5000</v>
      </c>
      <c r="E25" s="27">
        <f>Input!$H$24</f>
        <v>260.11</v>
      </c>
      <c r="F25" s="27">
        <f>Input!$V$24</f>
        <v>600</v>
      </c>
      <c r="G25" s="27">
        <f t="shared" si="0"/>
        <v>339.89</v>
      </c>
      <c r="H25" s="28">
        <f t="shared" si="1"/>
        <v>1.3069999999999999</v>
      </c>
      <c r="I25" s="28"/>
      <c r="J25" s="27">
        <f>Input!$I$24</f>
        <v>0</v>
      </c>
      <c r="K25" s="27">
        <f>Input!$W$24</f>
        <v>0</v>
      </c>
      <c r="L25" s="27">
        <f t="shared" si="2"/>
        <v>0</v>
      </c>
      <c r="M25" s="28">
        <f t="shared" si="3"/>
        <v>0</v>
      </c>
      <c r="N25" s="29"/>
      <c r="O25" s="27">
        <f>ROUND((D25*Input!$C$24),2)</f>
        <v>433.5</v>
      </c>
      <c r="P25" s="27">
        <f>ROUND((D25*Input!$Q$24),2)</f>
        <v>480.5</v>
      </c>
      <c r="Q25" s="27">
        <f t="shared" si="4"/>
        <v>47</v>
      </c>
      <c r="R25" s="28">
        <f t="shared" si="5"/>
        <v>0.108</v>
      </c>
      <c r="S25" s="27">
        <f t="shared" si="6"/>
        <v>693.61</v>
      </c>
      <c r="T25" s="27">
        <f t="shared" si="7"/>
        <v>1080.5</v>
      </c>
      <c r="U25" s="28">
        <f t="shared" si="8"/>
        <v>0.55800000000000005</v>
      </c>
      <c r="V25" s="30"/>
      <c r="W25"/>
      <c r="X25"/>
      <c r="Y25"/>
      <c r="Z25"/>
      <c r="AA25"/>
      <c r="AB25"/>
      <c r="AC25"/>
      <c r="AD25"/>
      <c r="AE25"/>
    </row>
    <row r="26" spans="1:31" x14ac:dyDescent="0.35">
      <c r="A26" s="59">
        <v>6</v>
      </c>
      <c r="D26" s="43">
        <v>10000</v>
      </c>
      <c r="E26" s="27">
        <f>Input!$H$24</f>
        <v>260.11</v>
      </c>
      <c r="F26" s="27">
        <f>Input!$V$24</f>
        <v>600</v>
      </c>
      <c r="G26" s="27">
        <f t="shared" si="0"/>
        <v>339.89</v>
      </c>
      <c r="H26" s="28">
        <f t="shared" si="1"/>
        <v>1.3069999999999999</v>
      </c>
      <c r="I26" s="28"/>
      <c r="J26" s="27">
        <f>Input!$I$24</f>
        <v>0</v>
      </c>
      <c r="K26" s="27">
        <f>Input!$W$24</f>
        <v>0</v>
      </c>
      <c r="L26" s="27">
        <f t="shared" si="2"/>
        <v>0</v>
      </c>
      <c r="M26" s="28">
        <f t="shared" si="3"/>
        <v>0</v>
      </c>
      <c r="N26" s="29"/>
      <c r="O26" s="27">
        <f>ROUND((D26*Input!$C$24),2)</f>
        <v>867</v>
      </c>
      <c r="P26" s="27">
        <f>ROUND((D26*Input!$Q$24),2)</f>
        <v>961</v>
      </c>
      <c r="Q26" s="27">
        <f t="shared" si="4"/>
        <v>94</v>
      </c>
      <c r="R26" s="28">
        <f t="shared" si="5"/>
        <v>0.108</v>
      </c>
      <c r="S26" s="27">
        <f t="shared" si="6"/>
        <v>1127.1100000000001</v>
      </c>
      <c r="T26" s="27">
        <f t="shared" si="7"/>
        <v>1561</v>
      </c>
      <c r="U26" s="28">
        <f t="shared" si="8"/>
        <v>0.38500000000000001</v>
      </c>
      <c r="V26" s="30"/>
      <c r="W26"/>
      <c r="X26"/>
      <c r="Y26"/>
      <c r="Z26"/>
      <c r="AA26"/>
      <c r="AB26"/>
      <c r="AC26"/>
      <c r="AD26"/>
      <c r="AE26"/>
    </row>
    <row r="27" spans="1:31" x14ac:dyDescent="0.35">
      <c r="A27" s="59">
        <v>7</v>
      </c>
      <c r="D27" s="43">
        <v>15000</v>
      </c>
      <c r="E27" s="27">
        <f>Input!$H$24</f>
        <v>260.11</v>
      </c>
      <c r="F27" s="27">
        <f>Input!$V$24</f>
        <v>600</v>
      </c>
      <c r="G27" s="27">
        <f t="shared" si="0"/>
        <v>339.89</v>
      </c>
      <c r="H27" s="28">
        <f t="shared" si="1"/>
        <v>1.3069999999999999</v>
      </c>
      <c r="I27" s="28"/>
      <c r="J27" s="27">
        <f>Input!$I$24</f>
        <v>0</v>
      </c>
      <c r="K27" s="27">
        <f>Input!$W$24</f>
        <v>0</v>
      </c>
      <c r="L27" s="27">
        <f t="shared" si="2"/>
        <v>0</v>
      </c>
      <c r="M27" s="28">
        <f t="shared" si="3"/>
        <v>0</v>
      </c>
      <c r="N27" s="29"/>
      <c r="O27" s="27">
        <f>ROUND((D27*Input!$C$24),2)</f>
        <v>1300.5</v>
      </c>
      <c r="P27" s="27">
        <f>ROUND((D27*Input!$Q$24),2)</f>
        <v>1441.5</v>
      </c>
      <c r="Q27" s="27">
        <f t="shared" si="4"/>
        <v>141</v>
      </c>
      <c r="R27" s="28">
        <f t="shared" si="5"/>
        <v>0.108</v>
      </c>
      <c r="S27" s="27">
        <f t="shared" si="6"/>
        <v>1560.6100000000001</v>
      </c>
      <c r="T27" s="27">
        <f t="shared" si="7"/>
        <v>2041.5</v>
      </c>
      <c r="U27" s="28">
        <f t="shared" si="8"/>
        <v>0.308</v>
      </c>
      <c r="V27" s="30"/>
      <c r="W27"/>
      <c r="X27"/>
      <c r="Y27"/>
      <c r="Z27"/>
      <c r="AA27"/>
      <c r="AB27"/>
      <c r="AC27"/>
      <c r="AD27"/>
      <c r="AE27"/>
    </row>
    <row r="28" spans="1:31" x14ac:dyDescent="0.35">
      <c r="A28" s="59">
        <v>8</v>
      </c>
      <c r="B28" s="59"/>
      <c r="D28" s="43">
        <v>20000</v>
      </c>
      <c r="E28" s="27">
        <f>Input!$H$24</f>
        <v>260.11</v>
      </c>
      <c r="F28" s="27">
        <f>Input!$V$24</f>
        <v>600</v>
      </c>
      <c r="G28" s="27">
        <f t="shared" si="0"/>
        <v>339.89</v>
      </c>
      <c r="H28" s="28">
        <f t="shared" si="1"/>
        <v>1.3069999999999999</v>
      </c>
      <c r="I28" s="28"/>
      <c r="J28" s="27">
        <f>Input!$I$24</f>
        <v>0</v>
      </c>
      <c r="K28" s="27">
        <f>Input!$W$24</f>
        <v>0</v>
      </c>
      <c r="L28" s="27">
        <f t="shared" si="2"/>
        <v>0</v>
      </c>
      <c r="M28" s="28">
        <f t="shared" si="3"/>
        <v>0</v>
      </c>
      <c r="N28" s="29"/>
      <c r="O28" s="27">
        <f>ROUND((D28*Input!$C$24),2)</f>
        <v>1734</v>
      </c>
      <c r="P28" s="27">
        <f>ROUND((D28*Input!$Q$24),2)</f>
        <v>1922</v>
      </c>
      <c r="Q28" s="27">
        <f t="shared" si="4"/>
        <v>188</v>
      </c>
      <c r="R28" s="28">
        <f t="shared" si="5"/>
        <v>0.108</v>
      </c>
      <c r="S28" s="27">
        <f t="shared" si="6"/>
        <v>1994.1100000000001</v>
      </c>
      <c r="T28" s="27">
        <f t="shared" si="7"/>
        <v>2522</v>
      </c>
      <c r="U28" s="28">
        <f t="shared" si="8"/>
        <v>0.26500000000000001</v>
      </c>
      <c r="V28" s="30"/>
      <c r="W28"/>
      <c r="X28"/>
      <c r="Y28"/>
      <c r="Z28"/>
      <c r="AA28"/>
      <c r="AB28"/>
      <c r="AC28"/>
      <c r="AD28"/>
      <c r="AE28"/>
    </row>
    <row r="29" spans="1:31" x14ac:dyDescent="0.35">
      <c r="A29" s="59">
        <v>9</v>
      </c>
      <c r="B29" s="59"/>
      <c r="D29" s="43">
        <v>30000</v>
      </c>
      <c r="E29" s="27">
        <f>Input!$H$24</f>
        <v>260.11</v>
      </c>
      <c r="F29" s="27">
        <f>Input!$V$24</f>
        <v>600</v>
      </c>
      <c r="G29" s="27">
        <f t="shared" si="0"/>
        <v>339.89</v>
      </c>
      <c r="H29" s="28">
        <f t="shared" si="1"/>
        <v>1.3069999999999999</v>
      </c>
      <c r="I29" s="28"/>
      <c r="J29" s="27">
        <f>Input!$I$24</f>
        <v>0</v>
      </c>
      <c r="K29" s="27">
        <f>Input!$W$24</f>
        <v>0</v>
      </c>
      <c r="L29" s="27">
        <f t="shared" si="2"/>
        <v>0</v>
      </c>
      <c r="M29" s="28">
        <f t="shared" si="3"/>
        <v>0</v>
      </c>
      <c r="N29" s="29"/>
      <c r="O29" s="27">
        <f>ROUND((D29*Input!$C$24),2)</f>
        <v>2601</v>
      </c>
      <c r="P29" s="27">
        <f>ROUND((D29*Input!$Q$24),2)</f>
        <v>2883</v>
      </c>
      <c r="Q29" s="27">
        <f t="shared" si="4"/>
        <v>282</v>
      </c>
      <c r="R29" s="28">
        <f t="shared" si="5"/>
        <v>0.108</v>
      </c>
      <c r="S29" s="27">
        <f t="shared" si="6"/>
        <v>2861.11</v>
      </c>
      <c r="T29" s="27">
        <f t="shared" si="7"/>
        <v>3483</v>
      </c>
      <c r="U29" s="28">
        <f t="shared" si="8"/>
        <v>0.217</v>
      </c>
      <c r="V29" s="30"/>
      <c r="W29"/>
      <c r="X29"/>
      <c r="Y29"/>
      <c r="Z29"/>
      <c r="AA29"/>
      <c r="AB29"/>
      <c r="AC29"/>
      <c r="AD29"/>
      <c r="AE29"/>
    </row>
    <row r="30" spans="1:31" x14ac:dyDescent="0.35">
      <c r="A30" s="59">
        <v>10</v>
      </c>
      <c r="D30" s="43">
        <v>50000</v>
      </c>
      <c r="E30" s="27">
        <f>Input!$H$24</f>
        <v>260.11</v>
      </c>
      <c r="F30" s="27">
        <f>Input!$V$24</f>
        <v>600</v>
      </c>
      <c r="G30" s="27">
        <f t="shared" si="0"/>
        <v>339.89</v>
      </c>
      <c r="H30" s="28">
        <f t="shared" si="1"/>
        <v>1.3069999999999999</v>
      </c>
      <c r="I30" s="28"/>
      <c r="J30" s="27">
        <f>Input!$I$24</f>
        <v>0</v>
      </c>
      <c r="K30" s="27">
        <f>Input!$W$24</f>
        <v>0</v>
      </c>
      <c r="L30" s="27">
        <f t="shared" si="2"/>
        <v>0</v>
      </c>
      <c r="M30" s="28">
        <f t="shared" si="3"/>
        <v>0</v>
      </c>
      <c r="N30" s="29"/>
      <c r="O30" s="27">
        <f>ROUND((D30*Input!$C$24),2)</f>
        <v>4335</v>
      </c>
      <c r="P30" s="27">
        <f>ROUND((D30*Input!$Q$24),2)</f>
        <v>4805</v>
      </c>
      <c r="Q30" s="27">
        <f t="shared" si="4"/>
        <v>470</v>
      </c>
      <c r="R30" s="28">
        <f t="shared" si="5"/>
        <v>0.108</v>
      </c>
      <c r="S30" s="27">
        <f t="shared" si="6"/>
        <v>4595.1099999999997</v>
      </c>
      <c r="T30" s="27">
        <f t="shared" si="7"/>
        <v>5405</v>
      </c>
      <c r="U30" s="28">
        <f t="shared" si="8"/>
        <v>0.17599999999999999</v>
      </c>
      <c r="V30" s="30"/>
      <c r="W30"/>
      <c r="X30"/>
      <c r="Y30"/>
      <c r="Z30"/>
      <c r="AA30"/>
      <c r="AB30"/>
      <c r="AC30"/>
      <c r="AD30"/>
      <c r="AE30"/>
    </row>
    <row r="31" spans="1:31" x14ac:dyDescent="0.35">
      <c r="A31" s="59">
        <v>11</v>
      </c>
      <c r="D31" s="43">
        <v>70000</v>
      </c>
      <c r="E31" s="27">
        <f>Input!$H$24</f>
        <v>260.11</v>
      </c>
      <c r="F31" s="27">
        <f>Input!$V$24</f>
        <v>600</v>
      </c>
      <c r="G31" s="27">
        <f t="shared" si="0"/>
        <v>339.89</v>
      </c>
      <c r="H31" s="28">
        <f t="shared" si="1"/>
        <v>1.3069999999999999</v>
      </c>
      <c r="I31" s="28"/>
      <c r="J31" s="27">
        <f>Input!$I$24</f>
        <v>0</v>
      </c>
      <c r="K31" s="27">
        <f>Input!$W$24</f>
        <v>0</v>
      </c>
      <c r="L31" s="27">
        <f t="shared" si="2"/>
        <v>0</v>
      </c>
      <c r="M31" s="28">
        <f t="shared" si="3"/>
        <v>0</v>
      </c>
      <c r="N31" s="29"/>
      <c r="O31" s="27">
        <f>ROUND((D31*Input!$C$24),2)</f>
        <v>6069</v>
      </c>
      <c r="P31" s="27">
        <f>ROUND((D31*Input!$Q$24),2)</f>
        <v>6727</v>
      </c>
      <c r="Q31" s="27">
        <f t="shared" si="4"/>
        <v>658</v>
      </c>
      <c r="R31" s="28">
        <f t="shared" si="5"/>
        <v>0.108</v>
      </c>
      <c r="S31" s="27">
        <f t="shared" si="6"/>
        <v>6329.11</v>
      </c>
      <c r="T31" s="27">
        <f t="shared" si="7"/>
        <v>7327</v>
      </c>
      <c r="U31" s="28">
        <f t="shared" si="8"/>
        <v>0.158</v>
      </c>
      <c r="V31" s="30"/>
      <c r="W31"/>
      <c r="X31"/>
      <c r="Y31"/>
      <c r="Z31"/>
      <c r="AA31"/>
      <c r="AB31"/>
      <c r="AC31"/>
      <c r="AD31"/>
      <c r="AE31"/>
    </row>
    <row r="32" spans="1:31" x14ac:dyDescent="0.35">
      <c r="A32" s="59">
        <v>12</v>
      </c>
      <c r="D32" s="43">
        <v>90000</v>
      </c>
      <c r="E32" s="27">
        <f>Input!$H$24</f>
        <v>260.11</v>
      </c>
      <c r="F32" s="27">
        <f>Input!$V$24</f>
        <v>600</v>
      </c>
      <c r="G32" s="27">
        <f t="shared" si="0"/>
        <v>339.89</v>
      </c>
      <c r="H32" s="28">
        <f t="shared" si="1"/>
        <v>1.3069999999999999</v>
      </c>
      <c r="I32" s="28"/>
      <c r="J32" s="27">
        <f>Input!$I$24</f>
        <v>0</v>
      </c>
      <c r="K32" s="27">
        <f>Input!$W$24</f>
        <v>0</v>
      </c>
      <c r="L32" s="27">
        <f t="shared" si="2"/>
        <v>0</v>
      </c>
      <c r="M32" s="28">
        <f t="shared" si="3"/>
        <v>0</v>
      </c>
      <c r="N32" s="30"/>
      <c r="O32" s="27">
        <f>ROUND((D32*Input!$C$24),2)</f>
        <v>7803</v>
      </c>
      <c r="P32" s="27">
        <f>ROUND((D32*Input!$Q$24),2)</f>
        <v>8649</v>
      </c>
      <c r="Q32" s="27">
        <f t="shared" si="4"/>
        <v>846</v>
      </c>
      <c r="R32" s="28">
        <f t="shared" si="5"/>
        <v>0.108</v>
      </c>
      <c r="S32" s="27">
        <f t="shared" si="6"/>
        <v>8063.11</v>
      </c>
      <c r="T32" s="27">
        <f t="shared" si="7"/>
        <v>9249</v>
      </c>
      <c r="U32" s="28">
        <f t="shared" si="8"/>
        <v>0.14699999999999999</v>
      </c>
      <c r="V32" s="30"/>
      <c r="W32"/>
      <c r="X32"/>
      <c r="Y32"/>
      <c r="Z32"/>
      <c r="AA32"/>
      <c r="AB32"/>
      <c r="AC32"/>
      <c r="AD32"/>
      <c r="AE32"/>
    </row>
    <row r="33" spans="1:31" x14ac:dyDescent="0.35">
      <c r="A33" s="59">
        <v>13</v>
      </c>
      <c r="D33" s="43">
        <v>110000</v>
      </c>
      <c r="E33" s="27">
        <f>Input!$H$24</f>
        <v>260.11</v>
      </c>
      <c r="F33" s="27">
        <f>Input!$V$24</f>
        <v>600</v>
      </c>
      <c r="G33" s="27">
        <f t="shared" si="0"/>
        <v>339.89</v>
      </c>
      <c r="H33" s="28">
        <f t="shared" si="1"/>
        <v>1.3069999999999999</v>
      </c>
      <c r="I33" s="28"/>
      <c r="J33" s="27">
        <f>Input!$I$24</f>
        <v>0</v>
      </c>
      <c r="K33" s="27">
        <f>Input!$W$24</f>
        <v>0</v>
      </c>
      <c r="L33" s="27">
        <f t="shared" si="2"/>
        <v>0</v>
      </c>
      <c r="M33" s="28">
        <f t="shared" si="3"/>
        <v>0</v>
      </c>
      <c r="N33" s="30"/>
      <c r="O33" s="27">
        <f>ROUND((D33*Input!$C$24),2)</f>
        <v>9537</v>
      </c>
      <c r="P33" s="27">
        <f>ROUND((D33*Input!$Q$24),2)</f>
        <v>10571</v>
      </c>
      <c r="Q33" s="27">
        <f t="shared" si="4"/>
        <v>1034</v>
      </c>
      <c r="R33" s="28">
        <f t="shared" si="5"/>
        <v>0.108</v>
      </c>
      <c r="S33" s="27">
        <f t="shared" si="6"/>
        <v>9797.11</v>
      </c>
      <c r="T33" s="27">
        <f t="shared" si="7"/>
        <v>11171</v>
      </c>
      <c r="U33" s="28">
        <f t="shared" si="8"/>
        <v>0.14000000000000001</v>
      </c>
      <c r="V33" s="30"/>
      <c r="W33"/>
      <c r="X33"/>
      <c r="Y33"/>
      <c r="Z33"/>
      <c r="AA33"/>
      <c r="AB33"/>
      <c r="AC33"/>
      <c r="AD33"/>
      <c r="AE33"/>
    </row>
    <row r="34" spans="1:31" x14ac:dyDescent="0.35">
      <c r="A34" s="59">
        <v>14</v>
      </c>
      <c r="D34" s="43">
        <v>120000</v>
      </c>
      <c r="E34" s="27">
        <f>Input!$H$24</f>
        <v>260.11</v>
      </c>
      <c r="F34" s="27">
        <f>Input!$V$24</f>
        <v>600</v>
      </c>
      <c r="G34" s="27">
        <f t="shared" si="0"/>
        <v>339.89</v>
      </c>
      <c r="H34" s="28">
        <f t="shared" si="1"/>
        <v>1.3069999999999999</v>
      </c>
      <c r="I34" s="28"/>
      <c r="J34" s="27">
        <f>Input!$I$24</f>
        <v>0</v>
      </c>
      <c r="K34" s="27">
        <f>Input!$W$24</f>
        <v>0</v>
      </c>
      <c r="L34" s="27">
        <f t="shared" si="2"/>
        <v>0</v>
      </c>
      <c r="M34" s="28">
        <f t="shared" si="3"/>
        <v>0</v>
      </c>
      <c r="N34" s="30"/>
      <c r="O34" s="27">
        <f>ROUND((D34*Input!$C$24),2)</f>
        <v>10404</v>
      </c>
      <c r="P34" s="27">
        <f>ROUND((D34*Input!$Q$24),2)</f>
        <v>11532</v>
      </c>
      <c r="Q34" s="27">
        <f t="shared" si="4"/>
        <v>1128</v>
      </c>
      <c r="R34" s="28">
        <f t="shared" si="5"/>
        <v>0.108</v>
      </c>
      <c r="S34" s="27">
        <f t="shared" si="6"/>
        <v>10664.11</v>
      </c>
      <c r="T34" s="27">
        <f t="shared" si="7"/>
        <v>12132</v>
      </c>
      <c r="U34" s="28">
        <f t="shared" si="8"/>
        <v>0.13800000000000001</v>
      </c>
      <c r="V34" s="30"/>
      <c r="W34"/>
      <c r="X34"/>
      <c r="Y34"/>
      <c r="Z34"/>
      <c r="AA34"/>
      <c r="AB34"/>
      <c r="AC34"/>
      <c r="AD34"/>
      <c r="AE34"/>
    </row>
    <row r="35" spans="1:31" x14ac:dyDescent="0.35">
      <c r="A35" s="59">
        <v>15</v>
      </c>
      <c r="D35" s="43">
        <v>130000</v>
      </c>
      <c r="E35" s="27">
        <f>Input!$H$24</f>
        <v>260.11</v>
      </c>
      <c r="F35" s="27">
        <f>Input!$V$24</f>
        <v>600</v>
      </c>
      <c r="G35" s="27">
        <f>F35-E35</f>
        <v>339.89</v>
      </c>
      <c r="H35" s="28">
        <f t="shared" si="1"/>
        <v>1.3069999999999999</v>
      </c>
      <c r="I35" s="28"/>
      <c r="J35" s="27">
        <f>Input!$I$24</f>
        <v>0</v>
      </c>
      <c r="K35" s="27">
        <f>Input!$W$24</f>
        <v>0</v>
      </c>
      <c r="L35" s="27">
        <f t="shared" si="2"/>
        <v>0</v>
      </c>
      <c r="M35" s="28">
        <f t="shared" si="3"/>
        <v>0</v>
      </c>
      <c r="N35" s="30"/>
      <c r="O35" s="27">
        <f>ROUND((D35*Input!$C$24),2)</f>
        <v>11271</v>
      </c>
      <c r="P35" s="27">
        <f>ROUND((D35*Input!$Q$24),2)</f>
        <v>12493</v>
      </c>
      <c r="Q35" s="27">
        <f>P35-O35</f>
        <v>1222</v>
      </c>
      <c r="R35" s="28">
        <f t="shared" si="5"/>
        <v>0.108</v>
      </c>
      <c r="S35" s="27">
        <f t="shared" si="6"/>
        <v>11531.11</v>
      </c>
      <c r="T35" s="27">
        <f t="shared" si="7"/>
        <v>13093</v>
      </c>
      <c r="U35" s="28">
        <f t="shared" si="8"/>
        <v>0.13500000000000001</v>
      </c>
      <c r="V35" s="30"/>
      <c r="W35"/>
      <c r="X35"/>
      <c r="Y35"/>
      <c r="Z35"/>
      <c r="AA35"/>
      <c r="AB35"/>
      <c r="AC35"/>
      <c r="AD35"/>
      <c r="AE35"/>
    </row>
    <row r="36" spans="1:31" x14ac:dyDescent="0.35">
      <c r="A36" s="59">
        <v>16</v>
      </c>
      <c r="D36" s="43">
        <v>150000</v>
      </c>
      <c r="E36" s="27">
        <f>Input!$H$24</f>
        <v>260.11</v>
      </c>
      <c r="F36" s="27">
        <f>Input!$V$24</f>
        <v>600</v>
      </c>
      <c r="G36" s="27">
        <f>F36-E36</f>
        <v>339.89</v>
      </c>
      <c r="H36" s="28">
        <f t="shared" si="1"/>
        <v>1.3069999999999999</v>
      </c>
      <c r="I36" s="28"/>
      <c r="J36" s="27">
        <f>Input!$I$24</f>
        <v>0</v>
      </c>
      <c r="K36" s="27">
        <f>Input!$W$24</f>
        <v>0</v>
      </c>
      <c r="L36" s="27">
        <f t="shared" si="2"/>
        <v>0</v>
      </c>
      <c r="M36" s="28">
        <f t="shared" si="3"/>
        <v>0</v>
      </c>
      <c r="N36" s="30"/>
      <c r="O36" s="27">
        <f>ROUND((D36*Input!$C$24),2)</f>
        <v>13005</v>
      </c>
      <c r="P36" s="27">
        <f>ROUND((D36*Input!$Q$24),2)</f>
        <v>14415</v>
      </c>
      <c r="Q36" s="27">
        <f>P36-O36</f>
        <v>1410</v>
      </c>
      <c r="R36" s="28">
        <f t="shared" si="5"/>
        <v>0.108</v>
      </c>
      <c r="S36" s="27">
        <f t="shared" si="6"/>
        <v>13265.11</v>
      </c>
      <c r="T36" s="27">
        <f t="shared" si="7"/>
        <v>15015</v>
      </c>
      <c r="U36" s="28">
        <f t="shared" si="8"/>
        <v>0.13200000000000001</v>
      </c>
      <c r="V36" s="30"/>
      <c r="W36"/>
      <c r="X36"/>
      <c r="Y36"/>
      <c r="Z36"/>
      <c r="AA36"/>
      <c r="AB36"/>
      <c r="AC36"/>
      <c r="AD36"/>
      <c r="AE36"/>
    </row>
    <row r="37" spans="1:31" x14ac:dyDescent="0.35">
      <c r="A37" s="59">
        <v>17</v>
      </c>
      <c r="D37" s="43">
        <f>+D39</f>
        <v>193630</v>
      </c>
      <c r="E37" s="27">
        <f>Input!$H$24</f>
        <v>260.11</v>
      </c>
      <c r="F37" s="27">
        <f>Input!$V$24</f>
        <v>600</v>
      </c>
      <c r="G37" s="27">
        <f>F37-E37</f>
        <v>339.89</v>
      </c>
      <c r="H37" s="28">
        <f t="shared" si="1"/>
        <v>1.3069999999999999</v>
      </c>
      <c r="I37" s="28"/>
      <c r="J37" s="27">
        <f>Input!$I$24</f>
        <v>0</v>
      </c>
      <c r="K37" s="27">
        <f>Input!$W$24</f>
        <v>0</v>
      </c>
      <c r="L37" s="27">
        <f t="shared" si="2"/>
        <v>0</v>
      </c>
      <c r="M37" s="28">
        <f t="shared" si="3"/>
        <v>0</v>
      </c>
      <c r="N37" s="30"/>
      <c r="O37" s="27">
        <f>ROUND((D37*Input!$C$24),2)</f>
        <v>16787.72</v>
      </c>
      <c r="P37" s="27">
        <f>ROUND((D37*Input!$Q$24),2)</f>
        <v>18607.84</v>
      </c>
      <c r="Q37" s="27">
        <f>P37-O37</f>
        <v>1820.119999999999</v>
      </c>
      <c r="R37" s="28">
        <f t="shared" si="5"/>
        <v>0.108</v>
      </c>
      <c r="S37" s="27">
        <f t="shared" si="6"/>
        <v>17047.830000000002</v>
      </c>
      <c r="T37" s="27">
        <f t="shared" si="7"/>
        <v>19207.84</v>
      </c>
      <c r="U37" s="28">
        <f t="shared" si="8"/>
        <v>0.127</v>
      </c>
      <c r="V37" s="30"/>
      <c r="W37"/>
      <c r="X37"/>
      <c r="Y37"/>
      <c r="Z37"/>
      <c r="AA37"/>
      <c r="AB37"/>
      <c r="AC37"/>
      <c r="AD37"/>
      <c r="AE37"/>
    </row>
    <row r="38" spans="1:31" x14ac:dyDescent="0.35">
      <c r="A38" s="59"/>
      <c r="U38" s="35"/>
      <c r="W38"/>
      <c r="X38"/>
      <c r="Y38"/>
      <c r="Z38"/>
      <c r="AA38"/>
      <c r="AB38"/>
      <c r="AC38"/>
      <c r="AD38"/>
      <c r="AE38"/>
    </row>
    <row r="39" spans="1:31" x14ac:dyDescent="0.35">
      <c r="A39" s="59"/>
      <c r="B39" s="8" t="s">
        <v>98</v>
      </c>
      <c r="D39" s="45">
        <f>ROUND(Input!AT24,0)</f>
        <v>193630</v>
      </c>
      <c r="W39"/>
      <c r="X39"/>
      <c r="Y39"/>
      <c r="Z39"/>
      <c r="AA39"/>
      <c r="AB39"/>
      <c r="AC39"/>
      <c r="AD39"/>
      <c r="AE39"/>
    </row>
    <row r="40" spans="1:31" x14ac:dyDescent="0.35">
      <c r="A40" s="59"/>
      <c r="W40"/>
      <c r="X40"/>
      <c r="Y40"/>
      <c r="Z40"/>
      <c r="AA40"/>
      <c r="AB40"/>
      <c r="AC40"/>
      <c r="AD40"/>
      <c r="AE40"/>
    </row>
    <row r="41" spans="1:31" x14ac:dyDescent="0.35">
      <c r="A41" s="59"/>
      <c r="W41"/>
      <c r="X41"/>
      <c r="Y41"/>
      <c r="Z41"/>
      <c r="AA41"/>
      <c r="AB41"/>
      <c r="AC41"/>
      <c r="AD41"/>
      <c r="AE41"/>
    </row>
    <row r="42" spans="1:31" x14ac:dyDescent="0.35">
      <c r="A42" s="59"/>
      <c r="W42"/>
      <c r="X42"/>
      <c r="Y42"/>
      <c r="Z42"/>
      <c r="AA42"/>
      <c r="AB42"/>
      <c r="AC42"/>
      <c r="AD42"/>
      <c r="AE42"/>
    </row>
    <row r="43" spans="1:31" x14ac:dyDescent="0.35">
      <c r="W43"/>
      <c r="X43"/>
      <c r="Y43"/>
      <c r="Z43"/>
      <c r="AA43"/>
      <c r="AB43"/>
      <c r="AC43"/>
      <c r="AD43"/>
      <c r="AE43"/>
    </row>
    <row r="44" spans="1:31" x14ac:dyDescent="0.35">
      <c r="W44"/>
      <c r="X44"/>
      <c r="Y44"/>
      <c r="Z44"/>
      <c r="AA44"/>
      <c r="AB44"/>
      <c r="AC44"/>
      <c r="AD44"/>
      <c r="AE44"/>
    </row>
    <row r="45" spans="1:31" x14ac:dyDescent="0.35">
      <c r="W45"/>
      <c r="X45"/>
      <c r="Y45"/>
      <c r="Z45"/>
      <c r="AA45"/>
      <c r="AB45"/>
      <c r="AC45"/>
      <c r="AD45"/>
      <c r="AE45"/>
    </row>
    <row r="46" spans="1:31" x14ac:dyDescent="0.35">
      <c r="W46"/>
      <c r="X46"/>
      <c r="Y46"/>
      <c r="Z46"/>
      <c r="AA46"/>
      <c r="AB46"/>
      <c r="AC46"/>
      <c r="AD46"/>
      <c r="AE46"/>
    </row>
    <row r="47" spans="1:31" x14ac:dyDescent="0.35">
      <c r="W47"/>
      <c r="X47"/>
      <c r="Y47"/>
      <c r="Z47"/>
      <c r="AA47"/>
      <c r="AB47"/>
      <c r="AC47"/>
      <c r="AD47"/>
      <c r="AE47"/>
    </row>
    <row r="48" spans="1:31" x14ac:dyDescent="0.35">
      <c r="W48"/>
      <c r="X48"/>
      <c r="Y48"/>
      <c r="Z48"/>
      <c r="AA48"/>
      <c r="AB48"/>
      <c r="AC48"/>
      <c r="AD48"/>
      <c r="AE48"/>
    </row>
    <row r="49" spans="23:31" x14ac:dyDescent="0.35">
      <c r="W49"/>
      <c r="X49"/>
      <c r="Y49"/>
      <c r="Z49"/>
      <c r="AA49"/>
      <c r="AB49"/>
      <c r="AC49"/>
      <c r="AD49"/>
      <c r="AE49"/>
    </row>
    <row r="50" spans="23:31" x14ac:dyDescent="0.35">
      <c r="W50"/>
      <c r="X50"/>
      <c r="Y50"/>
      <c r="Z50"/>
      <c r="AA50"/>
      <c r="AB50"/>
      <c r="AC50"/>
      <c r="AD50"/>
      <c r="AE50"/>
    </row>
  </sheetData>
  <mergeCells count="8">
    <mergeCell ref="A5:U5"/>
    <mergeCell ref="E13:H13"/>
    <mergeCell ref="O13:R13"/>
    <mergeCell ref="A1:U1"/>
    <mergeCell ref="A2:U2"/>
    <mergeCell ref="A3:U3"/>
    <mergeCell ref="A4:U4"/>
    <mergeCell ref="J13:M13"/>
  </mergeCells>
  <phoneticPr fontId="0" type="noConversion"/>
  <printOptions horizontalCentered="1"/>
  <pageMargins left="0" right="0" top="0.75" bottom="0.75" header="0.5" footer="0.5"/>
  <pageSetup scale="7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E6F794-CFC7-45E6-883A-81847CB7B8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BC17E6-8949-458D-B041-7D74E0524C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D1835E-E8F9-4AD3-AF66-BBABD15C9DC9}">
  <ds:schemaRefs>
    <ds:schemaRef ds:uri="6bec63c5-7005-460f-9e35-624454017d73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41f51831-4435-4781-bf4a-49effccf57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Input</vt:lpstr>
      <vt:lpstr>GTR</vt:lpstr>
      <vt:lpstr>GTO</vt:lpstr>
      <vt:lpstr>DS</vt:lpstr>
      <vt:lpstr>GDS</vt:lpstr>
      <vt:lpstr>DS3</vt:lpstr>
      <vt:lpstr>FX1</vt:lpstr>
      <vt:lpstr>FX2</vt:lpstr>
      <vt:lpstr>FX5</vt:lpstr>
      <vt:lpstr>FX7</vt:lpstr>
      <vt:lpstr>SAS</vt:lpstr>
      <vt:lpstr>SC3</vt:lpstr>
      <vt:lpstr>DS!Print_Area</vt:lpstr>
      <vt:lpstr>'DS3'!Print_Area</vt:lpstr>
      <vt:lpstr>'FX1'!Print_Area</vt:lpstr>
      <vt:lpstr>'FX2'!Print_Area</vt:lpstr>
      <vt:lpstr>'FX5'!Print_Area</vt:lpstr>
      <vt:lpstr>'FX7'!Print_Area</vt:lpstr>
      <vt:lpstr>GDS!Print_Area</vt:lpstr>
      <vt:lpstr>GTO!Print_Area</vt:lpstr>
      <vt:lpstr>GTR!Print_Area</vt:lpstr>
      <vt:lpstr>Input!Print_Area</vt:lpstr>
      <vt:lpstr>SAS!Print_Area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Ann Strauss</dc:creator>
  <cp:lastModifiedBy>Heather Temple</cp:lastModifiedBy>
  <cp:lastPrinted>2016-04-29T13:17:58Z</cp:lastPrinted>
  <dcterms:created xsi:type="dcterms:W3CDTF">2002-03-01T19:27:07Z</dcterms:created>
  <dcterms:modified xsi:type="dcterms:W3CDTF">2024-05-30T21:17:47Z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  <property fmtid="{D5CDD505-2E9C-101B-9397-08002B2CF9AE}" pid="9" name="ContentTypeId">
    <vt:lpwstr>0x01010023D3BF6419712D41B897E776747B2DEC</vt:lpwstr>
  </property>
</Properties>
</file>