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B92B5CF1-2A7D-419A-AA72-DE969E48218D}" xr6:coauthVersionLast="47" xr6:coauthVersionMax="47" xr10:uidLastSave="{00000000-0000-0000-0000-000000000000}"/>
  <bookViews>
    <workbookView xWindow="42540" yWindow="3045" windowWidth="22965" windowHeight="9960" xr2:uid="{610BC276-1709-46EE-9993-A35F4AD2593F}"/>
  </bookViews>
  <sheets>
    <sheet name="Input" sheetId="9" r:id="rId1"/>
    <sheet name="INDEX N" sheetId="23" r:id="rId2"/>
    <sheet name="GSR" sheetId="7" r:id="rId3"/>
    <sheet name="G1C" sheetId="6" r:id="rId4"/>
    <sheet name="G1R" sheetId="5" r:id="rId5"/>
    <sheet name="IN3R" sheetId="4" r:id="rId6"/>
    <sheet name="IN3C" sheetId="19" r:id="rId7"/>
    <sheet name="IN4" sheetId="1" r:id="rId8"/>
    <sheet name="IN5" sheetId="2" r:id="rId9"/>
    <sheet name="LG2R" sheetId="13" r:id="rId10"/>
    <sheet name="LG2C" sheetId="20" r:id="rId11"/>
    <sheet name="LG3" sheetId="12" r:id="rId12"/>
    <sheet name="LG4" sheetId="11" r:id="rId13"/>
    <sheet name="GSO" sheetId="10" r:id="rId14"/>
    <sheet name="IS" sheetId="21" r:id="rId15"/>
    <sheet name="IUS" sheetId="18" r:id="rId16"/>
  </sheets>
  <definedNames>
    <definedName name="_xlnm.Print_Area" localSheetId="6">IN3C!$A$1:$L$34</definedName>
    <definedName name="_xlnm.Print_Area" localSheetId="7">'IN4'!$A$1:$L$34</definedName>
    <definedName name="_xlnm.Print_Area" localSheetId="1">'INDEX N'!$A$1:$C$26</definedName>
    <definedName name="_xlnm.Print_Area" localSheetId="0">Input!$A$13:$AA$39</definedName>
    <definedName name="_xlnm.Print_Area" localSheetId="10">LG2C!$A$1:$L$34</definedName>
    <definedName name="Print_Area_MI">'INDEX N'!$A$1:$N$41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8" l="1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31" i="7"/>
  <c r="F30" i="7"/>
  <c r="F29" i="7"/>
  <c r="F28" i="7"/>
  <c r="F27" i="7"/>
  <c r="F26" i="7"/>
  <c r="F25" i="7"/>
  <c r="F24" i="7"/>
  <c r="F23" i="7"/>
  <c r="F22" i="7"/>
  <c r="F21" i="7"/>
  <c r="F20" i="7"/>
  <c r="E34" i="18" l="1"/>
  <c r="E33" i="18"/>
  <c r="E32" i="18"/>
  <c r="E31" i="18"/>
  <c r="E30" i="18"/>
  <c r="E29" i="18"/>
  <c r="E28" i="18"/>
  <c r="E27" i="18"/>
  <c r="E26" i="18"/>
  <c r="E25" i="18"/>
  <c r="E24" i="18"/>
  <c r="E23" i="18"/>
  <c r="E22" i="18"/>
  <c r="E20" i="18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37" i="10" l="1"/>
  <c r="A2" i="10"/>
  <c r="A5" i="10"/>
  <c r="L10" i="10"/>
  <c r="E20" i="10"/>
  <c r="E21" i="10"/>
  <c r="E23" i="10"/>
  <c r="G23" i="10"/>
  <c r="H23" i="10" s="1"/>
  <c r="E24" i="10"/>
  <c r="E25" i="10"/>
  <c r="E26" i="10"/>
  <c r="E27" i="10"/>
  <c r="E28" i="10"/>
  <c r="E29" i="10"/>
  <c r="E31" i="10"/>
  <c r="E32" i="10"/>
  <c r="G29" i="10" l="1"/>
  <c r="H29" i="10" s="1"/>
  <c r="G28" i="10"/>
  <c r="H28" i="10" s="1"/>
  <c r="G32" i="10"/>
  <c r="H32" i="10" s="1"/>
  <c r="G31" i="10"/>
  <c r="H31" i="10" s="1"/>
  <c r="G26" i="10"/>
  <c r="H26" i="10" s="1"/>
  <c r="G24" i="10"/>
  <c r="H24" i="10" s="1"/>
  <c r="G27" i="10"/>
  <c r="H27" i="10" s="1"/>
  <c r="G25" i="10"/>
  <c r="H25" i="10" s="1"/>
  <c r="G37" i="10"/>
  <c r="H37" i="10" s="1"/>
  <c r="G21" i="10"/>
  <c r="H21" i="10" s="1"/>
  <c r="G20" i="10"/>
  <c r="H20" i="10" s="1"/>
  <c r="AF32" i="9"/>
  <c r="E23" i="5"/>
  <c r="E20" i="12" l="1"/>
  <c r="E30" i="20"/>
  <c r="E29" i="20"/>
  <c r="E28" i="20"/>
  <c r="E27" i="20"/>
  <c r="E26" i="20"/>
  <c r="E25" i="20"/>
  <c r="E24" i="20"/>
  <c r="E23" i="20"/>
  <c r="E22" i="20"/>
  <c r="E21" i="20"/>
  <c r="E31" i="13"/>
  <c r="E30" i="13"/>
  <c r="E29" i="13"/>
  <c r="E27" i="13"/>
  <c r="E26" i="13"/>
  <c r="E25" i="13"/>
  <c r="E24" i="13"/>
  <c r="E23" i="13"/>
  <c r="E22" i="13"/>
  <c r="E21" i="13"/>
  <c r="E20" i="13"/>
  <c r="E31" i="2"/>
  <c r="E30" i="2"/>
  <c r="E29" i="2"/>
  <c r="E28" i="2"/>
  <c r="E27" i="2"/>
  <c r="E26" i="2"/>
  <c r="E25" i="2"/>
  <c r="E23" i="2"/>
  <c r="E22" i="2"/>
  <c r="E21" i="2"/>
  <c r="E20" i="2"/>
  <c r="E31" i="1"/>
  <c r="E30" i="1"/>
  <c r="E29" i="1"/>
  <c r="E28" i="1"/>
  <c r="E27" i="1"/>
  <c r="E26" i="1"/>
  <c r="E25" i="1"/>
  <c r="E24" i="1"/>
  <c r="E23" i="1"/>
  <c r="E22" i="1"/>
  <c r="E21" i="1"/>
  <c r="E30" i="19"/>
  <c r="E29" i="19"/>
  <c r="E28" i="19"/>
  <c r="E27" i="19"/>
  <c r="E26" i="19"/>
  <c r="E25" i="19"/>
  <c r="E24" i="19"/>
  <c r="E23" i="19"/>
  <c r="E22" i="19"/>
  <c r="E21" i="19"/>
  <c r="E30" i="4"/>
  <c r="E29" i="4"/>
  <c r="E28" i="4"/>
  <c r="E27" i="4"/>
  <c r="E26" i="4"/>
  <c r="E24" i="4"/>
  <c r="E23" i="4"/>
  <c r="E22" i="4"/>
  <c r="E21" i="4"/>
  <c r="E20" i="4"/>
  <c r="E31" i="7" l="1"/>
  <c r="E30" i="7"/>
  <c r="E29" i="7"/>
  <c r="E28" i="7"/>
  <c r="E27" i="7"/>
  <c r="E26" i="7"/>
  <c r="E25" i="7"/>
  <c r="E24" i="7"/>
  <c r="E22" i="7"/>
  <c r="E21" i="7"/>
  <c r="E20" i="7"/>
  <c r="AF22" i="9" l="1"/>
  <c r="P36" i="9" l="1"/>
  <c r="P35" i="9"/>
  <c r="P34" i="9"/>
  <c r="P33" i="9"/>
  <c r="P22" i="9"/>
  <c r="H34" i="9" l="1"/>
  <c r="F34" i="9"/>
  <c r="E34" i="9"/>
  <c r="D34" i="9"/>
  <c r="C34" i="9"/>
  <c r="AF30" i="9" l="1"/>
  <c r="AF36" i="9"/>
  <c r="AF25" i="9"/>
  <c r="AF24" i="9"/>
  <c r="AF23" i="9"/>
  <c r="AF26" i="9"/>
  <c r="AF28" i="9"/>
  <c r="E33" i="2" s="1"/>
  <c r="AF29" i="9"/>
  <c r="AF31" i="9"/>
  <c r="AF33" i="9"/>
  <c r="E39" i="10" s="1"/>
  <c r="D22" i="10" s="1"/>
  <c r="I31" i="11"/>
  <c r="I30" i="11"/>
  <c r="I29" i="11"/>
  <c r="I28" i="11"/>
  <c r="I27" i="11"/>
  <c r="I25" i="11"/>
  <c r="I24" i="11"/>
  <c r="I23" i="11"/>
  <c r="I22" i="11"/>
  <c r="I21" i="11"/>
  <c r="I20" i="12"/>
  <c r="I31" i="12"/>
  <c r="I30" i="12"/>
  <c r="I29" i="12"/>
  <c r="I26" i="12"/>
  <c r="I25" i="12"/>
  <c r="I24" i="12"/>
  <c r="I23" i="12"/>
  <c r="I22" i="12"/>
  <c r="I21" i="12"/>
  <c r="I31" i="20"/>
  <c r="I30" i="20"/>
  <c r="I29" i="20"/>
  <c r="I28" i="20"/>
  <c r="I27" i="20"/>
  <c r="I26" i="20"/>
  <c r="I25" i="20"/>
  <c r="I24" i="20"/>
  <c r="I23" i="20"/>
  <c r="I22" i="20"/>
  <c r="I21" i="20"/>
  <c r="I20" i="13"/>
  <c r="I31" i="13"/>
  <c r="I30" i="13"/>
  <c r="I27" i="13"/>
  <c r="I26" i="13"/>
  <c r="I25" i="13"/>
  <c r="I24" i="13"/>
  <c r="I23" i="13"/>
  <c r="I22" i="13"/>
  <c r="I21" i="13"/>
  <c r="I20" i="2"/>
  <c r="I31" i="2"/>
  <c r="I30" i="2"/>
  <c r="I29" i="2"/>
  <c r="I28" i="2"/>
  <c r="I27" i="2"/>
  <c r="I26" i="2"/>
  <c r="I25" i="2"/>
  <c r="I23" i="2"/>
  <c r="I22" i="2"/>
  <c r="I21" i="2"/>
  <c r="I31" i="1"/>
  <c r="I30" i="1"/>
  <c r="I29" i="1"/>
  <c r="I28" i="1"/>
  <c r="I27" i="1"/>
  <c r="I26" i="1"/>
  <c r="I25" i="1"/>
  <c r="I24" i="1"/>
  <c r="I23" i="1"/>
  <c r="I22" i="1"/>
  <c r="I21" i="1"/>
  <c r="I31" i="19"/>
  <c r="I30" i="19"/>
  <c r="I29" i="19"/>
  <c r="I28" i="19"/>
  <c r="I27" i="19"/>
  <c r="I26" i="19"/>
  <c r="I25" i="19"/>
  <c r="I24" i="19"/>
  <c r="I23" i="19"/>
  <c r="I22" i="19"/>
  <c r="I21" i="19"/>
  <c r="J21" i="19" s="1"/>
  <c r="I20" i="4"/>
  <c r="I31" i="4"/>
  <c r="I30" i="4"/>
  <c r="I29" i="4"/>
  <c r="I28" i="4"/>
  <c r="I27" i="4"/>
  <c r="I26" i="4"/>
  <c r="I24" i="4"/>
  <c r="I23" i="4"/>
  <c r="I22" i="4"/>
  <c r="I21" i="4"/>
  <c r="AF34" i="9"/>
  <c r="E40" i="10" s="1"/>
  <c r="D30" i="10" s="1"/>
  <c r="E22" i="10" l="1"/>
  <c r="E30" i="10"/>
  <c r="Q23" i="9"/>
  <c r="G30" i="10" l="1"/>
  <c r="H30" i="10" s="1"/>
  <c r="G22" i="10"/>
  <c r="H22" i="10" s="1"/>
  <c r="I25" i="6"/>
  <c r="I22" i="6"/>
  <c r="I24" i="6"/>
  <c r="I31" i="6"/>
  <c r="I23" i="6"/>
  <c r="I30" i="6"/>
  <c r="I28" i="6"/>
  <c r="I29" i="6"/>
  <c r="I21" i="6"/>
  <c r="I27" i="6"/>
  <c r="I26" i="6"/>
  <c r="Q34" i="9" l="1"/>
  <c r="Q35" i="9"/>
  <c r="Q36" i="9"/>
  <c r="Q33" i="9"/>
  <c r="Q24" i="9"/>
  <c r="I23" i="10" l="1"/>
  <c r="I27" i="10"/>
  <c r="I34" i="10"/>
  <c r="K34" i="10" s="1"/>
  <c r="I25" i="10"/>
  <c r="I21" i="10"/>
  <c r="I32" i="10"/>
  <c r="I31" i="10"/>
  <c r="I37" i="10"/>
  <c r="I35" i="10"/>
  <c r="K35" i="10" s="1"/>
  <c r="I36" i="10"/>
  <c r="K36" i="10" s="1"/>
  <c r="I20" i="10"/>
  <c r="I33" i="10"/>
  <c r="K33" i="10" s="1"/>
  <c r="I26" i="10"/>
  <c r="I29" i="10"/>
  <c r="I28" i="10"/>
  <c r="I24" i="10"/>
  <c r="I22" i="10"/>
  <c r="I30" i="10"/>
  <c r="I31" i="5"/>
  <c r="I22" i="5"/>
  <c r="I28" i="5"/>
  <c r="I30" i="5"/>
  <c r="I21" i="5"/>
  <c r="I26" i="5"/>
  <c r="I29" i="5"/>
  <c r="I20" i="5"/>
  <c r="I24" i="5"/>
  <c r="I27" i="5"/>
  <c r="I26" i="7"/>
  <c r="I25" i="7"/>
  <c r="I30" i="7"/>
  <c r="I29" i="7"/>
  <c r="I27" i="7"/>
  <c r="I20" i="7"/>
  <c r="I24" i="7"/>
  <c r="I31" i="7"/>
  <c r="I22" i="7"/>
  <c r="I28" i="7"/>
  <c r="I21" i="7"/>
  <c r="I28" i="18"/>
  <c r="I34" i="21"/>
  <c r="I26" i="21"/>
  <c r="I21" i="21"/>
  <c r="I27" i="21"/>
  <c r="I20" i="18"/>
  <c r="I27" i="18"/>
  <c r="I33" i="21"/>
  <c r="I25" i="21"/>
  <c r="I23" i="18"/>
  <c r="I34" i="18"/>
  <c r="I26" i="18"/>
  <c r="I32" i="21"/>
  <c r="I24" i="21"/>
  <c r="I33" i="18"/>
  <c r="I25" i="18"/>
  <c r="I31" i="21"/>
  <c r="I23" i="21"/>
  <c r="I29" i="18"/>
  <c r="I32" i="18"/>
  <c r="I24" i="18"/>
  <c r="I30" i="21"/>
  <c r="I22" i="21"/>
  <c r="I31" i="18"/>
  <c r="I29" i="21"/>
  <c r="I30" i="18"/>
  <c r="I22" i="18"/>
  <c r="I28" i="21"/>
  <c r="AF35" i="9"/>
  <c r="J24" i="10" l="1"/>
  <c r="K24" i="10"/>
  <c r="L24" i="10" s="1"/>
  <c r="K28" i="10"/>
  <c r="L28" i="10" s="1"/>
  <c r="J28" i="10"/>
  <c r="J29" i="10"/>
  <c r="K29" i="10"/>
  <c r="K32" i="10"/>
  <c r="L32" i="10" s="1"/>
  <c r="J32" i="10"/>
  <c r="J37" i="10"/>
  <c r="K37" i="10"/>
  <c r="L37" i="10" s="1"/>
  <c r="K26" i="10"/>
  <c r="L26" i="10" s="1"/>
  <c r="J26" i="10"/>
  <c r="K21" i="10"/>
  <c r="L21" i="10" s="1"/>
  <c r="J21" i="10"/>
  <c r="K25" i="10"/>
  <c r="J25" i="10"/>
  <c r="J31" i="10"/>
  <c r="K31" i="10"/>
  <c r="L31" i="10" s="1"/>
  <c r="J20" i="10"/>
  <c r="K20" i="10"/>
  <c r="L20" i="10" s="1"/>
  <c r="J30" i="10"/>
  <c r="K30" i="10"/>
  <c r="L30" i="10" s="1"/>
  <c r="K27" i="10"/>
  <c r="J27" i="10"/>
  <c r="J22" i="10"/>
  <c r="K22" i="10"/>
  <c r="L22" i="10" s="1"/>
  <c r="K23" i="10"/>
  <c r="J23" i="10"/>
  <c r="J34" i="9"/>
  <c r="L27" i="10" l="1"/>
  <c r="E36" i="10"/>
  <c r="E33" i="10"/>
  <c r="E35" i="10"/>
  <c r="E34" i="10"/>
  <c r="L25" i="10"/>
  <c r="L23" i="10"/>
  <c r="L29" i="10"/>
  <c r="AF27" i="9"/>
  <c r="E33" i="19"/>
  <c r="D20" i="19" s="1"/>
  <c r="E20" i="19" s="1"/>
  <c r="J34" i="10" l="1"/>
  <c r="L34" i="10" s="1"/>
  <c r="G34" i="10"/>
  <c r="H34" i="10" s="1"/>
  <c r="J33" i="10"/>
  <c r="L33" i="10" s="1"/>
  <c r="G33" i="10"/>
  <c r="H33" i="10" s="1"/>
  <c r="J35" i="10"/>
  <c r="L35" i="10" s="1"/>
  <c r="G35" i="10"/>
  <c r="H35" i="10" s="1"/>
  <c r="J36" i="10"/>
  <c r="L36" i="10" s="1"/>
  <c r="G36" i="10"/>
  <c r="H36" i="10" s="1"/>
  <c r="H20" i="19"/>
  <c r="I20" i="19"/>
  <c r="J20" i="19" s="1"/>
  <c r="F26" i="6"/>
  <c r="F27" i="6"/>
  <c r="F28" i="6"/>
  <c r="F29" i="6"/>
  <c r="F30" i="6"/>
  <c r="F31" i="6"/>
  <c r="E27" i="6"/>
  <c r="E28" i="6"/>
  <c r="E29" i="6"/>
  <c r="E30" i="6"/>
  <c r="E31" i="6"/>
  <c r="D23" i="7"/>
  <c r="E23" i="7" s="1"/>
  <c r="E33" i="6"/>
  <c r="D20" i="6" s="1"/>
  <c r="I20" i="6" s="1"/>
  <c r="E33" i="5"/>
  <c r="E33" i="4"/>
  <c r="D25" i="4" s="1"/>
  <c r="E33" i="1"/>
  <c r="D24" i="2"/>
  <c r="E33" i="13"/>
  <c r="E33" i="20"/>
  <c r="D20" i="20" s="1"/>
  <c r="E33" i="12"/>
  <c r="D27" i="12" s="1"/>
  <c r="I27" i="12" s="1"/>
  <c r="E33" i="11"/>
  <c r="D20" i="11" s="1"/>
  <c r="I20" i="11" s="1"/>
  <c r="D36" i="21"/>
  <c r="D20" i="21" s="1"/>
  <c r="E20" i="21" s="1"/>
  <c r="A9" i="23"/>
  <c r="L10" i="19"/>
  <c r="L10" i="21"/>
  <c r="L10" i="12"/>
  <c r="G22" i="21"/>
  <c r="H22" i="21" s="1"/>
  <c r="A5" i="21"/>
  <c r="A2" i="21"/>
  <c r="F20" i="4"/>
  <c r="E20" i="5"/>
  <c r="E31" i="4"/>
  <c r="E31" i="19"/>
  <c r="F21" i="2"/>
  <c r="F22" i="2"/>
  <c r="F23" i="2"/>
  <c r="F26" i="2"/>
  <c r="F27" i="2"/>
  <c r="F28" i="2"/>
  <c r="F29" i="2"/>
  <c r="F30" i="2"/>
  <c r="F31" i="2"/>
  <c r="F20" i="2"/>
  <c r="F21" i="1"/>
  <c r="F22" i="1"/>
  <c r="F23" i="1"/>
  <c r="G23" i="1" s="1"/>
  <c r="F25" i="1"/>
  <c r="F26" i="1"/>
  <c r="F27" i="1"/>
  <c r="F28" i="1"/>
  <c r="F29" i="1"/>
  <c r="F30" i="1"/>
  <c r="F31" i="1"/>
  <c r="K31" i="1" s="1"/>
  <c r="F21" i="5"/>
  <c r="F22" i="5"/>
  <c r="F26" i="5"/>
  <c r="F27" i="5"/>
  <c r="F28" i="5"/>
  <c r="F29" i="5"/>
  <c r="F30" i="5"/>
  <c r="F31" i="5"/>
  <c r="E21" i="5"/>
  <c r="E22" i="5"/>
  <c r="E26" i="5"/>
  <c r="E27" i="5"/>
  <c r="E28" i="5"/>
  <c r="E29" i="5"/>
  <c r="E30" i="5"/>
  <c r="E31" i="5"/>
  <c r="F20" i="5"/>
  <c r="F21" i="6"/>
  <c r="F24" i="6"/>
  <c r="F25" i="6"/>
  <c r="E21" i="6"/>
  <c r="E24" i="6"/>
  <c r="E25" i="6"/>
  <c r="E26" i="6"/>
  <c r="L10" i="18"/>
  <c r="L10" i="11"/>
  <c r="L10" i="20"/>
  <c r="L10" i="13"/>
  <c r="L10" i="2"/>
  <c r="L10" i="1"/>
  <c r="L10" i="4"/>
  <c r="L10" i="5"/>
  <c r="L10" i="6"/>
  <c r="F22" i="19"/>
  <c r="F23" i="19"/>
  <c r="F24" i="19"/>
  <c r="F25" i="19"/>
  <c r="F26" i="19"/>
  <c r="K26" i="19" s="1"/>
  <c r="F27" i="19"/>
  <c r="F28" i="19"/>
  <c r="F29" i="19"/>
  <c r="F30" i="19"/>
  <c r="F31" i="19"/>
  <c r="F20" i="19"/>
  <c r="F21" i="4"/>
  <c r="F22" i="4"/>
  <c r="F24" i="4"/>
  <c r="F26" i="4"/>
  <c r="F27" i="4"/>
  <c r="F28" i="4"/>
  <c r="F29" i="4"/>
  <c r="F30" i="4"/>
  <c r="F31" i="4"/>
  <c r="A5" i="18"/>
  <c r="F21" i="11"/>
  <c r="E21" i="11"/>
  <c r="F22" i="11"/>
  <c r="E22" i="11"/>
  <c r="F23" i="11"/>
  <c r="E23" i="11"/>
  <c r="F24" i="11"/>
  <c r="E24" i="11"/>
  <c r="F25" i="11"/>
  <c r="E25" i="11"/>
  <c r="F27" i="11"/>
  <c r="E27" i="11"/>
  <c r="F29" i="11"/>
  <c r="E29" i="11"/>
  <c r="F30" i="11"/>
  <c r="E30" i="11"/>
  <c r="F31" i="11"/>
  <c r="E31" i="11"/>
  <c r="A5" i="11"/>
  <c r="F21" i="12"/>
  <c r="E21" i="12"/>
  <c r="F22" i="12"/>
  <c r="E22" i="12"/>
  <c r="F23" i="12"/>
  <c r="E23" i="12"/>
  <c r="F24" i="12"/>
  <c r="E24" i="12"/>
  <c r="F25" i="12"/>
  <c r="E25" i="12"/>
  <c r="F26" i="12"/>
  <c r="E26" i="12"/>
  <c r="F27" i="12"/>
  <c r="F30" i="12"/>
  <c r="E30" i="12"/>
  <c r="F31" i="12"/>
  <c r="E31" i="12"/>
  <c r="F20" i="12"/>
  <c r="A5" i="12"/>
  <c r="F21" i="20"/>
  <c r="F22" i="20"/>
  <c r="F23" i="20"/>
  <c r="F24" i="20"/>
  <c r="F25" i="20"/>
  <c r="F26" i="20"/>
  <c r="F27" i="20"/>
  <c r="F28" i="20"/>
  <c r="E31" i="20"/>
  <c r="F31" i="20"/>
  <c r="A5" i="20"/>
  <c r="A2" i="20"/>
  <c r="F21" i="13"/>
  <c r="F22" i="13"/>
  <c r="F23" i="13"/>
  <c r="F24" i="13"/>
  <c r="F25" i="13"/>
  <c r="F26" i="13"/>
  <c r="F27" i="13"/>
  <c r="F30" i="13"/>
  <c r="F31" i="13"/>
  <c r="F20" i="13"/>
  <c r="A5" i="13"/>
  <c r="A5" i="2"/>
  <c r="A5" i="1"/>
  <c r="A5" i="19"/>
  <c r="A2" i="19"/>
  <c r="A5" i="4"/>
  <c r="A5" i="5"/>
  <c r="K26" i="6"/>
  <c r="A5" i="6"/>
  <c r="L10" i="7"/>
  <c r="A5" i="7"/>
  <c r="A2" i="6"/>
  <c r="A2" i="5"/>
  <c r="A2" i="7"/>
  <c r="A2" i="4"/>
  <c r="A2" i="1"/>
  <c r="A2" i="2"/>
  <c r="A2" i="18"/>
  <c r="A2" i="13"/>
  <c r="A2" i="12"/>
  <c r="A2" i="11"/>
  <c r="F25" i="2"/>
  <c r="F25" i="4"/>
  <c r="I20" i="20" l="1"/>
  <c r="E20" i="20"/>
  <c r="I29" i="13"/>
  <c r="D28" i="13"/>
  <c r="I24" i="2"/>
  <c r="E24" i="2"/>
  <c r="E20" i="11"/>
  <c r="H20" i="11" s="1"/>
  <c r="I25" i="4"/>
  <c r="E25" i="4"/>
  <c r="E27" i="12"/>
  <c r="F20" i="11"/>
  <c r="I23" i="5"/>
  <c r="D25" i="5"/>
  <c r="H23" i="1"/>
  <c r="F29" i="13"/>
  <c r="K29" i="13" s="1"/>
  <c r="I23" i="7"/>
  <c r="I20" i="21"/>
  <c r="F20" i="20"/>
  <c r="H20" i="20"/>
  <c r="E20" i="6"/>
  <c r="J20" i="6" s="1"/>
  <c r="F20" i="6"/>
  <c r="J25" i="4"/>
  <c r="F28" i="11"/>
  <c r="E29" i="12"/>
  <c r="I28" i="12"/>
  <c r="G31" i="4"/>
  <c r="H31" i="4" s="1"/>
  <c r="K25" i="20"/>
  <c r="K34" i="18"/>
  <c r="D36" i="18"/>
  <c r="D21" i="18" s="1"/>
  <c r="E21" i="18" s="1"/>
  <c r="F29" i="12"/>
  <c r="K29" i="12" s="1"/>
  <c r="F29" i="20"/>
  <c r="K29" i="20" s="1"/>
  <c r="J29" i="20"/>
  <c r="E33" i="7"/>
  <c r="G23" i="20"/>
  <c r="H23" i="20" s="1"/>
  <c r="K27" i="2"/>
  <c r="K21" i="21"/>
  <c r="K20" i="12"/>
  <c r="K22" i="19"/>
  <c r="G22" i="20"/>
  <c r="H22" i="20" s="1"/>
  <c r="G28" i="1"/>
  <c r="H28" i="1" s="1"/>
  <c r="K30" i="12"/>
  <c r="K30" i="6"/>
  <c r="G28" i="5"/>
  <c r="H28" i="5" s="1"/>
  <c r="J29" i="6"/>
  <c r="G22" i="4"/>
  <c r="H22" i="4" s="1"/>
  <c r="G21" i="1"/>
  <c r="H21" i="1" s="1"/>
  <c r="G23" i="2"/>
  <c r="H23" i="2" s="1"/>
  <c r="J30" i="7"/>
  <c r="E23" i="6"/>
  <c r="D20" i="1"/>
  <c r="I20" i="1" s="1"/>
  <c r="K27" i="6"/>
  <c r="K25" i="18"/>
  <c r="G21" i="6"/>
  <c r="H21" i="6" s="1"/>
  <c r="G28" i="6"/>
  <c r="H28" i="6" s="1"/>
  <c r="K25" i="6"/>
  <c r="G26" i="6"/>
  <c r="H26" i="6" s="1"/>
  <c r="G26" i="7"/>
  <c r="H26" i="7" s="1"/>
  <c r="K26" i="18"/>
  <c r="G22" i="2"/>
  <c r="H22" i="2" s="1"/>
  <c r="K29" i="7"/>
  <c r="J24" i="2"/>
  <c r="G26" i="12"/>
  <c r="H26" i="12" s="1"/>
  <c r="J24" i="18"/>
  <c r="J30" i="2"/>
  <c r="G29" i="1"/>
  <c r="H29" i="1" s="1"/>
  <c r="K20" i="20"/>
  <c r="K22" i="20"/>
  <c r="G20" i="5"/>
  <c r="H20" i="5" s="1"/>
  <c r="G25" i="13"/>
  <c r="H25" i="13" s="1"/>
  <c r="J23" i="20"/>
  <c r="J33" i="21"/>
  <c r="J34" i="18"/>
  <c r="K31" i="5"/>
  <c r="K29" i="6"/>
  <c r="J23" i="13"/>
  <c r="K22" i="13"/>
  <c r="G31" i="11"/>
  <c r="H31" i="11" s="1"/>
  <c r="K30" i="11"/>
  <c r="K21" i="11"/>
  <c r="K31" i="4"/>
  <c r="J20" i="18"/>
  <c r="K20" i="7"/>
  <c r="K24" i="7"/>
  <c r="F24" i="2"/>
  <c r="F23" i="4"/>
  <c r="K31" i="6"/>
  <c r="J28" i="20"/>
  <c r="K29" i="4"/>
  <c r="G20" i="19"/>
  <c r="G21" i="13"/>
  <c r="H21" i="13" s="1"/>
  <c r="G21" i="4"/>
  <c r="H21" i="4" s="1"/>
  <c r="J27" i="2"/>
  <c r="J21" i="1"/>
  <c r="G21" i="21"/>
  <c r="H21" i="21" s="1"/>
  <c r="G32" i="18"/>
  <c r="H32" i="18" s="1"/>
  <c r="G25" i="21"/>
  <c r="H25" i="21" s="1"/>
  <c r="G31" i="21"/>
  <c r="H31" i="21" s="1"/>
  <c r="G30" i="21"/>
  <c r="H30" i="21" s="1"/>
  <c r="G20" i="11"/>
  <c r="K23" i="21"/>
  <c r="G25" i="20"/>
  <c r="H25" i="20" s="1"/>
  <c r="K31" i="21"/>
  <c r="K20" i="5"/>
  <c r="G31" i="20"/>
  <c r="H31" i="20" s="1"/>
  <c r="K21" i="20"/>
  <c r="E28" i="11"/>
  <c r="G28" i="11" s="1"/>
  <c r="H28" i="11" s="1"/>
  <c r="K28" i="6"/>
  <c r="K20" i="13"/>
  <c r="G22" i="12"/>
  <c r="H22" i="12" s="1"/>
  <c r="K31" i="11"/>
  <c r="G29" i="11"/>
  <c r="H29" i="11" s="1"/>
  <c r="G27" i="11"/>
  <c r="H27" i="11" s="1"/>
  <c r="G24" i="11"/>
  <c r="H24" i="11" s="1"/>
  <c r="K22" i="11"/>
  <c r="J31" i="18"/>
  <c r="K28" i="19"/>
  <c r="K24" i="19"/>
  <c r="G30" i="5"/>
  <c r="H30" i="5" s="1"/>
  <c r="G26" i="5"/>
  <c r="H26" i="5" s="1"/>
  <c r="G21" i="5"/>
  <c r="H21" i="5" s="1"/>
  <c r="G30" i="2"/>
  <c r="H30" i="2" s="1"/>
  <c r="G26" i="2"/>
  <c r="H26" i="2" s="1"/>
  <c r="K28" i="2"/>
  <c r="J26" i="2"/>
  <c r="G27" i="4"/>
  <c r="H27" i="4" s="1"/>
  <c r="K20" i="18"/>
  <c r="J21" i="7"/>
  <c r="J29" i="7"/>
  <c r="J25" i="21"/>
  <c r="J30" i="21"/>
  <c r="J32" i="21"/>
  <c r="J27" i="21"/>
  <c r="K32" i="21"/>
  <c r="K27" i="21"/>
  <c r="K22" i="21"/>
  <c r="K29" i="18"/>
  <c r="K26" i="7"/>
  <c r="G21" i="7"/>
  <c r="H21" i="7" s="1"/>
  <c r="J20" i="2"/>
  <c r="K20" i="2"/>
  <c r="F24" i="1"/>
  <c r="F21" i="19"/>
  <c r="K31" i="19"/>
  <c r="K23" i="19"/>
  <c r="G26" i="1"/>
  <c r="H26" i="1" s="1"/>
  <c r="K26" i="1"/>
  <c r="J28" i="2"/>
  <c r="J31" i="1"/>
  <c r="L31" i="1" s="1"/>
  <c r="G27" i="19"/>
  <c r="H27" i="19" s="1"/>
  <c r="J20" i="7"/>
  <c r="G20" i="7"/>
  <c r="H20" i="7" s="1"/>
  <c r="G29" i="7"/>
  <c r="H29" i="7" s="1"/>
  <c r="G28" i="19"/>
  <c r="H28" i="19" s="1"/>
  <c r="J20" i="4"/>
  <c r="G28" i="2"/>
  <c r="H28" i="2" s="1"/>
  <c r="K31" i="13"/>
  <c r="G31" i="7"/>
  <c r="H31" i="7" s="1"/>
  <c r="K31" i="7"/>
  <c r="K22" i="7"/>
  <c r="K27" i="5"/>
  <c r="K22" i="5"/>
  <c r="G30" i="13"/>
  <c r="H30" i="13" s="1"/>
  <c r="K26" i="12"/>
  <c r="K22" i="12"/>
  <c r="K24" i="11"/>
  <c r="G20" i="2"/>
  <c r="H20" i="2" s="1"/>
  <c r="K22" i="2"/>
  <c r="K23" i="2"/>
  <c r="J30" i="4"/>
  <c r="F23" i="6"/>
  <c r="G23" i="21"/>
  <c r="H23" i="21" s="1"/>
  <c r="J32" i="18"/>
  <c r="K21" i="6"/>
  <c r="K30" i="5"/>
  <c r="K26" i="5"/>
  <c r="K21" i="5"/>
  <c r="K30" i="13"/>
  <c r="K23" i="13"/>
  <c r="K26" i="20"/>
  <c r="J25" i="20"/>
  <c r="K27" i="20"/>
  <c r="K23" i="20"/>
  <c r="G25" i="12"/>
  <c r="H25" i="12" s="1"/>
  <c r="G21" i="12"/>
  <c r="H21" i="12" s="1"/>
  <c r="K30" i="4"/>
  <c r="K25" i="19"/>
  <c r="G31" i="5"/>
  <c r="H31" i="5" s="1"/>
  <c r="G27" i="5"/>
  <c r="H27" i="5" s="1"/>
  <c r="J27" i="7"/>
  <c r="K27" i="7"/>
  <c r="F28" i="13"/>
  <c r="J22" i="2"/>
  <c r="K27" i="13"/>
  <c r="G31" i="12"/>
  <c r="H31" i="12" s="1"/>
  <c r="J31" i="12"/>
  <c r="K29" i="11"/>
  <c r="J29" i="11"/>
  <c r="J25" i="7"/>
  <c r="G29" i="6"/>
  <c r="H29" i="6" s="1"/>
  <c r="G22" i="5"/>
  <c r="H22" i="5" s="1"/>
  <c r="J22" i="5"/>
  <c r="K31" i="2"/>
  <c r="J23" i="2"/>
  <c r="J28" i="7"/>
  <c r="J22" i="18"/>
  <c r="G22" i="13"/>
  <c r="H22" i="13" s="1"/>
  <c r="J22" i="13"/>
  <c r="J34" i="21"/>
  <c r="J22" i="21"/>
  <c r="G31" i="1"/>
  <c r="H31" i="1" s="1"/>
  <c r="F30" i="20"/>
  <c r="G22" i="7"/>
  <c r="H22" i="7" s="1"/>
  <c r="J22" i="7"/>
  <c r="J33" i="18"/>
  <c r="K29" i="5"/>
  <c r="F23" i="5"/>
  <c r="G26" i="20"/>
  <c r="H26" i="20" s="1"/>
  <c r="G21" i="20"/>
  <c r="H21" i="20" s="1"/>
  <c r="K27" i="12"/>
  <c r="K25" i="11"/>
  <c r="G22" i="1"/>
  <c r="H22" i="1" s="1"/>
  <c r="K30" i="2"/>
  <c r="K26" i="2"/>
  <c r="J31" i="2"/>
  <c r="J29" i="2"/>
  <c r="G27" i="2"/>
  <c r="H27" i="2" s="1"/>
  <c r="J30" i="1"/>
  <c r="K28" i="1"/>
  <c r="J26" i="1"/>
  <c r="J23" i="1"/>
  <c r="K21" i="1"/>
  <c r="L20" i="19"/>
  <c r="J30" i="19"/>
  <c r="J28" i="19"/>
  <c r="G30" i="7"/>
  <c r="H30" i="7" s="1"/>
  <c r="J23" i="21"/>
  <c r="G24" i="18"/>
  <c r="H24" i="18" s="1"/>
  <c r="G34" i="21"/>
  <c r="H34" i="21" s="1"/>
  <c r="G26" i="13"/>
  <c r="H26" i="13" s="1"/>
  <c r="G24" i="13"/>
  <c r="H24" i="13" s="1"/>
  <c r="G24" i="20"/>
  <c r="H24" i="20" s="1"/>
  <c r="K31" i="12"/>
  <c r="J26" i="12"/>
  <c r="K24" i="12"/>
  <c r="G24" i="19"/>
  <c r="H24" i="19" s="1"/>
  <c r="J29" i="18"/>
  <c r="K30" i="7"/>
  <c r="G20" i="18"/>
  <c r="H20" i="18" s="1"/>
  <c r="J27" i="18"/>
  <c r="G27" i="18"/>
  <c r="H27" i="18" s="1"/>
  <c r="G28" i="7"/>
  <c r="H28" i="7" s="1"/>
  <c r="K24" i="6"/>
  <c r="J21" i="20"/>
  <c r="K26" i="13"/>
  <c r="K24" i="13"/>
  <c r="K31" i="20"/>
  <c r="K28" i="20"/>
  <c r="J24" i="20"/>
  <c r="J30" i="12"/>
  <c r="G27" i="12"/>
  <c r="H27" i="12" s="1"/>
  <c r="K25" i="12"/>
  <c r="G23" i="12"/>
  <c r="H23" i="12" s="1"/>
  <c r="K21" i="12"/>
  <c r="K20" i="11"/>
  <c r="J27" i="11"/>
  <c r="G25" i="11"/>
  <c r="H25" i="11" s="1"/>
  <c r="K23" i="11"/>
  <c r="G21" i="11"/>
  <c r="H21" i="11" s="1"/>
  <c r="J25" i="18"/>
  <c r="J25" i="19"/>
  <c r="J31" i="4"/>
  <c r="J29" i="4"/>
  <c r="K22" i="4"/>
  <c r="K29" i="21"/>
  <c r="K24" i="21"/>
  <c r="J30" i="18"/>
  <c r="K30" i="18"/>
  <c r="J30" i="11"/>
  <c r="G30" i="11"/>
  <c r="H30" i="11" s="1"/>
  <c r="G26" i="18"/>
  <c r="H26" i="18" s="1"/>
  <c r="J26" i="18"/>
  <c r="G31" i="2"/>
  <c r="H31" i="2" s="1"/>
  <c r="J26" i="6"/>
  <c r="L26" i="6" s="1"/>
  <c r="G27" i="13"/>
  <c r="H27" i="13" s="1"/>
  <c r="J27" i="13"/>
  <c r="J28" i="1"/>
  <c r="L28" i="1" s="1"/>
  <c r="K20" i="19"/>
  <c r="J21" i="11"/>
  <c r="J27" i="5"/>
  <c r="J25" i="12"/>
  <c r="J27" i="12"/>
  <c r="K28" i="5"/>
  <c r="J28" i="5"/>
  <c r="J27" i="19"/>
  <c r="K27" i="19"/>
  <c r="G24" i="4"/>
  <c r="H24" i="4" s="1"/>
  <c r="K20" i="4"/>
  <c r="G20" i="4"/>
  <c r="H20" i="4" s="1"/>
  <c r="J31" i="21"/>
  <c r="G26" i="21"/>
  <c r="H26" i="21" s="1"/>
  <c r="J26" i="21"/>
  <c r="K26" i="21"/>
  <c r="G24" i="7"/>
  <c r="H24" i="7" s="1"/>
  <c r="G20" i="13"/>
  <c r="H20" i="13" s="1"/>
  <c r="J20" i="13"/>
  <c r="K25" i="13"/>
  <c r="J25" i="13"/>
  <c r="G29" i="5"/>
  <c r="H29" i="5" s="1"/>
  <c r="J29" i="5"/>
  <c r="G34" i="18"/>
  <c r="H34" i="18" s="1"/>
  <c r="J30" i="5"/>
  <c r="K27" i="18"/>
  <c r="G28" i="20"/>
  <c r="H28" i="20" s="1"/>
  <c r="G20" i="20"/>
  <c r="J20" i="20"/>
  <c r="L20" i="20" s="1"/>
  <c r="K24" i="20"/>
  <c r="J20" i="12"/>
  <c r="G20" i="12"/>
  <c r="H20" i="12" s="1"/>
  <c r="J24" i="7"/>
  <c r="G32" i="21"/>
  <c r="H32" i="21" s="1"/>
  <c r="G25" i="7"/>
  <c r="H25" i="7" s="1"/>
  <c r="K25" i="7"/>
  <c r="G29" i="4"/>
  <c r="H29" i="4" s="1"/>
  <c r="G30" i="12"/>
  <c r="H30" i="12" s="1"/>
  <c r="J29" i="12"/>
  <c r="K21" i="2"/>
  <c r="K27" i="4"/>
  <c r="J27" i="4"/>
  <c r="K30" i="21"/>
  <c r="G31" i="18"/>
  <c r="H31" i="18" s="1"/>
  <c r="G27" i="7"/>
  <c r="H27" i="7" s="1"/>
  <c r="J20" i="5"/>
  <c r="J22" i="20"/>
  <c r="J31" i="11"/>
  <c r="G31" i="19"/>
  <c r="H31" i="19" s="1"/>
  <c r="G22" i="19"/>
  <c r="H22" i="19" s="1"/>
  <c r="G25" i="19"/>
  <c r="H25" i="19" s="1"/>
  <c r="J23" i="19"/>
  <c r="J26" i="7"/>
  <c r="G25" i="2"/>
  <c r="H25" i="2" s="1"/>
  <c r="J31" i="13"/>
  <c r="J21" i="12"/>
  <c r="J23" i="11"/>
  <c r="K30" i="19"/>
  <c r="K23" i="1"/>
  <c r="K25" i="1"/>
  <c r="J22" i="1"/>
  <c r="K29" i="19"/>
  <c r="J24" i="19"/>
  <c r="J22" i="19"/>
  <c r="K28" i="4"/>
  <c r="K26" i="4"/>
  <c r="K24" i="4"/>
  <c r="J21" i="4"/>
  <c r="J31" i="7"/>
  <c r="J29" i="21"/>
  <c r="J24" i="21"/>
  <c r="J28" i="18"/>
  <c r="K32" i="18"/>
  <c r="K28" i="18"/>
  <c r="G25" i="18"/>
  <c r="H25" i="18" s="1"/>
  <c r="K21" i="7"/>
  <c r="J31" i="6"/>
  <c r="J21" i="13"/>
  <c r="K21" i="13"/>
  <c r="J22" i="11"/>
  <c r="G22" i="11"/>
  <c r="H22" i="11" s="1"/>
  <c r="J23" i="18"/>
  <c r="G23" i="19"/>
  <c r="H23" i="19" s="1"/>
  <c r="G29" i="21"/>
  <c r="H29" i="21" s="1"/>
  <c r="J24" i="4"/>
  <c r="J26" i="13"/>
  <c r="J24" i="13"/>
  <c r="G31" i="6"/>
  <c r="H31" i="6" s="1"/>
  <c r="J23" i="12"/>
  <c r="K23" i="12"/>
  <c r="K21" i="4"/>
  <c r="G27" i="1"/>
  <c r="H27" i="1" s="1"/>
  <c r="K27" i="1"/>
  <c r="G26" i="19"/>
  <c r="H26" i="19" s="1"/>
  <c r="J28" i="4"/>
  <c r="G28" i="4"/>
  <c r="H28" i="4" s="1"/>
  <c r="G26" i="4"/>
  <c r="H26" i="4" s="1"/>
  <c r="J26" i="4"/>
  <c r="K33" i="21"/>
  <c r="G23" i="18"/>
  <c r="H23" i="18" s="1"/>
  <c r="K28" i="7"/>
  <c r="J30" i="6"/>
  <c r="J27" i="6"/>
  <c r="G27" i="6"/>
  <c r="H27" i="6" s="1"/>
  <c r="K22" i="1"/>
  <c r="G30" i="6"/>
  <c r="H30" i="6" s="1"/>
  <c r="J21" i="5"/>
  <c r="J28" i="6"/>
  <c r="K24" i="18"/>
  <c r="K25" i="2"/>
  <c r="G23" i="11"/>
  <c r="H23" i="11" s="1"/>
  <c r="K23" i="18"/>
  <c r="J30" i="13"/>
  <c r="J26" i="20"/>
  <c r="J22" i="12"/>
  <c r="J20" i="11"/>
  <c r="L20" i="11" s="1"/>
  <c r="J25" i="11"/>
  <c r="J25" i="6"/>
  <c r="G25" i="6"/>
  <c r="H25" i="6" s="1"/>
  <c r="K29" i="1"/>
  <c r="J29" i="1"/>
  <c r="L29" i="1" s="1"/>
  <c r="J27" i="1"/>
  <c r="J25" i="1"/>
  <c r="J31" i="19"/>
  <c r="J29" i="19"/>
  <c r="J26" i="19"/>
  <c r="L26" i="19" s="1"/>
  <c r="J21" i="21"/>
  <c r="K25" i="21"/>
  <c r="G30" i="18"/>
  <c r="H30" i="18" s="1"/>
  <c r="K34" i="21"/>
  <c r="G28" i="18"/>
  <c r="H28" i="18" s="1"/>
  <c r="G30" i="19"/>
  <c r="H30" i="19" s="1"/>
  <c r="J31" i="5"/>
  <c r="J24" i="11"/>
  <c r="J21" i="6"/>
  <c r="J26" i="5"/>
  <c r="G23" i="13"/>
  <c r="H23" i="13" s="1"/>
  <c r="K25" i="4"/>
  <c r="G30" i="4"/>
  <c r="H30" i="4" s="1"/>
  <c r="J25" i="2"/>
  <c r="G33" i="21"/>
  <c r="H33" i="21" s="1"/>
  <c r="K27" i="11"/>
  <c r="G31" i="13"/>
  <c r="H31" i="13" s="1"/>
  <c r="J31" i="20"/>
  <c r="G25" i="1"/>
  <c r="H25" i="1" s="1"/>
  <c r="J27" i="20"/>
  <c r="G27" i="20"/>
  <c r="H27" i="20" s="1"/>
  <c r="K31" i="18"/>
  <c r="G24" i="6"/>
  <c r="H24" i="6" s="1"/>
  <c r="J24" i="6"/>
  <c r="K29" i="2"/>
  <c r="G29" i="2"/>
  <c r="H29" i="2" s="1"/>
  <c r="G21" i="2"/>
  <c r="H21" i="2" s="1"/>
  <c r="J21" i="2"/>
  <c r="G27" i="21"/>
  <c r="H27" i="21" s="1"/>
  <c r="G24" i="21"/>
  <c r="H24" i="21" s="1"/>
  <c r="G33" i="18"/>
  <c r="H33" i="18" s="1"/>
  <c r="K33" i="18"/>
  <c r="J24" i="12"/>
  <c r="G24" i="12"/>
  <c r="H24" i="12" s="1"/>
  <c r="G29" i="19"/>
  <c r="H29" i="19" s="1"/>
  <c r="K30" i="1"/>
  <c r="G30" i="1"/>
  <c r="H30" i="1" s="1"/>
  <c r="J22" i="4"/>
  <c r="G29" i="18"/>
  <c r="H29" i="18" s="1"/>
  <c r="L25" i="1" l="1"/>
  <c r="G20" i="6"/>
  <c r="H20" i="6" s="1"/>
  <c r="F25" i="5"/>
  <c r="E25" i="5"/>
  <c r="I25" i="5"/>
  <c r="E28" i="13"/>
  <c r="J28" i="13" s="1"/>
  <c r="I28" i="13"/>
  <c r="L30" i="1"/>
  <c r="G29" i="12"/>
  <c r="H29" i="12" s="1"/>
  <c r="L22" i="1"/>
  <c r="G29" i="13"/>
  <c r="H29" i="13" s="1"/>
  <c r="L21" i="1"/>
  <c r="L27" i="1"/>
  <c r="L23" i="1"/>
  <c r="L26" i="1"/>
  <c r="G20" i="21"/>
  <c r="H20" i="21" s="1"/>
  <c r="J29" i="13"/>
  <c r="K20" i="6"/>
  <c r="L20" i="6" s="1"/>
  <c r="I21" i="18"/>
  <c r="G25" i="4"/>
  <c r="H25" i="4" s="1"/>
  <c r="E28" i="12"/>
  <c r="J28" i="12" s="1"/>
  <c r="I26" i="11"/>
  <c r="F26" i="11"/>
  <c r="E26" i="11"/>
  <c r="F28" i="12"/>
  <c r="K28" i="12" s="1"/>
  <c r="L25" i="20"/>
  <c r="L27" i="5"/>
  <c r="L31" i="13"/>
  <c r="L31" i="4"/>
  <c r="L22" i="19"/>
  <c r="L34" i="18"/>
  <c r="L21" i="21"/>
  <c r="L25" i="18"/>
  <c r="G29" i="20"/>
  <c r="H29" i="20" s="1"/>
  <c r="L20" i="12"/>
  <c r="L20" i="5"/>
  <c r="L22" i="13"/>
  <c r="K20" i="21"/>
  <c r="L24" i="19"/>
  <c r="L27" i="2"/>
  <c r="L32" i="18"/>
  <c r="L28" i="20"/>
  <c r="J23" i="4"/>
  <c r="J20" i="21"/>
  <c r="G24" i="2"/>
  <c r="H24" i="2" s="1"/>
  <c r="L21" i="11"/>
  <c r="L24" i="20"/>
  <c r="G23" i="4"/>
  <c r="H23" i="4" s="1"/>
  <c r="L30" i="6"/>
  <c r="L30" i="2"/>
  <c r="L29" i="4"/>
  <c r="F22" i="6"/>
  <c r="E22" i="6"/>
  <c r="E24" i="5"/>
  <c r="F24" i="5"/>
  <c r="E20" i="1"/>
  <c r="F20" i="1"/>
  <c r="L31" i="11"/>
  <c r="K23" i="4"/>
  <c r="L30" i="12"/>
  <c r="J24" i="1"/>
  <c r="L33" i="21"/>
  <c r="J23" i="6"/>
  <c r="L30" i="7"/>
  <c r="L34" i="21"/>
  <c r="L27" i="6"/>
  <c r="J23" i="5"/>
  <c r="L29" i="6"/>
  <c r="L25" i="6"/>
  <c r="L26" i="18"/>
  <c r="L23" i="20"/>
  <c r="L29" i="7"/>
  <c r="L20" i="7"/>
  <c r="K21" i="19"/>
  <c r="L21" i="19" s="1"/>
  <c r="K24" i="2"/>
  <c r="L24" i="2" s="1"/>
  <c r="L30" i="13"/>
  <c r="L24" i="18"/>
  <c r="L22" i="20"/>
  <c r="L20" i="13"/>
  <c r="L20" i="18"/>
  <c r="L21" i="6"/>
  <c r="L31" i="5"/>
  <c r="L28" i="6"/>
  <c r="L25" i="4"/>
  <c r="L22" i="12"/>
  <c r="L30" i="11"/>
  <c r="L21" i="20"/>
  <c r="L23" i="13"/>
  <c r="K28" i="21"/>
  <c r="L31" i="6"/>
  <c r="L28" i="19"/>
  <c r="L24" i="7"/>
  <c r="L25" i="12"/>
  <c r="G28" i="21"/>
  <c r="H28" i="21" s="1"/>
  <c r="G23" i="7"/>
  <c r="H23" i="7" s="1"/>
  <c r="L32" i="21"/>
  <c r="L21" i="4"/>
  <c r="L27" i="18"/>
  <c r="L30" i="18"/>
  <c r="L22" i="21"/>
  <c r="L28" i="2"/>
  <c r="L20" i="2"/>
  <c r="L21" i="7"/>
  <c r="L31" i="7"/>
  <c r="G22" i="18"/>
  <c r="H22" i="18" s="1"/>
  <c r="L30" i="21"/>
  <c r="L23" i="21"/>
  <c r="L22" i="11"/>
  <c r="L29" i="18"/>
  <c r="L27" i="21"/>
  <c r="L31" i="18"/>
  <c r="L27" i="19"/>
  <c r="L22" i="4"/>
  <c r="L28" i="18"/>
  <c r="L23" i="19"/>
  <c r="L22" i="5"/>
  <c r="L25" i="7"/>
  <c r="L31" i="21"/>
  <c r="L29" i="11"/>
  <c r="L22" i="2"/>
  <c r="L29" i="2"/>
  <c r="L25" i="21"/>
  <c r="L31" i="19"/>
  <c r="L26" i="20"/>
  <c r="L28" i="7"/>
  <c r="L26" i="13"/>
  <c r="L23" i="11"/>
  <c r="L29" i="12"/>
  <c r="L30" i="5"/>
  <c r="L26" i="2"/>
  <c r="G21" i="19"/>
  <c r="H21" i="19" s="1"/>
  <c r="L27" i="7"/>
  <c r="K23" i="6"/>
  <c r="L29" i="20"/>
  <c r="J28" i="11"/>
  <c r="K24" i="1"/>
  <c r="L30" i="19"/>
  <c r="L26" i="7"/>
  <c r="L25" i="19"/>
  <c r="L29" i="13"/>
  <c r="L27" i="12"/>
  <c r="L23" i="2"/>
  <c r="J23" i="7"/>
  <c r="L31" i="2"/>
  <c r="G30" i="20"/>
  <c r="H30" i="20" s="1"/>
  <c r="L27" i="11"/>
  <c r="L24" i="11"/>
  <c r="K28" i="11"/>
  <c r="L27" i="13"/>
  <c r="L33" i="18"/>
  <c r="L25" i="11"/>
  <c r="L28" i="4"/>
  <c r="L24" i="21"/>
  <c r="G24" i="1"/>
  <c r="H24" i="1" s="1"/>
  <c r="L22" i="7"/>
  <c r="L31" i="12"/>
  <c r="G23" i="6"/>
  <c r="H23" i="6" s="1"/>
  <c r="L27" i="20"/>
  <c r="L31" i="20"/>
  <c r="L26" i="5"/>
  <c r="L21" i="5"/>
  <c r="L29" i="21"/>
  <c r="L29" i="5"/>
  <c r="L20" i="4"/>
  <c r="L26" i="12"/>
  <c r="L30" i="4"/>
  <c r="K23" i="7"/>
  <c r="L23" i="12"/>
  <c r="L21" i="12"/>
  <c r="K28" i="13"/>
  <c r="J30" i="20"/>
  <c r="L28" i="5"/>
  <c r="K22" i="18"/>
  <c r="L22" i="18" s="1"/>
  <c r="L24" i="12"/>
  <c r="L24" i="6"/>
  <c r="L24" i="13"/>
  <c r="L24" i="4"/>
  <c r="L26" i="21"/>
  <c r="G23" i="5"/>
  <c r="H23" i="5" s="1"/>
  <c r="K23" i="5"/>
  <c r="K30" i="20"/>
  <c r="L27" i="4"/>
  <c r="L25" i="13"/>
  <c r="L29" i="19"/>
  <c r="L21" i="2"/>
  <c r="L26" i="4"/>
  <c r="L21" i="13"/>
  <c r="L25" i="2"/>
  <c r="L23" i="18"/>
  <c r="G28" i="13" l="1"/>
  <c r="H28" i="13" s="1"/>
  <c r="J25" i="5"/>
  <c r="K25" i="5"/>
  <c r="L25" i="5" s="1"/>
  <c r="G25" i="5"/>
  <c r="H25" i="5" s="1"/>
  <c r="L24" i="1"/>
  <c r="G28" i="12"/>
  <c r="H28" i="12" s="1"/>
  <c r="J21" i="18"/>
  <c r="J26" i="11"/>
  <c r="G26" i="11"/>
  <c r="H26" i="11" s="1"/>
  <c r="K26" i="11"/>
  <c r="L20" i="21"/>
  <c r="L23" i="5"/>
  <c r="G21" i="18"/>
  <c r="H21" i="18" s="1"/>
  <c r="K21" i="18"/>
  <c r="L23" i="4"/>
  <c r="L23" i="6"/>
  <c r="J22" i="6"/>
  <c r="J24" i="5"/>
  <c r="K20" i="1"/>
  <c r="G20" i="1"/>
  <c r="G22" i="6"/>
  <c r="H22" i="6" s="1"/>
  <c r="K22" i="6"/>
  <c r="H20" i="1"/>
  <c r="J20" i="1"/>
  <c r="L20" i="1" s="1"/>
  <c r="G24" i="5"/>
  <c r="H24" i="5" s="1"/>
  <c r="K24" i="5"/>
  <c r="L23" i="7"/>
  <c r="J28" i="21"/>
  <c r="L28" i="21" s="1"/>
  <c r="L28" i="12"/>
  <c r="L28" i="11"/>
  <c r="L30" i="20"/>
  <c r="L28" i="13"/>
  <c r="L26" i="11" l="1"/>
  <c r="L21" i="18"/>
  <c r="L24" i="5"/>
  <c r="L2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Battig \ May \ L</author>
  </authors>
  <commentList>
    <comment ref="P21" authorId="0" shapeId="0" xr:uid="{C0D58325-8141-46C0-B38F-E9DC5E82BEA2}">
      <text>
        <r>
          <rPr>
            <b/>
            <sz val="9"/>
            <color indexed="81"/>
            <rFont val="Tahoma"/>
            <family val="2"/>
          </rPr>
          <t>Battig \ May \ L:</t>
        </r>
        <r>
          <rPr>
            <sz val="9"/>
            <color indexed="81"/>
            <rFont val="Tahoma"/>
            <family val="2"/>
          </rPr>
          <t xml:space="preserve">
GSR, GSO, IS, and IUS equals to PGA 32, 38&amp;39, and 35
G1C and G1R equals to PGA 32
</t>
        </r>
      </text>
    </comment>
  </commentList>
</comments>
</file>

<file path=xl/sharedStrings.xml><?xml version="1.0" encoding="utf-8"?>
<sst xmlns="http://schemas.openxmlformats.org/spreadsheetml/2006/main" count="1008" uniqueCount="161">
  <si>
    <t>COLUMBIA GAS OF KENTUCKY, INC.</t>
  </si>
  <si>
    <t>TYPICAL BILL COMPARISON</t>
  </si>
  <si>
    <t>Work Paper Reference No(s):</t>
  </si>
  <si>
    <t>Schedule N</t>
  </si>
  <si>
    <t>Line</t>
  </si>
  <si>
    <t>No.</t>
  </si>
  <si>
    <t>Rate</t>
  </si>
  <si>
    <t>Code</t>
  </si>
  <si>
    <t>Level of</t>
  </si>
  <si>
    <t>Demand</t>
  </si>
  <si>
    <t>Use</t>
  </si>
  <si>
    <t>(A)</t>
  </si>
  <si>
    <t>(MCF)</t>
  </si>
  <si>
    <t>(B)</t>
  </si>
  <si>
    <t>Current</t>
  </si>
  <si>
    <t>Bill</t>
  </si>
  <si>
    <t>($)</t>
  </si>
  <si>
    <t>(C)</t>
  </si>
  <si>
    <t>Proposed</t>
  </si>
  <si>
    <t>(D)</t>
  </si>
  <si>
    <t>Increase</t>
  </si>
  <si>
    <t>(D - C)</t>
  </si>
  <si>
    <t>(E)</t>
  </si>
  <si>
    <t>(E/C)</t>
  </si>
  <si>
    <t>(%)</t>
  </si>
  <si>
    <t>(F)</t>
  </si>
  <si>
    <t>Gas</t>
  </si>
  <si>
    <t>Cost</t>
  </si>
  <si>
    <t>(G)</t>
  </si>
  <si>
    <t>Total</t>
  </si>
  <si>
    <t>(H)</t>
  </si>
  <si>
    <t>(I)</t>
  </si>
  <si>
    <t>(J)</t>
  </si>
  <si>
    <t>Percent</t>
  </si>
  <si>
    <t>(C + G)</t>
  </si>
  <si>
    <t>(D + G)</t>
  </si>
  <si>
    <t>(I - H) / H</t>
  </si>
  <si>
    <t>Residential</t>
  </si>
  <si>
    <t>Not</t>
  </si>
  <si>
    <t>Applicable</t>
  </si>
  <si>
    <t>EFFECT OF PROPOSED SALES SERVICE RATES</t>
  </si>
  <si>
    <t>GSR</t>
  </si>
  <si>
    <t>General</t>
  </si>
  <si>
    <t>Service</t>
  </si>
  <si>
    <t>G1C</t>
  </si>
  <si>
    <t>G1R</t>
  </si>
  <si>
    <t>IN3</t>
  </si>
  <si>
    <t>IN4</t>
  </si>
  <si>
    <t>IN5</t>
  </si>
  <si>
    <t>LG2</t>
  </si>
  <si>
    <t>LG3</t>
  </si>
  <si>
    <t>LG4</t>
  </si>
  <si>
    <t>GSO</t>
  </si>
  <si>
    <t>IUS</t>
  </si>
  <si>
    <t>LG&amp;E</t>
  </si>
  <si>
    <t>Commercial</t>
  </si>
  <si>
    <t>Inland</t>
  </si>
  <si>
    <t>Commercial &amp;</t>
  </si>
  <si>
    <t>Industrial</t>
  </si>
  <si>
    <t>Intrastate</t>
  </si>
  <si>
    <t>Utility</t>
  </si>
  <si>
    <t>Wholesale</t>
  </si>
  <si>
    <t>Company:</t>
  </si>
  <si>
    <t>Columbia Gas of Kentucky, Inc.</t>
  </si>
  <si>
    <t>Project:</t>
  </si>
  <si>
    <t>Written By:</t>
  </si>
  <si>
    <t>Date Written:</t>
  </si>
  <si>
    <t xml:space="preserve">Revisions By: </t>
  </si>
  <si>
    <t>Language:</t>
  </si>
  <si>
    <t>MS EXCEL ver. 8.0</t>
  </si>
  <si>
    <t>File Name:</t>
  </si>
  <si>
    <t>Synopsis:</t>
  </si>
  <si>
    <t>and text are shown in black.  Instructions are highlighted in yellow.</t>
  </si>
  <si>
    <t xml:space="preserve">Case No. </t>
  </si>
  <si>
    <t>Witness:</t>
  </si>
  <si>
    <t>Input area:</t>
  </si>
  <si>
    <t>Current Rates</t>
  </si>
  <si>
    <t>Proposed Rates</t>
  </si>
  <si>
    <t>Rate Code</t>
  </si>
  <si>
    <t>Rate Schedule Name</t>
  </si>
  <si>
    <t>First Block</t>
  </si>
  <si>
    <t>Second Block</t>
  </si>
  <si>
    <t>Third Block</t>
  </si>
  <si>
    <t>Fourth Block</t>
  </si>
  <si>
    <t>Fifth Block</t>
  </si>
  <si>
    <t>Cust Chg.</t>
  </si>
  <si>
    <t>General Service - Residential</t>
  </si>
  <si>
    <t>LG&amp;E Commercial</t>
  </si>
  <si>
    <t>LG&amp;E Residential</t>
  </si>
  <si>
    <t>Inland Gas General Service - Residential</t>
  </si>
  <si>
    <t>Inland Gas General Service - Commercial</t>
  </si>
  <si>
    <t xml:space="preserve">LG&amp;E Residential </t>
  </si>
  <si>
    <t>General Service - Commercial</t>
  </si>
  <si>
    <t>General Service - Industrial</t>
  </si>
  <si>
    <t>Intrastate Utility Service - Wholesale</t>
  </si>
  <si>
    <t>Bill Comparison</t>
  </si>
  <si>
    <t>P. A. Strauss</t>
  </si>
  <si>
    <t>28 February 2002</t>
  </si>
  <si>
    <t>Test Year</t>
  </si>
  <si>
    <t>Average</t>
  </si>
  <si>
    <t>(Commercial)</t>
  </si>
  <si>
    <t>(Industrial)</t>
  </si>
  <si>
    <t xml:space="preserve">Average monthly bill = </t>
  </si>
  <si>
    <t>Bills</t>
  </si>
  <si>
    <t>x:\Cky\Ratecase - 2007\Revenue\Schedule_N_Sales_Service.xls</t>
  </si>
  <si>
    <t>M. P. Balmert</t>
  </si>
  <si>
    <t>Date Revised:</t>
  </si>
  <si>
    <t>13 January 2007</t>
  </si>
  <si>
    <t>Test year:</t>
  </si>
  <si>
    <t>MCF</t>
  </si>
  <si>
    <t xml:space="preserve">Residential </t>
  </si>
  <si>
    <t>Note:  Total Current Bill does not include Gas Cost because Inland is not currently billed for Gas Cost.</t>
  </si>
  <si>
    <t>Note:  LG&amp;E are not billed Gas Cost.</t>
  </si>
  <si>
    <t>Data: __ Base Period _X_ Forecasted Period</t>
  </si>
  <si>
    <t>Data: __Base Period _X_ Forecasted Period</t>
  </si>
  <si>
    <t>Type of Filing: _X_ Original __ Update __Revised</t>
  </si>
  <si>
    <t>EAP (28)</t>
  </si>
  <si>
    <t>R&amp;D (10)</t>
  </si>
  <si>
    <t>EGC (32)</t>
  </si>
  <si>
    <t>Uncoll</t>
  </si>
  <si>
    <t>EECP</t>
  </si>
  <si>
    <t>IS</t>
  </si>
  <si>
    <t>Interruptible Service - Industrial</t>
  </si>
  <si>
    <t>Interruptible</t>
  </si>
  <si>
    <t>Page 1 of 25</t>
  </si>
  <si>
    <t>Page 2 of 25</t>
  </si>
  <si>
    <t>Page 3 of 25</t>
  </si>
  <si>
    <t>Page 4 of 25</t>
  </si>
  <si>
    <t>Page 5 of 25</t>
  </si>
  <si>
    <t>Page 6 of 25</t>
  </si>
  <si>
    <t>Page 7 of 25</t>
  </si>
  <si>
    <t>Page 8 of 25</t>
  </si>
  <si>
    <t>Page 9 of 25</t>
  </si>
  <si>
    <t>Page 10 of 25</t>
  </si>
  <si>
    <t>Page 11 of 25</t>
  </si>
  <si>
    <t>Page 12 of 25</t>
  </si>
  <si>
    <t>Page 13 of 25</t>
  </si>
  <si>
    <t>Page 14 of 25</t>
  </si>
  <si>
    <t xml:space="preserve">Data entry areas are shown in the color blue.  Calculations </t>
  </si>
  <si>
    <t>X:\ERATE\CKY\RATECASE\1994\SCHC\INDEX.WK1</t>
  </si>
  <si>
    <t>BASE PERIOD :</t>
  </si>
  <si>
    <t>FORECASTED PERIOD:</t>
  </si>
  <si>
    <t>SCHEDULE</t>
  </si>
  <si>
    <t>DESCRIPTION</t>
  </si>
  <si>
    <t>SCHEDULE  N</t>
  </si>
  <si>
    <t>TYPICAL BILL COMPARISON UNDER PRESENT AND PROPOSED RATES</t>
  </si>
  <si>
    <t>N</t>
  </si>
  <si>
    <t>FOR ALL CUSTOMER CLASSES</t>
  </si>
  <si>
    <t>Excl. Finals</t>
  </si>
  <si>
    <t>Admin chg</t>
  </si>
  <si>
    <t>Tax Act Adj 11/27/19</t>
  </si>
  <si>
    <t>Note: There are no customers currently on this rate.</t>
  </si>
  <si>
    <t>Placeholder</t>
  </si>
  <si>
    <t>TWELVE MONTHS ENDING DECEMBER 31, 2025</t>
  </si>
  <si>
    <t>SMRP</t>
  </si>
  <si>
    <t>FOR THE TWELVE MONTHS ENDED AUGUST 31, 2024</t>
  </si>
  <si>
    <t>FOR THE TWELVE MONTHS ENDED DECEMBER 31, 2025</t>
  </si>
  <si>
    <t>CASE NO. 2024-00092</t>
  </si>
  <si>
    <t>State Tax Adj Factor</t>
  </si>
  <si>
    <t>.</t>
  </si>
  <si>
    <t>Witness: R. J. 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</si>
</sst>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0.0000"/>
    <numFmt numFmtId="165" formatCode="#,##0.0_);\(#,##0.0\)"/>
    <numFmt numFmtId="166" formatCode="&quot;$&quot;#,##0.00"/>
    <numFmt numFmtId="167" formatCode="#,##0.0000_);\(#,##0.0000\)"/>
    <numFmt numFmtId="168" formatCode="0.0"/>
    <numFmt numFmtId="169" formatCode="0.0%"/>
    <numFmt numFmtId="170" formatCode="#,##0.0000;[Red]#,##0.0000"/>
    <numFmt numFmtId="171" formatCode=";;;"/>
    <numFmt numFmtId="172" formatCode="_(* #,##0.0_);_(* \(#,##0.0\);_(* &quot;-&quot;??_);_(@_)"/>
  </numFmts>
  <fonts count="23" x14ac:knownFonts="1">
    <font>
      <sz val="11"/>
      <name val="Helv"/>
    </font>
    <font>
      <sz val="10"/>
      <name val="Arial"/>
      <family val="2"/>
    </font>
    <font>
      <b/>
      <sz val="12"/>
      <color indexed="20"/>
      <name val="Tms Rmn"/>
    </font>
    <font>
      <b/>
      <sz val="12"/>
      <name val="Helv"/>
    </font>
    <font>
      <b/>
      <sz val="11"/>
      <name val="Helv"/>
    </font>
    <font>
      <sz val="10"/>
      <color indexed="20"/>
      <name val="Helv"/>
    </font>
    <font>
      <sz val="10"/>
      <name val="Helv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 applyFill="0" applyBorder="0" applyAlignment="0"/>
    <xf numFmtId="43" fontId="1" fillId="0" borderId="0" applyFont="0" applyFill="0" applyBorder="0" applyAlignment="0" applyProtection="0"/>
    <xf numFmtId="0" fontId="6" fillId="0" borderId="0" applyNumberFormat="0" applyFill="0" applyBorder="0" applyAlignment="0"/>
    <xf numFmtId="0" fontId="4" fillId="0" borderId="0" applyFill="0" applyBorder="0" applyAlignment="0"/>
    <xf numFmtId="0" fontId="2" fillId="0" borderId="0" applyNumberFormat="0"/>
    <xf numFmtId="0" fontId="3" fillId="0" borderId="0" applyFill="0" applyBorder="0" applyAlignment="0"/>
    <xf numFmtId="0" fontId="7" fillId="0" borderId="0"/>
    <xf numFmtId="0" fontId="5" fillId="0" borderId="0" applyNumberFormat="0" applyFill="0" applyBorder="0" applyAlignment="0"/>
  </cellStyleXfs>
  <cellXfs count="111">
    <xf numFmtId="0" fontId="0" fillId="0" borderId="0" xfId="0"/>
    <xf numFmtId="0" fontId="8" fillId="0" borderId="0" xfId="0" applyFont="1"/>
    <xf numFmtId="0" fontId="9" fillId="0" borderId="0" xfId="0" applyFont="1" applyFill="1" applyAlignment="1"/>
    <xf numFmtId="0" fontId="8" fillId="0" borderId="0" xfId="0" applyFont="1" applyFill="1"/>
    <xf numFmtId="0" fontId="8" fillId="0" borderId="0" xfId="0" quotePrefix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quotePrefix="1" applyFont="1" applyFill="1" applyAlignment="1">
      <alignment horizontal="center"/>
    </xf>
    <xf numFmtId="166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/>
    <xf numFmtId="169" fontId="8" fillId="0" borderId="0" xfId="0" applyNumberFormat="1" applyFont="1" applyFill="1" applyAlignment="1">
      <alignment horizontal="center"/>
    </xf>
    <xf numFmtId="169" fontId="8" fillId="0" borderId="0" xfId="0" applyNumberFormat="1" applyFont="1" applyAlignment="1">
      <alignment horizontal="center"/>
    </xf>
    <xf numFmtId="0" fontId="8" fillId="0" borderId="0" xfId="0" quotePrefix="1" applyFont="1"/>
    <xf numFmtId="166" fontId="8" fillId="0" borderId="0" xfId="0" applyNumberFormat="1" applyFont="1" applyFill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2" fontId="8" fillId="0" borderId="0" xfId="0" applyNumberFormat="1" applyFont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/>
    <xf numFmtId="0" fontId="11" fillId="0" borderId="0" xfId="7" applyFont="1"/>
    <xf numFmtId="0" fontId="10" fillId="4" borderId="0" xfId="7" applyFont="1" applyFill="1"/>
    <xf numFmtId="15" fontId="10" fillId="4" borderId="0" xfId="7" quotePrefix="1" applyNumberFormat="1" applyFont="1" applyFill="1"/>
    <xf numFmtId="0" fontId="12" fillId="0" borderId="0" xfId="0" applyFont="1"/>
    <xf numFmtId="0" fontId="18" fillId="4" borderId="0" xfId="7" applyFont="1" applyFill="1"/>
    <xf numFmtId="0" fontId="18" fillId="4" borderId="0" xfId="0" applyFont="1" applyFill="1"/>
    <xf numFmtId="0" fontId="13" fillId="0" borderId="0" xfId="7" applyFont="1"/>
    <xf numFmtId="0" fontId="11" fillId="2" borderId="0" xfId="0" applyFont="1" applyFill="1"/>
    <xf numFmtId="0" fontId="13" fillId="2" borderId="0" xfId="7" applyFont="1" applyFill="1"/>
    <xf numFmtId="0" fontId="12" fillId="0" borderId="0" xfId="3" applyFont="1" applyFill="1"/>
    <xf numFmtId="0" fontId="14" fillId="0" borderId="0" xfId="7" applyFont="1" applyFill="1"/>
    <xf numFmtId="0" fontId="14" fillId="0" borderId="0" xfId="7" applyFont="1"/>
    <xf numFmtId="15" fontId="14" fillId="0" borderId="0" xfId="7" applyNumberFormat="1" applyFont="1" applyFill="1"/>
    <xf numFmtId="0" fontId="11" fillId="3" borderId="0" xfId="0" applyFont="1" applyFill="1"/>
    <xf numFmtId="0" fontId="12" fillId="0" borderId="0" xfId="3" applyFont="1" applyFill="1" applyAlignment="1">
      <alignment horizontal="center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0" fillId="0" borderId="0" xfId="7" applyFont="1"/>
    <xf numFmtId="39" fontId="10" fillId="0" borderId="0" xfId="7" applyNumberFormat="1" applyFont="1" applyFill="1"/>
    <xf numFmtId="167" fontId="10" fillId="0" borderId="0" xfId="7" applyNumberFormat="1" applyFont="1" applyFill="1"/>
    <xf numFmtId="0" fontId="13" fillId="0" borderId="0" xfId="7" applyFont="1" applyFill="1"/>
    <xf numFmtId="39" fontId="13" fillId="0" borderId="0" xfId="7" applyNumberFormat="1" applyFont="1" applyFill="1"/>
    <xf numFmtId="170" fontId="11" fillId="0" borderId="0" xfId="0" applyNumberFormat="1" applyFont="1" applyFill="1"/>
    <xf numFmtId="39" fontId="11" fillId="0" borderId="0" xfId="0" applyNumberFormat="1" applyFont="1" applyFill="1"/>
    <xf numFmtId="37" fontId="11" fillId="0" borderId="0" xfId="0" applyNumberFormat="1" applyFont="1"/>
    <xf numFmtId="0" fontId="11" fillId="0" borderId="0" xfId="0" applyFont="1" applyAlignment="1">
      <alignment horizontal="right"/>
    </xf>
    <xf numFmtId="170" fontId="11" fillId="0" borderId="0" xfId="0" applyNumberFormat="1" applyFont="1"/>
    <xf numFmtId="39" fontId="11" fillId="0" borderId="0" xfId="0" applyNumberFormat="1" applyFont="1"/>
    <xf numFmtId="0" fontId="14" fillId="0" borderId="0" xfId="7" quotePrefix="1" applyFont="1" applyFill="1"/>
    <xf numFmtId="171" fontId="16" fillId="0" borderId="0" xfId="6" applyNumberFormat="1" applyFont="1" applyAlignment="1">
      <alignment horizontal="left"/>
    </xf>
    <xf numFmtId="0" fontId="16" fillId="0" borderId="0" xfId="6" applyFont="1"/>
    <xf numFmtId="0" fontId="7" fillId="0" borderId="0" xfId="6"/>
    <xf numFmtId="0" fontId="16" fillId="0" borderId="0" xfId="6" applyFont="1" applyAlignment="1">
      <alignment horizontal="left"/>
    </xf>
    <xf numFmtId="0" fontId="17" fillId="0" borderId="0" xfId="6" applyFont="1" applyAlignment="1">
      <alignment horizontal="left"/>
    </xf>
    <xf numFmtId="0" fontId="17" fillId="0" borderId="0" xfId="6" applyFont="1"/>
    <xf numFmtId="0" fontId="17" fillId="0" borderId="0" xfId="6" applyFont="1" applyAlignment="1">
      <alignment horizontal="center"/>
    </xf>
    <xf numFmtId="39" fontId="11" fillId="0" borderId="0" xfId="2" applyNumberFormat="1" applyFont="1" applyAlignment="1">
      <alignment horizontal="right"/>
    </xf>
    <xf numFmtId="2" fontId="8" fillId="0" borderId="0" xfId="0" applyNumberFormat="1" applyFont="1" applyFill="1"/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65" fontId="11" fillId="0" borderId="0" xfId="2" applyNumberFormat="1" applyFont="1" applyAlignment="1">
      <alignment horizontal="right"/>
    </xf>
    <xf numFmtId="168" fontId="8" fillId="0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/>
    <xf numFmtId="165" fontId="8" fillId="0" borderId="0" xfId="0" applyNumberFormat="1" applyFont="1" applyFill="1"/>
    <xf numFmtId="172" fontId="8" fillId="0" borderId="0" xfId="1" applyNumberFormat="1" applyFont="1" applyFill="1" applyAlignment="1">
      <alignment horizontal="right"/>
    </xf>
    <xf numFmtId="0" fontId="1" fillId="0" borderId="0" xfId="6" applyFont="1" applyAlignment="1">
      <alignment horizontal="left"/>
    </xf>
    <xf numFmtId="170" fontId="19" fillId="0" borderId="0" xfId="2" applyNumberFormat="1" applyFont="1" applyFill="1"/>
    <xf numFmtId="164" fontId="19" fillId="0" borderId="0" xfId="7" applyNumberFormat="1" applyFont="1" applyFill="1"/>
    <xf numFmtId="0" fontId="19" fillId="0" borderId="0" xfId="7" applyFont="1" applyFill="1"/>
    <xf numFmtId="39" fontId="19" fillId="0" borderId="0" xfId="2" applyNumberFormat="1" applyFont="1" applyFill="1"/>
    <xf numFmtId="167" fontId="19" fillId="0" borderId="0" xfId="2" applyNumberFormat="1" applyFont="1" applyFill="1"/>
    <xf numFmtId="39" fontId="19" fillId="0" borderId="0" xfId="7" applyNumberFormat="1" applyFont="1" applyFill="1"/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167" fontId="10" fillId="0" borderId="0" xfId="0" applyNumberFormat="1" applyFont="1" applyFill="1"/>
    <xf numFmtId="4" fontId="10" fillId="0" borderId="0" xfId="0" applyNumberFormat="1" applyFont="1" applyFill="1"/>
    <xf numFmtId="167" fontId="13" fillId="0" borderId="0" xfId="0" applyNumberFormat="1" applyFont="1" applyFill="1"/>
    <xf numFmtId="0" fontId="12" fillId="0" borderId="0" xfId="0" applyFont="1" applyFill="1"/>
    <xf numFmtId="0" fontId="11" fillId="0" borderId="0" xfId="0" applyFont="1" applyFill="1" applyAlignment="1">
      <alignment horizontal="right"/>
    </xf>
    <xf numFmtId="164" fontId="10" fillId="0" borderId="0" xfId="0" applyNumberFormat="1" applyFont="1" applyFill="1"/>
    <xf numFmtId="167" fontId="11" fillId="0" borderId="0" xfId="0" applyNumberFormat="1" applyFont="1" applyFill="1"/>
    <xf numFmtId="4" fontId="11" fillId="0" borderId="0" xfId="0" applyNumberFormat="1" applyFont="1" applyFill="1"/>
    <xf numFmtId="164" fontId="11" fillId="0" borderId="0" xfId="0" applyNumberFormat="1" applyFont="1" applyFill="1"/>
    <xf numFmtId="164" fontId="10" fillId="0" borderId="0" xfId="7" applyNumberFormat="1" applyFont="1" applyFill="1"/>
    <xf numFmtId="0" fontId="18" fillId="0" borderId="0" xfId="7" applyFont="1" applyFill="1"/>
    <xf numFmtId="37" fontId="18" fillId="0" borderId="0" xfId="2" applyNumberFormat="1" applyFont="1" applyFill="1" applyAlignment="1">
      <alignment horizontal="right"/>
    </xf>
    <xf numFmtId="165" fontId="18" fillId="0" borderId="0" xfId="2" applyNumberFormat="1" applyFont="1" applyFill="1" applyAlignment="1">
      <alignment horizontal="right"/>
    </xf>
    <xf numFmtId="0" fontId="12" fillId="0" borderId="0" xfId="3" applyFont="1" applyFill="1" applyAlignment="1">
      <alignment horizontal="center"/>
    </xf>
    <xf numFmtId="0" fontId="16" fillId="0" borderId="0" xfId="6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5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15" fontId="8" fillId="0" borderId="0" xfId="0" applyNumberFormat="1" applyFont="1" applyFill="1" applyAlignment="1">
      <alignment horizontal="center"/>
    </xf>
  </cellXfs>
  <cellStyles count="8">
    <cellStyle name="Comma" xfId="1" builtinId="3"/>
    <cellStyle name="Helv 10" xfId="2" xr:uid="{00000000-0005-0000-0000-000001000000}"/>
    <cellStyle name="Helv 11 Bold" xfId="3" xr:uid="{00000000-0005-0000-0000-000002000000}"/>
    <cellStyle name="Helv 11 Purple" xfId="4" xr:uid="{00000000-0005-0000-0000-000003000000}"/>
    <cellStyle name="Helv 12 Bold" xfId="5" xr:uid="{00000000-0005-0000-0000-000004000000}"/>
    <cellStyle name="Normal" xfId="0" builtinId="0"/>
    <cellStyle name="Normal_Schedules A thru L Cost of Servive June 30, 2009" xfId="6" xr:uid="{00000000-0005-0000-0000-000006000000}"/>
    <cellStyle name="purple" xfId="7" xr:uid="{00000000-0005-0000-0000-000007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</sheetPr>
  <dimension ref="A1:AF331"/>
  <sheetViews>
    <sheetView tabSelected="1" workbookViewId="0">
      <selection activeCell="M41" sqref="M41"/>
    </sheetView>
  </sheetViews>
  <sheetFormatPr defaultColWidth="7.28515625" defaultRowHeight="12.75" customHeight="1" x14ac:dyDescent="0.4"/>
  <cols>
    <col min="1" max="1" width="10.7109375" style="27" customWidth="1"/>
    <col min="2" max="2" width="36" style="27" customWidth="1"/>
    <col min="3" max="3" width="12.7109375" style="27" customWidth="1"/>
    <col min="4" max="4" width="14.140625" style="27" customWidth="1"/>
    <col min="5" max="5" width="12.28515625" style="27" customWidth="1"/>
    <col min="6" max="6" width="13.28515625" style="27" customWidth="1"/>
    <col min="7" max="7" width="11.28515625" style="27" customWidth="1"/>
    <col min="8" max="16" width="10.28515625" style="27" customWidth="1"/>
    <col min="17" max="18" width="8.7109375" style="27" customWidth="1"/>
    <col min="19" max="19" width="1.42578125" style="27" customWidth="1"/>
    <col min="20" max="20" width="11.28515625" style="27" customWidth="1"/>
    <col min="21" max="21" width="13.85546875" style="27" customWidth="1"/>
    <col min="22" max="22" width="12.28515625" style="27" customWidth="1"/>
    <col min="23" max="23" width="13.28515625" style="27" customWidth="1"/>
    <col min="24" max="24" width="11.28515625" style="27" customWidth="1"/>
    <col min="25" max="27" width="10.28515625" style="27" customWidth="1"/>
    <col min="28" max="28" width="2.7109375" style="27" customWidth="1"/>
    <col min="29" max="29" width="1.5703125" style="27" customWidth="1"/>
    <col min="30" max="30" width="11.7109375" style="26" customWidth="1"/>
    <col min="31" max="31" width="13.140625" style="26" customWidth="1"/>
    <col min="32" max="33" width="11.7109375" style="27" customWidth="1"/>
    <col min="34" max="16384" width="7.28515625" style="27"/>
  </cols>
  <sheetData>
    <row r="1" spans="1:20" ht="12.75" customHeight="1" x14ac:dyDescent="0.4">
      <c r="A1" s="27" t="s">
        <v>62</v>
      </c>
      <c r="C1" s="27" t="s">
        <v>63</v>
      </c>
    </row>
    <row r="2" spans="1:20" ht="12.75" customHeight="1" x14ac:dyDescent="0.4">
      <c r="A2" s="27" t="s">
        <v>64</v>
      </c>
      <c r="C2" s="27" t="s">
        <v>95</v>
      </c>
    </row>
    <row r="3" spans="1:20" ht="12.75" customHeight="1" x14ac:dyDescent="0.4">
      <c r="A3" s="28" t="s">
        <v>65</v>
      </c>
      <c r="C3" s="29" t="s">
        <v>96</v>
      </c>
    </row>
    <row r="4" spans="1:20" ht="12.75" customHeight="1" x14ac:dyDescent="0.4">
      <c r="A4" s="27" t="s">
        <v>66</v>
      </c>
      <c r="C4" s="29" t="s">
        <v>97</v>
      </c>
    </row>
    <row r="5" spans="1:20" ht="12.75" customHeight="1" x14ac:dyDescent="0.4">
      <c r="A5" s="27" t="s">
        <v>67</v>
      </c>
      <c r="C5" s="29" t="s">
        <v>105</v>
      </c>
    </row>
    <row r="6" spans="1:20" ht="12.75" customHeight="1" x14ac:dyDescent="0.4">
      <c r="A6" s="27" t="s">
        <v>106</v>
      </c>
      <c r="C6" s="30" t="s">
        <v>107</v>
      </c>
    </row>
    <row r="7" spans="1:20" ht="12.75" customHeight="1" x14ac:dyDescent="0.4">
      <c r="A7" s="27" t="s">
        <v>68</v>
      </c>
      <c r="C7" s="27" t="s">
        <v>69</v>
      </c>
      <c r="T7" s="31"/>
    </row>
    <row r="8" spans="1:20" ht="12.75" customHeight="1" x14ac:dyDescent="0.4">
      <c r="A8" s="27" t="s">
        <v>70</v>
      </c>
      <c r="C8" s="32" t="s">
        <v>104</v>
      </c>
      <c r="D8" s="33"/>
      <c r="E8" s="33"/>
      <c r="F8" s="33"/>
      <c r="G8" s="33"/>
      <c r="T8" s="31"/>
    </row>
    <row r="9" spans="1:20" ht="12.75" customHeight="1" x14ac:dyDescent="0.4">
      <c r="A9" s="27" t="s">
        <v>71</v>
      </c>
      <c r="C9" s="34"/>
      <c r="T9" s="31"/>
    </row>
    <row r="10" spans="1:20" ht="12.75" customHeight="1" x14ac:dyDescent="0.4">
      <c r="A10" s="35" t="s">
        <v>138</v>
      </c>
      <c r="B10" s="35"/>
      <c r="C10" s="36"/>
      <c r="D10" s="35"/>
      <c r="T10" s="31"/>
    </row>
    <row r="11" spans="1:20" ht="12.75" customHeight="1" x14ac:dyDescent="0.4">
      <c r="A11" s="35" t="s">
        <v>72</v>
      </c>
      <c r="B11" s="35"/>
      <c r="C11" s="35"/>
      <c r="D11" s="35"/>
    </row>
    <row r="12" spans="1:20" ht="12.75" customHeight="1" x14ac:dyDescent="0.4">
      <c r="A12" s="26"/>
      <c r="B12" s="26"/>
      <c r="C12" s="26"/>
      <c r="D12" s="26"/>
    </row>
    <row r="13" spans="1:20" ht="12.75" customHeight="1" x14ac:dyDescent="0.4">
      <c r="A13" s="37" t="s">
        <v>73</v>
      </c>
      <c r="B13" s="56" t="s">
        <v>157</v>
      </c>
    </row>
    <row r="14" spans="1:20" ht="12.75" customHeight="1" x14ac:dyDescent="0.4">
      <c r="A14" s="37"/>
      <c r="B14" s="25"/>
      <c r="C14" s="26"/>
    </row>
    <row r="15" spans="1:20" ht="12.75" customHeight="1" x14ac:dyDescent="0.4">
      <c r="A15" s="37" t="s">
        <v>74</v>
      </c>
      <c r="B15" s="38" t="s">
        <v>160</v>
      </c>
    </row>
    <row r="16" spans="1:20" ht="12.75" customHeight="1" x14ac:dyDescent="0.4">
      <c r="A16" s="37"/>
      <c r="B16" s="39"/>
    </row>
    <row r="17" spans="1:32" ht="12.75" customHeight="1" x14ac:dyDescent="0.4">
      <c r="A17" s="37" t="s">
        <v>108</v>
      </c>
      <c r="B17" s="40" t="s">
        <v>153</v>
      </c>
    </row>
    <row r="18" spans="1:32" ht="12.75" customHeight="1" x14ac:dyDescent="0.4">
      <c r="A18" s="37"/>
      <c r="B18" s="26"/>
      <c r="C18" s="26"/>
    </row>
    <row r="19" spans="1:32" ht="12.75" customHeight="1" x14ac:dyDescent="0.4">
      <c r="A19" s="37" t="s">
        <v>75</v>
      </c>
      <c r="B19" s="26"/>
      <c r="C19" s="26"/>
      <c r="D19" s="26"/>
      <c r="E19" s="26"/>
      <c r="F19" s="26"/>
      <c r="G19" s="26"/>
      <c r="S19" s="41"/>
      <c r="AB19" s="41"/>
      <c r="AC19" s="41"/>
      <c r="AD19" s="93" t="s">
        <v>148</v>
      </c>
    </row>
    <row r="20" spans="1:32" ht="12.75" customHeight="1" x14ac:dyDescent="0.4">
      <c r="A20" s="37"/>
      <c r="B20" s="26"/>
      <c r="C20" s="103" t="s">
        <v>76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42"/>
      <c r="P20" s="42"/>
      <c r="Q20" s="42"/>
      <c r="R20" s="42"/>
      <c r="S20" s="41"/>
      <c r="T20" s="103" t="s">
        <v>77</v>
      </c>
      <c r="U20" s="103"/>
      <c r="V20" s="103"/>
      <c r="W20" s="103"/>
      <c r="X20" s="103"/>
      <c r="Y20" s="103"/>
      <c r="Z20" s="42"/>
      <c r="AA20" s="42"/>
      <c r="AB20" s="41"/>
      <c r="AC20" s="41"/>
      <c r="AD20" s="42" t="s">
        <v>98</v>
      </c>
      <c r="AE20" s="42" t="s">
        <v>98</v>
      </c>
      <c r="AF20" s="42" t="s">
        <v>99</v>
      </c>
    </row>
    <row r="21" spans="1:32" ht="12.75" customHeight="1" x14ac:dyDescent="0.4">
      <c r="A21" s="43" t="s">
        <v>78</v>
      </c>
      <c r="B21" s="43" t="s">
        <v>79</v>
      </c>
      <c r="C21" s="43" t="s">
        <v>80</v>
      </c>
      <c r="D21" s="43" t="s">
        <v>81</v>
      </c>
      <c r="E21" s="43" t="s">
        <v>82</v>
      </c>
      <c r="F21" s="43" t="s">
        <v>83</v>
      </c>
      <c r="G21" s="43" t="s">
        <v>84</v>
      </c>
      <c r="H21" s="44" t="s">
        <v>85</v>
      </c>
      <c r="I21" s="85" t="s">
        <v>149</v>
      </c>
      <c r="J21" s="85" t="s">
        <v>150</v>
      </c>
      <c r="K21" s="44" t="s">
        <v>154</v>
      </c>
      <c r="L21" s="44" t="s">
        <v>120</v>
      </c>
      <c r="M21" s="44" t="s">
        <v>116</v>
      </c>
      <c r="N21" s="44" t="s">
        <v>117</v>
      </c>
      <c r="O21" s="44" t="s">
        <v>119</v>
      </c>
      <c r="P21" s="44" t="s">
        <v>118</v>
      </c>
      <c r="Q21" s="44" t="s">
        <v>152</v>
      </c>
      <c r="R21" s="44" t="s">
        <v>152</v>
      </c>
      <c r="S21" s="41"/>
      <c r="T21" s="43" t="s">
        <v>80</v>
      </c>
      <c r="U21" s="43" t="s">
        <v>81</v>
      </c>
      <c r="V21" s="43" t="s">
        <v>82</v>
      </c>
      <c r="W21" s="43" t="s">
        <v>83</v>
      </c>
      <c r="X21" s="43" t="s">
        <v>84</v>
      </c>
      <c r="Y21" s="43" t="s">
        <v>85</v>
      </c>
      <c r="Z21" s="43" t="s">
        <v>158</v>
      </c>
      <c r="AA21" s="43" t="s">
        <v>119</v>
      </c>
      <c r="AB21" s="41"/>
      <c r="AC21" s="41"/>
      <c r="AD21" s="43" t="s">
        <v>103</v>
      </c>
      <c r="AE21" s="43" t="s">
        <v>109</v>
      </c>
      <c r="AF21" s="43" t="s">
        <v>15</v>
      </c>
    </row>
    <row r="22" spans="1:32" ht="12.75" customHeight="1" x14ac:dyDescent="0.4">
      <c r="A22" s="45" t="s">
        <v>41</v>
      </c>
      <c r="B22" s="45" t="s">
        <v>86</v>
      </c>
      <c r="C22" s="90">
        <v>5.2527999999999997</v>
      </c>
      <c r="D22" s="90"/>
      <c r="E22" s="90"/>
      <c r="F22" s="90"/>
      <c r="G22" s="90"/>
      <c r="H22" s="91">
        <v>19.75</v>
      </c>
      <c r="I22" s="91"/>
      <c r="J22" s="95">
        <v>0</v>
      </c>
      <c r="K22" s="47">
        <v>0.53010000000000002</v>
      </c>
      <c r="L22" s="46">
        <v>0.08</v>
      </c>
      <c r="M22" s="47">
        <v>0.3</v>
      </c>
      <c r="N22" s="47">
        <v>1.24E-2</v>
      </c>
      <c r="O22" s="47">
        <v>1.03E-2</v>
      </c>
      <c r="P22" s="47">
        <f>4.2343-1.285-0.006</f>
        <v>2.9433000000000002</v>
      </c>
      <c r="Q22" s="47">
        <v>0</v>
      </c>
      <c r="R22" s="47">
        <v>0</v>
      </c>
      <c r="S22" s="41"/>
      <c r="T22" s="79">
        <v>5.7873999999999999</v>
      </c>
      <c r="U22" s="79"/>
      <c r="V22" s="79"/>
      <c r="W22" s="79"/>
      <c r="X22" s="79"/>
      <c r="Y22" s="82">
        <v>27</v>
      </c>
      <c r="Z22" s="82">
        <v>0</v>
      </c>
      <c r="AA22" s="83">
        <v>5.7000000000000002E-3</v>
      </c>
      <c r="AB22" s="41"/>
      <c r="AC22" s="41"/>
      <c r="AD22" s="101">
        <v>1348617</v>
      </c>
      <c r="AE22" s="102">
        <v>7446384.0999999996</v>
      </c>
      <c r="AF22" s="72">
        <f>ROUND(AE22/AD22,1)</f>
        <v>5.5</v>
      </c>
    </row>
    <row r="23" spans="1:32" ht="12.75" customHeight="1" x14ac:dyDescent="0.4">
      <c r="A23" s="45" t="s">
        <v>44</v>
      </c>
      <c r="B23" s="45" t="s">
        <v>87</v>
      </c>
      <c r="C23" s="90">
        <v>3.8148</v>
      </c>
      <c r="D23" s="90"/>
      <c r="E23" s="92"/>
      <c r="F23" s="92"/>
      <c r="G23" s="92"/>
      <c r="H23" s="91">
        <v>79.09</v>
      </c>
      <c r="I23" s="91"/>
      <c r="J23" s="91"/>
      <c r="K23" s="46"/>
      <c r="L23" s="49"/>
      <c r="M23" s="49"/>
      <c r="N23" s="49"/>
      <c r="O23" s="49"/>
      <c r="P23" s="47">
        <v>4.2343000000000002</v>
      </c>
      <c r="Q23" s="47">
        <f>+Q22</f>
        <v>0</v>
      </c>
      <c r="R23" s="47"/>
      <c r="S23" s="41"/>
      <c r="T23" s="80">
        <v>3.8148</v>
      </c>
      <c r="U23" s="81"/>
      <c r="V23" s="81"/>
      <c r="W23" s="81"/>
      <c r="X23" s="81"/>
      <c r="Y23" s="84">
        <v>79.09</v>
      </c>
      <c r="Z23" s="84"/>
      <c r="AA23" s="83"/>
      <c r="AB23" s="41"/>
      <c r="AC23" s="41"/>
      <c r="AD23" s="101">
        <v>0</v>
      </c>
      <c r="AE23" s="102">
        <v>0</v>
      </c>
      <c r="AF23" s="64">
        <f>IF(AD23=0,0,ROUND(AE23/AD23,2))</f>
        <v>0</v>
      </c>
    </row>
    <row r="24" spans="1:32" ht="12.75" customHeight="1" x14ac:dyDescent="0.4">
      <c r="A24" s="45" t="s">
        <v>45</v>
      </c>
      <c r="B24" s="45" t="s">
        <v>88</v>
      </c>
      <c r="C24" s="90">
        <v>5.1319999999999997</v>
      </c>
      <c r="D24" s="90"/>
      <c r="E24" s="90"/>
      <c r="F24" s="90"/>
      <c r="G24" s="90"/>
      <c r="H24" s="91">
        <v>22.02</v>
      </c>
      <c r="I24" s="91"/>
      <c r="J24" s="91"/>
      <c r="K24" s="46"/>
      <c r="L24" s="46"/>
      <c r="M24" s="46"/>
      <c r="N24" s="46"/>
      <c r="O24" s="46"/>
      <c r="P24" s="47">
        <v>4.2343000000000002</v>
      </c>
      <c r="Q24" s="47">
        <f>+Q22</f>
        <v>0</v>
      </c>
      <c r="R24" s="47"/>
      <c r="S24" s="41"/>
      <c r="T24" s="80">
        <v>5.1319999999999997</v>
      </c>
      <c r="U24" s="81"/>
      <c r="V24" s="79"/>
      <c r="W24" s="79"/>
      <c r="X24" s="79"/>
      <c r="Y24" s="84">
        <v>22.02</v>
      </c>
      <c r="Z24" s="84"/>
      <c r="AA24" s="83"/>
      <c r="AB24" s="41"/>
      <c r="AC24" s="41"/>
      <c r="AD24" s="101">
        <v>25</v>
      </c>
      <c r="AE24" s="102">
        <v>310.99999999999994</v>
      </c>
      <c r="AF24" s="64">
        <f t="shared" ref="AF24:AF25" si="0">ROUND(AE24/AD24,1)</f>
        <v>12.4</v>
      </c>
    </row>
    <row r="25" spans="1:32" ht="12.75" customHeight="1" x14ac:dyDescent="0.4">
      <c r="A25" s="45" t="s">
        <v>46</v>
      </c>
      <c r="B25" s="45" t="s">
        <v>89</v>
      </c>
      <c r="C25" s="90">
        <v>0.4</v>
      </c>
      <c r="D25" s="90"/>
      <c r="E25" s="90"/>
      <c r="F25" s="90"/>
      <c r="G25" s="90"/>
      <c r="H25" s="91">
        <v>0</v>
      </c>
      <c r="I25" s="91"/>
      <c r="J25" s="91"/>
      <c r="K25" s="46"/>
      <c r="L25" s="47"/>
      <c r="M25" s="47"/>
      <c r="N25" s="47">
        <v>1.24E-2</v>
      </c>
      <c r="O25" s="47"/>
      <c r="P25" s="47"/>
      <c r="Q25" s="47"/>
      <c r="R25" s="47">
        <v>0</v>
      </c>
      <c r="S25" s="41"/>
      <c r="T25" s="80">
        <v>0.4</v>
      </c>
      <c r="U25" s="81"/>
      <c r="V25" s="81"/>
      <c r="W25" s="81"/>
      <c r="X25" s="81"/>
      <c r="Y25" s="84">
        <v>0</v>
      </c>
      <c r="Z25" s="84"/>
      <c r="AA25" s="84"/>
      <c r="AB25" s="41"/>
      <c r="AC25" s="41"/>
      <c r="AD25" s="101">
        <v>84</v>
      </c>
      <c r="AE25" s="102">
        <v>963.1</v>
      </c>
      <c r="AF25" s="64">
        <f t="shared" si="0"/>
        <v>11.5</v>
      </c>
    </row>
    <row r="26" spans="1:32" ht="12.75" customHeight="1" x14ac:dyDescent="0.4">
      <c r="A26" s="45" t="s">
        <v>46</v>
      </c>
      <c r="B26" s="45" t="s">
        <v>90</v>
      </c>
      <c r="C26" s="90">
        <v>0.4</v>
      </c>
      <c r="D26" s="90"/>
      <c r="E26" s="90"/>
      <c r="F26" s="90"/>
      <c r="G26" s="90"/>
      <c r="H26" s="91">
        <v>0</v>
      </c>
      <c r="I26" s="91"/>
      <c r="J26" s="91"/>
      <c r="K26" s="46"/>
      <c r="L26" s="47"/>
      <c r="M26" s="47"/>
      <c r="N26" s="47">
        <v>1.24E-2</v>
      </c>
      <c r="O26" s="47"/>
      <c r="P26" s="47"/>
      <c r="Q26" s="47"/>
      <c r="R26" s="47">
        <v>0</v>
      </c>
      <c r="S26" s="41"/>
      <c r="T26" s="80">
        <v>0.4</v>
      </c>
      <c r="U26" s="81"/>
      <c r="V26" s="81"/>
      <c r="W26" s="81"/>
      <c r="X26" s="81"/>
      <c r="Y26" s="84">
        <v>0</v>
      </c>
      <c r="Z26" s="84"/>
      <c r="AA26" s="84"/>
      <c r="AB26" s="41"/>
      <c r="AC26" s="41"/>
      <c r="AD26" s="101">
        <v>0</v>
      </c>
      <c r="AE26" s="102">
        <v>0</v>
      </c>
      <c r="AF26" s="64">
        <f>IF(AD26=0,0,ROUND(AE26/AD26,2))</f>
        <v>0</v>
      </c>
    </row>
    <row r="27" spans="1:32" ht="12.75" customHeight="1" x14ac:dyDescent="0.4">
      <c r="A27" s="45" t="s">
        <v>47</v>
      </c>
      <c r="B27" s="45" t="s">
        <v>89</v>
      </c>
      <c r="C27" s="90">
        <v>0</v>
      </c>
      <c r="D27" s="90"/>
      <c r="E27" s="90"/>
      <c r="F27" s="90"/>
      <c r="G27" s="90"/>
      <c r="H27" s="91">
        <v>0</v>
      </c>
      <c r="I27" s="91"/>
      <c r="J27" s="91"/>
      <c r="K27" s="46"/>
      <c r="L27" s="47"/>
      <c r="M27" s="47"/>
      <c r="N27" s="47">
        <v>1.24E-2</v>
      </c>
      <c r="O27" s="47"/>
      <c r="P27" s="47"/>
      <c r="Q27" s="47"/>
      <c r="R27" s="47">
        <v>0</v>
      </c>
      <c r="S27" s="41"/>
      <c r="T27" s="80">
        <v>0</v>
      </c>
      <c r="U27" s="81"/>
      <c r="V27" s="81"/>
      <c r="W27" s="81"/>
      <c r="X27" s="81"/>
      <c r="Y27" s="84">
        <v>0</v>
      </c>
      <c r="Z27" s="84"/>
      <c r="AA27" s="84"/>
      <c r="AB27" s="41"/>
      <c r="AC27" s="41"/>
      <c r="AD27" s="101">
        <v>0</v>
      </c>
      <c r="AE27" s="102">
        <v>0</v>
      </c>
      <c r="AF27" s="64">
        <f>IF(AD27=0,0,ROUND(AE27/AD27,2))</f>
        <v>0</v>
      </c>
    </row>
    <row r="28" spans="1:32" ht="12.75" customHeight="1" x14ac:dyDescent="0.4">
      <c r="A28" s="45" t="s">
        <v>48</v>
      </c>
      <c r="B28" s="45" t="s">
        <v>89</v>
      </c>
      <c r="C28" s="90">
        <v>0.6</v>
      </c>
      <c r="D28" s="90"/>
      <c r="E28" s="90"/>
      <c r="F28" s="90"/>
      <c r="G28" s="90"/>
      <c r="H28" s="91">
        <v>0</v>
      </c>
      <c r="I28" s="91"/>
      <c r="J28" s="91"/>
      <c r="K28" s="46"/>
      <c r="L28" s="47"/>
      <c r="M28" s="47"/>
      <c r="N28" s="47">
        <v>1.24E-2</v>
      </c>
      <c r="O28" s="47"/>
      <c r="P28" s="47"/>
      <c r="Q28" s="47"/>
      <c r="R28" s="47">
        <v>0</v>
      </c>
      <c r="S28" s="41"/>
      <c r="T28" s="80">
        <v>0.6</v>
      </c>
      <c r="U28" s="81"/>
      <c r="V28" s="81"/>
      <c r="W28" s="81"/>
      <c r="X28" s="81"/>
      <c r="Y28" s="84">
        <v>0</v>
      </c>
      <c r="Z28" s="84"/>
      <c r="AA28" s="84"/>
      <c r="AB28" s="41"/>
      <c r="AC28" s="41"/>
      <c r="AD28" s="101">
        <v>24</v>
      </c>
      <c r="AE28" s="102">
        <v>197.40000000000003</v>
      </c>
      <c r="AF28" s="64">
        <f t="shared" ref="AF28:AF29" si="1">ROUND(AE28/AD28,1)</f>
        <v>8.1999999999999993</v>
      </c>
    </row>
    <row r="29" spans="1:32" ht="12.75" customHeight="1" x14ac:dyDescent="0.4">
      <c r="A29" s="45" t="s">
        <v>49</v>
      </c>
      <c r="B29" s="45" t="s">
        <v>91</v>
      </c>
      <c r="C29" s="90">
        <v>0.35</v>
      </c>
      <c r="D29" s="90"/>
      <c r="E29" s="90"/>
      <c r="F29" s="90"/>
      <c r="G29" s="90"/>
      <c r="H29" s="91">
        <v>0</v>
      </c>
      <c r="I29" s="91"/>
      <c r="J29" s="91"/>
      <c r="K29" s="46"/>
      <c r="L29" s="49"/>
      <c r="M29" s="49"/>
      <c r="N29" s="49"/>
      <c r="O29" s="49"/>
      <c r="P29" s="47"/>
      <c r="Q29" s="47"/>
      <c r="R29" s="47"/>
      <c r="S29" s="41"/>
      <c r="T29" s="80">
        <v>0.35</v>
      </c>
      <c r="U29" s="81"/>
      <c r="V29" s="79"/>
      <c r="W29" s="79"/>
      <c r="X29" s="79"/>
      <c r="Y29" s="84">
        <v>0</v>
      </c>
      <c r="Z29" s="84"/>
      <c r="AA29" s="82"/>
      <c r="AB29" s="41"/>
      <c r="AC29" s="41"/>
      <c r="AD29" s="101">
        <v>12</v>
      </c>
      <c r="AE29" s="102">
        <v>544.19999999999993</v>
      </c>
      <c r="AF29" s="64">
        <f t="shared" si="1"/>
        <v>45.4</v>
      </c>
    </row>
    <row r="30" spans="1:32" ht="12.75" customHeight="1" x14ac:dyDescent="0.4">
      <c r="A30" s="45" t="s">
        <v>49</v>
      </c>
      <c r="B30" s="45" t="s">
        <v>87</v>
      </c>
      <c r="C30" s="90">
        <v>0.35</v>
      </c>
      <c r="D30" s="90"/>
      <c r="E30" s="90"/>
      <c r="F30" s="90"/>
      <c r="G30" s="90"/>
      <c r="H30" s="91">
        <v>0</v>
      </c>
      <c r="I30" s="91"/>
      <c r="J30" s="91"/>
      <c r="K30" s="46"/>
      <c r="L30" s="49"/>
      <c r="M30" s="49"/>
      <c r="N30" s="49"/>
      <c r="O30" s="49"/>
      <c r="P30" s="47"/>
      <c r="Q30" s="47"/>
      <c r="R30" s="47"/>
      <c r="S30" s="41"/>
      <c r="T30" s="80">
        <v>0.35</v>
      </c>
      <c r="U30" s="81"/>
      <c r="V30" s="79"/>
      <c r="W30" s="79"/>
      <c r="X30" s="79"/>
      <c r="Y30" s="84">
        <v>0</v>
      </c>
      <c r="Z30" s="84"/>
      <c r="AA30" s="82"/>
      <c r="AB30" s="41"/>
      <c r="AC30" s="41"/>
      <c r="AD30" s="101">
        <v>0</v>
      </c>
      <c r="AE30" s="102">
        <v>0</v>
      </c>
      <c r="AF30" s="64">
        <f>IF(AD30=0,0,ROUND(AE30/AD30,2))</f>
        <v>0</v>
      </c>
    </row>
    <row r="31" spans="1:32" ht="12.75" customHeight="1" x14ac:dyDescent="0.4">
      <c r="A31" s="45" t="s">
        <v>50</v>
      </c>
      <c r="B31" s="45" t="s">
        <v>88</v>
      </c>
      <c r="C31" s="90">
        <v>0</v>
      </c>
      <c r="D31" s="90">
        <v>0.35</v>
      </c>
      <c r="E31" s="92"/>
      <c r="F31" s="92"/>
      <c r="G31" s="92"/>
      <c r="H31" s="91">
        <v>1.2</v>
      </c>
      <c r="I31" s="91"/>
      <c r="J31" s="91"/>
      <c r="K31" s="46"/>
      <c r="L31" s="49"/>
      <c r="M31" s="49"/>
      <c r="N31" s="49"/>
      <c r="O31" s="49"/>
      <c r="P31" s="47"/>
      <c r="Q31" s="47"/>
      <c r="R31" s="47"/>
      <c r="S31" s="41"/>
      <c r="T31" s="80">
        <v>0</v>
      </c>
      <c r="U31" s="80">
        <v>0.35</v>
      </c>
      <c r="V31" s="79"/>
      <c r="W31" s="79"/>
      <c r="X31" s="79"/>
      <c r="Y31" s="84">
        <v>1.2</v>
      </c>
      <c r="Z31" s="84"/>
      <c r="AA31" s="82"/>
      <c r="AB31" s="41"/>
      <c r="AC31" s="41"/>
      <c r="AD31" s="101">
        <v>12</v>
      </c>
      <c r="AE31" s="102">
        <v>377.3</v>
      </c>
      <c r="AF31" s="64">
        <f t="shared" ref="AF31" si="2">ROUND(AE31/AD31,1)</f>
        <v>31.4</v>
      </c>
    </row>
    <row r="32" spans="1:32" ht="12.75" customHeight="1" x14ac:dyDescent="0.4">
      <c r="A32" s="45" t="s">
        <v>51</v>
      </c>
      <c r="B32" s="45" t="s">
        <v>88</v>
      </c>
      <c r="C32" s="90">
        <v>0.4</v>
      </c>
      <c r="D32" s="90"/>
      <c r="E32" s="90"/>
      <c r="F32" s="90"/>
      <c r="G32" s="90"/>
      <c r="H32" s="91">
        <v>0</v>
      </c>
      <c r="I32" s="91"/>
      <c r="J32" s="91"/>
      <c r="K32" s="46"/>
      <c r="L32" s="49"/>
      <c r="M32" s="49"/>
      <c r="N32" s="49"/>
      <c r="O32" s="49"/>
      <c r="P32" s="47"/>
      <c r="Q32" s="47"/>
      <c r="R32" s="47"/>
      <c r="S32" s="41"/>
      <c r="T32" s="79">
        <v>0.4</v>
      </c>
      <c r="U32" s="79"/>
      <c r="V32" s="79"/>
      <c r="W32" s="79"/>
      <c r="X32" s="79"/>
      <c r="Y32" s="84">
        <v>0</v>
      </c>
      <c r="Z32" s="84"/>
      <c r="AA32" s="82"/>
      <c r="AB32" s="41"/>
      <c r="AC32" s="41"/>
      <c r="AD32" s="101">
        <v>0</v>
      </c>
      <c r="AE32" s="102">
        <v>0</v>
      </c>
      <c r="AF32" s="64">
        <f>IF(AD32=0,0,ROUND(AE32/AD32,2))</f>
        <v>0</v>
      </c>
    </row>
    <row r="33" spans="1:32" ht="12.75" customHeight="1" x14ac:dyDescent="0.4">
      <c r="A33" s="45" t="s">
        <v>52</v>
      </c>
      <c r="B33" s="45" t="s">
        <v>92</v>
      </c>
      <c r="C33" s="90">
        <v>3.2513000000000001</v>
      </c>
      <c r="D33" s="90">
        <v>2.5095999999999998</v>
      </c>
      <c r="E33" s="90">
        <v>2.3855</v>
      </c>
      <c r="F33" s="90">
        <v>2.17</v>
      </c>
      <c r="G33" s="90"/>
      <c r="H33" s="91">
        <v>83.71</v>
      </c>
      <c r="I33" s="91"/>
      <c r="J33" s="95">
        <v>0</v>
      </c>
      <c r="K33" s="47">
        <v>0.32100000000000001</v>
      </c>
      <c r="L33" s="49"/>
      <c r="M33" s="49"/>
      <c r="N33" s="47">
        <v>1.24E-2</v>
      </c>
      <c r="O33" s="47">
        <v>1.03E-2</v>
      </c>
      <c r="P33" s="47">
        <f t="shared" ref="P33:P36" si="3">4.2343-1.285-0.006</f>
        <v>2.9433000000000002</v>
      </c>
      <c r="Q33" s="47">
        <f>+$Q$22</f>
        <v>0</v>
      </c>
      <c r="R33" s="47">
        <v>0</v>
      </c>
      <c r="S33" s="41"/>
      <c r="T33" s="79">
        <v>3.6524999999999999</v>
      </c>
      <c r="U33" s="79">
        <v>2.8193000000000001</v>
      </c>
      <c r="V33" s="79">
        <v>2.6798000000000002</v>
      </c>
      <c r="W33" s="79">
        <v>2.4377</v>
      </c>
      <c r="X33" s="79"/>
      <c r="Y33" s="82">
        <v>110</v>
      </c>
      <c r="Z33" s="82">
        <v>0</v>
      </c>
      <c r="AA33" s="83">
        <v>5.7000000000000002E-3</v>
      </c>
      <c r="AB33" s="41"/>
      <c r="AC33" s="41"/>
      <c r="AD33" s="101">
        <v>143785</v>
      </c>
      <c r="AE33" s="102">
        <v>4366195.7</v>
      </c>
      <c r="AF33" s="64">
        <f>ROUND(AE33/AD33,1)</f>
        <v>30.4</v>
      </c>
    </row>
    <row r="34" spans="1:32" ht="12.75" customHeight="1" x14ac:dyDescent="0.4">
      <c r="A34" s="45" t="s">
        <v>52</v>
      </c>
      <c r="B34" s="45" t="s">
        <v>93</v>
      </c>
      <c r="C34" s="96">
        <f>C33</f>
        <v>3.2513000000000001</v>
      </c>
      <c r="D34" s="96">
        <f>D33</f>
        <v>2.5095999999999998</v>
      </c>
      <c r="E34" s="96">
        <f>E33</f>
        <v>2.3855</v>
      </c>
      <c r="F34" s="96">
        <f>F33</f>
        <v>2.17</v>
      </c>
      <c r="G34" s="90"/>
      <c r="H34" s="97">
        <f>H33</f>
        <v>83.71</v>
      </c>
      <c r="I34" s="91"/>
      <c r="J34" s="98">
        <f>J33</f>
        <v>0</v>
      </c>
      <c r="K34" s="47">
        <v>0.32100000000000001</v>
      </c>
      <c r="L34" s="49"/>
      <c r="M34" s="49"/>
      <c r="N34" s="47">
        <v>1.24E-2</v>
      </c>
      <c r="O34" s="47">
        <v>1.03E-2</v>
      </c>
      <c r="P34" s="47">
        <f t="shared" si="3"/>
        <v>2.9433000000000002</v>
      </c>
      <c r="Q34" s="47">
        <f t="shared" ref="Q34:Q36" si="4">+$Q$22</f>
        <v>0</v>
      </c>
      <c r="R34" s="47">
        <v>0</v>
      </c>
      <c r="S34" s="41"/>
      <c r="T34" s="79">
        <v>3.6524999999999999</v>
      </c>
      <c r="U34" s="79">
        <v>2.8193000000000001</v>
      </c>
      <c r="V34" s="79">
        <v>2.6798000000000002</v>
      </c>
      <c r="W34" s="79">
        <v>2.4377</v>
      </c>
      <c r="X34" s="79"/>
      <c r="Y34" s="82">
        <v>110</v>
      </c>
      <c r="Z34" s="82">
        <v>0</v>
      </c>
      <c r="AA34" s="83">
        <v>5.7000000000000002E-3</v>
      </c>
      <c r="AB34" s="41"/>
      <c r="AC34" s="41"/>
      <c r="AD34" s="101">
        <v>618</v>
      </c>
      <c r="AE34" s="102">
        <v>208373.6</v>
      </c>
      <c r="AF34" s="64">
        <f>ROUNDUP(AE34/AD34,1)</f>
        <v>337.20000000000005</v>
      </c>
    </row>
    <row r="35" spans="1:32" ht="12.75" customHeight="1" x14ac:dyDescent="0.4">
      <c r="A35" s="45" t="s">
        <v>121</v>
      </c>
      <c r="B35" s="45" t="s">
        <v>122</v>
      </c>
      <c r="C35" s="99">
        <v>0.70930000000000004</v>
      </c>
      <c r="D35" s="99">
        <v>0.43780000000000002</v>
      </c>
      <c r="E35" s="100">
        <v>0.24229999999999999</v>
      </c>
      <c r="F35" s="48"/>
      <c r="G35" s="48"/>
      <c r="H35" s="46">
        <v>3982.3</v>
      </c>
      <c r="I35" s="46"/>
      <c r="J35" s="46">
        <v>0</v>
      </c>
      <c r="K35" s="47">
        <v>5.8700000000000002E-2</v>
      </c>
      <c r="L35" s="46"/>
      <c r="M35" s="49"/>
      <c r="N35" s="47">
        <v>1.24E-2</v>
      </c>
      <c r="O35" s="47">
        <v>1.03E-2</v>
      </c>
      <c r="P35" s="47">
        <f t="shared" si="3"/>
        <v>2.9433000000000002</v>
      </c>
      <c r="Q35" s="47">
        <f t="shared" si="4"/>
        <v>0</v>
      </c>
      <c r="R35" s="47">
        <v>0</v>
      </c>
      <c r="S35" s="41"/>
      <c r="T35" s="79">
        <v>0.84030000000000005</v>
      </c>
      <c r="U35" s="79">
        <v>0.51870000000000005</v>
      </c>
      <c r="V35" s="79">
        <v>0.28710000000000002</v>
      </c>
      <c r="W35" s="79"/>
      <c r="X35" s="79"/>
      <c r="Y35" s="82">
        <v>5000</v>
      </c>
      <c r="Z35" s="82">
        <v>0</v>
      </c>
      <c r="AA35" s="83">
        <v>5.7000000000000002E-3</v>
      </c>
      <c r="AB35" s="41"/>
      <c r="AC35" s="41"/>
      <c r="AD35" s="101">
        <v>0</v>
      </c>
      <c r="AE35" s="102">
        <v>0</v>
      </c>
      <c r="AF35" s="64">
        <f>IF(AD35=0,0,ROUND(AE35/AD35,2))</f>
        <v>0</v>
      </c>
    </row>
    <row r="36" spans="1:32" ht="12.75" customHeight="1" x14ac:dyDescent="0.4">
      <c r="A36" s="45" t="s">
        <v>53</v>
      </c>
      <c r="B36" s="45" t="s">
        <v>94</v>
      </c>
      <c r="C36" s="99">
        <v>1.1959</v>
      </c>
      <c r="D36" s="26"/>
      <c r="E36" s="48"/>
      <c r="F36" s="48"/>
      <c r="G36" s="48"/>
      <c r="H36" s="46">
        <v>945.24</v>
      </c>
      <c r="I36" s="46"/>
      <c r="J36" s="46">
        <v>0</v>
      </c>
      <c r="K36" s="47">
        <v>0.2011</v>
      </c>
      <c r="L36" s="46"/>
      <c r="M36" s="49"/>
      <c r="N36" s="47">
        <v>1.24E-2</v>
      </c>
      <c r="O36" s="47">
        <v>1.03E-2</v>
      </c>
      <c r="P36" s="47">
        <f t="shared" si="3"/>
        <v>2.9433000000000002</v>
      </c>
      <c r="Q36" s="47">
        <f t="shared" si="4"/>
        <v>0</v>
      </c>
      <c r="R36" s="47">
        <v>0</v>
      </c>
      <c r="S36" s="41"/>
      <c r="T36" s="79">
        <v>1.1817</v>
      </c>
      <c r="U36" s="79"/>
      <c r="V36" s="79"/>
      <c r="W36" s="79"/>
      <c r="X36" s="79"/>
      <c r="Y36" s="82">
        <v>1135</v>
      </c>
      <c r="Z36" s="82">
        <v>0</v>
      </c>
      <c r="AA36" s="83">
        <v>5.7000000000000002E-3</v>
      </c>
      <c r="AB36" s="41"/>
      <c r="AC36" s="41"/>
      <c r="AD36" s="101">
        <v>24</v>
      </c>
      <c r="AE36" s="102">
        <v>10410.5</v>
      </c>
      <c r="AF36" s="64">
        <f>ROUND(AE36/AD36,1)</f>
        <v>433.8</v>
      </c>
    </row>
    <row r="37" spans="1:32" ht="12.75" customHeight="1" x14ac:dyDescent="0.4">
      <c r="P37" s="26"/>
      <c r="Q37" s="26"/>
      <c r="T37" s="50"/>
      <c r="U37" s="50"/>
      <c r="V37" s="50"/>
      <c r="W37" s="50"/>
      <c r="X37" s="50"/>
      <c r="Y37" s="51"/>
      <c r="Z37" s="51"/>
      <c r="AA37" s="51"/>
      <c r="AD37" s="94"/>
      <c r="AE37" s="94"/>
      <c r="AF37" s="53"/>
    </row>
    <row r="38" spans="1:32" ht="12.75" customHeight="1" x14ac:dyDescent="0.4">
      <c r="T38" s="54"/>
      <c r="U38" s="54"/>
      <c r="V38" s="54"/>
      <c r="W38" s="54"/>
      <c r="X38" s="54"/>
      <c r="Y38" s="55"/>
      <c r="Z38" s="55"/>
      <c r="AA38" s="51"/>
      <c r="AD38" s="94"/>
      <c r="AE38" s="94"/>
      <c r="AF38" s="53"/>
    </row>
    <row r="39" spans="1:32" ht="12.75" customHeight="1" x14ac:dyDescent="0.4">
      <c r="T39" s="54"/>
      <c r="U39" s="54"/>
      <c r="V39" s="54"/>
      <c r="W39" s="54"/>
      <c r="X39" s="54"/>
      <c r="Y39" s="55"/>
      <c r="Z39" s="55"/>
      <c r="AA39" s="55"/>
      <c r="AD39" s="94"/>
      <c r="AE39" s="94"/>
      <c r="AF39" s="53"/>
    </row>
    <row r="40" spans="1:32" ht="12.75" customHeight="1" x14ac:dyDescent="0.4">
      <c r="T40" s="54"/>
      <c r="U40" s="54"/>
      <c r="V40" s="54"/>
      <c r="W40" s="54"/>
      <c r="X40" s="54"/>
      <c r="Y40" s="55"/>
      <c r="Z40" s="55"/>
      <c r="AA40" s="55"/>
      <c r="AD40" s="94"/>
      <c r="AE40" s="94"/>
      <c r="AF40" s="53"/>
    </row>
    <row r="41" spans="1:32" ht="12.75" customHeight="1" x14ac:dyDescent="0.4">
      <c r="T41" s="54"/>
      <c r="U41" s="54"/>
      <c r="V41" s="54"/>
      <c r="W41" s="54"/>
      <c r="X41" s="54"/>
      <c r="Y41" s="55"/>
      <c r="Z41" s="55"/>
      <c r="AA41" s="55"/>
      <c r="AF41" s="53"/>
    </row>
    <row r="42" spans="1:32" ht="12.75" customHeight="1" x14ac:dyDescent="0.4">
      <c r="T42" s="54"/>
      <c r="U42" s="54"/>
      <c r="V42" s="54"/>
      <c r="W42" s="54"/>
      <c r="X42" s="54"/>
      <c r="Y42" s="55"/>
      <c r="Z42" s="55"/>
      <c r="AA42" s="55"/>
      <c r="AF42" s="53"/>
    </row>
    <row r="43" spans="1:32" ht="12.75" customHeight="1" x14ac:dyDescent="0.4">
      <c r="T43" s="54"/>
      <c r="U43" s="54"/>
      <c r="V43" s="54"/>
      <c r="W43" s="54"/>
      <c r="X43" s="54"/>
      <c r="Y43" s="55"/>
      <c r="Z43" s="55"/>
      <c r="AA43" s="55"/>
      <c r="AF43" s="53"/>
    </row>
    <row r="44" spans="1:32" ht="12.75" customHeight="1" x14ac:dyDescent="0.4">
      <c r="T44" s="54"/>
      <c r="U44" s="54"/>
      <c r="V44" s="54"/>
      <c r="W44" s="54"/>
      <c r="X44" s="54"/>
      <c r="Y44" s="55"/>
      <c r="Z44" s="55"/>
      <c r="AA44" s="55"/>
      <c r="AF44" s="53"/>
    </row>
    <row r="45" spans="1:32" ht="12.75" customHeight="1" x14ac:dyDescent="0.4">
      <c r="T45" s="54"/>
      <c r="U45" s="54"/>
      <c r="V45" s="54"/>
      <c r="W45" s="54"/>
      <c r="X45" s="54"/>
      <c r="Y45" s="55"/>
      <c r="Z45" s="55"/>
      <c r="AA45" s="55"/>
      <c r="AF45" s="53"/>
    </row>
    <row r="46" spans="1:32" ht="12.75" customHeight="1" x14ac:dyDescent="0.4">
      <c r="T46" s="54"/>
      <c r="U46" s="54"/>
      <c r="V46" s="54"/>
      <c r="W46" s="54"/>
      <c r="X46" s="54"/>
      <c r="Y46" s="55"/>
      <c r="Z46" s="55"/>
      <c r="AA46" s="55"/>
    </row>
    <row r="47" spans="1:32" ht="12.75" customHeight="1" x14ac:dyDescent="0.4">
      <c r="T47" s="54"/>
      <c r="U47" s="54"/>
      <c r="V47" s="54"/>
      <c r="W47" s="54"/>
      <c r="X47" s="54"/>
      <c r="Y47" s="55"/>
      <c r="Z47" s="55"/>
      <c r="AA47" s="55"/>
    </row>
    <row r="48" spans="1:32" ht="12.75" customHeight="1" x14ac:dyDescent="0.4">
      <c r="T48" s="54"/>
      <c r="U48" s="54"/>
      <c r="V48" s="54"/>
      <c r="W48" s="54"/>
      <c r="X48" s="54"/>
      <c r="Y48" s="55"/>
      <c r="Z48" s="55"/>
      <c r="AA48" s="55"/>
    </row>
    <row r="49" spans="20:27" ht="12.75" customHeight="1" x14ac:dyDescent="0.4">
      <c r="T49" s="54"/>
      <c r="U49" s="54"/>
      <c r="V49" s="54"/>
      <c r="W49" s="54"/>
      <c r="X49" s="54"/>
      <c r="Y49" s="55"/>
      <c r="Z49" s="55"/>
      <c r="AA49" s="55"/>
    </row>
    <row r="50" spans="20:27" ht="12.75" customHeight="1" x14ac:dyDescent="0.4">
      <c r="T50" s="54"/>
      <c r="U50" s="54"/>
      <c r="V50" s="54"/>
      <c r="W50" s="54"/>
      <c r="X50" s="54"/>
      <c r="Y50" s="55"/>
      <c r="Z50" s="55"/>
      <c r="AA50" s="55"/>
    </row>
    <row r="51" spans="20:27" ht="12.75" customHeight="1" x14ac:dyDescent="0.4">
      <c r="T51" s="54"/>
      <c r="U51" s="54"/>
      <c r="V51" s="54"/>
      <c r="W51" s="54"/>
      <c r="X51" s="54"/>
      <c r="Y51" s="55"/>
      <c r="Z51" s="55"/>
      <c r="AA51" s="55"/>
    </row>
    <row r="52" spans="20:27" ht="12.75" customHeight="1" x14ac:dyDescent="0.4">
      <c r="T52" s="54"/>
      <c r="U52" s="54"/>
      <c r="V52" s="54"/>
      <c r="W52" s="54"/>
      <c r="X52" s="54"/>
      <c r="Y52" s="55"/>
      <c r="Z52" s="55"/>
      <c r="AA52" s="55"/>
    </row>
    <row r="53" spans="20:27" ht="12.75" customHeight="1" x14ac:dyDescent="0.4">
      <c r="T53" s="54"/>
      <c r="U53" s="54"/>
      <c r="V53" s="54"/>
      <c r="W53" s="54"/>
      <c r="X53" s="54"/>
      <c r="Y53" s="55"/>
      <c r="Z53" s="55"/>
      <c r="AA53" s="55"/>
    </row>
    <row r="54" spans="20:27" ht="12.75" customHeight="1" x14ac:dyDescent="0.4">
      <c r="T54" s="54"/>
      <c r="U54" s="54"/>
      <c r="V54" s="54"/>
      <c r="W54" s="54"/>
      <c r="X54" s="54"/>
      <c r="Y54" s="55"/>
      <c r="Z54" s="55"/>
      <c r="AA54" s="55"/>
    </row>
    <row r="55" spans="20:27" ht="12.75" customHeight="1" x14ac:dyDescent="0.4">
      <c r="T55" s="54"/>
      <c r="U55" s="54"/>
      <c r="V55" s="54"/>
      <c r="W55" s="54"/>
      <c r="X55" s="54"/>
      <c r="Y55" s="55"/>
      <c r="Z55" s="55"/>
      <c r="AA55" s="55"/>
    </row>
    <row r="56" spans="20:27" ht="12.75" customHeight="1" x14ac:dyDescent="0.4">
      <c r="T56" s="54"/>
      <c r="U56" s="54"/>
      <c r="V56" s="54"/>
      <c r="W56" s="54"/>
      <c r="X56" s="54"/>
      <c r="Y56" s="55"/>
      <c r="Z56" s="55"/>
      <c r="AA56" s="55"/>
    </row>
    <row r="57" spans="20:27" ht="12.75" customHeight="1" x14ac:dyDescent="0.4">
      <c r="T57" s="54"/>
      <c r="U57" s="54"/>
      <c r="V57" s="54"/>
      <c r="W57" s="54"/>
      <c r="X57" s="54"/>
      <c r="Y57" s="55"/>
      <c r="Z57" s="55"/>
      <c r="AA57" s="55"/>
    </row>
    <row r="58" spans="20:27" ht="12.75" customHeight="1" x14ac:dyDescent="0.4">
      <c r="T58" s="54"/>
      <c r="U58" s="54"/>
      <c r="V58" s="54"/>
      <c r="W58" s="54"/>
      <c r="X58" s="54"/>
      <c r="Y58" s="55"/>
      <c r="Z58" s="55"/>
      <c r="AA58" s="55"/>
    </row>
    <row r="59" spans="20:27" ht="12.75" customHeight="1" x14ac:dyDescent="0.4">
      <c r="Y59" s="55"/>
      <c r="Z59" s="55"/>
      <c r="AA59" s="55"/>
    </row>
    <row r="239" spans="7:27" ht="12.75" customHeight="1" x14ac:dyDescent="0.4"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V239" s="52"/>
      <c r="X239" s="52"/>
      <c r="Y239" s="52"/>
      <c r="Z239" s="52"/>
      <c r="AA239" s="52"/>
    </row>
    <row r="240" spans="7:27" ht="12.75" customHeight="1" x14ac:dyDescent="0.4"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V240" s="52"/>
      <c r="X240" s="52"/>
      <c r="Y240" s="52"/>
      <c r="Z240" s="52"/>
      <c r="AA240" s="52"/>
    </row>
    <row r="241" spans="7:27" ht="12.75" customHeight="1" x14ac:dyDescent="0.4"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V241" s="52"/>
      <c r="X241" s="52"/>
      <c r="Y241" s="52"/>
      <c r="Z241" s="52"/>
      <c r="AA241" s="52"/>
    </row>
    <row r="242" spans="7:27" ht="12.75" customHeight="1" x14ac:dyDescent="0.4"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V242" s="52"/>
      <c r="X242" s="52"/>
      <c r="Y242" s="52"/>
      <c r="Z242" s="52"/>
      <c r="AA242" s="52"/>
    </row>
    <row r="243" spans="7:27" ht="12.75" customHeight="1" x14ac:dyDescent="0.4"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V243" s="52"/>
      <c r="X243" s="52"/>
      <c r="Y243" s="52"/>
      <c r="Z243" s="52"/>
      <c r="AA243" s="52"/>
    </row>
    <row r="244" spans="7:27" ht="12.75" customHeight="1" x14ac:dyDescent="0.4"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V244" s="52"/>
      <c r="X244" s="52"/>
      <c r="Y244" s="52"/>
      <c r="Z244" s="52"/>
      <c r="AA244" s="52"/>
    </row>
    <row r="245" spans="7:27" ht="12.75" customHeight="1" x14ac:dyDescent="0.4"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V245" s="52"/>
      <c r="X245" s="52"/>
      <c r="Y245" s="52"/>
      <c r="Z245" s="52"/>
      <c r="AA245" s="52"/>
    </row>
    <row r="246" spans="7:27" ht="12.75" customHeight="1" x14ac:dyDescent="0.4"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V246" s="52"/>
      <c r="X246" s="52"/>
      <c r="Y246" s="52"/>
      <c r="Z246" s="52"/>
      <c r="AA246" s="52"/>
    </row>
    <row r="247" spans="7:27" ht="12.75" customHeight="1" x14ac:dyDescent="0.4"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V247" s="52"/>
      <c r="X247" s="52"/>
      <c r="Y247" s="52"/>
      <c r="Z247" s="52"/>
      <c r="AA247" s="52"/>
    </row>
    <row r="248" spans="7:27" ht="12.75" customHeight="1" x14ac:dyDescent="0.4"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V248" s="52"/>
      <c r="X248" s="52"/>
      <c r="Y248" s="52"/>
      <c r="Z248" s="52"/>
      <c r="AA248" s="52"/>
    </row>
    <row r="249" spans="7:27" ht="12.75" customHeight="1" x14ac:dyDescent="0.4"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V249" s="52"/>
      <c r="X249" s="52"/>
      <c r="Y249" s="52"/>
      <c r="Z249" s="52"/>
      <c r="AA249" s="52"/>
    </row>
    <row r="250" spans="7:27" ht="12.75" customHeight="1" x14ac:dyDescent="0.4"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V250" s="52"/>
      <c r="X250" s="52"/>
      <c r="Y250" s="52"/>
      <c r="Z250" s="52"/>
      <c r="AA250" s="52"/>
    </row>
    <row r="251" spans="7:27" ht="12.75" customHeight="1" x14ac:dyDescent="0.4"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V251" s="52"/>
      <c r="X251" s="52"/>
      <c r="Y251" s="52"/>
      <c r="Z251" s="52"/>
      <c r="AA251" s="52"/>
    </row>
    <row r="252" spans="7:27" ht="12.75" customHeight="1" x14ac:dyDescent="0.4"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V252" s="52"/>
      <c r="X252" s="52"/>
      <c r="Y252" s="52"/>
      <c r="Z252" s="52"/>
      <c r="AA252" s="52"/>
    </row>
    <row r="253" spans="7:27" ht="12.75" customHeight="1" x14ac:dyDescent="0.4"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V253" s="52"/>
      <c r="X253" s="52"/>
      <c r="Y253" s="52"/>
      <c r="Z253" s="52"/>
      <c r="AA253" s="52"/>
    </row>
    <row r="254" spans="7:27" ht="12.75" customHeight="1" x14ac:dyDescent="0.4"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V254" s="52"/>
      <c r="X254" s="52"/>
      <c r="Y254" s="52"/>
      <c r="Z254" s="52"/>
      <c r="AA254" s="52"/>
    </row>
    <row r="255" spans="7:27" ht="12.75" customHeight="1" x14ac:dyDescent="0.4"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V255" s="52"/>
      <c r="X255" s="52"/>
      <c r="Y255" s="52"/>
      <c r="Z255" s="52"/>
      <c r="AA255" s="52"/>
    </row>
    <row r="256" spans="7:27" ht="12.75" customHeight="1" x14ac:dyDescent="0.4"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V256" s="52"/>
      <c r="X256" s="52"/>
      <c r="Y256" s="52"/>
      <c r="Z256" s="52"/>
      <c r="AA256" s="52"/>
    </row>
    <row r="257" spans="7:27" ht="12.75" customHeight="1" x14ac:dyDescent="0.4"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V257" s="52"/>
      <c r="X257" s="52"/>
      <c r="Y257" s="52"/>
      <c r="Z257" s="52"/>
      <c r="AA257" s="52"/>
    </row>
    <row r="258" spans="7:27" ht="12.75" customHeight="1" x14ac:dyDescent="0.4"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V258" s="52"/>
      <c r="X258" s="52"/>
      <c r="Y258" s="52"/>
      <c r="Z258" s="52"/>
      <c r="AA258" s="52"/>
    </row>
    <row r="259" spans="7:27" ht="12.75" customHeight="1" x14ac:dyDescent="0.4"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V259" s="52"/>
      <c r="X259" s="52"/>
      <c r="Y259" s="52"/>
      <c r="Z259" s="52"/>
      <c r="AA259" s="52"/>
    </row>
    <row r="260" spans="7:27" ht="12.75" customHeight="1" x14ac:dyDescent="0.4"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V260" s="52"/>
      <c r="X260" s="52"/>
      <c r="Y260" s="52"/>
      <c r="Z260" s="52"/>
      <c r="AA260" s="52"/>
    </row>
    <row r="261" spans="7:27" ht="12.75" customHeight="1" x14ac:dyDescent="0.4"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V261" s="52"/>
      <c r="X261" s="52"/>
      <c r="Y261" s="52"/>
      <c r="Z261" s="52"/>
      <c r="AA261" s="52"/>
    </row>
    <row r="262" spans="7:27" ht="12.75" customHeight="1" x14ac:dyDescent="0.4"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V262" s="52"/>
      <c r="X262" s="52"/>
      <c r="Y262" s="52"/>
      <c r="Z262" s="52"/>
      <c r="AA262" s="52"/>
    </row>
    <row r="263" spans="7:27" ht="12.75" customHeight="1" x14ac:dyDescent="0.4"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V263" s="52"/>
      <c r="X263" s="52"/>
      <c r="Y263" s="52"/>
      <c r="Z263" s="52"/>
      <c r="AA263" s="52"/>
    </row>
    <row r="264" spans="7:27" ht="12.75" customHeight="1" x14ac:dyDescent="0.4"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V264" s="52"/>
      <c r="X264" s="52"/>
      <c r="Y264" s="52"/>
      <c r="Z264" s="52"/>
      <c r="AA264" s="52"/>
    </row>
    <row r="265" spans="7:27" ht="12.75" customHeight="1" x14ac:dyDescent="0.4"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V265" s="52"/>
      <c r="X265" s="52"/>
      <c r="Y265" s="52"/>
      <c r="Z265" s="52"/>
      <c r="AA265" s="52"/>
    </row>
    <row r="266" spans="7:27" ht="12.75" customHeight="1" x14ac:dyDescent="0.4"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V266" s="52"/>
      <c r="X266" s="52"/>
      <c r="Y266" s="52"/>
      <c r="Z266" s="52"/>
      <c r="AA266" s="52"/>
    </row>
    <row r="267" spans="7:27" ht="12.75" customHeight="1" x14ac:dyDescent="0.4"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V267" s="52"/>
      <c r="X267" s="52"/>
      <c r="Y267" s="52"/>
      <c r="Z267" s="52"/>
      <c r="AA267" s="52"/>
    </row>
    <row r="268" spans="7:27" ht="12.75" customHeight="1" x14ac:dyDescent="0.4"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V268" s="52"/>
      <c r="X268" s="52"/>
      <c r="Y268" s="52"/>
      <c r="Z268" s="52"/>
      <c r="AA268" s="52"/>
    </row>
    <row r="269" spans="7:27" ht="12.75" customHeight="1" x14ac:dyDescent="0.4"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V269" s="52"/>
      <c r="X269" s="52"/>
      <c r="Y269" s="52"/>
      <c r="Z269" s="52"/>
      <c r="AA269" s="52"/>
    </row>
    <row r="270" spans="7:27" ht="12.75" customHeight="1" x14ac:dyDescent="0.4"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V270" s="52"/>
      <c r="X270" s="52"/>
      <c r="Y270" s="52"/>
      <c r="Z270" s="52"/>
      <c r="AA270" s="52"/>
    </row>
    <row r="271" spans="7:27" ht="12.75" customHeight="1" x14ac:dyDescent="0.4"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V271" s="52"/>
      <c r="X271" s="52"/>
      <c r="Y271" s="52"/>
      <c r="Z271" s="52"/>
      <c r="AA271" s="52"/>
    </row>
    <row r="272" spans="7:27" ht="12.75" customHeight="1" x14ac:dyDescent="0.4"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V272" s="52"/>
      <c r="X272" s="52"/>
      <c r="Y272" s="52"/>
      <c r="Z272" s="52"/>
      <c r="AA272" s="52"/>
    </row>
    <row r="273" spans="7:27" ht="12.75" customHeight="1" x14ac:dyDescent="0.4"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V273" s="52"/>
      <c r="X273" s="52"/>
      <c r="Y273" s="52"/>
      <c r="Z273" s="52"/>
      <c r="AA273" s="52"/>
    </row>
    <row r="274" spans="7:27" ht="12.75" customHeight="1" x14ac:dyDescent="0.4"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V274" s="52"/>
      <c r="X274" s="52"/>
      <c r="Y274" s="52"/>
      <c r="Z274" s="52"/>
      <c r="AA274" s="52"/>
    </row>
    <row r="275" spans="7:27" ht="12.75" customHeight="1" x14ac:dyDescent="0.4"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V275" s="52"/>
      <c r="X275" s="52"/>
      <c r="Y275" s="52"/>
      <c r="Z275" s="52"/>
      <c r="AA275" s="52"/>
    </row>
    <row r="276" spans="7:27" ht="12.75" customHeight="1" x14ac:dyDescent="0.4"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X276" s="52"/>
      <c r="Y276" s="52"/>
      <c r="Z276" s="52"/>
      <c r="AA276" s="52"/>
    </row>
    <row r="277" spans="7:27" ht="12.75" customHeight="1" x14ac:dyDescent="0.4"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X277" s="52"/>
      <c r="Y277" s="52"/>
      <c r="Z277" s="52"/>
      <c r="AA277" s="52"/>
    </row>
    <row r="278" spans="7:27" ht="12.75" customHeight="1" x14ac:dyDescent="0.4"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X278" s="52"/>
      <c r="Y278" s="52"/>
      <c r="Z278" s="52"/>
      <c r="AA278" s="52"/>
    </row>
    <row r="279" spans="7:27" ht="12.75" customHeight="1" x14ac:dyDescent="0.4"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X279" s="52"/>
      <c r="Y279" s="52"/>
      <c r="Z279" s="52"/>
      <c r="AA279" s="52"/>
    </row>
    <row r="280" spans="7:27" ht="12.75" customHeight="1" x14ac:dyDescent="0.4"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X280" s="52"/>
      <c r="Y280" s="52"/>
      <c r="Z280" s="52"/>
      <c r="AA280" s="52"/>
    </row>
    <row r="281" spans="7:27" ht="12.75" customHeight="1" x14ac:dyDescent="0.4"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X281" s="52"/>
      <c r="Y281" s="52"/>
      <c r="Z281" s="52"/>
      <c r="AA281" s="52"/>
    </row>
    <row r="282" spans="7:27" ht="12.75" customHeight="1" x14ac:dyDescent="0.4"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X282" s="52"/>
      <c r="Y282" s="52"/>
      <c r="Z282" s="52"/>
      <c r="AA282" s="52"/>
    </row>
    <row r="283" spans="7:27" ht="12.75" customHeight="1" x14ac:dyDescent="0.4"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X283" s="52"/>
      <c r="Y283" s="52"/>
      <c r="Z283" s="52"/>
      <c r="AA283" s="52"/>
    </row>
    <row r="284" spans="7:27" ht="12.75" customHeight="1" x14ac:dyDescent="0.4"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X284" s="52"/>
      <c r="Y284" s="52"/>
      <c r="Z284" s="52"/>
      <c r="AA284" s="52"/>
    </row>
    <row r="285" spans="7:27" ht="12.75" customHeight="1" x14ac:dyDescent="0.4"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X285" s="52"/>
      <c r="Y285" s="52"/>
      <c r="Z285" s="52"/>
      <c r="AA285" s="52"/>
    </row>
    <row r="286" spans="7:27" ht="12.75" customHeight="1" x14ac:dyDescent="0.4"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X286" s="52"/>
      <c r="Y286" s="52"/>
      <c r="Z286" s="52"/>
      <c r="AA286" s="52"/>
    </row>
    <row r="287" spans="7:27" ht="12.75" customHeight="1" x14ac:dyDescent="0.4"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X287" s="52"/>
      <c r="Y287" s="52"/>
      <c r="Z287" s="52"/>
      <c r="AA287" s="52"/>
    </row>
    <row r="288" spans="7:27" ht="12.75" customHeight="1" x14ac:dyDescent="0.4"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X288" s="52"/>
      <c r="Y288" s="52"/>
      <c r="Z288" s="52"/>
      <c r="AA288" s="52"/>
    </row>
    <row r="289" spans="7:27" ht="12.75" customHeight="1" x14ac:dyDescent="0.4"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X289" s="52"/>
      <c r="Y289" s="52"/>
      <c r="Z289" s="52"/>
      <c r="AA289" s="52"/>
    </row>
    <row r="290" spans="7:27" ht="12.75" customHeight="1" x14ac:dyDescent="0.4"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X290" s="52"/>
      <c r="Y290" s="52"/>
      <c r="Z290" s="52"/>
      <c r="AA290" s="52"/>
    </row>
    <row r="291" spans="7:27" ht="12.75" customHeight="1" x14ac:dyDescent="0.4"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X291" s="52"/>
      <c r="Y291" s="52"/>
      <c r="Z291" s="52"/>
      <c r="AA291" s="52"/>
    </row>
    <row r="292" spans="7:27" ht="12.75" customHeight="1" x14ac:dyDescent="0.4"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X292" s="52"/>
      <c r="Y292" s="52"/>
      <c r="Z292" s="52"/>
      <c r="AA292" s="52"/>
    </row>
    <row r="293" spans="7:27" ht="12.75" customHeight="1" x14ac:dyDescent="0.4"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X293" s="52"/>
      <c r="Y293" s="52"/>
      <c r="Z293" s="52"/>
      <c r="AA293" s="52"/>
    </row>
    <row r="294" spans="7:27" ht="12.75" customHeight="1" x14ac:dyDescent="0.4"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X294" s="52"/>
      <c r="Y294" s="52"/>
      <c r="Z294" s="52"/>
      <c r="AA294" s="52"/>
    </row>
    <row r="295" spans="7:27" ht="12.75" customHeight="1" x14ac:dyDescent="0.4"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X295" s="52"/>
      <c r="Y295" s="52"/>
      <c r="Z295" s="52"/>
      <c r="AA295" s="52"/>
    </row>
    <row r="296" spans="7:27" ht="12.75" customHeight="1" x14ac:dyDescent="0.4"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X296" s="52"/>
      <c r="Y296" s="52"/>
      <c r="Z296" s="52"/>
      <c r="AA296" s="52"/>
    </row>
    <row r="297" spans="7:27" ht="12.75" customHeight="1" x14ac:dyDescent="0.4"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X297" s="52"/>
      <c r="Y297" s="52"/>
      <c r="Z297" s="52"/>
      <c r="AA297" s="52"/>
    </row>
    <row r="298" spans="7:27" ht="12.75" customHeight="1" x14ac:dyDescent="0.4"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X298" s="52"/>
      <c r="Y298" s="52"/>
      <c r="Z298" s="52"/>
      <c r="AA298" s="52"/>
    </row>
    <row r="299" spans="7:27" ht="12.75" customHeight="1" x14ac:dyDescent="0.4"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X299" s="52"/>
      <c r="Y299" s="52"/>
      <c r="Z299" s="52"/>
      <c r="AA299" s="52"/>
    </row>
    <row r="300" spans="7:27" ht="12.75" customHeight="1" x14ac:dyDescent="0.4"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X300" s="52"/>
      <c r="Y300" s="52"/>
      <c r="Z300" s="52"/>
      <c r="AA300" s="52"/>
    </row>
    <row r="301" spans="7:27" ht="12.75" customHeight="1" x14ac:dyDescent="0.4"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X301" s="52"/>
      <c r="Y301" s="52"/>
      <c r="Z301" s="52"/>
      <c r="AA301" s="52"/>
    </row>
    <row r="302" spans="7:27" ht="12.75" customHeight="1" x14ac:dyDescent="0.4"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X302" s="52"/>
      <c r="Y302" s="52"/>
      <c r="Z302" s="52"/>
      <c r="AA302" s="52"/>
    </row>
    <row r="303" spans="7:27" ht="12.75" customHeight="1" x14ac:dyDescent="0.4"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X303" s="52"/>
      <c r="Y303" s="52"/>
      <c r="Z303" s="52"/>
      <c r="AA303" s="52"/>
    </row>
    <row r="304" spans="7:27" ht="12.75" customHeight="1" x14ac:dyDescent="0.4"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X304" s="52"/>
      <c r="Y304" s="52"/>
      <c r="Z304" s="52"/>
      <c r="AA304" s="52"/>
    </row>
    <row r="305" spans="7:27" ht="12.75" customHeight="1" x14ac:dyDescent="0.4"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X305" s="52"/>
      <c r="Y305" s="52"/>
      <c r="Z305" s="52"/>
      <c r="AA305" s="52"/>
    </row>
    <row r="306" spans="7:27" ht="12.75" customHeight="1" x14ac:dyDescent="0.4"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X306" s="52"/>
      <c r="Y306" s="52"/>
      <c r="Z306" s="52"/>
      <c r="AA306" s="52"/>
    </row>
    <row r="307" spans="7:27" ht="12.75" customHeight="1" x14ac:dyDescent="0.4"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X307" s="52"/>
      <c r="Y307" s="52"/>
      <c r="Z307" s="52"/>
      <c r="AA307" s="52"/>
    </row>
    <row r="308" spans="7:27" ht="12.75" customHeight="1" x14ac:dyDescent="0.4"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X308" s="52"/>
      <c r="Y308" s="52"/>
      <c r="Z308" s="52"/>
      <c r="AA308" s="52"/>
    </row>
    <row r="309" spans="7:27" ht="12.75" customHeight="1" x14ac:dyDescent="0.4"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X309" s="52"/>
      <c r="Y309" s="52"/>
      <c r="Z309" s="52"/>
      <c r="AA309" s="52"/>
    </row>
    <row r="310" spans="7:27" ht="12.75" customHeight="1" x14ac:dyDescent="0.4"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X310" s="52"/>
      <c r="Y310" s="52"/>
      <c r="Z310" s="52"/>
      <c r="AA310" s="52"/>
    </row>
    <row r="311" spans="7:27" ht="12.75" customHeight="1" x14ac:dyDescent="0.4"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X311" s="52"/>
      <c r="Y311" s="52"/>
      <c r="Z311" s="52"/>
      <c r="AA311" s="52"/>
    </row>
    <row r="312" spans="7:27" ht="12.75" customHeight="1" x14ac:dyDescent="0.4"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X312" s="52"/>
      <c r="Y312" s="52"/>
      <c r="Z312" s="52"/>
      <c r="AA312" s="52"/>
    </row>
    <row r="313" spans="7:27" ht="12.75" customHeight="1" x14ac:dyDescent="0.4"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X313" s="52"/>
      <c r="Y313" s="52"/>
      <c r="Z313" s="52"/>
      <c r="AA313" s="52"/>
    </row>
    <row r="314" spans="7:27" ht="12.75" customHeight="1" x14ac:dyDescent="0.4"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X314" s="52"/>
      <c r="Y314" s="52"/>
      <c r="Z314" s="52"/>
      <c r="AA314" s="52"/>
    </row>
    <row r="315" spans="7:27" ht="12.75" customHeight="1" x14ac:dyDescent="0.4"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X315" s="52"/>
      <c r="Y315" s="52"/>
      <c r="Z315" s="52"/>
      <c r="AA315" s="52"/>
    </row>
    <row r="316" spans="7:27" ht="12.75" customHeight="1" x14ac:dyDescent="0.4"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X316" s="52"/>
      <c r="Y316" s="52"/>
      <c r="Z316" s="52"/>
      <c r="AA316" s="52"/>
    </row>
    <row r="317" spans="7:27" ht="12.75" customHeight="1" x14ac:dyDescent="0.4"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X317" s="52"/>
      <c r="Y317" s="52"/>
      <c r="Z317" s="52"/>
      <c r="AA317" s="52"/>
    </row>
    <row r="318" spans="7:27" ht="12.75" customHeight="1" x14ac:dyDescent="0.4"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X318" s="52"/>
      <c r="Y318" s="52"/>
      <c r="Z318" s="52"/>
      <c r="AA318" s="52"/>
    </row>
    <row r="319" spans="7:27" ht="12.75" customHeight="1" x14ac:dyDescent="0.4"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X319" s="52"/>
      <c r="Y319" s="52"/>
      <c r="Z319" s="52"/>
      <c r="AA319" s="52"/>
    </row>
    <row r="320" spans="7:27" ht="12.75" customHeight="1" x14ac:dyDescent="0.4"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X320" s="52"/>
      <c r="Y320" s="52"/>
      <c r="Z320" s="52"/>
      <c r="AA320" s="52"/>
    </row>
    <row r="321" spans="7:27" ht="12.75" customHeight="1" x14ac:dyDescent="0.4"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X321" s="52"/>
      <c r="Y321" s="52"/>
      <c r="Z321" s="52"/>
      <c r="AA321" s="52"/>
    </row>
    <row r="322" spans="7:27" ht="12.75" customHeight="1" x14ac:dyDescent="0.4"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X322" s="52"/>
      <c r="Y322" s="52"/>
      <c r="Z322" s="52"/>
      <c r="AA322" s="52"/>
    </row>
    <row r="323" spans="7:27" ht="12.75" customHeight="1" x14ac:dyDescent="0.4"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X323" s="52"/>
      <c r="Y323" s="52"/>
      <c r="Z323" s="52"/>
      <c r="AA323" s="52"/>
    </row>
    <row r="324" spans="7:27" ht="12.75" customHeight="1" x14ac:dyDescent="0.4"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X324" s="52"/>
      <c r="Y324" s="52"/>
      <c r="Z324" s="52"/>
      <c r="AA324" s="52"/>
    </row>
    <row r="325" spans="7:27" ht="12.75" customHeight="1" x14ac:dyDescent="0.4"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X325" s="52"/>
      <c r="Y325" s="52"/>
      <c r="Z325" s="52"/>
      <c r="AA325" s="52"/>
    </row>
    <row r="326" spans="7:27" ht="12.75" customHeight="1" x14ac:dyDescent="0.4"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X326" s="52"/>
      <c r="Y326" s="52"/>
      <c r="Z326" s="52"/>
      <c r="AA326" s="52"/>
    </row>
    <row r="327" spans="7:27" ht="12.75" customHeight="1" x14ac:dyDescent="0.4"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X327" s="52"/>
      <c r="Y327" s="52"/>
      <c r="Z327" s="52"/>
      <c r="AA327" s="52"/>
    </row>
    <row r="328" spans="7:27" ht="12.75" customHeight="1" x14ac:dyDescent="0.4"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X328" s="52"/>
      <c r="Y328" s="52"/>
      <c r="Z328" s="52"/>
      <c r="AA328" s="52"/>
    </row>
    <row r="329" spans="7:27" ht="12.75" customHeight="1" x14ac:dyDescent="0.4"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X329" s="52"/>
      <c r="Y329" s="52"/>
      <c r="Z329" s="52"/>
      <c r="AA329" s="52"/>
    </row>
    <row r="330" spans="7:27" ht="12.75" customHeight="1" x14ac:dyDescent="0.4"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X330" s="52"/>
      <c r="Y330" s="52"/>
      <c r="Z330" s="52"/>
      <c r="AA330" s="52"/>
    </row>
    <row r="331" spans="7:27" ht="12.75" customHeight="1" x14ac:dyDescent="0.4"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X331" s="52"/>
      <c r="Y331" s="52"/>
      <c r="Z331" s="52"/>
      <c r="AA331" s="52"/>
    </row>
  </sheetData>
  <mergeCells count="2">
    <mergeCell ref="C20:N20"/>
    <mergeCell ref="T20:Y20"/>
  </mergeCells>
  <phoneticPr fontId="0" type="noConversion"/>
  <pageMargins left="0.75" right="0.75" top="1" bottom="1" header="0.5" footer="0.5"/>
  <pageSetup scale="50" orientation="landscape" horizontalDpi="300" verticalDpi="300" r:id="rId1"/>
  <headerFooter alignWithMargins="0"/>
  <colBreaks count="1" manualBreakCount="1">
    <brk id="19" min="12" max="38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L37"/>
  <sheetViews>
    <sheetView workbookViewId="0">
      <selection sqref="A1:L1"/>
    </sheetView>
  </sheetViews>
  <sheetFormatPr defaultColWidth="9.140625" defaultRowHeight="12.9" x14ac:dyDescent="0.35"/>
  <cols>
    <col min="1" max="1" width="9.140625" style="1"/>
    <col min="2" max="2" width="12" style="1" customWidth="1"/>
    <col min="3" max="3" width="9.5703125" style="1" customWidth="1"/>
    <col min="4" max="10" width="9.140625" style="1"/>
    <col min="11" max="12" width="10.28515625" style="1" customWidth="1"/>
    <col min="13" max="16384" width="9.140625" style="1"/>
  </cols>
  <sheetData>
    <row r="1" spans="1:12" x14ac:dyDescent="0.3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x14ac:dyDescent="0.35">
      <c r="A2" s="105" t="str">
        <f>Input!$B$13</f>
        <v>CASE NO. 2024-00092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35">
      <c r="A3" s="105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35">
      <c r="A4" s="105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x14ac:dyDescent="0.35">
      <c r="A5" s="105" t="str">
        <f>Input!B17</f>
        <v>TWELVE MONTHS ENDING DECEMBER 31, 2025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3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x14ac:dyDescent="0.35">
      <c r="A8" s="1" t="s">
        <v>113</v>
      </c>
      <c r="L8" s="8" t="s">
        <v>3</v>
      </c>
    </row>
    <row r="9" spans="1:12" x14ac:dyDescent="0.35">
      <c r="A9" s="1" t="s">
        <v>115</v>
      </c>
      <c r="L9" s="13" t="s">
        <v>131</v>
      </c>
    </row>
    <row r="10" spans="1:12" x14ac:dyDescent="0.35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 t="str">
        <f>Input!B15</f>
        <v>Witness: R. J. Amen</v>
      </c>
    </row>
    <row r="13" spans="1:12" x14ac:dyDescent="0.35">
      <c r="D13" s="86"/>
      <c r="E13" s="86"/>
      <c r="F13" s="86"/>
      <c r="G13" s="86"/>
      <c r="H13" s="86"/>
      <c r="I13" s="86"/>
      <c r="J13" s="86" t="s">
        <v>29</v>
      </c>
      <c r="K13" s="86" t="s">
        <v>29</v>
      </c>
      <c r="L13" s="86"/>
    </row>
    <row r="14" spans="1:12" x14ac:dyDescent="0.35">
      <c r="A14" s="86" t="s">
        <v>4</v>
      </c>
      <c r="B14" s="86" t="s">
        <v>6</v>
      </c>
      <c r="C14" s="86" t="s">
        <v>8</v>
      </c>
      <c r="D14" s="86" t="s">
        <v>8</v>
      </c>
      <c r="E14" s="86" t="s">
        <v>14</v>
      </c>
      <c r="F14" s="86" t="s">
        <v>18</v>
      </c>
      <c r="G14" s="86" t="s">
        <v>20</v>
      </c>
      <c r="H14" s="86" t="s">
        <v>20</v>
      </c>
      <c r="I14" s="86" t="s">
        <v>26</v>
      </c>
      <c r="J14" s="86" t="s">
        <v>14</v>
      </c>
      <c r="K14" s="86" t="s">
        <v>18</v>
      </c>
      <c r="L14" s="86" t="s">
        <v>33</v>
      </c>
    </row>
    <row r="15" spans="1:12" x14ac:dyDescent="0.35">
      <c r="A15" s="70" t="s">
        <v>5</v>
      </c>
      <c r="B15" s="70" t="s">
        <v>7</v>
      </c>
      <c r="C15" s="70" t="s">
        <v>9</v>
      </c>
      <c r="D15" s="70" t="s">
        <v>10</v>
      </c>
      <c r="E15" s="70" t="s">
        <v>15</v>
      </c>
      <c r="F15" s="70" t="s">
        <v>15</v>
      </c>
      <c r="G15" s="71" t="s">
        <v>21</v>
      </c>
      <c r="H15" s="71" t="s">
        <v>23</v>
      </c>
      <c r="I15" s="70" t="s">
        <v>27</v>
      </c>
      <c r="J15" s="70" t="s">
        <v>15</v>
      </c>
      <c r="K15" s="70" t="s">
        <v>15</v>
      </c>
      <c r="L15" s="70" t="s">
        <v>20</v>
      </c>
    </row>
    <row r="16" spans="1:12" x14ac:dyDescent="0.35">
      <c r="D16" s="4" t="s">
        <v>12</v>
      </c>
      <c r="E16" s="4" t="s">
        <v>16</v>
      </c>
      <c r="F16" s="4" t="s">
        <v>16</v>
      </c>
      <c r="G16" s="4" t="s">
        <v>16</v>
      </c>
      <c r="H16" s="4" t="s">
        <v>24</v>
      </c>
      <c r="I16" s="4" t="s">
        <v>16</v>
      </c>
      <c r="J16" s="4" t="s">
        <v>16</v>
      </c>
      <c r="K16" s="4" t="s">
        <v>16</v>
      </c>
      <c r="L16" s="4" t="s">
        <v>24</v>
      </c>
    </row>
    <row r="17" spans="1:12" x14ac:dyDescent="0.35">
      <c r="C17" s="4" t="s">
        <v>11</v>
      </c>
      <c r="D17" s="4" t="s">
        <v>13</v>
      </c>
      <c r="E17" s="4" t="s">
        <v>17</v>
      </c>
      <c r="F17" s="4" t="s">
        <v>19</v>
      </c>
      <c r="G17" s="4" t="s">
        <v>22</v>
      </c>
      <c r="H17" s="4" t="s">
        <v>25</v>
      </c>
      <c r="I17" s="4" t="s">
        <v>28</v>
      </c>
      <c r="J17" s="4" t="s">
        <v>30</v>
      </c>
      <c r="K17" s="4" t="s">
        <v>31</v>
      </c>
      <c r="L17" s="4" t="s">
        <v>32</v>
      </c>
    </row>
    <row r="18" spans="1:12" x14ac:dyDescent="0.35">
      <c r="D18" s="86"/>
      <c r="E18" s="86"/>
      <c r="F18" s="86"/>
      <c r="G18" s="86"/>
      <c r="H18" s="86"/>
      <c r="I18" s="86"/>
      <c r="J18" s="4" t="s">
        <v>34</v>
      </c>
      <c r="K18" s="4" t="s">
        <v>35</v>
      </c>
      <c r="L18" s="4" t="s">
        <v>36</v>
      </c>
    </row>
    <row r="19" spans="1:12" x14ac:dyDescent="0.35">
      <c r="A19" s="86"/>
      <c r="D19" s="88"/>
      <c r="E19" s="86"/>
      <c r="F19" s="86"/>
      <c r="G19" s="86"/>
      <c r="H19" s="86"/>
      <c r="I19" s="86"/>
      <c r="J19" s="86"/>
      <c r="K19" s="86"/>
      <c r="L19" s="86"/>
    </row>
    <row r="20" spans="1:12" x14ac:dyDescent="0.35">
      <c r="A20" s="86">
        <v>1</v>
      </c>
      <c r="B20" s="86" t="s">
        <v>49</v>
      </c>
      <c r="C20" s="86" t="s">
        <v>38</v>
      </c>
      <c r="D20" s="67">
        <v>3</v>
      </c>
      <c r="E20" s="6">
        <f>Input!$H$29+ROUND(Input!$C$29*LG2R!D20,2)</f>
        <v>1.05</v>
      </c>
      <c r="F20" s="6">
        <f>Input!$Y$29+ROUND(Input!$T$29*LG2R!D20,2)</f>
        <v>1.05</v>
      </c>
      <c r="G20" s="6">
        <f>F20-E20</f>
        <v>0</v>
      </c>
      <c r="H20" s="7">
        <f>ROUND(G20/E20,3)</f>
        <v>0</v>
      </c>
      <c r="I20" s="6">
        <f>ROUND(D20*SUM(Input!$O$29:$R$29),2)</f>
        <v>0</v>
      </c>
      <c r="J20" s="6">
        <f>E20+I20</f>
        <v>1.05</v>
      </c>
      <c r="K20" s="6">
        <f>F20+I20</f>
        <v>1.05</v>
      </c>
      <c r="L20" s="7">
        <f>ROUND((K20-J20)/J20,3)</f>
        <v>0</v>
      </c>
    </row>
    <row r="21" spans="1:12" x14ac:dyDescent="0.35">
      <c r="A21" s="86">
        <v>2</v>
      </c>
      <c r="B21" s="86" t="s">
        <v>54</v>
      </c>
      <c r="C21" s="86" t="s">
        <v>39</v>
      </c>
      <c r="D21" s="67">
        <v>8</v>
      </c>
      <c r="E21" s="6">
        <f>Input!$H$29+ROUND(Input!$C$29*LG2R!D21,2)</f>
        <v>2.8</v>
      </c>
      <c r="F21" s="6">
        <f>Input!$Y$29+ROUND(Input!$T$29*LG2R!D21,2)</f>
        <v>2.8</v>
      </c>
      <c r="G21" s="6">
        <f t="shared" ref="G21:G30" si="0">F21-E21</f>
        <v>0</v>
      </c>
      <c r="H21" s="7">
        <f t="shared" ref="H21:H31" si="1">ROUND(G21/E21,3)</f>
        <v>0</v>
      </c>
      <c r="I21" s="6">
        <f>ROUND(D21*SUM(Input!$O$29:$R$29),2)</f>
        <v>0</v>
      </c>
      <c r="J21" s="6">
        <f t="shared" ref="J21:J30" si="2">E21+I21</f>
        <v>2.8</v>
      </c>
      <c r="K21" s="6">
        <f t="shared" ref="K21:K30" si="3">F21+I21</f>
        <v>2.8</v>
      </c>
      <c r="L21" s="7">
        <f t="shared" ref="L21:L31" si="4">ROUND((K21-J21)/J21,3)</f>
        <v>0</v>
      </c>
    </row>
    <row r="22" spans="1:12" x14ac:dyDescent="0.35">
      <c r="A22" s="86">
        <v>3</v>
      </c>
      <c r="B22" s="87" t="s">
        <v>110</v>
      </c>
      <c r="D22" s="67">
        <v>10</v>
      </c>
      <c r="E22" s="6">
        <f>Input!$H$29+ROUND(Input!$C$29*LG2R!D22,2)</f>
        <v>3.5</v>
      </c>
      <c r="F22" s="6">
        <f>Input!$Y$29+ROUND(Input!$T$29*LG2R!D22,2)</f>
        <v>3.5</v>
      </c>
      <c r="G22" s="6">
        <f t="shared" si="0"/>
        <v>0</v>
      </c>
      <c r="H22" s="7">
        <f t="shared" si="1"/>
        <v>0</v>
      </c>
      <c r="I22" s="6">
        <f>ROUND(D22*SUM(Input!$O$29:$R$29),2)</f>
        <v>0</v>
      </c>
      <c r="J22" s="6">
        <f t="shared" si="2"/>
        <v>3.5</v>
      </c>
      <c r="K22" s="6">
        <f t="shared" si="3"/>
        <v>3.5</v>
      </c>
      <c r="L22" s="7">
        <f t="shared" si="4"/>
        <v>0</v>
      </c>
    </row>
    <row r="23" spans="1:12" x14ac:dyDescent="0.35">
      <c r="A23" s="86">
        <v>4</v>
      </c>
      <c r="D23" s="67">
        <v>12</v>
      </c>
      <c r="E23" s="6">
        <f>Input!$H$29+ROUND(Input!$C$29*LG2R!D23,2)</f>
        <v>4.2</v>
      </c>
      <c r="F23" s="6">
        <f>Input!$Y$29+ROUND(Input!$T$29*LG2R!D23,2)</f>
        <v>4.2</v>
      </c>
      <c r="G23" s="6">
        <f t="shared" si="0"/>
        <v>0</v>
      </c>
      <c r="H23" s="7">
        <f t="shared" si="1"/>
        <v>0</v>
      </c>
      <c r="I23" s="6">
        <f>ROUND(D23*SUM(Input!$O$29:$R$29),2)</f>
        <v>0</v>
      </c>
      <c r="J23" s="6">
        <f t="shared" si="2"/>
        <v>4.2</v>
      </c>
      <c r="K23" s="6">
        <f t="shared" si="3"/>
        <v>4.2</v>
      </c>
      <c r="L23" s="7">
        <f t="shared" si="4"/>
        <v>0</v>
      </c>
    </row>
    <row r="24" spans="1:12" x14ac:dyDescent="0.35">
      <c r="A24" s="86">
        <v>5</v>
      </c>
      <c r="B24" s="86"/>
      <c r="D24" s="67">
        <v>16</v>
      </c>
      <c r="E24" s="6">
        <f>Input!$H$29+ROUND(Input!$C$29*LG2R!D24,2)</f>
        <v>5.6</v>
      </c>
      <c r="F24" s="6">
        <f>Input!$Y$29+ROUND(Input!$T$29*LG2R!D24,2)</f>
        <v>5.6</v>
      </c>
      <c r="G24" s="6">
        <f t="shared" si="0"/>
        <v>0</v>
      </c>
      <c r="H24" s="7">
        <f t="shared" si="1"/>
        <v>0</v>
      </c>
      <c r="I24" s="6">
        <f>ROUND(D24*SUM(Input!$O$29:$R$29),2)</f>
        <v>0</v>
      </c>
      <c r="J24" s="6">
        <f t="shared" si="2"/>
        <v>5.6</v>
      </c>
      <c r="K24" s="6">
        <f t="shared" si="3"/>
        <v>5.6</v>
      </c>
      <c r="L24" s="7">
        <f t="shared" si="4"/>
        <v>0</v>
      </c>
    </row>
    <row r="25" spans="1:12" x14ac:dyDescent="0.35">
      <c r="A25" s="86">
        <v>6</v>
      </c>
      <c r="B25" s="87"/>
      <c r="D25" s="67">
        <v>20</v>
      </c>
      <c r="E25" s="6">
        <f>Input!$H$29+ROUND(Input!$C$29*LG2R!D25,2)</f>
        <v>7</v>
      </c>
      <c r="F25" s="6">
        <f>Input!$Y$29+ROUND(Input!$T$29*LG2R!D25,2)</f>
        <v>7</v>
      </c>
      <c r="G25" s="6">
        <f t="shared" si="0"/>
        <v>0</v>
      </c>
      <c r="H25" s="7">
        <f t="shared" si="1"/>
        <v>0</v>
      </c>
      <c r="I25" s="6">
        <f>ROUND(D25*SUM(Input!$O$29:$R$29),2)</f>
        <v>0</v>
      </c>
      <c r="J25" s="6">
        <f t="shared" si="2"/>
        <v>7</v>
      </c>
      <c r="K25" s="6">
        <f t="shared" si="3"/>
        <v>7</v>
      </c>
      <c r="L25" s="7">
        <f t="shared" si="4"/>
        <v>0</v>
      </c>
    </row>
    <row r="26" spans="1:12" x14ac:dyDescent="0.35">
      <c r="A26" s="86">
        <v>7</v>
      </c>
      <c r="D26" s="67">
        <v>30</v>
      </c>
      <c r="E26" s="6">
        <f>Input!$H$29+ROUND(Input!$C$29*LG2R!D26,2)</f>
        <v>10.5</v>
      </c>
      <c r="F26" s="6">
        <f>Input!$Y$29+ROUND(Input!$T$29*LG2R!D26,2)</f>
        <v>10.5</v>
      </c>
      <c r="G26" s="6">
        <f t="shared" si="0"/>
        <v>0</v>
      </c>
      <c r="H26" s="7">
        <f t="shared" si="1"/>
        <v>0</v>
      </c>
      <c r="I26" s="6">
        <f>ROUND(D26*SUM(Input!$O$29:$R$29),2)</f>
        <v>0</v>
      </c>
      <c r="J26" s="6">
        <f t="shared" si="2"/>
        <v>10.5</v>
      </c>
      <c r="K26" s="6">
        <f t="shared" si="3"/>
        <v>10.5</v>
      </c>
      <c r="L26" s="7">
        <f t="shared" si="4"/>
        <v>0</v>
      </c>
    </row>
    <row r="27" spans="1:12" x14ac:dyDescent="0.35">
      <c r="A27" s="86">
        <v>8</v>
      </c>
      <c r="D27" s="67">
        <v>40</v>
      </c>
      <c r="E27" s="6">
        <f>Input!$H$29+ROUND(Input!$C$29*LG2R!D27,2)</f>
        <v>14</v>
      </c>
      <c r="F27" s="6">
        <f>Input!$Y$29+ROUND(Input!$T$29*LG2R!D27,2)</f>
        <v>14</v>
      </c>
      <c r="G27" s="6">
        <f t="shared" si="0"/>
        <v>0</v>
      </c>
      <c r="H27" s="7">
        <f t="shared" si="1"/>
        <v>0</v>
      </c>
      <c r="I27" s="6">
        <f>ROUND(D27*SUM(Input!$O$29:$R$29),2)</f>
        <v>0</v>
      </c>
      <c r="J27" s="6">
        <f t="shared" si="2"/>
        <v>14</v>
      </c>
      <c r="K27" s="6">
        <f t="shared" si="3"/>
        <v>14</v>
      </c>
      <c r="L27" s="7">
        <f t="shared" si="4"/>
        <v>0</v>
      </c>
    </row>
    <row r="28" spans="1:12" x14ac:dyDescent="0.35">
      <c r="A28" s="86">
        <v>9</v>
      </c>
      <c r="D28" s="67">
        <f>+E33</f>
        <v>45.4</v>
      </c>
      <c r="E28" s="6">
        <f>Input!$H$29+ROUND(Input!$C$29*LG2R!D28,2)</f>
        <v>15.89</v>
      </c>
      <c r="F28" s="6">
        <f>Input!$Y$29+ROUND(Input!$T$29*LG2R!D28,2)</f>
        <v>15.89</v>
      </c>
      <c r="G28" s="6">
        <f t="shared" si="0"/>
        <v>0</v>
      </c>
      <c r="H28" s="7">
        <f t="shared" si="1"/>
        <v>0</v>
      </c>
      <c r="I28" s="6">
        <f>ROUND(D28*SUM(Input!$O$29:$R$29),2)</f>
        <v>0</v>
      </c>
      <c r="J28" s="6">
        <f t="shared" si="2"/>
        <v>15.89</v>
      </c>
      <c r="K28" s="6">
        <f t="shared" si="3"/>
        <v>15.89</v>
      </c>
      <c r="L28" s="7">
        <f t="shared" si="4"/>
        <v>0</v>
      </c>
    </row>
    <row r="29" spans="1:12" x14ac:dyDescent="0.35">
      <c r="A29" s="86">
        <v>10</v>
      </c>
      <c r="D29" s="67">
        <v>50</v>
      </c>
      <c r="E29" s="6">
        <f>Input!$H$29+ROUND(Input!$C$29*LG2R!D29,2)</f>
        <v>17.5</v>
      </c>
      <c r="F29" s="6">
        <f>Input!$Y$29+ROUND(Input!$T$29*LG2R!D29,2)</f>
        <v>17.5</v>
      </c>
      <c r="G29" s="6">
        <f>F29-E29</f>
        <v>0</v>
      </c>
      <c r="H29" s="7">
        <f t="shared" si="1"/>
        <v>0</v>
      </c>
      <c r="I29" s="6">
        <f>ROUND(D29*SUM(Input!$O$29:$R$29),2)</f>
        <v>0</v>
      </c>
      <c r="J29" s="6">
        <f>E29+I29</f>
        <v>17.5</v>
      </c>
      <c r="K29" s="6">
        <f>F29+I29</f>
        <v>17.5</v>
      </c>
      <c r="L29" s="7">
        <f t="shared" si="4"/>
        <v>0</v>
      </c>
    </row>
    <row r="30" spans="1:12" x14ac:dyDescent="0.35">
      <c r="A30" s="86">
        <v>11</v>
      </c>
      <c r="D30" s="67">
        <v>70</v>
      </c>
      <c r="E30" s="6">
        <f>Input!$H$29+ROUND(Input!$C$29*LG2R!D30,2)</f>
        <v>24.5</v>
      </c>
      <c r="F30" s="6">
        <f>Input!$Y$29+ROUND(Input!$T$29*LG2R!D30,2)</f>
        <v>24.5</v>
      </c>
      <c r="G30" s="6">
        <f t="shared" si="0"/>
        <v>0</v>
      </c>
      <c r="H30" s="7">
        <f t="shared" si="1"/>
        <v>0</v>
      </c>
      <c r="I30" s="6">
        <f>ROUND(D30*SUM(Input!$O$29:$R$29),2)</f>
        <v>0</v>
      </c>
      <c r="J30" s="6">
        <f t="shared" si="2"/>
        <v>24.5</v>
      </c>
      <c r="K30" s="6">
        <f t="shared" si="3"/>
        <v>24.5</v>
      </c>
      <c r="L30" s="7">
        <f t="shared" si="4"/>
        <v>0</v>
      </c>
    </row>
    <row r="31" spans="1:12" x14ac:dyDescent="0.35">
      <c r="A31" s="86">
        <v>12</v>
      </c>
      <c r="D31" s="67">
        <v>90</v>
      </c>
      <c r="E31" s="6">
        <f>Input!$H$29+ROUND(Input!$C$29*LG2R!D31,2)</f>
        <v>31.5</v>
      </c>
      <c r="F31" s="6">
        <f>Input!$Y$29+ROUND(Input!$T$29*LG2R!D31,2)</f>
        <v>31.5</v>
      </c>
      <c r="G31" s="6">
        <f>F31-E31</f>
        <v>0</v>
      </c>
      <c r="H31" s="7">
        <f t="shared" si="1"/>
        <v>0</v>
      </c>
      <c r="I31" s="6">
        <f>ROUND(D31*SUM(Input!$O$29:$R$29),2)</f>
        <v>0</v>
      </c>
      <c r="J31" s="6">
        <f>E31+I31</f>
        <v>31.5</v>
      </c>
      <c r="K31" s="6">
        <f>F31+I31</f>
        <v>31.5</v>
      </c>
      <c r="L31" s="7">
        <f t="shared" si="4"/>
        <v>0</v>
      </c>
    </row>
    <row r="32" spans="1:12" x14ac:dyDescent="0.35">
      <c r="A32" s="86"/>
      <c r="D32" s="88"/>
      <c r="E32" s="86"/>
      <c r="F32" s="86"/>
      <c r="G32" s="86"/>
      <c r="H32" s="17"/>
      <c r="I32" s="86"/>
      <c r="J32" s="86"/>
      <c r="K32" s="86"/>
      <c r="L32" s="86"/>
    </row>
    <row r="33" spans="1:6" x14ac:dyDescent="0.35">
      <c r="A33" s="9"/>
      <c r="C33" s="1" t="s">
        <v>102</v>
      </c>
      <c r="E33" s="74">
        <f>Input!AF29</f>
        <v>45.4</v>
      </c>
    </row>
    <row r="34" spans="1:6" x14ac:dyDescent="0.35">
      <c r="A34" s="9"/>
      <c r="E34" s="86"/>
      <c r="F34" s="18"/>
    </row>
    <row r="36" spans="1:6" x14ac:dyDescent="0.35">
      <c r="D36" s="75"/>
    </row>
    <row r="37" spans="1:6" x14ac:dyDescent="0.35">
      <c r="B37" s="1" t="s">
        <v>112</v>
      </c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5" right="0.5" top="0.75" bottom="0.75" header="0.5" footer="0.5"/>
  <pageSetup scale="9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L37"/>
  <sheetViews>
    <sheetView workbookViewId="0">
      <selection sqref="A1:L1"/>
    </sheetView>
  </sheetViews>
  <sheetFormatPr defaultColWidth="9.140625" defaultRowHeight="12.9" x14ac:dyDescent="0.35"/>
  <cols>
    <col min="1" max="16384" width="9.140625" style="3"/>
  </cols>
  <sheetData>
    <row r="1" spans="1:12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x14ac:dyDescent="0.35">
      <c r="A2" s="108" t="str">
        <f>Input!$B$13</f>
        <v>CASE NO. 2024-00092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35">
      <c r="A3" s="108" t="s">
        <v>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35">
      <c r="A5" s="108" t="str">
        <f>Input!B17</f>
        <v>TWELVE MONTHS ENDING DECEMBER 31, 2025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3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3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35">
      <c r="A8" s="3" t="s">
        <v>113</v>
      </c>
      <c r="L8" s="13" t="s">
        <v>3</v>
      </c>
    </row>
    <row r="9" spans="1:12" x14ac:dyDescent="0.35">
      <c r="A9" s="3" t="s">
        <v>115</v>
      </c>
      <c r="L9" s="13" t="s">
        <v>132</v>
      </c>
    </row>
    <row r="10" spans="1:12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R. J. Amen</v>
      </c>
    </row>
    <row r="13" spans="1:12" x14ac:dyDescent="0.35">
      <c r="D13" s="88"/>
      <c r="E13" s="88"/>
      <c r="F13" s="88"/>
      <c r="G13" s="88"/>
      <c r="H13" s="88"/>
      <c r="I13" s="88"/>
      <c r="J13" s="88" t="s">
        <v>29</v>
      </c>
      <c r="K13" s="88" t="s">
        <v>29</v>
      </c>
      <c r="L13" s="88"/>
    </row>
    <row r="14" spans="1:12" x14ac:dyDescent="0.35">
      <c r="A14" s="88" t="s">
        <v>4</v>
      </c>
      <c r="B14" s="88" t="s">
        <v>6</v>
      </c>
      <c r="C14" s="88" t="s">
        <v>8</v>
      </c>
      <c r="D14" s="88" t="s">
        <v>8</v>
      </c>
      <c r="E14" s="88" t="s">
        <v>14</v>
      </c>
      <c r="F14" s="88" t="s">
        <v>18</v>
      </c>
      <c r="G14" s="88" t="s">
        <v>20</v>
      </c>
      <c r="H14" s="88" t="s">
        <v>20</v>
      </c>
      <c r="I14" s="88" t="s">
        <v>26</v>
      </c>
      <c r="J14" s="88" t="s">
        <v>14</v>
      </c>
      <c r="K14" s="88" t="s">
        <v>18</v>
      </c>
      <c r="L14" s="88" t="s">
        <v>33</v>
      </c>
    </row>
    <row r="15" spans="1:12" x14ac:dyDescent="0.35">
      <c r="A15" s="68" t="s">
        <v>5</v>
      </c>
      <c r="B15" s="68" t="s">
        <v>7</v>
      </c>
      <c r="C15" s="68" t="s">
        <v>9</v>
      </c>
      <c r="D15" s="68" t="s">
        <v>10</v>
      </c>
      <c r="E15" s="68" t="s">
        <v>15</v>
      </c>
      <c r="F15" s="68" t="s">
        <v>15</v>
      </c>
      <c r="G15" s="69" t="s">
        <v>21</v>
      </c>
      <c r="H15" s="69" t="s">
        <v>23</v>
      </c>
      <c r="I15" s="68" t="s">
        <v>27</v>
      </c>
      <c r="J15" s="68" t="s">
        <v>15</v>
      </c>
      <c r="K15" s="68" t="s">
        <v>15</v>
      </c>
      <c r="L15" s="68" t="s">
        <v>20</v>
      </c>
    </row>
    <row r="16" spans="1:12" x14ac:dyDescent="0.35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5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5">
      <c r="D18" s="88"/>
      <c r="E18" s="88"/>
      <c r="F18" s="88"/>
      <c r="G18" s="88"/>
      <c r="H18" s="88"/>
      <c r="I18" s="88"/>
      <c r="J18" s="10" t="s">
        <v>34</v>
      </c>
      <c r="K18" s="10" t="s">
        <v>35</v>
      </c>
      <c r="L18" s="10" t="s">
        <v>36</v>
      </c>
    </row>
    <row r="19" spans="1:12" x14ac:dyDescent="0.35">
      <c r="A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35">
      <c r="A20" s="88">
        <v>1</v>
      </c>
      <c r="B20" s="88" t="s">
        <v>49</v>
      </c>
      <c r="C20" s="88" t="s">
        <v>38</v>
      </c>
      <c r="D20" s="67">
        <f>+E33</f>
        <v>0</v>
      </c>
      <c r="E20" s="11">
        <f>Input!$H$30+ROUND(Input!$C$30*LG2C!D20,2)</f>
        <v>0</v>
      </c>
      <c r="F20" s="11">
        <f>Input!$Y$30+ROUND(Input!$T$30*LG2C!D20,2)</f>
        <v>0</v>
      </c>
      <c r="G20" s="11">
        <f>F20-E20</f>
        <v>0</v>
      </c>
      <c r="H20" s="12">
        <f>IF(E20=0,0,ROUND(G20/E20,3))</f>
        <v>0</v>
      </c>
      <c r="I20" s="11">
        <f>ROUND(D20*SUM(Input!$O$30:$R$30),2)</f>
        <v>0</v>
      </c>
      <c r="J20" s="11">
        <f>E20+I20</f>
        <v>0</v>
      </c>
      <c r="K20" s="11">
        <f>F20+I20</f>
        <v>0</v>
      </c>
      <c r="L20" s="12">
        <f>IF(J20=0,0,(K20-J20)/J20)</f>
        <v>0</v>
      </c>
    </row>
    <row r="21" spans="1:12" x14ac:dyDescent="0.35">
      <c r="A21" s="88">
        <v>2</v>
      </c>
      <c r="B21" s="88" t="s">
        <v>54</v>
      </c>
      <c r="C21" s="88" t="s">
        <v>39</v>
      </c>
      <c r="D21" s="67">
        <v>3</v>
      </c>
      <c r="E21" s="11">
        <f>Input!$H$30+ROUND(Input!$C$30*LG2C!D21,2)</f>
        <v>1.05</v>
      </c>
      <c r="F21" s="11">
        <f>Input!$Y$30+ROUND(Input!$T$30*LG2C!D21,2)</f>
        <v>1.05</v>
      </c>
      <c r="G21" s="11">
        <f t="shared" ref="G21:G30" si="0">F21-E21</f>
        <v>0</v>
      </c>
      <c r="H21" s="12">
        <f t="shared" ref="H21:H31" si="1">ROUND(G21/E21,3)</f>
        <v>0</v>
      </c>
      <c r="I21" s="11">
        <f>ROUND(D21*SUM(Input!$O$30:$R$30),2)</f>
        <v>0</v>
      </c>
      <c r="J21" s="11">
        <f t="shared" ref="J21:J30" si="2">E21+I21</f>
        <v>1.05</v>
      </c>
      <c r="K21" s="11">
        <f t="shared" ref="K21:K30" si="3">F21+I21</f>
        <v>1.05</v>
      </c>
      <c r="L21" s="12">
        <f t="shared" ref="L21:L31" si="4">ROUND((K21-J21)/J21,3)</f>
        <v>0</v>
      </c>
    </row>
    <row r="22" spans="1:12" x14ac:dyDescent="0.35">
      <c r="A22" s="88">
        <v>3</v>
      </c>
      <c r="B22" s="89" t="s">
        <v>55</v>
      </c>
      <c r="D22" s="67">
        <v>8</v>
      </c>
      <c r="E22" s="11">
        <f>Input!$H$30+ROUND(Input!$C$30*LG2C!D22,2)</f>
        <v>2.8</v>
      </c>
      <c r="F22" s="11">
        <f>Input!$Y$30+ROUND(Input!$T$30*LG2C!D22,2)</f>
        <v>2.8</v>
      </c>
      <c r="G22" s="11">
        <f t="shared" si="0"/>
        <v>0</v>
      </c>
      <c r="H22" s="12">
        <f t="shared" si="1"/>
        <v>0</v>
      </c>
      <c r="I22" s="11">
        <f>ROUND(D22*SUM(Input!$O$30:$R$30),2)</f>
        <v>0</v>
      </c>
      <c r="J22" s="11">
        <f t="shared" si="2"/>
        <v>2.8</v>
      </c>
      <c r="K22" s="11">
        <f t="shared" si="3"/>
        <v>2.8</v>
      </c>
      <c r="L22" s="12">
        <f t="shared" si="4"/>
        <v>0</v>
      </c>
    </row>
    <row r="23" spans="1:12" x14ac:dyDescent="0.35">
      <c r="A23" s="88">
        <v>4</v>
      </c>
      <c r="D23" s="67">
        <v>10</v>
      </c>
      <c r="E23" s="11">
        <f>Input!$H$30+ROUND(Input!$C$30*LG2C!D23,2)</f>
        <v>3.5</v>
      </c>
      <c r="F23" s="11">
        <f>Input!$Y$30+ROUND(Input!$T$30*LG2C!D23,2)</f>
        <v>3.5</v>
      </c>
      <c r="G23" s="11">
        <f t="shared" si="0"/>
        <v>0</v>
      </c>
      <c r="H23" s="12">
        <f t="shared" si="1"/>
        <v>0</v>
      </c>
      <c r="I23" s="11">
        <f>ROUND(D23*SUM(Input!$O$30:$R$30),2)</f>
        <v>0</v>
      </c>
      <c r="J23" s="11">
        <f t="shared" si="2"/>
        <v>3.5</v>
      </c>
      <c r="K23" s="11">
        <f t="shared" si="3"/>
        <v>3.5</v>
      </c>
      <c r="L23" s="12">
        <f t="shared" si="4"/>
        <v>0</v>
      </c>
    </row>
    <row r="24" spans="1:12" x14ac:dyDescent="0.35">
      <c r="A24" s="88">
        <v>5</v>
      </c>
      <c r="B24" s="88"/>
      <c r="D24" s="67">
        <v>12</v>
      </c>
      <c r="E24" s="11">
        <f>Input!$H$30+ROUND(Input!$C$30*LG2C!D24,2)</f>
        <v>4.2</v>
      </c>
      <c r="F24" s="11">
        <f>Input!$Y$30+ROUND(Input!$T$30*LG2C!D24,2)</f>
        <v>4.2</v>
      </c>
      <c r="G24" s="11">
        <f t="shared" si="0"/>
        <v>0</v>
      </c>
      <c r="H24" s="12">
        <f t="shared" si="1"/>
        <v>0</v>
      </c>
      <c r="I24" s="11">
        <f>ROUND(D24*SUM(Input!$O$30:$R$30),2)</f>
        <v>0</v>
      </c>
      <c r="J24" s="11">
        <f t="shared" si="2"/>
        <v>4.2</v>
      </c>
      <c r="K24" s="11">
        <f t="shared" si="3"/>
        <v>4.2</v>
      </c>
      <c r="L24" s="12">
        <f t="shared" si="4"/>
        <v>0</v>
      </c>
    </row>
    <row r="25" spans="1:12" x14ac:dyDescent="0.35">
      <c r="A25" s="88">
        <v>6</v>
      </c>
      <c r="B25" s="89"/>
      <c r="D25" s="67">
        <v>16</v>
      </c>
      <c r="E25" s="11">
        <f>Input!$H$30+ROUND(Input!$C$30*LG2C!D25,2)</f>
        <v>5.6</v>
      </c>
      <c r="F25" s="11">
        <f>Input!$Y$30+ROUND(Input!$T$30*LG2C!D25,2)</f>
        <v>5.6</v>
      </c>
      <c r="G25" s="11">
        <f t="shared" si="0"/>
        <v>0</v>
      </c>
      <c r="H25" s="12">
        <f t="shared" si="1"/>
        <v>0</v>
      </c>
      <c r="I25" s="11">
        <f>ROUND(D25*SUM(Input!$O$30:$R$30),2)</f>
        <v>0</v>
      </c>
      <c r="J25" s="11">
        <f t="shared" si="2"/>
        <v>5.6</v>
      </c>
      <c r="K25" s="11">
        <f t="shared" si="3"/>
        <v>5.6</v>
      </c>
      <c r="L25" s="12">
        <f t="shared" si="4"/>
        <v>0</v>
      </c>
    </row>
    <row r="26" spans="1:12" x14ac:dyDescent="0.35">
      <c r="A26" s="88">
        <v>7</v>
      </c>
      <c r="D26" s="67">
        <v>20</v>
      </c>
      <c r="E26" s="11">
        <f>Input!$H$30+ROUND(Input!$C$30*LG2C!D26,2)</f>
        <v>7</v>
      </c>
      <c r="F26" s="11">
        <f>Input!$Y$30+ROUND(Input!$T$30*LG2C!D26,2)</f>
        <v>7</v>
      </c>
      <c r="G26" s="11">
        <f t="shared" si="0"/>
        <v>0</v>
      </c>
      <c r="H26" s="12">
        <f t="shared" si="1"/>
        <v>0</v>
      </c>
      <c r="I26" s="11">
        <f>ROUND(D26*SUM(Input!$O$30:$R$30),2)</f>
        <v>0</v>
      </c>
      <c r="J26" s="11">
        <f t="shared" si="2"/>
        <v>7</v>
      </c>
      <c r="K26" s="11">
        <f t="shared" si="3"/>
        <v>7</v>
      </c>
      <c r="L26" s="12">
        <f t="shared" si="4"/>
        <v>0</v>
      </c>
    </row>
    <row r="27" spans="1:12" x14ac:dyDescent="0.35">
      <c r="A27" s="88">
        <v>8</v>
      </c>
      <c r="D27" s="67">
        <v>30</v>
      </c>
      <c r="E27" s="11">
        <f>Input!$H$30+ROUND(Input!$C$30*LG2C!D27,2)</f>
        <v>10.5</v>
      </c>
      <c r="F27" s="11">
        <f>Input!$Y$30+ROUND(Input!$T$30*LG2C!D27,2)</f>
        <v>10.5</v>
      </c>
      <c r="G27" s="11">
        <f t="shared" si="0"/>
        <v>0</v>
      </c>
      <c r="H27" s="12">
        <f t="shared" si="1"/>
        <v>0</v>
      </c>
      <c r="I27" s="11">
        <f>ROUND(D27*SUM(Input!$O$30:$R$30),2)</f>
        <v>0</v>
      </c>
      <c r="J27" s="11">
        <f t="shared" si="2"/>
        <v>10.5</v>
      </c>
      <c r="K27" s="11">
        <f t="shared" si="3"/>
        <v>10.5</v>
      </c>
      <c r="L27" s="12">
        <f t="shared" si="4"/>
        <v>0</v>
      </c>
    </row>
    <row r="28" spans="1:12" x14ac:dyDescent="0.35">
      <c r="A28" s="88">
        <v>9</v>
      </c>
      <c r="D28" s="67">
        <v>40</v>
      </c>
      <c r="E28" s="11">
        <f>Input!$H$30+ROUND(Input!$C$30*LG2C!D28,2)</f>
        <v>14</v>
      </c>
      <c r="F28" s="11">
        <f>Input!$Y$30+ROUND(Input!$T$30*LG2C!D28,2)</f>
        <v>14</v>
      </c>
      <c r="G28" s="11">
        <f t="shared" si="0"/>
        <v>0</v>
      </c>
      <c r="H28" s="12">
        <f t="shared" si="1"/>
        <v>0</v>
      </c>
      <c r="I28" s="11">
        <f>ROUND(D28*SUM(Input!$O$30:$R$30),2)</f>
        <v>0</v>
      </c>
      <c r="J28" s="11">
        <f t="shared" si="2"/>
        <v>14</v>
      </c>
      <c r="K28" s="11">
        <f t="shared" si="3"/>
        <v>14</v>
      </c>
      <c r="L28" s="12">
        <f t="shared" si="4"/>
        <v>0</v>
      </c>
    </row>
    <row r="29" spans="1:12" x14ac:dyDescent="0.35">
      <c r="A29" s="88">
        <v>10</v>
      </c>
      <c r="D29" s="67">
        <v>50</v>
      </c>
      <c r="E29" s="11">
        <f>Input!$H$30+ROUND(Input!$C$30*LG2C!D29,2)</f>
        <v>17.5</v>
      </c>
      <c r="F29" s="11">
        <f>Input!$Y$30+ROUND(Input!$T$30*LG2C!D29,2)</f>
        <v>17.5</v>
      </c>
      <c r="G29" s="11">
        <f>F29-E29</f>
        <v>0</v>
      </c>
      <c r="H29" s="12">
        <f t="shared" si="1"/>
        <v>0</v>
      </c>
      <c r="I29" s="11">
        <f>ROUND(D29*SUM(Input!$O$30:$R$30),2)</f>
        <v>0</v>
      </c>
      <c r="J29" s="11">
        <f>E29+I29</f>
        <v>17.5</v>
      </c>
      <c r="K29" s="11">
        <f>F29+I29</f>
        <v>17.5</v>
      </c>
      <c r="L29" s="12">
        <f t="shared" si="4"/>
        <v>0</v>
      </c>
    </row>
    <row r="30" spans="1:12" x14ac:dyDescent="0.35">
      <c r="A30" s="88">
        <v>11</v>
      </c>
      <c r="D30" s="67">
        <v>60</v>
      </c>
      <c r="E30" s="11">
        <f>Input!$H$30+ROUND(Input!$C$30*LG2C!D30,2)</f>
        <v>21</v>
      </c>
      <c r="F30" s="11">
        <f>Input!$Y$30+ROUND(Input!$T$30*LG2C!D30,2)</f>
        <v>21</v>
      </c>
      <c r="G30" s="11">
        <f t="shared" si="0"/>
        <v>0</v>
      </c>
      <c r="H30" s="12">
        <f t="shared" si="1"/>
        <v>0</v>
      </c>
      <c r="I30" s="11">
        <f>ROUND(D30*SUM(Input!$O$30:$R$30),2)</f>
        <v>0</v>
      </c>
      <c r="J30" s="11">
        <f t="shared" si="2"/>
        <v>21</v>
      </c>
      <c r="K30" s="11">
        <f t="shared" si="3"/>
        <v>21</v>
      </c>
      <c r="L30" s="12">
        <f t="shared" si="4"/>
        <v>0</v>
      </c>
    </row>
    <row r="31" spans="1:12" x14ac:dyDescent="0.35">
      <c r="A31" s="88">
        <v>12</v>
      </c>
      <c r="D31" s="67">
        <v>90</v>
      </c>
      <c r="E31" s="11">
        <f>Input!$H$30+ROUND(Input!$C$30*LG2C!D31,2)</f>
        <v>31.5</v>
      </c>
      <c r="F31" s="11">
        <f>Input!$Y$30+ROUND(Input!$T$30*LG2C!D31,2)</f>
        <v>31.5</v>
      </c>
      <c r="G31" s="11">
        <f>F31-E31</f>
        <v>0</v>
      </c>
      <c r="H31" s="12">
        <f t="shared" si="1"/>
        <v>0</v>
      </c>
      <c r="I31" s="11">
        <f>ROUND(D31*SUM(Input!$O$30:$R$30),2)</f>
        <v>0</v>
      </c>
      <c r="J31" s="11">
        <f>E31+I31</f>
        <v>31.5</v>
      </c>
      <c r="K31" s="11">
        <f>F31+I31</f>
        <v>31.5</v>
      </c>
      <c r="L31" s="12">
        <f t="shared" si="4"/>
        <v>0</v>
      </c>
    </row>
    <row r="32" spans="1:12" x14ac:dyDescent="0.35">
      <c r="A32" s="88"/>
      <c r="D32" s="88"/>
      <c r="E32" s="88"/>
      <c r="F32" s="88"/>
      <c r="G32" s="88"/>
      <c r="H32" s="16"/>
      <c r="I32" s="88"/>
      <c r="J32" s="88"/>
      <c r="K32" s="88"/>
      <c r="L32" s="88"/>
    </row>
    <row r="33" spans="1:5" x14ac:dyDescent="0.35">
      <c r="A33" s="14"/>
      <c r="C33" s="3" t="s">
        <v>102</v>
      </c>
      <c r="E33" s="66">
        <f>Input!AF30</f>
        <v>0</v>
      </c>
    </row>
    <row r="34" spans="1:5" x14ac:dyDescent="0.35">
      <c r="C34" s="3" t="s">
        <v>151</v>
      </c>
    </row>
    <row r="36" spans="1:5" x14ac:dyDescent="0.35">
      <c r="D36" s="76"/>
    </row>
    <row r="37" spans="1:5" x14ac:dyDescent="0.35">
      <c r="B37" s="3" t="s">
        <v>112</v>
      </c>
    </row>
  </sheetData>
  <mergeCells count="5">
    <mergeCell ref="A5:L5"/>
    <mergeCell ref="A1:L1"/>
    <mergeCell ref="A2:L2"/>
    <mergeCell ref="A3:L3"/>
    <mergeCell ref="A4:L4"/>
  </mergeCells>
  <phoneticPr fontId="7" type="noConversion"/>
  <pageMargins left="0.75" right="0.75" top="1" bottom="0.75" header="0.5" footer="0.5"/>
  <pageSetup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L37"/>
  <sheetViews>
    <sheetView workbookViewId="0">
      <selection sqref="A1:L1"/>
    </sheetView>
  </sheetViews>
  <sheetFormatPr defaultColWidth="9.140625" defaultRowHeight="12.9" x14ac:dyDescent="0.35"/>
  <cols>
    <col min="1" max="1" width="9.140625" style="1"/>
    <col min="2" max="2" width="10.28515625" style="1" customWidth="1"/>
    <col min="3" max="3" width="9.5703125" style="1" customWidth="1"/>
    <col min="4" max="10" width="9.140625" style="1"/>
    <col min="11" max="12" width="10.28515625" style="1" customWidth="1"/>
    <col min="13" max="16384" width="9.140625" style="1"/>
  </cols>
  <sheetData>
    <row r="1" spans="1:12" x14ac:dyDescent="0.3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x14ac:dyDescent="0.35">
      <c r="A2" s="105" t="str">
        <f>Input!$B$13</f>
        <v>CASE NO. 2024-00092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35">
      <c r="A3" s="105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35">
      <c r="A4" s="105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x14ac:dyDescent="0.35">
      <c r="A5" s="105" t="str">
        <f>Input!B17</f>
        <v>TWELVE MONTHS ENDING DECEMBER 31, 2025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3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x14ac:dyDescent="0.35">
      <c r="A8" s="1" t="s">
        <v>113</v>
      </c>
      <c r="L8" s="8" t="s">
        <v>3</v>
      </c>
    </row>
    <row r="9" spans="1:12" x14ac:dyDescent="0.35">
      <c r="A9" s="1" t="s">
        <v>115</v>
      </c>
      <c r="L9" s="13" t="s">
        <v>133</v>
      </c>
    </row>
    <row r="10" spans="1:12" x14ac:dyDescent="0.35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 t="str">
        <f>Input!B15</f>
        <v>Witness: R. J. Amen</v>
      </c>
    </row>
    <row r="13" spans="1:12" x14ac:dyDescent="0.35">
      <c r="D13" s="86"/>
      <c r="E13" s="86"/>
      <c r="F13" s="86"/>
      <c r="G13" s="86"/>
      <c r="H13" s="86"/>
      <c r="I13" s="86"/>
      <c r="J13" s="86" t="s">
        <v>29</v>
      </c>
      <c r="K13" s="86" t="s">
        <v>29</v>
      </c>
      <c r="L13" s="86"/>
    </row>
    <row r="14" spans="1:12" x14ac:dyDescent="0.35">
      <c r="A14" s="86" t="s">
        <v>4</v>
      </c>
      <c r="B14" s="86" t="s">
        <v>6</v>
      </c>
      <c r="C14" s="86" t="s">
        <v>8</v>
      </c>
      <c r="D14" s="86" t="s">
        <v>8</v>
      </c>
      <c r="E14" s="86" t="s">
        <v>14</v>
      </c>
      <c r="F14" s="86" t="s">
        <v>18</v>
      </c>
      <c r="G14" s="86" t="s">
        <v>20</v>
      </c>
      <c r="H14" s="86" t="s">
        <v>20</v>
      </c>
      <c r="I14" s="86" t="s">
        <v>26</v>
      </c>
      <c r="J14" s="86" t="s">
        <v>14</v>
      </c>
      <c r="K14" s="86" t="s">
        <v>18</v>
      </c>
      <c r="L14" s="86" t="s">
        <v>33</v>
      </c>
    </row>
    <row r="15" spans="1:12" x14ac:dyDescent="0.35">
      <c r="A15" s="70" t="s">
        <v>5</v>
      </c>
      <c r="B15" s="70" t="s">
        <v>7</v>
      </c>
      <c r="C15" s="70" t="s">
        <v>9</v>
      </c>
      <c r="D15" s="70" t="s">
        <v>10</v>
      </c>
      <c r="E15" s="70" t="s">
        <v>15</v>
      </c>
      <c r="F15" s="70" t="s">
        <v>15</v>
      </c>
      <c r="G15" s="71" t="s">
        <v>21</v>
      </c>
      <c r="H15" s="71" t="s">
        <v>23</v>
      </c>
      <c r="I15" s="70" t="s">
        <v>27</v>
      </c>
      <c r="J15" s="70" t="s">
        <v>15</v>
      </c>
      <c r="K15" s="70" t="s">
        <v>15</v>
      </c>
      <c r="L15" s="70" t="s">
        <v>20</v>
      </c>
    </row>
    <row r="16" spans="1:12" x14ac:dyDescent="0.35">
      <c r="D16" s="4" t="s">
        <v>12</v>
      </c>
      <c r="E16" s="4" t="s">
        <v>16</v>
      </c>
      <c r="F16" s="4" t="s">
        <v>16</v>
      </c>
      <c r="G16" s="4" t="s">
        <v>16</v>
      </c>
      <c r="H16" s="4" t="s">
        <v>24</v>
      </c>
      <c r="I16" s="4" t="s">
        <v>16</v>
      </c>
      <c r="J16" s="4" t="s">
        <v>16</v>
      </c>
      <c r="K16" s="4" t="s">
        <v>16</v>
      </c>
      <c r="L16" s="4" t="s">
        <v>24</v>
      </c>
    </row>
    <row r="17" spans="1:12" x14ac:dyDescent="0.35">
      <c r="C17" s="4" t="s">
        <v>11</v>
      </c>
      <c r="D17" s="4" t="s">
        <v>13</v>
      </c>
      <c r="E17" s="4" t="s">
        <v>17</v>
      </c>
      <c r="F17" s="4" t="s">
        <v>19</v>
      </c>
      <c r="G17" s="4" t="s">
        <v>22</v>
      </c>
      <c r="H17" s="4" t="s">
        <v>25</v>
      </c>
      <c r="I17" s="4" t="s">
        <v>28</v>
      </c>
      <c r="J17" s="4" t="s">
        <v>30</v>
      </c>
      <c r="K17" s="4" t="s">
        <v>31</v>
      </c>
      <c r="L17" s="4" t="s">
        <v>32</v>
      </c>
    </row>
    <row r="18" spans="1:12" x14ac:dyDescent="0.35">
      <c r="D18" s="86"/>
      <c r="E18" s="86"/>
      <c r="F18" s="86"/>
      <c r="G18" s="86"/>
      <c r="H18" s="86"/>
      <c r="I18" s="86"/>
      <c r="J18" s="4" t="s">
        <v>34</v>
      </c>
      <c r="K18" s="4" t="s">
        <v>35</v>
      </c>
      <c r="L18" s="4" t="s">
        <v>36</v>
      </c>
    </row>
    <row r="19" spans="1:12" x14ac:dyDescent="0.35">
      <c r="A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x14ac:dyDescent="0.35">
      <c r="A20" s="86">
        <v>1</v>
      </c>
      <c r="B20" s="86" t="s">
        <v>50</v>
      </c>
      <c r="C20" s="86" t="s">
        <v>38</v>
      </c>
      <c r="D20" s="73">
        <v>3</v>
      </c>
      <c r="E20" s="6">
        <f>Input!$H$31+ROUND(Input!$C$31*2,2)+ROUND(Input!$D$31*('LG3'!D20-2),2)</f>
        <v>1.5499999999999998</v>
      </c>
      <c r="F20" s="6">
        <f>Input!$Y$31+ROUND(Input!$T$31*2,2)+ROUND(Input!$U$31*('LG3'!D20-2),2)</f>
        <v>1.5499999999999998</v>
      </c>
      <c r="G20" s="6">
        <f>F20-E20</f>
        <v>0</v>
      </c>
      <c r="H20" s="7">
        <f>ROUND(G20/E20,3)</f>
        <v>0</v>
      </c>
      <c r="I20" s="6">
        <f>ROUND(D20*SUM(Input!$O$31:$R$31),2)</f>
        <v>0</v>
      </c>
      <c r="J20" s="6">
        <f>E20+I20</f>
        <v>1.5499999999999998</v>
      </c>
      <c r="K20" s="6">
        <f>F20+I20</f>
        <v>1.5499999999999998</v>
      </c>
      <c r="L20" s="7">
        <f>ROUND((K20-J20)/J20,3)</f>
        <v>0</v>
      </c>
    </row>
    <row r="21" spans="1:12" x14ac:dyDescent="0.35">
      <c r="A21" s="86">
        <v>2</v>
      </c>
      <c r="B21" s="86" t="s">
        <v>54</v>
      </c>
      <c r="C21" s="86" t="s">
        <v>39</v>
      </c>
      <c r="D21" s="73">
        <v>8</v>
      </c>
      <c r="E21" s="6">
        <f>Input!$H$31+ROUND(Input!$C$31*2,2)+ROUND(Input!$D$31*('LG3'!D21-2),2)</f>
        <v>3.3</v>
      </c>
      <c r="F21" s="6">
        <f>Input!$Y$31+ROUND(Input!$T$31*2,2)+ROUND(Input!$U$31*('LG3'!D21-2),2)</f>
        <v>3.3</v>
      </c>
      <c r="G21" s="6">
        <f t="shared" ref="G21:G31" si="0">F21-E21</f>
        <v>0</v>
      </c>
      <c r="H21" s="7">
        <f t="shared" ref="H21:H31" si="1">ROUND(G21/E21,3)</f>
        <v>0</v>
      </c>
      <c r="I21" s="6">
        <f>ROUND(D21*SUM(Input!$O$31:$R$31),2)</f>
        <v>0</v>
      </c>
      <c r="J21" s="6">
        <f t="shared" ref="J21:J31" si="2">E21+I21</f>
        <v>3.3</v>
      </c>
      <c r="K21" s="6">
        <f t="shared" ref="K21:K31" si="3">F21+I21</f>
        <v>3.3</v>
      </c>
      <c r="L21" s="7">
        <f t="shared" ref="L21:L31" si="4">ROUND((K21-J21)/J21,3)</f>
        <v>0</v>
      </c>
    </row>
    <row r="22" spans="1:12" x14ac:dyDescent="0.35">
      <c r="A22" s="86">
        <v>3</v>
      </c>
      <c r="B22" s="86" t="s">
        <v>37</v>
      </c>
      <c r="D22" s="73">
        <v>10</v>
      </c>
      <c r="E22" s="6">
        <f>Input!$H$31+ROUND(Input!$C$31*2,2)+ROUND(Input!$D$31*('LG3'!D22-2),2)</f>
        <v>4</v>
      </c>
      <c r="F22" s="6">
        <f>Input!$Y$31+ROUND(Input!$T$31*2,2)+ROUND(Input!$U$31*('LG3'!D22-2),2)</f>
        <v>4</v>
      </c>
      <c r="G22" s="6">
        <f t="shared" si="0"/>
        <v>0</v>
      </c>
      <c r="H22" s="7">
        <f t="shared" si="1"/>
        <v>0</v>
      </c>
      <c r="I22" s="6">
        <f>ROUND(D22*SUM(Input!$O$31:$R$31),2)</f>
        <v>0</v>
      </c>
      <c r="J22" s="6">
        <f t="shared" si="2"/>
        <v>4</v>
      </c>
      <c r="K22" s="6">
        <f t="shared" si="3"/>
        <v>4</v>
      </c>
      <c r="L22" s="7">
        <f t="shared" si="4"/>
        <v>0</v>
      </c>
    </row>
    <row r="23" spans="1:12" x14ac:dyDescent="0.35">
      <c r="A23" s="86">
        <v>4</v>
      </c>
      <c r="B23" s="86"/>
      <c r="D23" s="73">
        <v>12</v>
      </c>
      <c r="E23" s="6">
        <f>Input!$H$31+ROUND(Input!$C$31*2,2)+ROUND(Input!$D$31*('LG3'!D23-2),2)</f>
        <v>4.7</v>
      </c>
      <c r="F23" s="6">
        <f>Input!$Y$31+ROUND(Input!$T$31*2,2)+ROUND(Input!$U$31*('LG3'!D23-2),2)</f>
        <v>4.7</v>
      </c>
      <c r="G23" s="6">
        <f t="shared" si="0"/>
        <v>0</v>
      </c>
      <c r="H23" s="7">
        <f t="shared" si="1"/>
        <v>0</v>
      </c>
      <c r="I23" s="6">
        <f>ROUND(D23*SUM(Input!$O$31:$R$31),2)</f>
        <v>0</v>
      </c>
      <c r="J23" s="6">
        <f t="shared" si="2"/>
        <v>4.7</v>
      </c>
      <c r="K23" s="6">
        <f t="shared" si="3"/>
        <v>4.7</v>
      </c>
      <c r="L23" s="7">
        <f t="shared" si="4"/>
        <v>0</v>
      </c>
    </row>
    <row r="24" spans="1:12" x14ac:dyDescent="0.35">
      <c r="A24" s="86">
        <v>5</v>
      </c>
      <c r="B24" s="86"/>
      <c r="D24" s="73">
        <v>16</v>
      </c>
      <c r="E24" s="6">
        <f>Input!$H$31+ROUND(Input!$C$31*2,2)+ROUND(Input!$D$31*('LG3'!D24-2),2)</f>
        <v>6.1000000000000005</v>
      </c>
      <c r="F24" s="6">
        <f>Input!$Y$31+ROUND(Input!$T$31*2,2)+ROUND(Input!$U$31*('LG3'!D24-2),2)</f>
        <v>6.1000000000000005</v>
      </c>
      <c r="G24" s="6">
        <f t="shared" si="0"/>
        <v>0</v>
      </c>
      <c r="H24" s="7">
        <f t="shared" si="1"/>
        <v>0</v>
      </c>
      <c r="I24" s="6">
        <f>ROUND(D24*SUM(Input!$O$31:$R$31),2)</f>
        <v>0</v>
      </c>
      <c r="J24" s="6">
        <f t="shared" si="2"/>
        <v>6.1000000000000005</v>
      </c>
      <c r="K24" s="6">
        <f t="shared" si="3"/>
        <v>6.1000000000000005</v>
      </c>
      <c r="L24" s="7">
        <f t="shared" si="4"/>
        <v>0</v>
      </c>
    </row>
    <row r="25" spans="1:12" x14ac:dyDescent="0.35">
      <c r="A25" s="86">
        <v>6</v>
      </c>
      <c r="B25" s="87"/>
      <c r="D25" s="73">
        <v>20</v>
      </c>
      <c r="E25" s="6">
        <f>Input!$H$31+ROUND(Input!$C$31*2,2)+ROUND(Input!$D$31*('LG3'!D25-2),2)</f>
        <v>7.5</v>
      </c>
      <c r="F25" s="6">
        <f>Input!$Y$31+ROUND(Input!$T$31*2,2)+ROUND(Input!$U$31*('LG3'!D25-2),2)</f>
        <v>7.5</v>
      </c>
      <c r="G25" s="6">
        <f t="shared" si="0"/>
        <v>0</v>
      </c>
      <c r="H25" s="7">
        <f t="shared" si="1"/>
        <v>0</v>
      </c>
      <c r="I25" s="6">
        <f>ROUND(D25*SUM(Input!$O$31:$R$31),2)</f>
        <v>0</v>
      </c>
      <c r="J25" s="6">
        <f t="shared" si="2"/>
        <v>7.5</v>
      </c>
      <c r="K25" s="6">
        <f t="shared" si="3"/>
        <v>7.5</v>
      </c>
      <c r="L25" s="7">
        <f t="shared" si="4"/>
        <v>0</v>
      </c>
    </row>
    <row r="26" spans="1:12" x14ac:dyDescent="0.35">
      <c r="A26" s="86">
        <v>7</v>
      </c>
      <c r="D26" s="73">
        <v>30</v>
      </c>
      <c r="E26" s="6">
        <f>Input!$H$31+ROUND(Input!$C$31*2,2)+ROUND(Input!$D$31*('LG3'!D26-2),2)</f>
        <v>11</v>
      </c>
      <c r="F26" s="6">
        <f>Input!$Y$31+ROUND(Input!$T$31*2,2)+ROUND(Input!$U$31*('LG3'!D26-2),2)</f>
        <v>11</v>
      </c>
      <c r="G26" s="6">
        <f t="shared" si="0"/>
        <v>0</v>
      </c>
      <c r="H26" s="7">
        <f t="shared" si="1"/>
        <v>0</v>
      </c>
      <c r="I26" s="6">
        <f>ROUND(D26*SUM(Input!$O$31:$R$31),2)</f>
        <v>0</v>
      </c>
      <c r="J26" s="6">
        <f t="shared" si="2"/>
        <v>11</v>
      </c>
      <c r="K26" s="6">
        <f t="shared" si="3"/>
        <v>11</v>
      </c>
      <c r="L26" s="7">
        <f t="shared" si="4"/>
        <v>0</v>
      </c>
    </row>
    <row r="27" spans="1:12" x14ac:dyDescent="0.35">
      <c r="A27" s="86">
        <v>8</v>
      </c>
      <c r="D27" s="73">
        <f>+E33</f>
        <v>31.4</v>
      </c>
      <c r="E27" s="6">
        <f>Input!$H$31+ROUND(Input!$C$31*2,2)+ROUND(Input!$D$31*('LG3'!D27-2),2)</f>
        <v>11.489999999999998</v>
      </c>
      <c r="F27" s="6">
        <f>Input!$Y$31+ROUND(Input!$T$31*2,2)+ROUND(Input!$U$31*('LG3'!D27-2),2)</f>
        <v>11.489999999999998</v>
      </c>
      <c r="G27" s="6">
        <f t="shared" si="0"/>
        <v>0</v>
      </c>
      <c r="H27" s="7">
        <f t="shared" si="1"/>
        <v>0</v>
      </c>
      <c r="I27" s="6">
        <f>ROUND(D27*SUM(Input!$O$31:$R$31),2)</f>
        <v>0</v>
      </c>
      <c r="J27" s="6">
        <f t="shared" si="2"/>
        <v>11.489999999999998</v>
      </c>
      <c r="K27" s="6">
        <f t="shared" si="3"/>
        <v>11.489999999999998</v>
      </c>
      <c r="L27" s="7">
        <f t="shared" si="4"/>
        <v>0</v>
      </c>
    </row>
    <row r="28" spans="1:12" x14ac:dyDescent="0.35">
      <c r="A28" s="86">
        <v>9</v>
      </c>
      <c r="D28" s="73">
        <v>35</v>
      </c>
      <c r="E28" s="6">
        <f>Input!$H$31+ROUND(Input!$C$31*2,2)+ROUND(Input!$D$31*('LG3'!D28-2),2)</f>
        <v>12.75</v>
      </c>
      <c r="F28" s="6">
        <f>Input!$Y$31+ROUND(Input!$T$31*2,2)+ROUND(Input!$U$31*('LG3'!D28-2),2)</f>
        <v>12.75</v>
      </c>
      <c r="G28" s="6">
        <f>F28-E28</f>
        <v>0</v>
      </c>
      <c r="H28" s="7">
        <f t="shared" si="1"/>
        <v>0</v>
      </c>
      <c r="I28" s="6">
        <f>ROUND(D28*SUM(Input!$O$31:$R$31),2)</f>
        <v>0</v>
      </c>
      <c r="J28" s="6">
        <f>E28+I28</f>
        <v>12.75</v>
      </c>
      <c r="K28" s="6">
        <f>F28+I28</f>
        <v>12.75</v>
      </c>
      <c r="L28" s="7">
        <f t="shared" si="4"/>
        <v>0</v>
      </c>
    </row>
    <row r="29" spans="1:12" x14ac:dyDescent="0.35">
      <c r="A29" s="86">
        <v>10</v>
      </c>
      <c r="D29" s="73">
        <v>50</v>
      </c>
      <c r="E29" s="6">
        <f>Input!$H$31+ROUND(Input!$C$31*2,2)+ROUND(Input!$D$31*('LG3'!D29-2),2)</f>
        <v>18</v>
      </c>
      <c r="F29" s="6">
        <f>Input!$Y$31+ROUND(Input!$T$31*2,2)+ROUND(Input!$U$31*('LG3'!D29-2),2)</f>
        <v>18</v>
      </c>
      <c r="G29" s="6">
        <f t="shared" si="0"/>
        <v>0</v>
      </c>
      <c r="H29" s="7">
        <f t="shared" si="1"/>
        <v>0</v>
      </c>
      <c r="I29" s="6">
        <f>ROUND(D29*SUM(Input!$O$31:$R$31),2)</f>
        <v>0</v>
      </c>
      <c r="J29" s="6">
        <f t="shared" si="2"/>
        <v>18</v>
      </c>
      <c r="K29" s="6">
        <f t="shared" si="3"/>
        <v>18</v>
      </c>
      <c r="L29" s="7">
        <f t="shared" si="4"/>
        <v>0</v>
      </c>
    </row>
    <row r="30" spans="1:12" x14ac:dyDescent="0.35">
      <c r="A30" s="86">
        <v>11</v>
      </c>
      <c r="D30" s="73">
        <v>60</v>
      </c>
      <c r="E30" s="6">
        <f>Input!$H$31+ROUND(Input!$C$31*2,2)+ROUND(Input!$D$31*('LG3'!D30-2),2)</f>
        <v>21.5</v>
      </c>
      <c r="F30" s="6">
        <f>Input!$Y$31+ROUND(Input!$T$31*2,2)+ROUND(Input!$U$31*('LG3'!D30-2),2)</f>
        <v>21.5</v>
      </c>
      <c r="G30" s="6">
        <f t="shared" si="0"/>
        <v>0</v>
      </c>
      <c r="H30" s="7">
        <f t="shared" si="1"/>
        <v>0</v>
      </c>
      <c r="I30" s="6">
        <f>ROUND(D30*SUM(Input!$O$31:$R$31),2)</f>
        <v>0</v>
      </c>
      <c r="J30" s="6">
        <f t="shared" si="2"/>
        <v>21.5</v>
      </c>
      <c r="K30" s="6">
        <f t="shared" si="3"/>
        <v>21.5</v>
      </c>
      <c r="L30" s="7">
        <f t="shared" si="4"/>
        <v>0</v>
      </c>
    </row>
    <row r="31" spans="1:12" x14ac:dyDescent="0.35">
      <c r="A31" s="86">
        <v>12</v>
      </c>
      <c r="D31" s="73">
        <v>70</v>
      </c>
      <c r="E31" s="6">
        <f>Input!$H$31+ROUND(Input!$C$31*2,2)+ROUND(Input!$D$31*('LG3'!D31-2),2)</f>
        <v>25</v>
      </c>
      <c r="F31" s="6">
        <f>Input!$Y$31+ROUND(Input!$T$31*2,2)+ROUND(Input!$U$31*('LG3'!D31-2),2)</f>
        <v>25</v>
      </c>
      <c r="G31" s="6">
        <f t="shared" si="0"/>
        <v>0</v>
      </c>
      <c r="H31" s="7">
        <f t="shared" si="1"/>
        <v>0</v>
      </c>
      <c r="I31" s="6">
        <f>ROUND(D31*SUM(Input!$O$31:$R$31),2)</f>
        <v>0</v>
      </c>
      <c r="J31" s="6">
        <f t="shared" si="2"/>
        <v>25</v>
      </c>
      <c r="K31" s="6">
        <f t="shared" si="3"/>
        <v>25</v>
      </c>
      <c r="L31" s="7">
        <f t="shared" si="4"/>
        <v>0</v>
      </c>
    </row>
    <row r="32" spans="1:12" x14ac:dyDescent="0.35">
      <c r="A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1:5" x14ac:dyDescent="0.35">
      <c r="A33" s="9"/>
      <c r="C33" s="1" t="s">
        <v>102</v>
      </c>
      <c r="E33" s="74">
        <f>Input!AF31</f>
        <v>31.4</v>
      </c>
    </row>
    <row r="36" spans="1:5" x14ac:dyDescent="0.35">
      <c r="D36" s="75"/>
    </row>
    <row r="37" spans="1:5" x14ac:dyDescent="0.35">
      <c r="B37" s="1" t="s">
        <v>112</v>
      </c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5" right="0.5" top="0.75" bottom="0.75" header="0.5" footer="0.5"/>
  <pageSetup scale="9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fitToPage="1"/>
  </sheetPr>
  <dimension ref="A1:L37"/>
  <sheetViews>
    <sheetView workbookViewId="0">
      <selection sqref="A1:L1"/>
    </sheetView>
  </sheetViews>
  <sheetFormatPr defaultColWidth="9.140625" defaultRowHeight="12.9" x14ac:dyDescent="0.35"/>
  <cols>
    <col min="1" max="1" width="9.140625" style="1"/>
    <col min="2" max="2" width="10.28515625" style="1" customWidth="1"/>
    <col min="3" max="3" width="9.5703125" style="1" customWidth="1"/>
    <col min="4" max="10" width="9.140625" style="1"/>
    <col min="11" max="12" width="10.28515625" style="1" customWidth="1"/>
    <col min="13" max="16384" width="9.140625" style="1"/>
  </cols>
  <sheetData>
    <row r="1" spans="1:12" x14ac:dyDescent="0.3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x14ac:dyDescent="0.35">
      <c r="A2" s="105" t="str">
        <f>Input!$B$13</f>
        <v>CASE NO. 2024-00092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35">
      <c r="A3" s="105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35">
      <c r="A4" s="105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x14ac:dyDescent="0.35">
      <c r="A5" s="105" t="str">
        <f>Input!B17</f>
        <v>TWELVE MONTHS ENDING DECEMBER 31, 2025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3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x14ac:dyDescent="0.35">
      <c r="A8" s="1" t="s">
        <v>114</v>
      </c>
      <c r="L8" s="8" t="s">
        <v>3</v>
      </c>
    </row>
    <row r="9" spans="1:12" x14ac:dyDescent="0.35">
      <c r="A9" s="1" t="s">
        <v>115</v>
      </c>
      <c r="L9" s="13" t="s">
        <v>134</v>
      </c>
    </row>
    <row r="10" spans="1:12" x14ac:dyDescent="0.35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 t="str">
        <f>Input!B15</f>
        <v>Witness: R. J. Amen</v>
      </c>
    </row>
    <row r="13" spans="1:12" x14ac:dyDescent="0.35">
      <c r="D13" s="86"/>
      <c r="E13" s="86"/>
      <c r="F13" s="86"/>
      <c r="G13" s="86"/>
      <c r="H13" s="86"/>
      <c r="I13" s="86"/>
      <c r="J13" s="86" t="s">
        <v>29</v>
      </c>
      <c r="K13" s="86" t="s">
        <v>29</v>
      </c>
      <c r="L13" s="86"/>
    </row>
    <row r="14" spans="1:12" x14ac:dyDescent="0.35">
      <c r="A14" s="86" t="s">
        <v>4</v>
      </c>
      <c r="B14" s="86" t="s">
        <v>6</v>
      </c>
      <c r="C14" s="86" t="s">
        <v>8</v>
      </c>
      <c r="D14" s="86" t="s">
        <v>8</v>
      </c>
      <c r="E14" s="86" t="s">
        <v>14</v>
      </c>
      <c r="F14" s="86" t="s">
        <v>18</v>
      </c>
      <c r="G14" s="86" t="s">
        <v>20</v>
      </c>
      <c r="H14" s="86" t="s">
        <v>20</v>
      </c>
      <c r="I14" s="86" t="s">
        <v>26</v>
      </c>
      <c r="J14" s="86" t="s">
        <v>14</v>
      </c>
      <c r="K14" s="86" t="s">
        <v>18</v>
      </c>
      <c r="L14" s="86" t="s">
        <v>33</v>
      </c>
    </row>
    <row r="15" spans="1:12" x14ac:dyDescent="0.35">
      <c r="A15" s="70" t="s">
        <v>5</v>
      </c>
      <c r="B15" s="70" t="s">
        <v>7</v>
      </c>
      <c r="C15" s="70" t="s">
        <v>9</v>
      </c>
      <c r="D15" s="70" t="s">
        <v>10</v>
      </c>
      <c r="E15" s="70" t="s">
        <v>15</v>
      </c>
      <c r="F15" s="70" t="s">
        <v>15</v>
      </c>
      <c r="G15" s="71" t="s">
        <v>21</v>
      </c>
      <c r="H15" s="71" t="s">
        <v>23</v>
      </c>
      <c r="I15" s="70" t="s">
        <v>27</v>
      </c>
      <c r="J15" s="70" t="s">
        <v>15</v>
      </c>
      <c r="K15" s="70" t="s">
        <v>15</v>
      </c>
      <c r="L15" s="70" t="s">
        <v>20</v>
      </c>
    </row>
    <row r="16" spans="1:12" x14ac:dyDescent="0.35">
      <c r="D16" s="4" t="s">
        <v>12</v>
      </c>
      <c r="E16" s="4" t="s">
        <v>16</v>
      </c>
      <c r="F16" s="4" t="s">
        <v>16</v>
      </c>
      <c r="G16" s="4" t="s">
        <v>16</v>
      </c>
      <c r="H16" s="4" t="s">
        <v>24</v>
      </c>
      <c r="I16" s="4" t="s">
        <v>16</v>
      </c>
      <c r="J16" s="4" t="s">
        <v>16</v>
      </c>
      <c r="K16" s="4" t="s">
        <v>16</v>
      </c>
      <c r="L16" s="4" t="s">
        <v>24</v>
      </c>
    </row>
    <row r="17" spans="1:12" x14ac:dyDescent="0.35">
      <c r="C17" s="4" t="s">
        <v>11</v>
      </c>
      <c r="D17" s="4" t="s">
        <v>13</v>
      </c>
      <c r="E17" s="4" t="s">
        <v>17</v>
      </c>
      <c r="F17" s="4" t="s">
        <v>19</v>
      </c>
      <c r="G17" s="4" t="s">
        <v>22</v>
      </c>
      <c r="H17" s="4" t="s">
        <v>25</v>
      </c>
      <c r="I17" s="4" t="s">
        <v>28</v>
      </c>
      <c r="J17" s="4" t="s">
        <v>30</v>
      </c>
      <c r="K17" s="4" t="s">
        <v>31</v>
      </c>
      <c r="L17" s="4" t="s">
        <v>32</v>
      </c>
    </row>
    <row r="18" spans="1:12" x14ac:dyDescent="0.35">
      <c r="D18" s="88"/>
      <c r="E18" s="86"/>
      <c r="F18" s="86"/>
      <c r="G18" s="86"/>
      <c r="H18" s="86"/>
      <c r="I18" s="86"/>
      <c r="J18" s="4" t="s">
        <v>34</v>
      </c>
      <c r="K18" s="4" t="s">
        <v>35</v>
      </c>
      <c r="L18" s="4" t="s">
        <v>36</v>
      </c>
    </row>
    <row r="19" spans="1:12" x14ac:dyDescent="0.35">
      <c r="A19" s="86"/>
      <c r="D19" s="88"/>
      <c r="E19" s="86"/>
      <c r="F19" s="86"/>
      <c r="G19" s="86"/>
      <c r="H19" s="86"/>
      <c r="I19" s="86"/>
      <c r="J19" s="86"/>
      <c r="K19" s="86"/>
      <c r="L19" s="86"/>
    </row>
    <row r="20" spans="1:12" x14ac:dyDescent="0.35">
      <c r="A20" s="86">
        <v>1</v>
      </c>
      <c r="B20" s="86" t="s">
        <v>51</v>
      </c>
      <c r="C20" s="86" t="s">
        <v>38</v>
      </c>
      <c r="D20" s="73">
        <f>+E33</f>
        <v>0</v>
      </c>
      <c r="E20" s="6">
        <f>Input!$H$32+ROUND(Input!$C$32*'LG4'!D20,2)</f>
        <v>0</v>
      </c>
      <c r="F20" s="6">
        <f>Input!$Y$32+ROUND(Input!$T$32*'LG4'!D20,2)</f>
        <v>0</v>
      </c>
      <c r="G20" s="6">
        <f>F20-E20</f>
        <v>0</v>
      </c>
      <c r="H20" s="7">
        <f>IF(E20=0,0,ROUND(G20/E20,3))</f>
        <v>0</v>
      </c>
      <c r="I20" s="6">
        <f>ROUND(D20*SUM(Input!$O$32:$R$32)*'LG4'!D20,2)</f>
        <v>0</v>
      </c>
      <c r="J20" s="6">
        <f>E20+I20</f>
        <v>0</v>
      </c>
      <c r="K20" s="6">
        <f>F20+I20</f>
        <v>0</v>
      </c>
      <c r="L20" s="7">
        <f>IF(J20=0,0,ROUND((K20-J20)/J20,2))</f>
        <v>0</v>
      </c>
    </row>
    <row r="21" spans="1:12" x14ac:dyDescent="0.35">
      <c r="A21" s="86">
        <v>2</v>
      </c>
      <c r="B21" s="86" t="s">
        <v>54</v>
      </c>
      <c r="C21" s="86" t="s">
        <v>39</v>
      </c>
      <c r="D21" s="73">
        <v>1</v>
      </c>
      <c r="E21" s="6">
        <f>Input!$H$32+ROUND(Input!$C$32*'LG4'!D21,2)</f>
        <v>0.4</v>
      </c>
      <c r="F21" s="6">
        <f>Input!$Y$32+ROUND(Input!$T$32*'LG4'!D21,2)</f>
        <v>0.4</v>
      </c>
      <c r="G21" s="6">
        <f t="shared" ref="G21:G31" si="0">F21-E21</f>
        <v>0</v>
      </c>
      <c r="H21" s="7">
        <f t="shared" ref="H21:H31" si="1">ROUND(G21/E21,3)</f>
        <v>0</v>
      </c>
      <c r="I21" s="6">
        <f>ROUND(D21*SUM(Input!$O$32:$R$32)*'LG4'!D21,2)</f>
        <v>0</v>
      </c>
      <c r="J21" s="6">
        <f t="shared" ref="J21:J31" si="2">E21+I21</f>
        <v>0.4</v>
      </c>
      <c r="K21" s="6">
        <f t="shared" ref="K21:K31" si="3">F21+I21</f>
        <v>0.4</v>
      </c>
      <c r="L21" s="7">
        <f t="shared" ref="L21:L31" si="4">ROUND((K21-J21)/J21,2)</f>
        <v>0</v>
      </c>
    </row>
    <row r="22" spans="1:12" x14ac:dyDescent="0.35">
      <c r="A22" s="86">
        <v>3</v>
      </c>
      <c r="B22" s="86" t="s">
        <v>37</v>
      </c>
      <c r="D22" s="73">
        <v>3</v>
      </c>
      <c r="E22" s="6">
        <f>Input!$H$32+ROUND(Input!$C$32*'LG4'!D22,2)</f>
        <v>1.2</v>
      </c>
      <c r="F22" s="6">
        <f>Input!$Y$32+ROUND(Input!$T$32*'LG4'!D22,2)</f>
        <v>1.2</v>
      </c>
      <c r="G22" s="6">
        <f t="shared" si="0"/>
        <v>0</v>
      </c>
      <c r="H22" s="7">
        <f t="shared" si="1"/>
        <v>0</v>
      </c>
      <c r="I22" s="6">
        <f>ROUND(D22*SUM(Input!$O$32:$R$32)*'LG4'!D22,2)</f>
        <v>0</v>
      </c>
      <c r="J22" s="6">
        <f t="shared" si="2"/>
        <v>1.2</v>
      </c>
      <c r="K22" s="6">
        <f t="shared" si="3"/>
        <v>1.2</v>
      </c>
      <c r="L22" s="7">
        <f t="shared" si="4"/>
        <v>0</v>
      </c>
    </row>
    <row r="23" spans="1:12" x14ac:dyDescent="0.35">
      <c r="A23" s="86">
        <v>4</v>
      </c>
      <c r="B23" s="86"/>
      <c r="D23" s="73">
        <v>6</v>
      </c>
      <c r="E23" s="6">
        <f>Input!$H$32+ROUND(Input!$C$32*'LG4'!D23,2)</f>
        <v>2.4</v>
      </c>
      <c r="F23" s="6">
        <f>Input!$Y$32+ROUND(Input!$T$32*'LG4'!D23,2)</f>
        <v>2.4</v>
      </c>
      <c r="G23" s="6">
        <f t="shared" si="0"/>
        <v>0</v>
      </c>
      <c r="H23" s="7">
        <f t="shared" si="1"/>
        <v>0</v>
      </c>
      <c r="I23" s="6">
        <f>ROUND(D23*SUM(Input!$O$32:$R$32)*'LG4'!D23,2)</f>
        <v>0</v>
      </c>
      <c r="J23" s="6">
        <f t="shared" si="2"/>
        <v>2.4</v>
      </c>
      <c r="K23" s="6">
        <f t="shared" si="3"/>
        <v>2.4</v>
      </c>
      <c r="L23" s="7">
        <f t="shared" si="4"/>
        <v>0</v>
      </c>
    </row>
    <row r="24" spans="1:12" x14ac:dyDescent="0.35">
      <c r="A24" s="86">
        <v>5</v>
      </c>
      <c r="B24" s="86"/>
      <c r="D24" s="73">
        <v>8</v>
      </c>
      <c r="E24" s="6">
        <f>Input!$H$32+ROUND(Input!$C$32*'LG4'!D24,2)</f>
        <v>3.2</v>
      </c>
      <c r="F24" s="6">
        <f>Input!$Y$32+ROUND(Input!$T$32*'LG4'!D24,2)</f>
        <v>3.2</v>
      </c>
      <c r="G24" s="6">
        <f t="shared" si="0"/>
        <v>0</v>
      </c>
      <c r="H24" s="7">
        <f t="shared" si="1"/>
        <v>0</v>
      </c>
      <c r="I24" s="6">
        <f>ROUND(D24*SUM(Input!$O$32:$R$32)*'LG4'!D24,2)</f>
        <v>0</v>
      </c>
      <c r="J24" s="6">
        <f t="shared" si="2"/>
        <v>3.2</v>
      </c>
      <c r="K24" s="6">
        <f t="shared" si="3"/>
        <v>3.2</v>
      </c>
      <c r="L24" s="7">
        <f t="shared" si="4"/>
        <v>0</v>
      </c>
    </row>
    <row r="25" spans="1:12" x14ac:dyDescent="0.35">
      <c r="A25" s="86">
        <v>6</v>
      </c>
      <c r="B25" s="87"/>
      <c r="D25" s="73">
        <v>10</v>
      </c>
      <c r="E25" s="6">
        <f>Input!$H$32+ROUND(Input!$C$32*'LG4'!D25,2)</f>
        <v>4</v>
      </c>
      <c r="F25" s="6">
        <f>Input!$Y$32+ROUND(Input!$T$32*'LG4'!D25,2)</f>
        <v>4</v>
      </c>
      <c r="G25" s="6">
        <f t="shared" si="0"/>
        <v>0</v>
      </c>
      <c r="H25" s="7">
        <f t="shared" si="1"/>
        <v>0</v>
      </c>
      <c r="I25" s="6">
        <f>ROUND(D25*SUM(Input!$O$32:$R$32)*'LG4'!D25,2)</f>
        <v>0</v>
      </c>
      <c r="J25" s="6">
        <f t="shared" si="2"/>
        <v>4</v>
      </c>
      <c r="K25" s="6">
        <f t="shared" si="3"/>
        <v>4</v>
      </c>
      <c r="L25" s="7">
        <f t="shared" si="4"/>
        <v>0</v>
      </c>
    </row>
    <row r="26" spans="1:12" x14ac:dyDescent="0.35">
      <c r="A26" s="86">
        <v>7</v>
      </c>
      <c r="D26" s="73">
        <v>12</v>
      </c>
      <c r="E26" s="6">
        <f>Input!$H$32+ROUND(Input!$C$32*'LG4'!D26,2)</f>
        <v>4.8</v>
      </c>
      <c r="F26" s="6">
        <f>Input!$Y$32+ROUND(Input!$T$32*'LG4'!D26,2)</f>
        <v>4.8</v>
      </c>
      <c r="G26" s="6">
        <f t="shared" si="0"/>
        <v>0</v>
      </c>
      <c r="H26" s="7">
        <f t="shared" si="1"/>
        <v>0</v>
      </c>
      <c r="I26" s="6">
        <f>ROUND(D26*SUM(Input!$O$32:$R$32)*'LG4'!D26,2)</f>
        <v>0</v>
      </c>
      <c r="J26" s="6">
        <f t="shared" si="2"/>
        <v>4.8</v>
      </c>
      <c r="K26" s="6">
        <f t="shared" si="3"/>
        <v>4.8</v>
      </c>
      <c r="L26" s="7">
        <f t="shared" si="4"/>
        <v>0</v>
      </c>
    </row>
    <row r="27" spans="1:12" x14ac:dyDescent="0.35">
      <c r="A27" s="86">
        <v>8</v>
      </c>
      <c r="D27" s="73">
        <v>16</v>
      </c>
      <c r="E27" s="6">
        <f>Input!$H$32+ROUND(Input!$C$32*'LG4'!D27,2)</f>
        <v>6.4</v>
      </c>
      <c r="F27" s="6">
        <f>Input!$Y$32+ROUND(Input!$T$32*'LG4'!D27,2)</f>
        <v>6.4</v>
      </c>
      <c r="G27" s="6">
        <f t="shared" si="0"/>
        <v>0</v>
      </c>
      <c r="H27" s="7">
        <f t="shared" si="1"/>
        <v>0</v>
      </c>
      <c r="I27" s="6">
        <f>ROUND(D27*SUM(Input!$O$32:$R$32)*'LG4'!D27,2)</f>
        <v>0</v>
      </c>
      <c r="J27" s="6">
        <f t="shared" si="2"/>
        <v>6.4</v>
      </c>
      <c r="K27" s="6">
        <f t="shared" si="3"/>
        <v>6.4</v>
      </c>
      <c r="L27" s="7">
        <f t="shared" si="4"/>
        <v>0</v>
      </c>
    </row>
    <row r="28" spans="1:12" x14ac:dyDescent="0.35">
      <c r="A28" s="86">
        <v>9</v>
      </c>
      <c r="D28" s="73">
        <v>20</v>
      </c>
      <c r="E28" s="6">
        <f>Input!$H$32+ROUND(Input!$C$32*'LG4'!D28,2)</f>
        <v>8</v>
      </c>
      <c r="F28" s="6">
        <f>Input!$Y$32+ROUND(Input!$T$32*'LG4'!D28,2)</f>
        <v>8</v>
      </c>
      <c r="G28" s="6">
        <f>F28-E28</f>
        <v>0</v>
      </c>
      <c r="H28" s="7">
        <f t="shared" si="1"/>
        <v>0</v>
      </c>
      <c r="I28" s="6">
        <f>ROUND(D28*SUM(Input!$O$32:$R$32)*'LG4'!D28,2)</f>
        <v>0</v>
      </c>
      <c r="J28" s="6">
        <f>E28+I28</f>
        <v>8</v>
      </c>
      <c r="K28" s="6">
        <f>F28+I28</f>
        <v>8</v>
      </c>
      <c r="L28" s="7">
        <f t="shared" si="4"/>
        <v>0</v>
      </c>
    </row>
    <row r="29" spans="1:12" x14ac:dyDescent="0.35">
      <c r="A29" s="86">
        <v>10</v>
      </c>
      <c r="D29" s="73">
        <v>30</v>
      </c>
      <c r="E29" s="6">
        <f>Input!$H$32+ROUND(Input!$C$32*'LG4'!D29,2)</f>
        <v>12</v>
      </c>
      <c r="F29" s="6">
        <f>Input!$Y$32+ROUND(Input!$T$32*'LG4'!D29,2)</f>
        <v>12</v>
      </c>
      <c r="G29" s="6">
        <f t="shared" si="0"/>
        <v>0</v>
      </c>
      <c r="H29" s="7">
        <f t="shared" si="1"/>
        <v>0</v>
      </c>
      <c r="I29" s="6">
        <f>ROUND(D29*SUM(Input!$O$32:$R$32)*'LG4'!D29,2)</f>
        <v>0</v>
      </c>
      <c r="J29" s="6">
        <f t="shared" si="2"/>
        <v>12</v>
      </c>
      <c r="K29" s="6">
        <f t="shared" si="3"/>
        <v>12</v>
      </c>
      <c r="L29" s="7">
        <f t="shared" si="4"/>
        <v>0</v>
      </c>
    </row>
    <row r="30" spans="1:12" x14ac:dyDescent="0.35">
      <c r="A30" s="86">
        <v>11</v>
      </c>
      <c r="D30" s="73">
        <v>40</v>
      </c>
      <c r="E30" s="6">
        <f>Input!$H$32+ROUND(Input!$C$32*'LG4'!D30,2)</f>
        <v>16</v>
      </c>
      <c r="F30" s="6">
        <f>Input!$Y$32+ROUND(Input!$T$32*'LG4'!D30,2)</f>
        <v>16</v>
      </c>
      <c r="G30" s="6">
        <f t="shared" si="0"/>
        <v>0</v>
      </c>
      <c r="H30" s="7">
        <f t="shared" si="1"/>
        <v>0</v>
      </c>
      <c r="I30" s="6">
        <f>ROUND(D30*SUM(Input!$O$32:$R$32)*'LG4'!D30,2)</f>
        <v>0</v>
      </c>
      <c r="J30" s="6">
        <f t="shared" si="2"/>
        <v>16</v>
      </c>
      <c r="K30" s="6">
        <f t="shared" si="3"/>
        <v>16</v>
      </c>
      <c r="L30" s="7">
        <f t="shared" si="4"/>
        <v>0</v>
      </c>
    </row>
    <row r="31" spans="1:12" x14ac:dyDescent="0.35">
      <c r="A31" s="86">
        <v>12</v>
      </c>
      <c r="D31" s="73">
        <v>50</v>
      </c>
      <c r="E31" s="6">
        <f>Input!$H$32+ROUND(Input!$C$32*'LG4'!D31,2)</f>
        <v>20</v>
      </c>
      <c r="F31" s="6">
        <f>Input!$Y$32+ROUND(Input!$T$32*'LG4'!D31,2)</f>
        <v>20</v>
      </c>
      <c r="G31" s="6">
        <f t="shared" si="0"/>
        <v>0</v>
      </c>
      <c r="H31" s="7">
        <f t="shared" si="1"/>
        <v>0</v>
      </c>
      <c r="I31" s="6">
        <f>ROUND(D31*SUM(Input!$O$32:$R$32)*'LG4'!D31,2)</f>
        <v>0</v>
      </c>
      <c r="J31" s="6">
        <f t="shared" si="2"/>
        <v>20</v>
      </c>
      <c r="K31" s="6">
        <f t="shared" si="3"/>
        <v>20</v>
      </c>
      <c r="L31" s="7">
        <f t="shared" si="4"/>
        <v>0</v>
      </c>
    </row>
    <row r="32" spans="1:12" x14ac:dyDescent="0.35">
      <c r="A32" s="86"/>
      <c r="D32" s="88"/>
      <c r="E32" s="86"/>
      <c r="F32" s="86"/>
      <c r="G32" s="86"/>
      <c r="H32" s="86"/>
      <c r="I32" s="86"/>
      <c r="J32" s="86"/>
      <c r="K32" s="86"/>
      <c r="L32" s="86"/>
    </row>
    <row r="33" spans="1:5" x14ac:dyDescent="0.35">
      <c r="A33" s="9"/>
      <c r="C33" s="1" t="s">
        <v>102</v>
      </c>
      <c r="E33" s="74">
        <f>Input!AF32</f>
        <v>0</v>
      </c>
    </row>
    <row r="34" spans="1:5" x14ac:dyDescent="0.35">
      <c r="C34" s="3" t="s">
        <v>151</v>
      </c>
    </row>
    <row r="36" spans="1:5" x14ac:dyDescent="0.35">
      <c r="D36" s="75"/>
    </row>
    <row r="37" spans="1:5" x14ac:dyDescent="0.35">
      <c r="B37" s="1" t="s">
        <v>112</v>
      </c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5" right="0.5" top="0.75" bottom="0.75" header="0.5" footer="0.5"/>
  <pageSetup scale="9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A1:L48"/>
  <sheetViews>
    <sheetView workbookViewId="0">
      <selection sqref="A1:L1"/>
    </sheetView>
  </sheetViews>
  <sheetFormatPr defaultColWidth="9.140625" defaultRowHeight="12.9" x14ac:dyDescent="0.35"/>
  <cols>
    <col min="1" max="1" width="7.7109375" style="3" customWidth="1"/>
    <col min="2" max="2" width="12.7109375" style="3" customWidth="1"/>
    <col min="3" max="3" width="9.5703125" style="3" customWidth="1"/>
    <col min="4" max="4" width="9.140625" style="3"/>
    <col min="5" max="5" width="8.85546875" style="3" bestFit="1" customWidth="1"/>
    <col min="6" max="10" width="9.140625" style="3"/>
    <col min="11" max="12" width="10.28515625" style="3" customWidth="1"/>
    <col min="13" max="16384" width="9.140625" style="3"/>
  </cols>
  <sheetData>
    <row r="1" spans="1:12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x14ac:dyDescent="0.35">
      <c r="A2" s="108" t="str">
        <f>Input!$B$13</f>
        <v>CASE NO. 2024-00092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35">
      <c r="A3" s="108" t="s">
        <v>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35">
      <c r="A5" s="108" t="str">
        <f>Input!B17</f>
        <v>TWELVE MONTHS ENDING DECEMBER 31, 2025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3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35">
      <c r="A7" s="88"/>
      <c r="B7" s="89"/>
      <c r="C7" s="89"/>
      <c r="D7" s="89"/>
      <c r="E7" s="89"/>
      <c r="F7" s="89"/>
      <c r="G7" s="89"/>
      <c r="H7" s="89"/>
      <c r="I7" s="89"/>
      <c r="J7" s="89"/>
      <c r="K7" s="2"/>
      <c r="L7" s="89"/>
    </row>
    <row r="8" spans="1:12" x14ac:dyDescent="0.35">
      <c r="A8" s="3" t="s">
        <v>113</v>
      </c>
      <c r="L8" s="13" t="s">
        <v>3</v>
      </c>
    </row>
    <row r="9" spans="1:12" x14ac:dyDescent="0.35">
      <c r="A9" s="3" t="s">
        <v>115</v>
      </c>
      <c r="L9" s="13" t="s">
        <v>135</v>
      </c>
    </row>
    <row r="10" spans="1:12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R. J. Amen</v>
      </c>
    </row>
    <row r="13" spans="1:12" x14ac:dyDescent="0.35">
      <c r="D13" s="88"/>
      <c r="E13" s="88"/>
      <c r="F13" s="88"/>
      <c r="G13" s="88"/>
      <c r="H13" s="88"/>
      <c r="I13" s="88"/>
      <c r="J13" s="88" t="s">
        <v>29</v>
      </c>
      <c r="K13" s="88" t="s">
        <v>29</v>
      </c>
      <c r="L13" s="88"/>
    </row>
    <row r="14" spans="1:12" x14ac:dyDescent="0.35">
      <c r="A14" s="88" t="s">
        <v>4</v>
      </c>
      <c r="B14" s="88" t="s">
        <v>6</v>
      </c>
      <c r="C14" s="88" t="s">
        <v>8</v>
      </c>
      <c r="D14" s="88" t="s">
        <v>8</v>
      </c>
      <c r="E14" s="88" t="s">
        <v>14</v>
      </c>
      <c r="F14" s="88" t="s">
        <v>18</v>
      </c>
      <c r="G14" s="88" t="s">
        <v>20</v>
      </c>
      <c r="H14" s="88" t="s">
        <v>20</v>
      </c>
      <c r="I14" s="88" t="s">
        <v>26</v>
      </c>
      <c r="J14" s="88" t="s">
        <v>14</v>
      </c>
      <c r="K14" s="88" t="s">
        <v>18</v>
      </c>
      <c r="L14" s="88" t="s">
        <v>33</v>
      </c>
    </row>
    <row r="15" spans="1:12" x14ac:dyDescent="0.35">
      <c r="A15" s="68" t="s">
        <v>5</v>
      </c>
      <c r="B15" s="68" t="s">
        <v>7</v>
      </c>
      <c r="C15" s="68" t="s">
        <v>9</v>
      </c>
      <c r="D15" s="68" t="s">
        <v>10</v>
      </c>
      <c r="E15" s="68" t="s">
        <v>15</v>
      </c>
      <c r="F15" s="68" t="s">
        <v>15</v>
      </c>
      <c r="G15" s="69" t="s">
        <v>21</v>
      </c>
      <c r="H15" s="69" t="s">
        <v>23</v>
      </c>
      <c r="I15" s="68" t="s">
        <v>27</v>
      </c>
      <c r="J15" s="68" t="s">
        <v>15</v>
      </c>
      <c r="K15" s="68" t="s">
        <v>15</v>
      </c>
      <c r="L15" s="68" t="s">
        <v>20</v>
      </c>
    </row>
    <row r="16" spans="1:12" x14ac:dyDescent="0.35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5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5">
      <c r="D18" s="88"/>
      <c r="E18" s="88"/>
      <c r="F18" s="88"/>
      <c r="G18" s="88"/>
      <c r="H18" s="88"/>
      <c r="I18" s="88"/>
      <c r="J18" s="10" t="s">
        <v>34</v>
      </c>
      <c r="K18" s="10" t="s">
        <v>35</v>
      </c>
      <c r="L18" s="10" t="s">
        <v>36</v>
      </c>
    </row>
    <row r="19" spans="1:12" x14ac:dyDescent="0.35">
      <c r="A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35">
      <c r="A20" s="88">
        <v>1</v>
      </c>
      <c r="B20" s="88" t="s">
        <v>52</v>
      </c>
      <c r="C20" s="88" t="s">
        <v>38</v>
      </c>
      <c r="D20" s="67">
        <v>10</v>
      </c>
      <c r="E20" s="11">
        <f>Input!$H$33+ROUND((Input!$C$33+Input!$J$33+Input!$K$33)*(GSO!D20),2)+ROUND(Input!$N$33*(GSO!D20),2)</f>
        <v>119.55</v>
      </c>
      <c r="F20" s="11">
        <f>Input!$Y$33+ROUND((Input!$T$33)*(GSO!D20),2)+ROUND((Input!$N$33+Input!$Z$33)*GSO!D20,2)</f>
        <v>146.65</v>
      </c>
      <c r="G20" s="11">
        <f>F20-E20</f>
        <v>27.100000000000009</v>
      </c>
      <c r="H20" s="12">
        <f>ROUND(G20/E20,3)</f>
        <v>0.22700000000000001</v>
      </c>
      <c r="I20" s="11">
        <f>ROUND(D20*SUM(Input!$O$36:$R$36),2)</f>
        <v>29.54</v>
      </c>
      <c r="J20" s="11">
        <f>E20+I20</f>
        <v>149.09</v>
      </c>
      <c r="K20" s="11">
        <f>F20+I20</f>
        <v>176.19</v>
      </c>
      <c r="L20" s="12">
        <f>ROUND((K20-J20)/J20,3)</f>
        <v>0.182</v>
      </c>
    </row>
    <row r="21" spans="1:12" x14ac:dyDescent="0.35">
      <c r="A21" s="88">
        <v>2</v>
      </c>
      <c r="B21" s="88" t="s">
        <v>42</v>
      </c>
      <c r="C21" s="88" t="s">
        <v>39</v>
      </c>
      <c r="D21" s="67">
        <v>30</v>
      </c>
      <c r="E21" s="11">
        <f>Input!$H$33+ROUND((Input!$C$33+Input!$J$33+Input!$K$33)*(GSO!D21),2)+ROUND(Input!$N$33*(GSO!D21),2)</f>
        <v>191.25</v>
      </c>
      <c r="F21" s="11">
        <f>Input!$Y$33+ROUND((Input!$T$33)*(GSO!D21),2)+ROUND((Input!$N$33+Input!$Z$33)*GSO!D21,2)</f>
        <v>219.95</v>
      </c>
      <c r="G21" s="11">
        <f t="shared" ref="G21:G32" si="0">F21-E21</f>
        <v>28.699999999999989</v>
      </c>
      <c r="H21" s="12">
        <f t="shared" ref="H21:H37" si="1">ROUND(G21/E21,3)</f>
        <v>0.15</v>
      </c>
      <c r="I21" s="11">
        <f>ROUND(D21*SUM(Input!$O$36:$R$36),2)</f>
        <v>88.61</v>
      </c>
      <c r="J21" s="11">
        <f t="shared" ref="J21:J32" si="2">E21+I21</f>
        <v>279.86</v>
      </c>
      <c r="K21" s="11">
        <f t="shared" ref="K21:K32" si="3">F21+I21</f>
        <v>308.56</v>
      </c>
      <c r="L21" s="12">
        <f t="shared" ref="L21:L37" si="4">ROUND((K21-J21)/J21,3)</f>
        <v>0.10299999999999999</v>
      </c>
    </row>
    <row r="22" spans="1:12" x14ac:dyDescent="0.35">
      <c r="A22" s="88">
        <v>3</v>
      </c>
      <c r="B22" s="88" t="s">
        <v>43</v>
      </c>
      <c r="C22" s="88"/>
      <c r="D22" s="67">
        <f>E39</f>
        <v>30.4</v>
      </c>
      <c r="E22" s="11">
        <f>Input!$H$33+ROUND((Input!$C$33+Input!$J$33+Input!$K$33)*(GSO!D22),2)+ROUND(Input!$N$33*(GSO!D22),2)</f>
        <v>192.69</v>
      </c>
      <c r="F22" s="11">
        <f>Input!$Y$33+ROUND((Input!$T$33)*(GSO!D22),2)+ROUND((Input!$N$33+Input!$Z$33)*GSO!D22,2)</f>
        <v>221.42000000000002</v>
      </c>
      <c r="G22" s="11">
        <f>F22-E22</f>
        <v>28.730000000000018</v>
      </c>
      <c r="H22" s="12">
        <f t="shared" si="1"/>
        <v>0.14899999999999999</v>
      </c>
      <c r="I22" s="11">
        <f>ROUND(D22*SUM(Input!$O$36:$R$36),2)</f>
        <v>89.79</v>
      </c>
      <c r="J22" s="11">
        <f>E22+I22</f>
        <v>282.48</v>
      </c>
      <c r="K22" s="11">
        <f>F22+I22</f>
        <v>311.21000000000004</v>
      </c>
      <c r="L22" s="12">
        <f t="shared" si="4"/>
        <v>0.10199999999999999</v>
      </c>
    </row>
    <row r="23" spans="1:12" x14ac:dyDescent="0.35">
      <c r="A23" s="88">
        <v>4</v>
      </c>
      <c r="B23" s="88" t="s">
        <v>57</v>
      </c>
      <c r="D23" s="67">
        <v>50</v>
      </c>
      <c r="E23" s="11">
        <f>Input!$H$33+ROUND((Input!$C$33+Input!$J$33+Input!$K$33)*(GSO!D23),2)+ROUND(Input!$N$33*(GSO!D23),2)</f>
        <v>262.95</v>
      </c>
      <c r="F23" s="11">
        <f>Input!$Y$33+ROUND((Input!$T$33)*(GSO!D23),2)+ROUND((Input!$N$33+Input!$Z$33)*GSO!D23,2)</f>
        <v>293.25</v>
      </c>
      <c r="G23" s="11">
        <f t="shared" si="0"/>
        <v>30.300000000000011</v>
      </c>
      <c r="H23" s="12">
        <f t="shared" si="1"/>
        <v>0.115</v>
      </c>
      <c r="I23" s="11">
        <f>ROUND(D23*SUM(Input!$O$36:$R$36),2)</f>
        <v>147.68</v>
      </c>
      <c r="J23" s="11">
        <f t="shared" si="2"/>
        <v>410.63</v>
      </c>
      <c r="K23" s="11">
        <f t="shared" si="3"/>
        <v>440.93</v>
      </c>
      <c r="L23" s="12">
        <f t="shared" si="4"/>
        <v>7.3999999999999996E-2</v>
      </c>
    </row>
    <row r="24" spans="1:12" x14ac:dyDescent="0.35">
      <c r="A24" s="88">
        <v>5</v>
      </c>
      <c r="B24" s="88" t="s">
        <v>58</v>
      </c>
      <c r="D24" s="67">
        <v>70</v>
      </c>
      <c r="E24" s="11">
        <f>Input!$H$33+ROUND(Input!$C$33*50,2)+ROUND(Input!$D$33*(GSO!D24-50),2)+ROUND(Input!$N$33*GSO!D24,2)+ROUND(Input!$J$33*GSO!D24,2)+ROUND(Input!$K$33*GSO!D24,2)</f>
        <v>319.80999999999995</v>
      </c>
      <c r="F24" s="11">
        <f>Input!$Y$33+ROUND(Input!$T$33*50,2)+ROUND(Input!$U$33*(GSO!D24-50),2)+ROUND((Input!$N$33+Input!$Z$33)*GSO!D24,2)</f>
        <v>349.89</v>
      </c>
      <c r="G24" s="11">
        <f t="shared" si="0"/>
        <v>30.080000000000041</v>
      </c>
      <c r="H24" s="12">
        <f t="shared" si="1"/>
        <v>9.4E-2</v>
      </c>
      <c r="I24" s="11">
        <f>ROUND(D24*SUM(Input!$O$36:$R$36),2)</f>
        <v>206.75</v>
      </c>
      <c r="J24" s="11">
        <f t="shared" si="2"/>
        <v>526.55999999999995</v>
      </c>
      <c r="K24" s="11">
        <f t="shared" si="3"/>
        <v>556.64</v>
      </c>
      <c r="L24" s="12">
        <f t="shared" si="4"/>
        <v>5.7000000000000002E-2</v>
      </c>
    </row>
    <row r="25" spans="1:12" x14ac:dyDescent="0.35">
      <c r="A25" s="88">
        <v>6</v>
      </c>
      <c r="D25" s="67">
        <v>100</v>
      </c>
      <c r="E25" s="11">
        <f>Input!$H$33+ROUND(Input!$C$33*50,2)+ROUND(Input!$D$33*(GSO!D25-50),2)+ROUND(Input!$N$33*GSO!D25,2)+ROUND(Input!$J$33*GSO!D25,2)+ROUND(Input!$K$33*GSO!D25,2)</f>
        <v>405.1</v>
      </c>
      <c r="F25" s="11">
        <f>Input!$Y$33+ROUND(Input!$T$33*50,2)+ROUND(Input!$U$33*(GSO!D25-50),2)+ROUND((Input!$N$33+Input!$Z$33)*GSO!D25,2)</f>
        <v>434.84000000000003</v>
      </c>
      <c r="G25" s="11">
        <f t="shared" si="0"/>
        <v>29.740000000000009</v>
      </c>
      <c r="H25" s="12">
        <f t="shared" si="1"/>
        <v>7.2999999999999995E-2</v>
      </c>
      <c r="I25" s="11">
        <f>ROUND(D25*SUM(Input!$O$36:$R$36),2)</f>
        <v>295.36</v>
      </c>
      <c r="J25" s="11">
        <f t="shared" si="2"/>
        <v>700.46</v>
      </c>
      <c r="K25" s="11">
        <f t="shared" si="3"/>
        <v>730.2</v>
      </c>
      <c r="L25" s="12">
        <f t="shared" si="4"/>
        <v>4.2000000000000003E-2</v>
      </c>
    </row>
    <row r="26" spans="1:12" x14ac:dyDescent="0.35">
      <c r="A26" s="88">
        <v>7</v>
      </c>
      <c r="B26" s="89"/>
      <c r="D26" s="67">
        <v>150</v>
      </c>
      <c r="E26" s="11">
        <f>Input!$H$33+ROUND(Input!$C$33*50,2)+ROUND(Input!$D$33*(GSO!D26-50),2)+ROUND(Input!$N$33*GSO!D26,2)+ROUND(Input!$J$33*GSO!D26,2)+ROUND(Input!$K$33*GSO!D26,2)</f>
        <v>547.25</v>
      </c>
      <c r="F26" s="11">
        <f>Input!$Y$33+ROUND(Input!$T$33*50,2)+ROUND(Input!$U$33*(GSO!D26-50),2)+ROUND((Input!$N$33+Input!$Z$33)*GSO!D26,2)</f>
        <v>576.41999999999996</v>
      </c>
      <c r="G26" s="11">
        <f t="shared" si="0"/>
        <v>29.169999999999959</v>
      </c>
      <c r="H26" s="12">
        <f t="shared" si="1"/>
        <v>5.2999999999999999E-2</v>
      </c>
      <c r="I26" s="11">
        <f>ROUND(D26*SUM(Input!$O$36:$R$36),2)</f>
        <v>443.04</v>
      </c>
      <c r="J26" s="11">
        <f t="shared" si="2"/>
        <v>990.29</v>
      </c>
      <c r="K26" s="11">
        <f t="shared" si="3"/>
        <v>1019.46</v>
      </c>
      <c r="L26" s="12">
        <f t="shared" si="4"/>
        <v>2.9000000000000001E-2</v>
      </c>
    </row>
    <row r="27" spans="1:12" x14ac:dyDescent="0.35">
      <c r="A27" s="88">
        <v>8</v>
      </c>
      <c r="D27" s="67">
        <v>200</v>
      </c>
      <c r="E27" s="11">
        <f>Input!$H$33+ROUND(Input!$C$33*50,2)+ROUND(Input!$D$33*(GSO!D27-50),2)+ROUND(Input!$N$33*GSO!D27,2)+ROUND(Input!$J$33*GSO!D27,2)+ROUND(Input!$K$33*GSO!D27,2)</f>
        <v>689.40000000000009</v>
      </c>
      <c r="F27" s="11">
        <f>Input!$Y$33+ROUND(Input!$T$33*50,2)+ROUND(Input!$U$33*(GSO!D27-50),2)+ROUND((Input!$N$33+Input!$Z$33)*GSO!D27,2)</f>
        <v>718.01</v>
      </c>
      <c r="G27" s="11">
        <f t="shared" si="0"/>
        <v>28.6099999999999</v>
      </c>
      <c r="H27" s="12">
        <f t="shared" si="1"/>
        <v>4.1000000000000002E-2</v>
      </c>
      <c r="I27" s="11">
        <f>ROUND(D27*SUM(Input!$O$36:$R$36),2)</f>
        <v>590.72</v>
      </c>
      <c r="J27" s="11">
        <f t="shared" si="2"/>
        <v>1280.1200000000001</v>
      </c>
      <c r="K27" s="11">
        <f t="shared" si="3"/>
        <v>1308.73</v>
      </c>
      <c r="L27" s="12">
        <f t="shared" si="4"/>
        <v>2.1999999999999999E-2</v>
      </c>
    </row>
    <row r="28" spans="1:12" x14ac:dyDescent="0.35">
      <c r="A28" s="88">
        <v>9</v>
      </c>
      <c r="D28" s="67">
        <v>250</v>
      </c>
      <c r="E28" s="11">
        <f>Input!$H$33+ROUND(Input!$C$33*50,2)+ROUND(Input!$D$33*(GSO!D28-50),2)+ROUND(Input!$N$33*GSO!D28,2)+ROUND(Input!$J$33*GSO!D28,2)+ROUND(Input!$K$33*GSO!D28,2)</f>
        <v>831.55000000000007</v>
      </c>
      <c r="F28" s="11">
        <f>Input!$Y$33+ROUND(Input!$T$33*50,2)+ROUND(Input!$U$33*(GSO!D28-50),2)+ROUND((Input!$N$33+Input!$Z$33)*GSO!D28,2)</f>
        <v>859.59</v>
      </c>
      <c r="G28" s="11">
        <f t="shared" si="0"/>
        <v>28.039999999999964</v>
      </c>
      <c r="H28" s="12">
        <f t="shared" si="1"/>
        <v>3.4000000000000002E-2</v>
      </c>
      <c r="I28" s="11">
        <f>ROUND(D28*SUM(Input!$O$36:$R$36),2)</f>
        <v>738.4</v>
      </c>
      <c r="J28" s="11">
        <f t="shared" si="2"/>
        <v>1569.95</v>
      </c>
      <c r="K28" s="11">
        <f t="shared" si="3"/>
        <v>1597.99</v>
      </c>
      <c r="L28" s="12">
        <f t="shared" si="4"/>
        <v>1.7999999999999999E-2</v>
      </c>
    </row>
    <row r="29" spans="1:12" x14ac:dyDescent="0.35">
      <c r="A29" s="88">
        <v>10</v>
      </c>
      <c r="D29" s="67">
        <v>300</v>
      </c>
      <c r="E29" s="11">
        <f>Input!$H$33+ROUND(Input!$C$33*50,2)+ROUND(Input!$D$33*(GSO!D29-50),2)+ROUND(Input!$N$33*GSO!D29,2)+ROUND(Input!$J$33*GSO!D29,2)+ROUND(Input!$K$33*GSO!D29,2)</f>
        <v>973.69999999999993</v>
      </c>
      <c r="F29" s="11">
        <f>Input!$Y$33+ROUND(Input!$T$33*50,2)+ROUND(Input!$U$33*(GSO!D29-50),2)+ROUND((Input!$N$33+Input!$Z$33)*GSO!D29,2)</f>
        <v>1001.1800000000001</v>
      </c>
      <c r="G29" s="11">
        <f t="shared" si="0"/>
        <v>27.480000000000132</v>
      </c>
      <c r="H29" s="12">
        <f t="shared" si="1"/>
        <v>2.8000000000000001E-2</v>
      </c>
      <c r="I29" s="11">
        <f>ROUND(D29*SUM(Input!$O$36:$R$36),2)</f>
        <v>886.08</v>
      </c>
      <c r="J29" s="11">
        <f t="shared" si="2"/>
        <v>1859.78</v>
      </c>
      <c r="K29" s="11">
        <f t="shared" si="3"/>
        <v>1887.2600000000002</v>
      </c>
      <c r="L29" s="12">
        <f t="shared" si="4"/>
        <v>1.4999999999999999E-2</v>
      </c>
    </row>
    <row r="30" spans="1:12" x14ac:dyDescent="0.35">
      <c r="A30" s="88">
        <v>11</v>
      </c>
      <c r="D30" s="67">
        <f>+E40</f>
        <v>337.20000000000005</v>
      </c>
      <c r="E30" s="11">
        <f>Input!$H$33+ROUND(Input!$C$33*50,2)+ROUND(Input!$D$33*(GSO!D30-50),2)+ROUND(Input!$N$33*GSO!D30,2)+ROUND(Input!$J$33*GSO!D30,2)+ROUND(Input!$K$33*GSO!D30,2)</f>
        <v>1079.4599999999998</v>
      </c>
      <c r="F30" s="11">
        <f>Input!$Y$33+ROUND(Input!$T$33*50,2)+ROUND(Input!$U$33*(GSO!D30-50),2)+ROUND((Input!$N$33+Input!$Z$33)*GSO!D30,2)</f>
        <v>1106.51</v>
      </c>
      <c r="G30" s="11">
        <f>F30-E30</f>
        <v>27.050000000000182</v>
      </c>
      <c r="H30" s="12">
        <f t="shared" si="1"/>
        <v>2.5000000000000001E-2</v>
      </c>
      <c r="I30" s="11">
        <f>ROUND(D30*SUM(Input!$O$36:$R$36),2)</f>
        <v>995.95</v>
      </c>
      <c r="J30" s="11">
        <f>E30+I30</f>
        <v>2075.41</v>
      </c>
      <c r="K30" s="11">
        <f>F30+I30</f>
        <v>2102.46</v>
      </c>
      <c r="L30" s="12">
        <f t="shared" si="4"/>
        <v>1.2999999999999999E-2</v>
      </c>
    </row>
    <row r="31" spans="1:12" x14ac:dyDescent="0.35">
      <c r="A31" s="88">
        <v>12</v>
      </c>
      <c r="D31" s="67">
        <v>350</v>
      </c>
      <c r="E31" s="11">
        <f>Input!$H$33+ROUND(Input!$C$33*50,2)+ROUND(Input!$D$33*(GSO!D31-50),2)+ROUND(Input!$N$33*GSO!D31,2)+ROUND(Input!$J$33*GSO!D31,2)+ROUND(Input!$K$33*GSO!D31,2)</f>
        <v>1115.8499999999999</v>
      </c>
      <c r="F31" s="11">
        <f>Input!$Y$33+ROUND(Input!$T$33*50,2)+ROUND(Input!$U$33*(GSO!D31-50),2)+ROUND((Input!$N$33+Input!$Z$33)*GSO!D31,2)</f>
        <v>1142.76</v>
      </c>
      <c r="G31" s="11">
        <f t="shared" si="0"/>
        <v>26.910000000000082</v>
      </c>
      <c r="H31" s="12">
        <f t="shared" si="1"/>
        <v>2.4E-2</v>
      </c>
      <c r="I31" s="11">
        <f>ROUND(D31*SUM(Input!$O$36:$R$36),2)</f>
        <v>1033.76</v>
      </c>
      <c r="J31" s="11">
        <f t="shared" si="2"/>
        <v>2149.6099999999997</v>
      </c>
      <c r="K31" s="11">
        <f t="shared" si="3"/>
        <v>2176.52</v>
      </c>
      <c r="L31" s="12">
        <f t="shared" si="4"/>
        <v>1.2999999999999999E-2</v>
      </c>
    </row>
    <row r="32" spans="1:12" x14ac:dyDescent="0.35">
      <c r="A32" s="88">
        <v>13</v>
      </c>
      <c r="D32" s="67">
        <v>400</v>
      </c>
      <c r="E32" s="11">
        <f>Input!$H$33+ROUND(Input!$C$33*50,2)+ROUND(Input!$D$33*(350),2)+ROUND(Input!$E$33*(D32-400),2)+ROUND(Input!$N$33*GSO!D32,2)+ROUND(Input!$J$33*GSO!D32,2)+ROUND(Input!$K$33*GSO!D32,2)</f>
        <v>1258</v>
      </c>
      <c r="F32" s="11">
        <f>Input!$Y$33+ROUND(Input!$T$33*50,2)+ROUND(Input!$U$33*(350),2)+ROUND(Input!$V$33*(GSO!D32-400),2)+ROUND((Input!$N$33+Input!$Z$33)*GSO!D32,2)</f>
        <v>1284.3499999999999</v>
      </c>
      <c r="G32" s="11">
        <f t="shared" si="0"/>
        <v>26.349999999999909</v>
      </c>
      <c r="H32" s="12">
        <f t="shared" si="1"/>
        <v>2.1000000000000001E-2</v>
      </c>
      <c r="I32" s="11">
        <f>ROUND(D32*SUM(Input!$O$36:$R$36),2)</f>
        <v>1181.44</v>
      </c>
      <c r="J32" s="11">
        <f t="shared" si="2"/>
        <v>2439.44</v>
      </c>
      <c r="K32" s="11">
        <f t="shared" si="3"/>
        <v>2465.79</v>
      </c>
      <c r="L32" s="12">
        <f t="shared" si="4"/>
        <v>1.0999999999999999E-2</v>
      </c>
    </row>
    <row r="33" spans="1:12" x14ac:dyDescent="0.35">
      <c r="A33" s="88">
        <v>14</v>
      </c>
      <c r="D33" s="67">
        <v>450</v>
      </c>
      <c r="E33" s="11">
        <f>Input!$H$33+ROUND(Input!$C$33*50,2)+ROUND(Input!$D$33*350,2)+ROUND(Input!$E$33*(GSO!D33-400),2)+ROUND(Input!$N$33*GSO!D33,2)+ROUND(Input!$J$34*GSO!D33,2)+ROUND(Input!$K$34*GSO!D33,2)</f>
        <v>1393.9499999999998</v>
      </c>
      <c r="F33" s="11">
        <f>Input!$Y$33+ROUND(Input!$T$33*50,2)+ROUND(Input!$U$33*350,2)+ROUND((Input!$V$33*(GSO!D33-400)),2)+ROUND((Input!$N$33+Input!$Z$33)*(GSO!D33),2)</f>
        <v>1418.9599999999998</v>
      </c>
      <c r="G33" s="11">
        <f>F33-E33</f>
        <v>25.009999999999991</v>
      </c>
      <c r="H33" s="12">
        <f t="shared" si="1"/>
        <v>1.7999999999999999E-2</v>
      </c>
      <c r="I33" s="11">
        <f>ROUND(D33*SUM(Input!$O$36:$R$36),2)</f>
        <v>1329.12</v>
      </c>
      <c r="J33" s="11">
        <f>E33+I33</f>
        <v>2723.0699999999997</v>
      </c>
      <c r="K33" s="11">
        <f>F33+I33</f>
        <v>2748.08</v>
      </c>
      <c r="L33" s="12">
        <f t="shared" si="4"/>
        <v>8.9999999999999993E-3</v>
      </c>
    </row>
    <row r="34" spans="1:12" x14ac:dyDescent="0.35">
      <c r="A34" s="88">
        <v>15</v>
      </c>
      <c r="D34" s="67">
        <v>500</v>
      </c>
      <c r="E34" s="11">
        <f>Input!$H$33+ROUND(Input!$C$33*50,2)+ROUND(Input!$D$33*350,2)+ROUND(Input!$E$33*(GSO!D34-400),2)+ROUND(Input!$N$33*GSO!D34,2)+ROUND(Input!$J$34*GSO!D34,2)+ROUND(Input!$K$34*GSO!D34,2)</f>
        <v>1529.8899999999999</v>
      </c>
      <c r="F34" s="11">
        <f>Input!$Y$33+ROUND(Input!$T$33*50,2)+ROUND(Input!$U$33*350,2)+ROUND((Input!$V$33*(GSO!D34-400)),2)+ROUND((Input!$N$33+Input!$Z$33)*(GSO!D34),2)</f>
        <v>1553.57</v>
      </c>
      <c r="G34" s="11">
        <f>F34-E34</f>
        <v>23.680000000000064</v>
      </c>
      <c r="H34" s="12">
        <f t="shared" si="1"/>
        <v>1.4999999999999999E-2</v>
      </c>
      <c r="I34" s="11">
        <f>ROUND(D34*SUM(Input!$O$36:$R$36),2)</f>
        <v>1476.8</v>
      </c>
      <c r="J34" s="11">
        <f>E34+I34</f>
        <v>3006.6899999999996</v>
      </c>
      <c r="K34" s="11">
        <f>F34+I34</f>
        <v>3030.37</v>
      </c>
      <c r="L34" s="12">
        <f t="shared" si="4"/>
        <v>8.0000000000000002E-3</v>
      </c>
    </row>
    <row r="35" spans="1:12" x14ac:dyDescent="0.35">
      <c r="A35" s="88">
        <v>16</v>
      </c>
      <c r="D35" s="67">
        <v>700</v>
      </c>
      <c r="E35" s="11">
        <f>Input!$H$33+ROUND(Input!$C$33*50,2)+ROUND(Input!$D$33*350,2)+ROUND(Input!$E$33*(GSO!D35-400),2)+ROUND(Input!$N$33*GSO!D35,2)+ROUND(Input!$J$34*GSO!D35,2)+ROUND(Input!$K$34*GSO!D35,2)</f>
        <v>2073.67</v>
      </c>
      <c r="F35" s="11">
        <f>Input!$Y$33+ROUND(Input!$T$33*50,2)+ROUND(Input!$U$33*350,2)+ROUND((Input!$V$33*(GSO!D35-400)),2)+ROUND((Input!$N$33+Input!$Z$33)*(GSO!D35),2)</f>
        <v>2092.0099999999998</v>
      </c>
      <c r="G35" s="11">
        <f>F35-E35</f>
        <v>18.339999999999691</v>
      </c>
      <c r="H35" s="12">
        <f t="shared" si="1"/>
        <v>8.9999999999999993E-3</v>
      </c>
      <c r="I35" s="11">
        <f>ROUND(D35*SUM(Input!$O$36:$R$36),2)</f>
        <v>2067.52</v>
      </c>
      <c r="J35" s="11">
        <f>E35+I35</f>
        <v>4141.1900000000005</v>
      </c>
      <c r="K35" s="11">
        <f>F35+I35</f>
        <v>4159.53</v>
      </c>
      <c r="L35" s="12">
        <f t="shared" si="4"/>
        <v>4.0000000000000001E-3</v>
      </c>
    </row>
    <row r="36" spans="1:12" x14ac:dyDescent="0.35">
      <c r="A36" s="88">
        <v>17</v>
      </c>
      <c r="D36" s="67">
        <v>1000</v>
      </c>
      <c r="E36" s="11">
        <f>Input!$H$33+ROUND(Input!$C$33*50,2)+ROUND(Input!$D$33*350,2)+ROUND(Input!$E$33*(GSO!D36-400),2)+ROUND(Input!$N$33*GSO!D36,2)+ROUND(Input!$J$34*GSO!D36,2)+ROUND(Input!$K$34*GSO!D36,2)</f>
        <v>2889.3399999999997</v>
      </c>
      <c r="F36" s="11">
        <f>Input!$Y$33+ROUND(Input!$T$33*50,2)+ROUND(Input!$U$33*350,2)+ROUND((Input!$V$33*(GSO!D36-400)),2)+ROUND((Input!$N$33+Input!$Z$33)*(GSO!D36),2)</f>
        <v>2899.67</v>
      </c>
      <c r="G36" s="11">
        <f>F36-E36</f>
        <v>10.330000000000382</v>
      </c>
      <c r="H36" s="12">
        <f t="shared" si="1"/>
        <v>4.0000000000000001E-3</v>
      </c>
      <c r="I36" s="11">
        <f>ROUND(D36*SUM(Input!$O$36:$R$36),2)</f>
        <v>2953.6</v>
      </c>
      <c r="J36" s="11">
        <f>E36+I36</f>
        <v>5842.94</v>
      </c>
      <c r="K36" s="11">
        <f>F36+I36</f>
        <v>5853.27</v>
      </c>
      <c r="L36" s="12">
        <f t="shared" si="4"/>
        <v>2E-3</v>
      </c>
    </row>
    <row r="37" spans="1:12" x14ac:dyDescent="0.35">
      <c r="A37" s="88">
        <v>18</v>
      </c>
      <c r="D37" s="67">
        <v>1200</v>
      </c>
      <c r="E37" s="11">
        <f>Input!$H$33+ROUND(Input!$C$33*50,2)+ROUND(Input!$D$33*350,2)+ROUND(Input!$E$33*600,2)+ROUND(Input!$F$33*(GSO!D37-1000),2)+ROUND(Input!$N$33*GSO!D37,2)+ROUND(Input!$J$33*GSO!D37,2)+ROUND(Input!$K$33*GSO!D37,2)</f>
        <v>3390.0199999999995</v>
      </c>
      <c r="F37" s="11">
        <f>Input!$Y$33+ROUND(Input!$T$33*50,2)+ROUND(Input!$U$33*350,2)+ROUND(Input!$V$33*600,2)+ROUND(Input!$W$33*(GSO!D37-1000),2)+ROUND((Input!$N$33+Input!$Z$33)*GSO!D37,2)</f>
        <v>3389.69</v>
      </c>
      <c r="G37" s="11">
        <f>F37-E37</f>
        <v>-0.32999999999947249</v>
      </c>
      <c r="H37" s="12">
        <f t="shared" si="1"/>
        <v>0</v>
      </c>
      <c r="I37" s="11">
        <f>ROUND(D37*SUM(Input!$O$36:$R$36),2)</f>
        <v>3544.32</v>
      </c>
      <c r="J37" s="11">
        <f>E37+I37</f>
        <v>6934.34</v>
      </c>
      <c r="K37" s="11">
        <f>F37+I37</f>
        <v>6934.01</v>
      </c>
      <c r="L37" s="12">
        <f t="shared" si="4"/>
        <v>0</v>
      </c>
    </row>
    <row r="38" spans="1:12" x14ac:dyDescent="0.35">
      <c r="F38" s="3" t="s">
        <v>159</v>
      </c>
      <c r="L38" s="12"/>
    </row>
    <row r="39" spans="1:12" x14ac:dyDescent="0.35">
      <c r="A39" s="14"/>
      <c r="C39" s="3" t="s">
        <v>102</v>
      </c>
      <c r="E39" s="66">
        <f>Input!AF33</f>
        <v>30.4</v>
      </c>
      <c r="F39" s="15" t="s">
        <v>100</v>
      </c>
    </row>
    <row r="40" spans="1:12" x14ac:dyDescent="0.35">
      <c r="A40" s="14"/>
      <c r="C40" s="3" t="s">
        <v>102</v>
      </c>
      <c r="E40" s="66">
        <f>Input!AF34</f>
        <v>337.20000000000005</v>
      </c>
      <c r="F40" s="15" t="s">
        <v>101</v>
      </c>
    </row>
    <row r="42" spans="1:12" x14ac:dyDescent="0.35">
      <c r="G42" s="65"/>
    </row>
    <row r="43" spans="1:12" x14ac:dyDescent="0.35">
      <c r="G43" s="65"/>
    </row>
    <row r="44" spans="1:12" x14ac:dyDescent="0.35">
      <c r="G44" s="65"/>
    </row>
    <row r="45" spans="1:12" x14ac:dyDescent="0.35">
      <c r="G45" s="65"/>
    </row>
    <row r="46" spans="1:12" x14ac:dyDescent="0.35">
      <c r="G46" s="65"/>
    </row>
    <row r="47" spans="1:12" x14ac:dyDescent="0.35">
      <c r="G47" s="65"/>
    </row>
    <row r="48" spans="1:12" x14ac:dyDescent="0.35">
      <c r="G48" s="65"/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5" right="0.5" top="0.75" bottom="0.75" header="0.5" footer="0.5"/>
  <pageSetup scale="91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L37"/>
  <sheetViews>
    <sheetView workbookViewId="0">
      <selection sqref="A1:L1"/>
    </sheetView>
  </sheetViews>
  <sheetFormatPr defaultColWidth="9.140625" defaultRowHeight="12.9" x14ac:dyDescent="0.35"/>
  <cols>
    <col min="1" max="1" width="9.140625" style="3"/>
    <col min="2" max="2" width="9.7109375" style="3" customWidth="1"/>
    <col min="3" max="3" width="9.5703125" style="3" customWidth="1"/>
    <col min="4" max="6" width="9.140625" style="3"/>
    <col min="7" max="7" width="9.5703125" style="3" bestFit="1" customWidth="1"/>
    <col min="8" max="8" width="9.140625" style="3"/>
    <col min="9" max="10" width="9.85546875" style="3" bestFit="1" customWidth="1"/>
    <col min="11" max="12" width="10.28515625" style="3" customWidth="1"/>
    <col min="13" max="16384" width="9.140625" style="3"/>
  </cols>
  <sheetData>
    <row r="1" spans="1:12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x14ac:dyDescent="0.35">
      <c r="A2" s="108" t="str">
        <f>Input!$B$13</f>
        <v>CASE NO. 2024-00092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35">
      <c r="A3" s="108" t="s">
        <v>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35">
      <c r="A5" s="108" t="str">
        <f>Input!B17</f>
        <v>TWELVE MONTHS ENDING DECEMBER 31, 2025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3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35">
      <c r="A7" s="88"/>
      <c r="B7" s="89"/>
      <c r="C7" s="89"/>
      <c r="D7" s="89"/>
      <c r="E7" s="89"/>
      <c r="F7" s="89"/>
      <c r="G7" s="89"/>
      <c r="H7" s="89"/>
      <c r="I7" s="89"/>
      <c r="J7" s="89"/>
      <c r="K7" s="2"/>
      <c r="L7" s="89"/>
    </row>
    <row r="8" spans="1:12" x14ac:dyDescent="0.35">
      <c r="A8" s="3" t="s">
        <v>113</v>
      </c>
      <c r="L8" s="13" t="s">
        <v>3</v>
      </c>
    </row>
    <row r="9" spans="1:12" x14ac:dyDescent="0.35">
      <c r="A9" s="3" t="s">
        <v>115</v>
      </c>
      <c r="L9" s="13" t="s">
        <v>136</v>
      </c>
    </row>
    <row r="10" spans="1:12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R. J. Amen</v>
      </c>
    </row>
    <row r="13" spans="1:12" x14ac:dyDescent="0.35">
      <c r="D13" s="88"/>
      <c r="E13" s="88"/>
      <c r="F13" s="88"/>
      <c r="G13" s="88"/>
      <c r="H13" s="88"/>
      <c r="I13" s="88"/>
      <c r="J13" s="88" t="s">
        <v>29</v>
      </c>
      <c r="K13" s="88" t="s">
        <v>29</v>
      </c>
      <c r="L13" s="88"/>
    </row>
    <row r="14" spans="1:12" x14ac:dyDescent="0.35">
      <c r="A14" s="88" t="s">
        <v>4</v>
      </c>
      <c r="B14" s="88" t="s">
        <v>6</v>
      </c>
      <c r="C14" s="88" t="s">
        <v>8</v>
      </c>
      <c r="D14" s="88" t="s">
        <v>8</v>
      </c>
      <c r="E14" s="88" t="s">
        <v>14</v>
      </c>
      <c r="F14" s="88" t="s">
        <v>18</v>
      </c>
      <c r="G14" s="88" t="s">
        <v>20</v>
      </c>
      <c r="H14" s="88" t="s">
        <v>20</v>
      </c>
      <c r="I14" s="88" t="s">
        <v>26</v>
      </c>
      <c r="J14" s="88" t="s">
        <v>14</v>
      </c>
      <c r="K14" s="88" t="s">
        <v>18</v>
      </c>
      <c r="L14" s="88" t="s">
        <v>33</v>
      </c>
    </row>
    <row r="15" spans="1:12" x14ac:dyDescent="0.35">
      <c r="A15" s="68" t="s">
        <v>5</v>
      </c>
      <c r="B15" s="68" t="s">
        <v>7</v>
      </c>
      <c r="C15" s="68" t="s">
        <v>9</v>
      </c>
      <c r="D15" s="68" t="s">
        <v>10</v>
      </c>
      <c r="E15" s="68" t="s">
        <v>15</v>
      </c>
      <c r="F15" s="68" t="s">
        <v>15</v>
      </c>
      <c r="G15" s="69" t="s">
        <v>21</v>
      </c>
      <c r="H15" s="69" t="s">
        <v>23</v>
      </c>
      <c r="I15" s="68" t="s">
        <v>27</v>
      </c>
      <c r="J15" s="68" t="s">
        <v>15</v>
      </c>
      <c r="K15" s="68" t="s">
        <v>15</v>
      </c>
      <c r="L15" s="68" t="s">
        <v>20</v>
      </c>
    </row>
    <row r="16" spans="1:12" x14ac:dyDescent="0.35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5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5">
      <c r="D18" s="88"/>
      <c r="E18" s="88"/>
      <c r="F18" s="88"/>
      <c r="G18" s="88"/>
      <c r="H18" s="88"/>
      <c r="I18" s="88"/>
      <c r="J18" s="10" t="s">
        <v>34</v>
      </c>
      <c r="K18" s="10" t="s">
        <v>35</v>
      </c>
      <c r="L18" s="10" t="s">
        <v>36</v>
      </c>
    </row>
    <row r="19" spans="1:12" x14ac:dyDescent="0.35">
      <c r="A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35">
      <c r="A20" s="88">
        <v>1</v>
      </c>
      <c r="B20" s="88" t="s">
        <v>121</v>
      </c>
      <c r="C20" s="88" t="s">
        <v>38</v>
      </c>
      <c r="D20" s="67">
        <f>D36</f>
        <v>0</v>
      </c>
      <c r="E20" s="11">
        <f>Input!$H$35+ROUND(Input!$C$35*IS!D20,2)+ROUND(Input!$N$35*IS!D20,2)+ROUND(Input!$J$35*IS!D20,2)+ROUND(Input!$K$35*IS!D20,2)</f>
        <v>3982.3</v>
      </c>
      <c r="F20" s="11">
        <f>Input!$Y$35+ROUND(Input!$T$35*IS!D20,2)+ROUND((Input!$N$35+Input!$Z$35)*IS!D20,2)</f>
        <v>5000</v>
      </c>
      <c r="G20" s="11">
        <f>F20-E20</f>
        <v>1017.6999999999998</v>
      </c>
      <c r="H20" s="12">
        <f>ROUND(G20/E20,3)</f>
        <v>0.25600000000000001</v>
      </c>
      <c r="I20" s="11">
        <f>ROUND(D20*SUM(Input!$O$36:$R$36),2)</f>
        <v>0</v>
      </c>
      <c r="J20" s="11">
        <f>E20+I20</f>
        <v>3982.3</v>
      </c>
      <c r="K20" s="11">
        <f>F20+I20</f>
        <v>5000</v>
      </c>
      <c r="L20" s="12">
        <f>ROUND((K20-J20)/J20,3)</f>
        <v>0.25600000000000001</v>
      </c>
    </row>
    <row r="21" spans="1:12" x14ac:dyDescent="0.35">
      <c r="A21" s="88">
        <v>2</v>
      </c>
      <c r="B21" s="88" t="s">
        <v>123</v>
      </c>
      <c r="C21" s="88" t="s">
        <v>39</v>
      </c>
      <c r="D21" s="67">
        <v>100</v>
      </c>
      <c r="E21" s="11">
        <f>Input!$H$35+ROUND(Input!$C$35*IS!D21,2)+ROUND(Input!$N$35*IS!D21,2)+ROUND(Input!$J$35*IS!D21,2)+ROUND(Input!$K$35*IS!D21,2)</f>
        <v>4060.3399999999997</v>
      </c>
      <c r="F21" s="11">
        <f>Input!$Y$35+ROUND(Input!$T$35*IS!D21,2)+ROUND((Input!$N$35+Input!$Z$35)*IS!D21,2)</f>
        <v>5085.2699999999995</v>
      </c>
      <c r="G21" s="11">
        <f t="shared" ref="G21:G31" si="0">F21-E21</f>
        <v>1024.9299999999998</v>
      </c>
      <c r="H21" s="12">
        <f t="shared" ref="H21:H34" si="1">ROUND(G21/E21,3)</f>
        <v>0.252</v>
      </c>
      <c r="I21" s="11">
        <f>ROUND(D21*SUM(Input!$O$36:$R$36),2)</f>
        <v>295.36</v>
      </c>
      <c r="J21" s="11">
        <f t="shared" ref="J21:J31" si="2">E21+I21</f>
        <v>4355.7</v>
      </c>
      <c r="K21" s="11">
        <f t="shared" ref="K21:K31" si="3">F21+I21</f>
        <v>5380.6299999999992</v>
      </c>
      <c r="L21" s="12">
        <f t="shared" ref="L21:L34" si="4">ROUND((K21-J21)/J21,3)</f>
        <v>0.23499999999999999</v>
      </c>
    </row>
    <row r="22" spans="1:12" x14ac:dyDescent="0.35">
      <c r="A22" s="88">
        <v>3</v>
      </c>
      <c r="B22" s="88" t="s">
        <v>43</v>
      </c>
      <c r="D22" s="67">
        <v>300</v>
      </c>
      <c r="E22" s="11">
        <f>Input!$H$35+ROUND(Input!$C$35*IS!D22,2)+ROUND(Input!$N$35*IS!D22,2)+ROUND(Input!$J$35*IS!D22,2)+ROUND(Input!$K$35*IS!D22,2)</f>
        <v>4216.42</v>
      </c>
      <c r="F22" s="11">
        <f>Input!$Y$35+ROUND(Input!$T$35*IS!D22,2)+ROUND((Input!$N$35+Input!$Z$35)*IS!D22,2)</f>
        <v>5255.81</v>
      </c>
      <c r="G22" s="11">
        <f t="shared" si="0"/>
        <v>1039.3900000000003</v>
      </c>
      <c r="H22" s="12">
        <f t="shared" si="1"/>
        <v>0.247</v>
      </c>
      <c r="I22" s="11">
        <f>ROUND(D22*SUM(Input!$O$36:$R$36),2)</f>
        <v>886.08</v>
      </c>
      <c r="J22" s="11">
        <f t="shared" si="2"/>
        <v>5102.5</v>
      </c>
      <c r="K22" s="11">
        <f t="shared" si="3"/>
        <v>6141.89</v>
      </c>
      <c r="L22" s="12">
        <f t="shared" si="4"/>
        <v>0.20399999999999999</v>
      </c>
    </row>
    <row r="23" spans="1:12" x14ac:dyDescent="0.35">
      <c r="A23" s="88">
        <v>4</v>
      </c>
      <c r="B23" s="88" t="s">
        <v>58</v>
      </c>
      <c r="D23" s="67">
        <v>500</v>
      </c>
      <c r="E23" s="11">
        <f>Input!$H$35+ROUND(Input!$C$35*IS!D23,2)+ROUND(Input!$N$35*IS!D23,2)+ROUND(Input!$J$35*IS!D23,2)+ROUND(Input!$K$35*IS!D23,2)</f>
        <v>4372.5</v>
      </c>
      <c r="F23" s="11">
        <f>Input!$Y$35+ROUND(Input!$T$35*IS!D23,2)+ROUND((Input!$N$35+Input!$Z$35)*IS!D23,2)</f>
        <v>5426.3499999999995</v>
      </c>
      <c r="G23" s="11">
        <f t="shared" si="0"/>
        <v>1053.8499999999995</v>
      </c>
      <c r="H23" s="12">
        <f t="shared" si="1"/>
        <v>0.24099999999999999</v>
      </c>
      <c r="I23" s="11">
        <f>ROUND(D23*SUM(Input!$O$36:$R$36),2)</f>
        <v>1476.8</v>
      </c>
      <c r="J23" s="11">
        <f t="shared" si="2"/>
        <v>5849.3</v>
      </c>
      <c r="K23" s="11">
        <f t="shared" si="3"/>
        <v>6903.15</v>
      </c>
      <c r="L23" s="12">
        <f t="shared" si="4"/>
        <v>0.18</v>
      </c>
    </row>
    <row r="24" spans="1:12" x14ac:dyDescent="0.35">
      <c r="A24" s="88">
        <v>5</v>
      </c>
      <c r="B24" s="88"/>
      <c r="D24" s="67">
        <v>700</v>
      </c>
      <c r="E24" s="11">
        <f>Input!$H$35+ROUND(Input!$C$35*IS!D24,2)+ROUND(Input!$N$35*IS!D24,2)+ROUND(Input!$J$35*IS!D24,2)+ROUND(Input!$K$35*IS!D24,2)</f>
        <v>4528.5800000000008</v>
      </c>
      <c r="F24" s="11">
        <f>Input!$Y$35+ROUND(Input!$T$35*IS!D24,2)+ROUND((Input!$N$35+Input!$Z$35)*IS!D24,2)</f>
        <v>5596.89</v>
      </c>
      <c r="G24" s="11">
        <f>F24-E24</f>
        <v>1068.3099999999995</v>
      </c>
      <c r="H24" s="12">
        <f t="shared" si="1"/>
        <v>0.23599999999999999</v>
      </c>
      <c r="I24" s="11">
        <f>ROUND(D24*SUM(Input!$O$36:$R$36),2)</f>
        <v>2067.52</v>
      </c>
      <c r="J24" s="11">
        <f>E24+I24</f>
        <v>6596.1</v>
      </c>
      <c r="K24" s="11">
        <f>F24+I24</f>
        <v>7664.41</v>
      </c>
      <c r="L24" s="12">
        <f t="shared" si="4"/>
        <v>0.16200000000000001</v>
      </c>
    </row>
    <row r="25" spans="1:12" x14ac:dyDescent="0.35">
      <c r="A25" s="88">
        <v>6</v>
      </c>
      <c r="D25" s="67">
        <v>900</v>
      </c>
      <c r="E25" s="11">
        <f>Input!$H$35+ROUND(Input!$C$35*IS!D25,2)+ROUND(Input!$N$35*IS!D25,2)+ROUND(Input!$J$35*IS!D25,2)+ROUND(Input!$K$35*IS!D25,2)</f>
        <v>4684.66</v>
      </c>
      <c r="F25" s="11">
        <f>Input!$Y$35+ROUND(Input!$T$35*IS!D25,2)+ROUND((Input!$N$35+Input!$Z$35)*IS!D25,2)</f>
        <v>5767.43</v>
      </c>
      <c r="G25" s="11">
        <f t="shared" si="0"/>
        <v>1082.7700000000004</v>
      </c>
      <c r="H25" s="12">
        <f t="shared" si="1"/>
        <v>0.23100000000000001</v>
      </c>
      <c r="I25" s="11">
        <f>ROUND(D25*SUM(Input!$O$36:$R$36),2)</f>
        <v>2658.24</v>
      </c>
      <c r="J25" s="11">
        <f t="shared" si="2"/>
        <v>7342.9</v>
      </c>
      <c r="K25" s="11">
        <f t="shared" si="3"/>
        <v>8425.67</v>
      </c>
      <c r="L25" s="12">
        <f t="shared" si="4"/>
        <v>0.14699999999999999</v>
      </c>
    </row>
    <row r="26" spans="1:12" x14ac:dyDescent="0.35">
      <c r="A26" s="88">
        <v>7</v>
      </c>
      <c r="B26" s="89"/>
      <c r="D26" s="67">
        <v>1100</v>
      </c>
      <c r="E26" s="11">
        <f>Input!$H$35+ROUND(Input!$C$35*IS!D26,2)+ROUND(Input!$N$35*IS!D26,2)+ROUND(Input!$J$35*IS!D26,2)+ROUND(Input!$K$35*IS!D26,2)</f>
        <v>4840.7400000000007</v>
      </c>
      <c r="F26" s="11">
        <f>Input!$Y$35+ROUND(Input!$T$35*IS!D26,2)+ROUND((Input!$N$35+Input!$Z$35)*IS!D26,2)</f>
        <v>5937.97</v>
      </c>
      <c r="G26" s="11">
        <f t="shared" si="0"/>
        <v>1097.2299999999996</v>
      </c>
      <c r="H26" s="12">
        <f t="shared" si="1"/>
        <v>0.22700000000000001</v>
      </c>
      <c r="I26" s="11">
        <f>ROUND(D26*SUM(Input!$O$36:$R$36),2)</f>
        <v>3248.96</v>
      </c>
      <c r="J26" s="11">
        <f t="shared" si="2"/>
        <v>8089.7000000000007</v>
      </c>
      <c r="K26" s="11">
        <f t="shared" si="3"/>
        <v>9186.93</v>
      </c>
      <c r="L26" s="12">
        <f t="shared" si="4"/>
        <v>0.13600000000000001</v>
      </c>
    </row>
    <row r="27" spans="1:12" x14ac:dyDescent="0.35">
      <c r="A27" s="88">
        <v>8</v>
      </c>
      <c r="D27" s="67">
        <v>1500</v>
      </c>
      <c r="E27" s="11">
        <f>Input!$H$35+ROUND(Input!$C$35*IS!D27,2)+ROUND(Input!$N$35*IS!D27,2)+ROUND(Input!$J$35*IS!D27,2)+ROUND(Input!$K$35*IS!D27,2)</f>
        <v>5152.9000000000005</v>
      </c>
      <c r="F27" s="11">
        <f>Input!$Y$35+ROUND(Input!$T$35*IS!D27,2)+ROUND((Input!$N$35+Input!$Z$35)*IS!D27,2)</f>
        <v>6279.05</v>
      </c>
      <c r="G27" s="11">
        <f t="shared" si="0"/>
        <v>1126.1499999999996</v>
      </c>
      <c r="H27" s="12">
        <f t="shared" si="1"/>
        <v>0.219</v>
      </c>
      <c r="I27" s="11">
        <f>ROUND(D27*SUM(Input!$O$36:$R$36),2)</f>
        <v>4430.3999999999996</v>
      </c>
      <c r="J27" s="11">
        <f t="shared" si="2"/>
        <v>9583.2999999999993</v>
      </c>
      <c r="K27" s="11">
        <f t="shared" si="3"/>
        <v>10709.45</v>
      </c>
      <c r="L27" s="12">
        <f t="shared" si="4"/>
        <v>0.11799999999999999</v>
      </c>
    </row>
    <row r="28" spans="1:12" x14ac:dyDescent="0.35">
      <c r="A28" s="88">
        <v>9</v>
      </c>
      <c r="D28" s="67">
        <v>2000</v>
      </c>
      <c r="E28" s="11">
        <f>Input!$H$35+ROUND(Input!$C$35*IS!D28,2)+ROUND(Input!$N$35*IS!D28,2)+ROUND(Input!$J$35*IS!D28,2)+ROUND(Input!$K$35*IS!D28,2)</f>
        <v>5543.0999999999995</v>
      </c>
      <c r="F28" s="11">
        <f>Input!$Y$35+ROUND(Input!$T$35*IS!D28,2)+ROUND((Input!$N$35+Input!$Z$35)*IS!D28,2)</f>
        <v>6705.4000000000005</v>
      </c>
      <c r="G28" s="11">
        <f t="shared" si="0"/>
        <v>1162.3000000000011</v>
      </c>
      <c r="H28" s="12">
        <f t="shared" si="1"/>
        <v>0.21</v>
      </c>
      <c r="I28" s="11">
        <f>ROUND(D28*SUM(Input!$O$36:$R$36),2)</f>
        <v>5907.2</v>
      </c>
      <c r="J28" s="11">
        <f t="shared" si="2"/>
        <v>11450.3</v>
      </c>
      <c r="K28" s="11">
        <f t="shared" si="3"/>
        <v>12612.6</v>
      </c>
      <c r="L28" s="12">
        <f t="shared" si="4"/>
        <v>0.10199999999999999</v>
      </c>
    </row>
    <row r="29" spans="1:12" x14ac:dyDescent="0.35">
      <c r="A29" s="88">
        <v>10</v>
      </c>
      <c r="D29" s="67">
        <v>3000</v>
      </c>
      <c r="E29" s="11">
        <f>Input!$H$35+ROUND(Input!$C$35*IS!D29,2)+ROUND(Input!$N$35*IS!D29,2)+ROUND(Input!$J$35*IS!D29,2)+ROUND(Input!$K$35*IS!D29,2)</f>
        <v>6323.5000000000009</v>
      </c>
      <c r="F29" s="11">
        <f>Input!$Y$35+ROUND(Input!$T$35*IS!D29,2)+ROUND((Input!$N$35+Input!$Z$35)*IS!D29,2)</f>
        <v>7558.0999999999995</v>
      </c>
      <c r="G29" s="11">
        <f t="shared" si="0"/>
        <v>1234.5999999999985</v>
      </c>
      <c r="H29" s="12">
        <f t="shared" si="1"/>
        <v>0.19500000000000001</v>
      </c>
      <c r="I29" s="11">
        <f>ROUND(D29*SUM(Input!$O$36:$R$36),2)</f>
        <v>8860.7999999999993</v>
      </c>
      <c r="J29" s="11">
        <f t="shared" si="2"/>
        <v>15184.3</v>
      </c>
      <c r="K29" s="11">
        <f t="shared" si="3"/>
        <v>16418.899999999998</v>
      </c>
      <c r="L29" s="12">
        <f t="shared" si="4"/>
        <v>8.1000000000000003E-2</v>
      </c>
    </row>
    <row r="30" spans="1:12" x14ac:dyDescent="0.35">
      <c r="A30" s="88">
        <v>11</v>
      </c>
      <c r="D30" s="67">
        <v>3500</v>
      </c>
      <c r="E30" s="11">
        <f>Input!$H$35+ROUND(Input!$C$35*IS!D30,2)+ROUND(Input!$N$35*IS!D30,2)+ROUND(Input!$J$35*IS!D30,2)+ROUND(Input!$K$35*IS!D30,2)</f>
        <v>6713.7</v>
      </c>
      <c r="F30" s="11">
        <f>Input!$Y$35+ROUND(Input!$T$35*IS!D30,2)+ROUND((Input!$N$35+Input!$Z$35)*IS!D30,2)</f>
        <v>7984.45</v>
      </c>
      <c r="G30" s="11">
        <f t="shared" si="0"/>
        <v>1270.75</v>
      </c>
      <c r="H30" s="12">
        <f t="shared" si="1"/>
        <v>0.189</v>
      </c>
      <c r="I30" s="11">
        <f>ROUND(D30*SUM(Input!$O$36:$R$36),2)</f>
        <v>10337.6</v>
      </c>
      <c r="J30" s="11">
        <f t="shared" si="2"/>
        <v>17051.3</v>
      </c>
      <c r="K30" s="11">
        <f t="shared" si="3"/>
        <v>18322.05</v>
      </c>
      <c r="L30" s="12">
        <f t="shared" si="4"/>
        <v>7.4999999999999997E-2</v>
      </c>
    </row>
    <row r="31" spans="1:12" x14ac:dyDescent="0.35">
      <c r="A31" s="88">
        <v>12</v>
      </c>
      <c r="D31" s="67">
        <v>4000</v>
      </c>
      <c r="E31" s="11">
        <f>Input!$H$35+ROUND(Input!$C$35*IS!D31,2)+ROUND(Input!$N$35*IS!D31,2)+ROUND(Input!$J$35*IS!D31,2)+ROUND(Input!$K$35*IS!D31,2)</f>
        <v>7103.9000000000005</v>
      </c>
      <c r="F31" s="11">
        <f>Input!$Y$35+ROUND(Input!$T$35*IS!D31,2)+ROUND((Input!$N$35+Input!$Z$35)*IS!D31,2)</f>
        <v>8410.8000000000011</v>
      </c>
      <c r="G31" s="11">
        <f t="shared" si="0"/>
        <v>1306.9000000000005</v>
      </c>
      <c r="H31" s="12">
        <f t="shared" si="1"/>
        <v>0.184</v>
      </c>
      <c r="I31" s="11">
        <f>ROUND(D31*SUM(Input!$O$36:$R$36),2)</f>
        <v>11814.4</v>
      </c>
      <c r="J31" s="11">
        <f t="shared" si="2"/>
        <v>18918.3</v>
      </c>
      <c r="K31" s="11">
        <f t="shared" si="3"/>
        <v>20225.2</v>
      </c>
      <c r="L31" s="12">
        <f t="shared" si="4"/>
        <v>6.9000000000000006E-2</v>
      </c>
    </row>
    <row r="32" spans="1:12" x14ac:dyDescent="0.35">
      <c r="A32" s="88">
        <v>13</v>
      </c>
      <c r="D32" s="67">
        <v>5000</v>
      </c>
      <c r="E32" s="11">
        <f>Input!$H$35+ROUND(Input!$C$35*IS!D32,2)+ROUND(Input!$N$35*IS!D32,2)+ROUND(Input!$J$35*IS!D32,2)+ROUND(Input!$K$35*IS!D32,2)</f>
        <v>7884.3</v>
      </c>
      <c r="F32" s="11">
        <f>Input!$Y$35+ROUND(Input!$T$35*IS!D32,2)+ROUND((Input!$N$35+Input!$Z$35)*IS!D32,2)</f>
        <v>9263.5</v>
      </c>
      <c r="G32" s="11">
        <f>F32-E32</f>
        <v>1379.1999999999998</v>
      </c>
      <c r="H32" s="12">
        <f t="shared" si="1"/>
        <v>0.17499999999999999</v>
      </c>
      <c r="I32" s="11">
        <f>ROUND(D32*SUM(Input!$O$36:$R$36),2)</f>
        <v>14768</v>
      </c>
      <c r="J32" s="11">
        <f>E32+I32</f>
        <v>22652.3</v>
      </c>
      <c r="K32" s="11">
        <f>F32+I32</f>
        <v>24031.5</v>
      </c>
      <c r="L32" s="12">
        <f t="shared" si="4"/>
        <v>6.0999999999999999E-2</v>
      </c>
    </row>
    <row r="33" spans="1:12" x14ac:dyDescent="0.35">
      <c r="A33" s="88">
        <v>14</v>
      </c>
      <c r="D33" s="67">
        <v>6000</v>
      </c>
      <c r="E33" s="11">
        <f>Input!$H$35+ROUND(Input!$C$35*IS!D33,2)+ROUND(Input!$N$35*IS!D33,2)+ROUND(Input!$J$35*IS!D33,2)+ROUND(Input!$K$35*IS!D33,2)</f>
        <v>8664.7000000000007</v>
      </c>
      <c r="F33" s="11">
        <f>Input!$Y$35+ROUND(Input!$T$35*IS!D33,2)+ROUND((Input!$N$35+Input!$Z$35)*IS!D33,2)</f>
        <v>10116.199999999999</v>
      </c>
      <c r="G33" s="11">
        <f>F33-E33</f>
        <v>1451.4999999999982</v>
      </c>
      <c r="H33" s="12">
        <f t="shared" si="1"/>
        <v>0.16800000000000001</v>
      </c>
      <c r="I33" s="11">
        <f>ROUND(D33*SUM(Input!$O$36:$R$36),2)</f>
        <v>17721.599999999999</v>
      </c>
      <c r="J33" s="11">
        <f>E33+I33</f>
        <v>26386.3</v>
      </c>
      <c r="K33" s="11">
        <f>F33+I33</f>
        <v>27837.799999999996</v>
      </c>
      <c r="L33" s="12">
        <f t="shared" si="4"/>
        <v>5.5E-2</v>
      </c>
    </row>
    <row r="34" spans="1:12" x14ac:dyDescent="0.35">
      <c r="A34" s="88">
        <v>15</v>
      </c>
      <c r="D34" s="67">
        <v>7000</v>
      </c>
      <c r="E34" s="11">
        <f>Input!$H$35+ROUND(Input!$C$35*IS!D34,2)+ROUND(Input!$N$35*IS!D34,2)+ROUND(Input!$J$35*IS!D34,2)+ROUND(Input!$K$35*IS!D34,2)</f>
        <v>9445.1</v>
      </c>
      <c r="F34" s="11">
        <f>Input!$Y$35+ROUND(Input!$T$35*IS!D34,2)+ROUND((Input!$N$35+Input!$Z$35)*IS!D34,2)</f>
        <v>10968.9</v>
      </c>
      <c r="G34" s="11">
        <f>F34-E34</f>
        <v>1523.7999999999993</v>
      </c>
      <c r="H34" s="12">
        <f t="shared" si="1"/>
        <v>0.161</v>
      </c>
      <c r="I34" s="11">
        <f>ROUND(D34*SUM(Input!$O$36:$R$36),2)</f>
        <v>20675.2</v>
      </c>
      <c r="J34" s="11">
        <f>E34+I34</f>
        <v>30120.300000000003</v>
      </c>
      <c r="K34" s="11">
        <f>F34+I34</f>
        <v>31644.1</v>
      </c>
      <c r="L34" s="12">
        <f t="shared" si="4"/>
        <v>5.0999999999999997E-2</v>
      </c>
    </row>
    <row r="36" spans="1:12" x14ac:dyDescent="0.35">
      <c r="A36" s="14"/>
      <c r="B36" s="3" t="s">
        <v>102</v>
      </c>
      <c r="D36" s="66">
        <f>Input!AF35</f>
        <v>0</v>
      </c>
    </row>
    <row r="37" spans="1:12" x14ac:dyDescent="0.35">
      <c r="C37" s="3" t="s">
        <v>151</v>
      </c>
    </row>
  </sheetData>
  <mergeCells count="5">
    <mergeCell ref="A1:L1"/>
    <mergeCell ref="A2:L2"/>
    <mergeCell ref="A3:L3"/>
    <mergeCell ref="A4:L4"/>
    <mergeCell ref="A5:L5"/>
  </mergeCells>
  <printOptions horizontalCentered="1"/>
  <pageMargins left="0.75" right="0.75" top="1" bottom="0.75" header="0.5" footer="0.5"/>
  <pageSetup scale="96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L36"/>
  <sheetViews>
    <sheetView workbookViewId="0">
      <selection sqref="A1:L1"/>
    </sheetView>
  </sheetViews>
  <sheetFormatPr defaultColWidth="9.140625" defaultRowHeight="12.9" x14ac:dyDescent="0.35"/>
  <cols>
    <col min="1" max="1" width="9.140625" style="3"/>
    <col min="2" max="2" width="9.7109375" style="3" customWidth="1"/>
    <col min="3" max="3" width="9.5703125" style="3" customWidth="1"/>
    <col min="4" max="8" width="9.140625" style="3"/>
    <col min="9" max="10" width="9.85546875" style="3" bestFit="1" customWidth="1"/>
    <col min="11" max="12" width="10.28515625" style="3" customWidth="1"/>
    <col min="13" max="16384" width="9.140625" style="3"/>
  </cols>
  <sheetData>
    <row r="1" spans="1:12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x14ac:dyDescent="0.35">
      <c r="A2" s="108" t="str">
        <f>Input!$B$13</f>
        <v>CASE NO. 2024-00092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35">
      <c r="A3" s="108" t="s">
        <v>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35">
      <c r="A5" s="108" t="str">
        <f>Input!B17</f>
        <v>TWELVE MONTHS ENDING DECEMBER 31, 2025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3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35">
      <c r="A7" s="88"/>
      <c r="B7" s="89"/>
      <c r="C7" s="89"/>
      <c r="D7" s="89"/>
      <c r="E7" s="89"/>
      <c r="F7" s="89"/>
      <c r="G7" s="89"/>
      <c r="H7" s="89"/>
      <c r="I7" s="89"/>
      <c r="J7" s="89"/>
      <c r="K7" s="2"/>
      <c r="L7" s="89"/>
    </row>
    <row r="8" spans="1:12" x14ac:dyDescent="0.35">
      <c r="A8" s="3" t="s">
        <v>113</v>
      </c>
      <c r="L8" s="13" t="s">
        <v>3</v>
      </c>
    </row>
    <row r="9" spans="1:12" x14ac:dyDescent="0.35">
      <c r="A9" s="3" t="s">
        <v>115</v>
      </c>
      <c r="L9" s="13" t="s">
        <v>137</v>
      </c>
    </row>
    <row r="10" spans="1:12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R. J. Amen</v>
      </c>
    </row>
    <row r="13" spans="1:12" x14ac:dyDescent="0.35">
      <c r="D13" s="88"/>
      <c r="E13" s="88"/>
      <c r="F13" s="88"/>
      <c r="G13" s="88"/>
      <c r="H13" s="88"/>
      <c r="I13" s="88"/>
      <c r="J13" s="88" t="s">
        <v>29</v>
      </c>
      <c r="K13" s="88" t="s">
        <v>29</v>
      </c>
      <c r="L13" s="88"/>
    </row>
    <row r="14" spans="1:12" x14ac:dyDescent="0.35">
      <c r="A14" s="88" t="s">
        <v>4</v>
      </c>
      <c r="B14" s="88" t="s">
        <v>6</v>
      </c>
      <c r="C14" s="88" t="s">
        <v>8</v>
      </c>
      <c r="D14" s="88" t="s">
        <v>8</v>
      </c>
      <c r="E14" s="88" t="s">
        <v>14</v>
      </c>
      <c r="F14" s="88" t="s">
        <v>18</v>
      </c>
      <c r="G14" s="88" t="s">
        <v>20</v>
      </c>
      <c r="H14" s="88" t="s">
        <v>20</v>
      </c>
      <c r="I14" s="88" t="s">
        <v>26</v>
      </c>
      <c r="J14" s="88" t="s">
        <v>14</v>
      </c>
      <c r="K14" s="88" t="s">
        <v>18</v>
      </c>
      <c r="L14" s="88" t="s">
        <v>33</v>
      </c>
    </row>
    <row r="15" spans="1:12" x14ac:dyDescent="0.35">
      <c r="A15" s="68" t="s">
        <v>5</v>
      </c>
      <c r="B15" s="68" t="s">
        <v>7</v>
      </c>
      <c r="C15" s="68" t="s">
        <v>9</v>
      </c>
      <c r="D15" s="68" t="s">
        <v>10</v>
      </c>
      <c r="E15" s="68" t="s">
        <v>15</v>
      </c>
      <c r="F15" s="68" t="s">
        <v>15</v>
      </c>
      <c r="G15" s="69" t="s">
        <v>21</v>
      </c>
      <c r="H15" s="69" t="s">
        <v>23</v>
      </c>
      <c r="I15" s="68" t="s">
        <v>27</v>
      </c>
      <c r="J15" s="68" t="s">
        <v>15</v>
      </c>
      <c r="K15" s="68" t="s">
        <v>15</v>
      </c>
      <c r="L15" s="68" t="s">
        <v>20</v>
      </c>
    </row>
    <row r="16" spans="1:12" x14ac:dyDescent="0.35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5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5">
      <c r="D18" s="88"/>
      <c r="E18" s="88"/>
      <c r="F18" s="88"/>
      <c r="G18" s="88"/>
      <c r="H18" s="88"/>
      <c r="I18" s="88"/>
      <c r="J18" s="10" t="s">
        <v>34</v>
      </c>
      <c r="K18" s="10" t="s">
        <v>35</v>
      </c>
      <c r="L18" s="10" t="s">
        <v>36</v>
      </c>
    </row>
    <row r="19" spans="1:12" x14ac:dyDescent="0.35">
      <c r="A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35">
      <c r="A20" s="88">
        <v>1</v>
      </c>
      <c r="B20" s="88" t="s">
        <v>53</v>
      </c>
      <c r="C20" s="88" t="s">
        <v>38</v>
      </c>
      <c r="D20" s="67">
        <v>250</v>
      </c>
      <c r="E20" s="11">
        <f>Input!$H$36+ROUND(Input!$C$36*IUS!D20,2)+ROUND(Input!$N$36*IUS!D20,2)+ROUND(Input!$J$36*IUS!D20,2)+ROUND(Input!$K$36*IUS!D20,2)</f>
        <v>1297.5999999999999</v>
      </c>
      <c r="F20" s="11">
        <f>Input!$Y$36+ROUND(Input!$T$36*IUS!D20,2)+ROUND((Input!$N$36+Input!$Z$36)*IUS!D20,2)</f>
        <v>1433.53</v>
      </c>
      <c r="G20" s="11">
        <f>F20-E20</f>
        <v>135.93000000000006</v>
      </c>
      <c r="H20" s="12">
        <f>ROUND(G20/E20,3)</f>
        <v>0.105</v>
      </c>
      <c r="I20" s="11">
        <f>ROUND(D20*SUM(Input!$O$36:$R$36),2)</f>
        <v>738.4</v>
      </c>
      <c r="J20" s="11">
        <f>E20+I20</f>
        <v>2036</v>
      </c>
      <c r="K20" s="11">
        <f>F20+I20</f>
        <v>2171.9299999999998</v>
      </c>
      <c r="L20" s="12">
        <f>ROUND((K20-J20)/J20,3)</f>
        <v>6.7000000000000004E-2</v>
      </c>
    </row>
    <row r="21" spans="1:12" x14ac:dyDescent="0.35">
      <c r="A21" s="88">
        <v>2</v>
      </c>
      <c r="B21" s="88" t="s">
        <v>59</v>
      </c>
      <c r="C21" s="88" t="s">
        <v>39</v>
      </c>
      <c r="D21" s="67">
        <f>D36</f>
        <v>433.8</v>
      </c>
      <c r="E21" s="11">
        <f>Input!$H$36+ROUND(Input!$C$36*IUS!D21,2)+ROUND(Input!$N$36*IUS!D21,2)+ROUND(Input!$J$36*IUS!D21,2)+ROUND(Input!$K$36*IUS!D21,2)</f>
        <v>1556.64</v>
      </c>
      <c r="F21" s="11">
        <f>Input!$Y$36+ROUND(Input!$T$36*IUS!D21,2)+ROUND((Input!$N$36+Input!$Z$36)*IUS!D21,2)</f>
        <v>1653</v>
      </c>
      <c r="G21" s="11">
        <f t="shared" ref="G21:G31" si="0">F21-E21</f>
        <v>96.3599999999999</v>
      </c>
      <c r="H21" s="12">
        <f t="shared" ref="H21:H34" si="1">ROUND(G21/E21,3)</f>
        <v>6.2E-2</v>
      </c>
      <c r="I21" s="11">
        <f>ROUND(D21*SUM(Input!$O$36:$R$36),2)</f>
        <v>1281.27</v>
      </c>
      <c r="J21" s="11">
        <f t="shared" ref="J21:J31" si="2">E21+I21</f>
        <v>2837.91</v>
      </c>
      <c r="K21" s="11">
        <f t="shared" ref="K21:K31" si="3">F21+I21</f>
        <v>2934.27</v>
      </c>
      <c r="L21" s="12">
        <f t="shared" ref="L21:L34" si="4">ROUND((K21-J21)/J21,3)</f>
        <v>3.4000000000000002E-2</v>
      </c>
    </row>
    <row r="22" spans="1:12" x14ac:dyDescent="0.35">
      <c r="A22" s="88">
        <v>3</v>
      </c>
      <c r="B22" s="88" t="s">
        <v>60</v>
      </c>
      <c r="D22" s="67">
        <v>500</v>
      </c>
      <c r="E22" s="11">
        <f>Input!$H$36+ROUND(Input!$C$36*IUS!D22,2)+ROUND(Input!$N$36*IUS!D22,2)+ROUND(Input!$J$36*IUS!D22,2)+ROUND(Input!$K$36*IUS!D22,2)</f>
        <v>1649.94</v>
      </c>
      <c r="F22" s="11">
        <f>Input!$Y$36+ROUND(Input!$T$36*IUS!D22,2)+ROUND((Input!$N$36+Input!$Z$36)*IUS!D22,2)</f>
        <v>1732.05</v>
      </c>
      <c r="G22" s="11">
        <f t="shared" si="0"/>
        <v>82.1099999999999</v>
      </c>
      <c r="H22" s="12">
        <f t="shared" si="1"/>
        <v>0.05</v>
      </c>
      <c r="I22" s="11">
        <f>ROUND(D22*SUM(Input!$O$36:$R$36),2)</f>
        <v>1476.8</v>
      </c>
      <c r="J22" s="11">
        <f t="shared" si="2"/>
        <v>3126.74</v>
      </c>
      <c r="K22" s="11">
        <f t="shared" si="3"/>
        <v>3208.85</v>
      </c>
      <c r="L22" s="12">
        <f t="shared" si="4"/>
        <v>2.5999999999999999E-2</v>
      </c>
    </row>
    <row r="23" spans="1:12" x14ac:dyDescent="0.35">
      <c r="A23" s="88">
        <v>4</v>
      </c>
      <c r="B23" s="88" t="s">
        <v>43</v>
      </c>
      <c r="D23" s="67">
        <v>600</v>
      </c>
      <c r="E23" s="11">
        <f>Input!$H$36+ROUND(Input!$C$36*IUS!D23,2)+ROUND(Input!$N$36*IUS!D23,2)+ROUND(Input!$J$36*IUS!D23,2)+ROUND(Input!$K$36*IUS!D23,2)</f>
        <v>1790.88</v>
      </c>
      <c r="F23" s="11">
        <f>Input!$Y$36+ROUND(Input!$T$36*IUS!D23,2)+ROUND((Input!$N$36+Input!$Z$36)*IUS!D23,2)</f>
        <v>1851.46</v>
      </c>
      <c r="G23" s="11">
        <f t="shared" si="0"/>
        <v>60.579999999999927</v>
      </c>
      <c r="H23" s="12">
        <f t="shared" si="1"/>
        <v>3.4000000000000002E-2</v>
      </c>
      <c r="I23" s="11">
        <f>ROUND(D23*SUM(Input!$O$36:$R$36),2)</f>
        <v>1772.16</v>
      </c>
      <c r="J23" s="11">
        <f t="shared" si="2"/>
        <v>3563.04</v>
      </c>
      <c r="K23" s="11">
        <f t="shared" si="3"/>
        <v>3623.62</v>
      </c>
      <c r="L23" s="12">
        <f t="shared" si="4"/>
        <v>1.7000000000000001E-2</v>
      </c>
    </row>
    <row r="24" spans="1:12" x14ac:dyDescent="0.35">
      <c r="A24" s="88">
        <v>5</v>
      </c>
      <c r="B24" s="88" t="s">
        <v>61</v>
      </c>
      <c r="D24" s="67">
        <v>650</v>
      </c>
      <c r="E24" s="11">
        <f>Input!$H$36+ROUND(Input!$C$36*IUS!D24,2)+ROUND(Input!$N$36*IUS!D24,2)+ROUND(Input!$J$36*IUS!D24,2)+ROUND(Input!$K$36*IUS!D24,2)</f>
        <v>1861.36</v>
      </c>
      <c r="F24" s="11">
        <f>Input!$Y$36+ROUND(Input!$T$36*IUS!D24,2)+ROUND((Input!$N$36+Input!$Z$36)*IUS!D24,2)</f>
        <v>1911.17</v>
      </c>
      <c r="G24" s="11">
        <f>F24-E24</f>
        <v>49.810000000000173</v>
      </c>
      <c r="H24" s="12">
        <f t="shared" si="1"/>
        <v>2.7E-2</v>
      </c>
      <c r="I24" s="11">
        <f>ROUND(D24*SUM(Input!$O$36:$R$36),2)</f>
        <v>1919.84</v>
      </c>
      <c r="J24" s="11">
        <f>E24+I24</f>
        <v>3781.2</v>
      </c>
      <c r="K24" s="11">
        <f>F24+I24</f>
        <v>3831.01</v>
      </c>
      <c r="L24" s="12">
        <f t="shared" si="4"/>
        <v>1.2999999999999999E-2</v>
      </c>
    </row>
    <row r="25" spans="1:12" x14ac:dyDescent="0.35">
      <c r="A25" s="88">
        <v>6</v>
      </c>
      <c r="D25" s="67">
        <v>700</v>
      </c>
      <c r="E25" s="11">
        <f>Input!$H$36+ROUND(Input!$C$36*IUS!D25,2)+ROUND(Input!$N$36*IUS!D25,2)+ROUND(Input!$J$36*IUS!D25,2)+ROUND(Input!$K$36*IUS!D25,2)</f>
        <v>1931.82</v>
      </c>
      <c r="F25" s="11">
        <f>Input!$Y$36+ROUND(Input!$T$36*IUS!D25,2)+ROUND((Input!$N$36+Input!$Z$36)*IUS!D25,2)</f>
        <v>1970.8700000000001</v>
      </c>
      <c r="G25" s="11">
        <f t="shared" si="0"/>
        <v>39.050000000000182</v>
      </c>
      <c r="H25" s="12">
        <f t="shared" si="1"/>
        <v>0.02</v>
      </c>
      <c r="I25" s="11">
        <f>ROUND(D25*SUM(Input!$O$36:$R$36),2)</f>
        <v>2067.52</v>
      </c>
      <c r="J25" s="11">
        <f t="shared" si="2"/>
        <v>3999.34</v>
      </c>
      <c r="K25" s="11">
        <f t="shared" si="3"/>
        <v>4038.3900000000003</v>
      </c>
      <c r="L25" s="12">
        <f t="shared" si="4"/>
        <v>0.01</v>
      </c>
    </row>
    <row r="26" spans="1:12" x14ac:dyDescent="0.35">
      <c r="A26" s="88">
        <v>7</v>
      </c>
      <c r="B26" s="89"/>
      <c r="D26" s="67">
        <v>750</v>
      </c>
      <c r="E26" s="11">
        <f>Input!$H$36+ROUND(Input!$C$36*IUS!D26,2)+ROUND(Input!$N$36*IUS!D26,2)+ROUND(Input!$J$36*IUS!D26,2)+ROUND(Input!$K$36*IUS!D26,2)</f>
        <v>2002.3</v>
      </c>
      <c r="F26" s="11">
        <f>Input!$Y$36+ROUND(Input!$T$36*IUS!D26,2)+ROUND((Input!$N$36+Input!$Z$36)*IUS!D26,2)</f>
        <v>2030.58</v>
      </c>
      <c r="G26" s="11">
        <f t="shared" si="0"/>
        <v>28.279999999999973</v>
      </c>
      <c r="H26" s="12">
        <f t="shared" si="1"/>
        <v>1.4E-2</v>
      </c>
      <c r="I26" s="11">
        <f>ROUND(D26*SUM(Input!$O$36:$R$36),2)</f>
        <v>2215.1999999999998</v>
      </c>
      <c r="J26" s="11">
        <f t="shared" si="2"/>
        <v>4217.5</v>
      </c>
      <c r="K26" s="11">
        <f t="shared" si="3"/>
        <v>4245.78</v>
      </c>
      <c r="L26" s="12">
        <f t="shared" si="4"/>
        <v>7.0000000000000001E-3</v>
      </c>
    </row>
    <row r="27" spans="1:12" x14ac:dyDescent="0.35">
      <c r="A27" s="88">
        <v>8</v>
      </c>
      <c r="D27" s="67">
        <v>800</v>
      </c>
      <c r="E27" s="11">
        <f>Input!$H$36+ROUND(Input!$C$36*IUS!D27,2)+ROUND(Input!$N$36*IUS!D27,2)+ROUND(Input!$J$36*IUS!D27,2)+ROUND(Input!$K$36*IUS!D27,2)</f>
        <v>2072.7600000000002</v>
      </c>
      <c r="F27" s="11">
        <f>Input!$Y$36+ROUND(Input!$T$36*IUS!D27,2)+ROUND((Input!$N$36+Input!$Z$36)*IUS!D27,2)</f>
        <v>2090.2800000000002</v>
      </c>
      <c r="G27" s="11">
        <f t="shared" si="0"/>
        <v>17.519999999999982</v>
      </c>
      <c r="H27" s="12">
        <f t="shared" si="1"/>
        <v>8.0000000000000002E-3</v>
      </c>
      <c r="I27" s="11">
        <f>ROUND(D27*SUM(Input!$O$36:$R$36),2)</f>
        <v>2362.88</v>
      </c>
      <c r="J27" s="11">
        <f t="shared" si="2"/>
        <v>4435.6400000000003</v>
      </c>
      <c r="K27" s="11">
        <f t="shared" si="3"/>
        <v>4453.16</v>
      </c>
      <c r="L27" s="12">
        <f t="shared" si="4"/>
        <v>4.0000000000000001E-3</v>
      </c>
    </row>
    <row r="28" spans="1:12" x14ac:dyDescent="0.35">
      <c r="A28" s="88">
        <v>9</v>
      </c>
      <c r="D28" s="67">
        <v>900</v>
      </c>
      <c r="E28" s="11">
        <f>Input!$H$36+ROUND(Input!$C$36*IUS!D28,2)+ROUND(Input!$N$36*IUS!D28,2)+ROUND(Input!$J$36*IUS!D28,2)+ROUND(Input!$K$36*IUS!D28,2)</f>
        <v>2213.6999999999998</v>
      </c>
      <c r="F28" s="11">
        <f>Input!$Y$36+ROUND(Input!$T$36*IUS!D28,2)+ROUND((Input!$N$36+Input!$Z$36)*IUS!D28,2)</f>
        <v>2209.6899999999996</v>
      </c>
      <c r="G28" s="11">
        <f t="shared" si="0"/>
        <v>-4.0100000000002183</v>
      </c>
      <c r="H28" s="12">
        <f t="shared" si="1"/>
        <v>-2E-3</v>
      </c>
      <c r="I28" s="11">
        <f>ROUND(D28*SUM(Input!$O$36:$R$36),2)</f>
        <v>2658.24</v>
      </c>
      <c r="J28" s="11">
        <f t="shared" si="2"/>
        <v>4871.9399999999996</v>
      </c>
      <c r="K28" s="11">
        <f t="shared" si="3"/>
        <v>4867.9299999999994</v>
      </c>
      <c r="L28" s="12">
        <f t="shared" si="4"/>
        <v>-1E-3</v>
      </c>
    </row>
    <row r="29" spans="1:12" x14ac:dyDescent="0.35">
      <c r="A29" s="88">
        <v>10</v>
      </c>
      <c r="D29" s="67">
        <v>1000</v>
      </c>
      <c r="E29" s="11">
        <f>Input!$H$36+ROUND(Input!$C$36*IUS!D29,2)+ROUND(Input!$N$36*IUS!D29,2)+ROUND(Input!$J$36*IUS!D29,2)+ROUND(Input!$K$36*IUS!D29,2)</f>
        <v>2354.6400000000003</v>
      </c>
      <c r="F29" s="11">
        <f>Input!$Y$36+ROUND(Input!$T$36*IUS!D29,2)+ROUND((Input!$N$36+Input!$Z$36)*IUS!D29,2)</f>
        <v>2329.1</v>
      </c>
      <c r="G29" s="11">
        <f t="shared" si="0"/>
        <v>-25.540000000000418</v>
      </c>
      <c r="H29" s="12">
        <f t="shared" si="1"/>
        <v>-1.0999999999999999E-2</v>
      </c>
      <c r="I29" s="11">
        <f>ROUND(D29*SUM(Input!$O$36:$R$36),2)</f>
        <v>2953.6</v>
      </c>
      <c r="J29" s="11">
        <f t="shared" si="2"/>
        <v>5308.24</v>
      </c>
      <c r="K29" s="11">
        <f t="shared" si="3"/>
        <v>5282.7</v>
      </c>
      <c r="L29" s="12">
        <f t="shared" si="4"/>
        <v>-5.0000000000000001E-3</v>
      </c>
    </row>
    <row r="30" spans="1:12" x14ac:dyDescent="0.35">
      <c r="A30" s="88">
        <v>11</v>
      </c>
      <c r="D30" s="67">
        <v>2000</v>
      </c>
      <c r="E30" s="11">
        <f>Input!$H$36+ROUND(Input!$C$36*IUS!D30,2)+ROUND(Input!$N$36*IUS!D30,2)+ROUND(Input!$J$36*IUS!D30,2)+ROUND(Input!$K$36*IUS!D30,2)</f>
        <v>3764.04</v>
      </c>
      <c r="F30" s="11">
        <f>Input!$Y$36+ROUND(Input!$T$36*IUS!D30,2)+ROUND((Input!$N$36+Input!$Z$36)*IUS!D30,2)</f>
        <v>3523.2000000000003</v>
      </c>
      <c r="G30" s="11">
        <f t="shared" si="0"/>
        <v>-240.83999999999969</v>
      </c>
      <c r="H30" s="12">
        <f t="shared" si="1"/>
        <v>-6.4000000000000001E-2</v>
      </c>
      <c r="I30" s="11">
        <f>ROUND(D30*SUM(Input!$O$36:$R$36),2)</f>
        <v>5907.2</v>
      </c>
      <c r="J30" s="11">
        <f t="shared" si="2"/>
        <v>9671.24</v>
      </c>
      <c r="K30" s="11">
        <f t="shared" si="3"/>
        <v>9430.4</v>
      </c>
      <c r="L30" s="12">
        <f t="shared" si="4"/>
        <v>-2.5000000000000001E-2</v>
      </c>
    </row>
    <row r="31" spans="1:12" x14ac:dyDescent="0.35">
      <c r="A31" s="88">
        <v>12</v>
      </c>
      <c r="D31" s="67">
        <v>3000</v>
      </c>
      <c r="E31" s="11">
        <f>Input!$H$36+ROUND(Input!$C$36*IUS!D31,2)+ROUND(Input!$N$36*IUS!D31,2)+ROUND(Input!$J$36*IUS!D31,2)+ROUND(Input!$K$36*IUS!D31,2)</f>
        <v>5173.4399999999996</v>
      </c>
      <c r="F31" s="11">
        <f>Input!$Y$36+ROUND(Input!$T$36*IUS!D31,2)+ROUND((Input!$N$36+Input!$Z$36)*IUS!D31,2)</f>
        <v>4717.3</v>
      </c>
      <c r="G31" s="11">
        <f t="shared" si="0"/>
        <v>-456.13999999999942</v>
      </c>
      <c r="H31" s="12">
        <f t="shared" si="1"/>
        <v>-8.7999999999999995E-2</v>
      </c>
      <c r="I31" s="11">
        <f>ROUND(D31*SUM(Input!$O$36:$R$36),2)</f>
        <v>8860.7999999999993</v>
      </c>
      <c r="J31" s="11">
        <f t="shared" si="2"/>
        <v>14034.239999999998</v>
      </c>
      <c r="K31" s="11">
        <f t="shared" si="3"/>
        <v>13578.099999999999</v>
      </c>
      <c r="L31" s="12">
        <f t="shared" si="4"/>
        <v>-3.3000000000000002E-2</v>
      </c>
    </row>
    <row r="32" spans="1:12" x14ac:dyDescent="0.35">
      <c r="A32" s="88">
        <v>13</v>
      </c>
      <c r="D32" s="67">
        <v>4000</v>
      </c>
      <c r="E32" s="11">
        <f>Input!$H$36+ROUND(Input!$C$36*IUS!D32,2)+ROUND(Input!$N$36*IUS!D32,2)+ROUND(Input!$J$36*IUS!D32,2)+ROUND(Input!$K$36*IUS!D32,2)</f>
        <v>6582.84</v>
      </c>
      <c r="F32" s="11">
        <f>Input!$Y$36+ROUND(Input!$T$36*IUS!D32,2)+ROUND((Input!$N$36+Input!$Z$36)*IUS!D32,2)</f>
        <v>5911.4000000000005</v>
      </c>
      <c r="G32" s="11">
        <f>F32-E32</f>
        <v>-671.4399999999996</v>
      </c>
      <c r="H32" s="12">
        <f t="shared" si="1"/>
        <v>-0.10199999999999999</v>
      </c>
      <c r="I32" s="11">
        <f>ROUND(D32*SUM(Input!$O$36:$R$36),2)</f>
        <v>11814.4</v>
      </c>
      <c r="J32" s="11">
        <f>E32+I32</f>
        <v>18397.239999999998</v>
      </c>
      <c r="K32" s="11">
        <f>F32+I32</f>
        <v>17725.8</v>
      </c>
      <c r="L32" s="12">
        <f t="shared" si="4"/>
        <v>-3.5999999999999997E-2</v>
      </c>
    </row>
    <row r="33" spans="1:12" x14ac:dyDescent="0.35">
      <c r="A33" s="88">
        <v>14</v>
      </c>
      <c r="D33" s="67">
        <v>5000</v>
      </c>
      <c r="E33" s="11">
        <f>Input!$H$36+ROUND(Input!$C$36*IUS!D33,2)+ROUND(Input!$N$36*IUS!D33,2)+ROUND(Input!$J$36*IUS!D33,2)+ROUND(Input!$K$36*IUS!D33,2)</f>
        <v>7992.24</v>
      </c>
      <c r="F33" s="11">
        <f>Input!$Y$36+ROUND(Input!$T$36*IUS!D33,2)+ROUND((Input!$N$36+Input!$Z$36)*IUS!D33,2)</f>
        <v>7105.5</v>
      </c>
      <c r="G33" s="11">
        <f>F33-E33</f>
        <v>-886.73999999999978</v>
      </c>
      <c r="H33" s="12">
        <f t="shared" si="1"/>
        <v>-0.111</v>
      </c>
      <c r="I33" s="11">
        <f>ROUND(D33*SUM(Input!$O$36:$R$36),2)</f>
        <v>14768</v>
      </c>
      <c r="J33" s="11">
        <f>E33+I33</f>
        <v>22760.239999999998</v>
      </c>
      <c r="K33" s="11">
        <f>F33+I33</f>
        <v>21873.5</v>
      </c>
      <c r="L33" s="12">
        <f t="shared" si="4"/>
        <v>-3.9E-2</v>
      </c>
    </row>
    <row r="34" spans="1:12" x14ac:dyDescent="0.35">
      <c r="A34" s="88">
        <v>15</v>
      </c>
      <c r="D34" s="67">
        <v>6000</v>
      </c>
      <c r="E34" s="11">
        <f>Input!$H$36+ROUND(Input!$C$36*IUS!D34,2)+ROUND(Input!$N$36*IUS!D34,2)+ROUND(Input!$J$36*IUS!D34,2)+ROUND(Input!$K$36*IUS!D34,2)</f>
        <v>9401.64</v>
      </c>
      <c r="F34" s="11">
        <f>Input!$Y$36+ROUND(Input!$T$36*IUS!D34,2)+ROUND((Input!$N$36+Input!$Z$36)*IUS!D34,2)</f>
        <v>8299.6</v>
      </c>
      <c r="G34" s="11">
        <f>F34-E34</f>
        <v>-1102.0399999999991</v>
      </c>
      <c r="H34" s="12">
        <f t="shared" si="1"/>
        <v>-0.11700000000000001</v>
      </c>
      <c r="I34" s="11">
        <f>ROUND(D34*SUM(Input!$O$36:$R$36),2)</f>
        <v>17721.599999999999</v>
      </c>
      <c r="J34" s="11">
        <f>E34+I34</f>
        <v>27123.239999999998</v>
      </c>
      <c r="K34" s="11">
        <f>F34+I34</f>
        <v>26021.199999999997</v>
      </c>
      <c r="L34" s="12">
        <f t="shared" si="4"/>
        <v>-4.1000000000000002E-2</v>
      </c>
    </row>
    <row r="36" spans="1:12" x14ac:dyDescent="0.35">
      <c r="A36" s="14"/>
      <c r="B36" s="3" t="s">
        <v>102</v>
      </c>
      <c r="D36" s="66">
        <f>Input!AF36</f>
        <v>433.8</v>
      </c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9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codeName="Sheet18">
    <pageSetUpPr fitToPage="1"/>
  </sheetPr>
  <dimension ref="A1:C26"/>
  <sheetViews>
    <sheetView workbookViewId="0"/>
  </sheetViews>
  <sheetFormatPr defaultColWidth="8.42578125" defaultRowHeight="11.15" x14ac:dyDescent="0.35"/>
  <cols>
    <col min="1" max="1" width="22" style="59" customWidth="1"/>
    <col min="2" max="2" width="2.28515625" style="59" customWidth="1"/>
    <col min="3" max="3" width="67.7109375" style="59" customWidth="1"/>
    <col min="4" max="9" width="8.42578125" style="59"/>
    <col min="10" max="10" width="8.42578125" style="59" customWidth="1"/>
    <col min="11" max="11" width="8.42578125" style="59"/>
    <col min="12" max="12" width="1.5703125" style="59" customWidth="1"/>
    <col min="13" max="13" width="6.7109375" style="59" customWidth="1"/>
    <col min="14" max="14" width="5.85546875" style="59" customWidth="1"/>
    <col min="15" max="16384" width="8.42578125" style="59"/>
  </cols>
  <sheetData>
    <row r="1" spans="1:3" ht="12.9" x14ac:dyDescent="0.35">
      <c r="A1" s="57" t="s">
        <v>139</v>
      </c>
      <c r="B1" s="58"/>
      <c r="C1" s="58"/>
    </row>
    <row r="2" spans="1:3" ht="12.9" x14ac:dyDescent="0.35">
      <c r="A2" s="58"/>
      <c r="B2" s="58"/>
      <c r="C2" s="58"/>
    </row>
    <row r="3" spans="1:3" ht="12.9" x14ac:dyDescent="0.35">
      <c r="A3" s="104" t="s">
        <v>144</v>
      </c>
      <c r="B3" s="104"/>
      <c r="C3" s="104"/>
    </row>
    <row r="4" spans="1:3" ht="12.9" x14ac:dyDescent="0.35">
      <c r="A4" s="58"/>
      <c r="B4" s="58"/>
      <c r="C4" s="58"/>
    </row>
    <row r="5" spans="1:3" ht="12.9" x14ac:dyDescent="0.35">
      <c r="A5" s="104" t="s">
        <v>145</v>
      </c>
      <c r="B5" s="104"/>
      <c r="C5" s="104"/>
    </row>
    <row r="6" spans="1:3" ht="12.9" x14ac:dyDescent="0.35">
      <c r="A6" s="58"/>
      <c r="B6" s="58"/>
      <c r="C6" s="58"/>
    </row>
    <row r="7" spans="1:3" ht="12.9" x14ac:dyDescent="0.35">
      <c r="A7" s="104" t="s">
        <v>0</v>
      </c>
      <c r="B7" s="104"/>
      <c r="C7" s="104"/>
    </row>
    <row r="8" spans="1:3" ht="12.9" x14ac:dyDescent="0.35">
      <c r="A8" s="58"/>
      <c r="B8" s="58"/>
      <c r="C8" s="58"/>
    </row>
    <row r="9" spans="1:3" ht="12.9" x14ac:dyDescent="0.35">
      <c r="A9" s="104" t="str">
        <f>Input!B13</f>
        <v>CASE NO. 2024-00092</v>
      </c>
      <c r="B9" s="104"/>
      <c r="C9" s="104"/>
    </row>
    <row r="10" spans="1:3" ht="12.9" x14ac:dyDescent="0.35">
      <c r="A10" s="58"/>
      <c r="B10" s="58"/>
      <c r="C10" s="58"/>
    </row>
    <row r="11" spans="1:3" ht="12.9" x14ac:dyDescent="0.35">
      <c r="A11" s="58"/>
      <c r="B11" s="58"/>
      <c r="C11" s="58"/>
    </row>
    <row r="12" spans="1:3" ht="12.9" x14ac:dyDescent="0.35">
      <c r="A12" s="58"/>
      <c r="B12" s="58"/>
      <c r="C12" s="58"/>
    </row>
    <row r="13" spans="1:3" ht="12.9" x14ac:dyDescent="0.35">
      <c r="A13" s="60" t="s">
        <v>140</v>
      </c>
      <c r="B13" s="58"/>
      <c r="C13" s="78" t="s">
        <v>155</v>
      </c>
    </row>
    <row r="14" spans="1:3" ht="12.9" x14ac:dyDescent="0.35">
      <c r="A14" s="58"/>
      <c r="B14" s="58"/>
      <c r="C14" s="58"/>
    </row>
    <row r="15" spans="1:3" ht="12.9" x14ac:dyDescent="0.35">
      <c r="A15" s="60" t="s">
        <v>141</v>
      </c>
      <c r="B15" s="58"/>
      <c r="C15" s="78" t="s">
        <v>156</v>
      </c>
    </row>
    <row r="16" spans="1:3" ht="12.9" x14ac:dyDescent="0.35">
      <c r="A16" s="58"/>
      <c r="B16" s="58"/>
      <c r="C16" s="58"/>
    </row>
    <row r="17" spans="1:3" ht="12.9" x14ac:dyDescent="0.35">
      <c r="A17" s="58"/>
      <c r="B17" s="58"/>
      <c r="C17" s="58"/>
    </row>
    <row r="18" spans="1:3" ht="12.9" x14ac:dyDescent="0.35">
      <c r="A18" s="61" t="s">
        <v>142</v>
      </c>
      <c r="B18" s="62"/>
      <c r="C18" s="63" t="s">
        <v>143</v>
      </c>
    </row>
    <row r="19" spans="1:3" ht="12.9" x14ac:dyDescent="0.35">
      <c r="A19" s="58"/>
      <c r="B19" s="58"/>
      <c r="C19" s="58"/>
    </row>
    <row r="20" spans="1:3" ht="12.9" x14ac:dyDescent="0.35">
      <c r="A20" s="58"/>
      <c r="B20" s="58"/>
      <c r="C20" s="58"/>
    </row>
    <row r="21" spans="1:3" ht="12.9" x14ac:dyDescent="0.35">
      <c r="A21" s="60" t="s">
        <v>146</v>
      </c>
      <c r="B21" s="58"/>
      <c r="C21" s="60" t="s">
        <v>145</v>
      </c>
    </row>
    <row r="22" spans="1:3" ht="12.9" x14ac:dyDescent="0.35">
      <c r="A22" s="60"/>
      <c r="B22" s="58"/>
      <c r="C22" s="60" t="s">
        <v>147</v>
      </c>
    </row>
    <row r="23" spans="1:3" ht="12.9" x14ac:dyDescent="0.35">
      <c r="A23" s="60"/>
      <c r="B23" s="58"/>
      <c r="C23" s="60"/>
    </row>
    <row r="24" spans="1:3" ht="12" customHeight="1" x14ac:dyDescent="0.35">
      <c r="A24" s="60"/>
      <c r="B24" s="58"/>
      <c r="C24" s="60"/>
    </row>
    <row r="25" spans="1:3" ht="12.9" x14ac:dyDescent="0.35">
      <c r="A25" s="60"/>
      <c r="B25" s="58"/>
      <c r="C25" s="60"/>
    </row>
    <row r="26" spans="1:3" ht="12.9" x14ac:dyDescent="0.35">
      <c r="A26" s="58"/>
      <c r="B26" s="58"/>
      <c r="C26" s="58"/>
    </row>
  </sheetData>
  <mergeCells count="4">
    <mergeCell ref="A3:C3"/>
    <mergeCell ref="A5:C5"/>
    <mergeCell ref="A7:C7"/>
    <mergeCell ref="A9:C9"/>
  </mergeCells>
  <printOptions horizontalCentered="1"/>
  <pageMargins left="1" right="0.5" top="1" bottom="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1"/>
  <sheetViews>
    <sheetView workbookViewId="0">
      <selection activeCell="E20" sqref="E20"/>
    </sheetView>
  </sheetViews>
  <sheetFormatPr defaultColWidth="9.140625" defaultRowHeight="12.9" x14ac:dyDescent="0.35"/>
  <cols>
    <col min="1" max="1" width="9.140625" style="1"/>
    <col min="2" max="2" width="10.28515625" style="1" customWidth="1"/>
    <col min="3" max="3" width="9.5703125" style="1" customWidth="1"/>
    <col min="4" max="5" width="9.140625" style="1"/>
    <col min="6" max="6" width="13.140625" style="1" customWidth="1"/>
    <col min="7" max="10" width="9.140625" style="1"/>
    <col min="11" max="11" width="12.5703125" style="1" customWidth="1"/>
    <col min="12" max="12" width="10.28515625" style="1" customWidth="1"/>
    <col min="13" max="16384" width="9.140625" style="1"/>
  </cols>
  <sheetData>
    <row r="1" spans="1:12" x14ac:dyDescent="0.3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x14ac:dyDescent="0.35">
      <c r="A2" s="105" t="str">
        <f>Input!$B$13</f>
        <v>CASE NO. 2024-00092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35">
      <c r="A3" s="105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35">
      <c r="A4" s="105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x14ac:dyDescent="0.35">
      <c r="A5" s="107" t="str">
        <f>Input!B17</f>
        <v>TWELVE MONTHS ENDING DECEMBER 31, 2025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3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5">
      <c r="A7" s="86"/>
      <c r="B7" s="87"/>
      <c r="C7" s="87"/>
      <c r="D7" s="87"/>
      <c r="E7" s="87"/>
      <c r="F7" s="87"/>
      <c r="G7" s="87"/>
      <c r="H7" s="87"/>
      <c r="I7" s="87"/>
      <c r="J7" s="87"/>
      <c r="K7" s="2"/>
      <c r="L7" s="87"/>
    </row>
    <row r="8" spans="1:12" x14ac:dyDescent="0.35">
      <c r="A8" s="1" t="s">
        <v>113</v>
      </c>
      <c r="L8" s="8" t="s">
        <v>3</v>
      </c>
    </row>
    <row r="9" spans="1:12" x14ac:dyDescent="0.35">
      <c r="A9" s="1" t="s">
        <v>115</v>
      </c>
      <c r="L9" s="13" t="s">
        <v>124</v>
      </c>
    </row>
    <row r="10" spans="1:12" x14ac:dyDescent="0.35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 t="str">
        <f>Input!B15</f>
        <v>Witness: R. J. Amen</v>
      </c>
    </row>
    <row r="13" spans="1:12" x14ac:dyDescent="0.35">
      <c r="D13" s="86"/>
      <c r="E13" s="86"/>
      <c r="F13" s="86"/>
      <c r="G13" s="86"/>
      <c r="H13" s="86"/>
      <c r="I13" s="86"/>
      <c r="J13" s="86" t="s">
        <v>29</v>
      </c>
      <c r="K13" s="86" t="s">
        <v>29</v>
      </c>
      <c r="L13" s="86"/>
    </row>
    <row r="14" spans="1:12" x14ac:dyDescent="0.35">
      <c r="A14" s="86" t="s">
        <v>4</v>
      </c>
      <c r="B14" s="86" t="s">
        <v>6</v>
      </c>
      <c r="C14" s="86" t="s">
        <v>8</v>
      </c>
      <c r="D14" s="86" t="s">
        <v>8</v>
      </c>
      <c r="E14" s="86" t="s">
        <v>14</v>
      </c>
      <c r="F14" s="86" t="s">
        <v>18</v>
      </c>
      <c r="G14" s="86" t="s">
        <v>20</v>
      </c>
      <c r="H14" s="86" t="s">
        <v>20</v>
      </c>
      <c r="I14" s="86" t="s">
        <v>26</v>
      </c>
      <c r="J14" s="86" t="s">
        <v>14</v>
      </c>
      <c r="K14" s="86" t="s">
        <v>18</v>
      </c>
      <c r="L14" s="86" t="s">
        <v>33</v>
      </c>
    </row>
    <row r="15" spans="1:12" x14ac:dyDescent="0.35">
      <c r="A15" s="70" t="s">
        <v>5</v>
      </c>
      <c r="B15" s="70" t="s">
        <v>7</v>
      </c>
      <c r="C15" s="70" t="s">
        <v>9</v>
      </c>
      <c r="D15" s="70" t="s">
        <v>10</v>
      </c>
      <c r="E15" s="70" t="s">
        <v>15</v>
      </c>
      <c r="F15" s="70" t="s">
        <v>15</v>
      </c>
      <c r="G15" s="71" t="s">
        <v>21</v>
      </c>
      <c r="H15" s="71" t="s">
        <v>23</v>
      </c>
      <c r="I15" s="70" t="s">
        <v>27</v>
      </c>
      <c r="J15" s="70" t="s">
        <v>15</v>
      </c>
      <c r="K15" s="70" t="s">
        <v>15</v>
      </c>
      <c r="L15" s="70" t="s">
        <v>20</v>
      </c>
    </row>
    <row r="16" spans="1:12" x14ac:dyDescent="0.35">
      <c r="D16" s="4" t="s">
        <v>12</v>
      </c>
      <c r="E16" s="4" t="s">
        <v>16</v>
      </c>
      <c r="F16" s="4" t="s">
        <v>16</v>
      </c>
      <c r="G16" s="4" t="s">
        <v>16</v>
      </c>
      <c r="H16" s="4" t="s">
        <v>24</v>
      </c>
      <c r="I16" s="4" t="s">
        <v>16</v>
      </c>
      <c r="J16" s="4" t="s">
        <v>16</v>
      </c>
      <c r="K16" s="4" t="s">
        <v>16</v>
      </c>
      <c r="L16" s="4" t="s">
        <v>24</v>
      </c>
    </row>
    <row r="17" spans="1:12" x14ac:dyDescent="0.35">
      <c r="C17" s="4" t="s">
        <v>11</v>
      </c>
      <c r="D17" s="4" t="s">
        <v>13</v>
      </c>
      <c r="E17" s="4" t="s">
        <v>17</v>
      </c>
      <c r="F17" s="4" t="s">
        <v>19</v>
      </c>
      <c r="G17" s="4" t="s">
        <v>22</v>
      </c>
      <c r="H17" s="4" t="s">
        <v>25</v>
      </c>
      <c r="I17" s="4" t="s">
        <v>28</v>
      </c>
      <c r="J17" s="4" t="s">
        <v>30</v>
      </c>
      <c r="K17" s="4" t="s">
        <v>31</v>
      </c>
      <c r="L17" s="4" t="s">
        <v>32</v>
      </c>
    </row>
    <row r="18" spans="1:12" x14ac:dyDescent="0.35">
      <c r="D18" s="86"/>
      <c r="E18" s="86"/>
      <c r="F18" s="86"/>
      <c r="G18" s="86"/>
      <c r="H18" s="86"/>
      <c r="I18" s="86"/>
      <c r="J18" s="4" t="s">
        <v>34</v>
      </c>
      <c r="K18" s="4" t="s">
        <v>35</v>
      </c>
      <c r="L18" s="4" t="s">
        <v>36</v>
      </c>
    </row>
    <row r="19" spans="1:12" x14ac:dyDescent="0.35">
      <c r="A19" s="86"/>
      <c r="D19" s="86"/>
      <c r="E19" s="5"/>
      <c r="F19" s="86"/>
      <c r="G19" s="86"/>
      <c r="H19" s="86"/>
      <c r="I19" s="86"/>
      <c r="J19" s="86"/>
      <c r="K19" s="86"/>
      <c r="L19" s="86"/>
    </row>
    <row r="20" spans="1:12" x14ac:dyDescent="0.35">
      <c r="A20" s="86">
        <v>1</v>
      </c>
      <c r="B20" s="86" t="s">
        <v>41</v>
      </c>
      <c r="C20" s="86" t="s">
        <v>38</v>
      </c>
      <c r="D20" s="77">
        <v>1</v>
      </c>
      <c r="E20" s="6">
        <f>Input!$H$22+Input!$L$22+Input!$M$22+ROUND((+Input!$N$22+Input!$J$22+Input!$K$22)*GSR!D20,2)+ROUND(Input!$C$22*GSR!D20,2)</f>
        <v>25.919999999999998</v>
      </c>
      <c r="F20" s="6">
        <f>Input!$Y$22+Input!$L$22+Input!$M$22+ROUND((+Input!$N$22+Input!$Z$22)*GSR!D20,2)+ROUND(Input!$T$22*GSR!D20,2)</f>
        <v>33.18</v>
      </c>
      <c r="G20" s="6">
        <f>F20-E20</f>
        <v>7.2600000000000016</v>
      </c>
      <c r="H20" s="7">
        <f>ROUND(G20/E20,3)</f>
        <v>0.28000000000000003</v>
      </c>
      <c r="I20" s="11">
        <f>ROUND(D20*SUM(Input!$O$36:$R$36),2)</f>
        <v>2.95</v>
      </c>
      <c r="J20" s="6">
        <f>E20+I20</f>
        <v>28.869999999999997</v>
      </c>
      <c r="K20" s="6">
        <f>F20+I20</f>
        <v>36.130000000000003</v>
      </c>
      <c r="L20" s="7">
        <f>ROUND((K20-J20)/J20,3)</f>
        <v>0.251</v>
      </c>
    </row>
    <row r="21" spans="1:12" x14ac:dyDescent="0.35">
      <c r="A21" s="86">
        <v>2</v>
      </c>
      <c r="B21" s="86" t="s">
        <v>42</v>
      </c>
      <c r="C21" s="86" t="s">
        <v>39</v>
      </c>
      <c r="D21" s="77">
        <v>2</v>
      </c>
      <c r="E21" s="6">
        <f>Input!$H$22+Input!$L$22+Input!$M$22+ROUND((+Input!$N$22+Input!$J$22+Input!$K$22)*GSR!D21,2)+ROUND(Input!$C$22*GSR!D21,2)</f>
        <v>31.729999999999997</v>
      </c>
      <c r="F21" s="6">
        <f>Input!$Y$22+Input!$L$22+Input!$M$22+ROUND((+Input!$N$22+Input!$Z$22)*GSR!D21,2)+ROUND(Input!$T$22*GSR!D21,2)</f>
        <v>38.97</v>
      </c>
      <c r="G21" s="6">
        <f t="shared" ref="G21:G31" si="0">F21-E21</f>
        <v>7.240000000000002</v>
      </c>
      <c r="H21" s="7">
        <f t="shared" ref="H21:H31" si="1">ROUND(G21/E21,3)</f>
        <v>0.22800000000000001</v>
      </c>
      <c r="I21" s="11">
        <f>ROUND(D21*SUM(Input!$O$36:$R$36),2)</f>
        <v>5.91</v>
      </c>
      <c r="J21" s="6">
        <f t="shared" ref="J21:J31" si="2">E21+I21</f>
        <v>37.64</v>
      </c>
      <c r="K21" s="6">
        <f t="shared" ref="K21:K31" si="3">F21+I21</f>
        <v>44.879999999999995</v>
      </c>
      <c r="L21" s="7">
        <f t="shared" ref="L21:L31" si="4">ROUND((K21-J21)/J21,3)</f>
        <v>0.192</v>
      </c>
    </row>
    <row r="22" spans="1:12" x14ac:dyDescent="0.35">
      <c r="A22" s="86">
        <v>3</v>
      </c>
      <c r="B22" s="86" t="s">
        <v>43</v>
      </c>
      <c r="D22" s="77">
        <v>4</v>
      </c>
      <c r="E22" s="6">
        <f>Input!$H$22+Input!$L$22+Input!$M$22+ROUND((+Input!$N$22+Input!$J$22+Input!$K$22)*GSR!D22,2)+ROUND(Input!$C$22*GSR!D22,2)</f>
        <v>43.31</v>
      </c>
      <c r="F22" s="6">
        <f>Input!$Y$22+Input!$L$22+Input!$M$22+ROUND((+Input!$N$22+Input!$Z$22)*GSR!D22,2)+ROUND(Input!$T$22*GSR!D22,2)</f>
        <v>50.58</v>
      </c>
      <c r="G22" s="6">
        <f t="shared" si="0"/>
        <v>7.269999999999996</v>
      </c>
      <c r="H22" s="7">
        <f t="shared" si="1"/>
        <v>0.16800000000000001</v>
      </c>
      <c r="I22" s="11">
        <f>ROUND(D22*SUM(Input!$O$36:$R$36),2)</f>
        <v>11.81</v>
      </c>
      <c r="J22" s="6">
        <f t="shared" si="2"/>
        <v>55.120000000000005</v>
      </c>
      <c r="K22" s="6">
        <f t="shared" si="3"/>
        <v>62.39</v>
      </c>
      <c r="L22" s="7">
        <f t="shared" si="4"/>
        <v>0.13200000000000001</v>
      </c>
    </row>
    <row r="23" spans="1:12" x14ac:dyDescent="0.35">
      <c r="A23" s="86">
        <v>4</v>
      </c>
      <c r="B23" s="86" t="s">
        <v>37</v>
      </c>
      <c r="D23" s="77">
        <f>Input!AF22</f>
        <v>5.5</v>
      </c>
      <c r="E23" s="6">
        <f>Input!$H$22+Input!$L$22+Input!$M$22+ROUND((+Input!$N$22+Input!$J$22+Input!$K$22)*GSR!D23,2)+ROUND(Input!$C$22*GSR!D23,2)</f>
        <v>52</v>
      </c>
      <c r="F23" s="6">
        <f>Input!$Y$22+Input!$L$22+Input!$M$22+ROUND((+Input!$N$22+Input!$Z$22)*GSR!D23,2)+ROUND(Input!$T$22*GSR!D23,2)</f>
        <v>59.28</v>
      </c>
      <c r="G23" s="6">
        <f t="shared" si="0"/>
        <v>7.2800000000000011</v>
      </c>
      <c r="H23" s="7">
        <f t="shared" si="1"/>
        <v>0.14000000000000001</v>
      </c>
      <c r="I23" s="11">
        <f>ROUND(D23*SUM(Input!$O$36:$R$36),2)</f>
        <v>16.239999999999998</v>
      </c>
      <c r="J23" s="6">
        <f t="shared" si="2"/>
        <v>68.239999999999995</v>
      </c>
      <c r="K23" s="6">
        <f t="shared" si="3"/>
        <v>75.52</v>
      </c>
      <c r="L23" s="7">
        <f t="shared" si="4"/>
        <v>0.107</v>
      </c>
    </row>
    <row r="24" spans="1:12" x14ac:dyDescent="0.35">
      <c r="A24" s="86">
        <v>5</v>
      </c>
      <c r="D24" s="77">
        <v>6</v>
      </c>
      <c r="E24" s="6">
        <f>Input!$H$22+Input!$L$22+Input!$M$22+ROUND((+Input!$N$22+Input!$J$22+Input!$K$22)*GSR!D24,2)+ROUND(Input!$C$22*GSR!D24,2)</f>
        <v>54.91</v>
      </c>
      <c r="F24" s="6">
        <f>Input!$Y$22+Input!$L$22+Input!$M$22+ROUND((+Input!$N$22+Input!$Z$22)*GSR!D24,2)+ROUND(Input!$T$22*GSR!D24,2)</f>
        <v>62.17</v>
      </c>
      <c r="G24" s="6">
        <f t="shared" si="0"/>
        <v>7.2600000000000051</v>
      </c>
      <c r="H24" s="7">
        <f t="shared" si="1"/>
        <v>0.13200000000000001</v>
      </c>
      <c r="I24" s="11">
        <f>ROUND(D24*SUM(Input!$O$36:$R$36),2)</f>
        <v>17.72</v>
      </c>
      <c r="J24" s="6">
        <f t="shared" si="2"/>
        <v>72.63</v>
      </c>
      <c r="K24" s="6">
        <f t="shared" si="3"/>
        <v>79.89</v>
      </c>
      <c r="L24" s="7">
        <f t="shared" si="4"/>
        <v>0.1</v>
      </c>
    </row>
    <row r="25" spans="1:12" x14ac:dyDescent="0.35">
      <c r="A25" s="86">
        <v>6</v>
      </c>
      <c r="B25" s="86"/>
      <c r="D25" s="77">
        <v>8</v>
      </c>
      <c r="E25" s="6">
        <f>Input!$H$22+Input!$L$22+Input!$M$22+ROUND((+Input!$N$22+Input!$J$22+Input!$K$22)*GSR!D25,2)+ROUND(Input!$C$22*GSR!D25,2)</f>
        <v>66.490000000000009</v>
      </c>
      <c r="F25" s="6">
        <f>Input!$Y$22+Input!$L$22+Input!$M$22+ROUND((+Input!$N$22+Input!$Z$22)*GSR!D25,2)+ROUND(Input!$T$22*GSR!D25,2)</f>
        <v>73.78</v>
      </c>
      <c r="G25" s="6">
        <f t="shared" si="0"/>
        <v>7.289999999999992</v>
      </c>
      <c r="H25" s="7">
        <f t="shared" si="1"/>
        <v>0.11</v>
      </c>
      <c r="I25" s="11">
        <f>ROUND(D25*SUM(Input!$O$36:$R$36),2)</f>
        <v>23.63</v>
      </c>
      <c r="J25" s="6">
        <f t="shared" si="2"/>
        <v>90.12</v>
      </c>
      <c r="K25" s="6">
        <f t="shared" si="3"/>
        <v>97.41</v>
      </c>
      <c r="L25" s="7">
        <f t="shared" si="4"/>
        <v>8.1000000000000003E-2</v>
      </c>
    </row>
    <row r="26" spans="1:12" x14ac:dyDescent="0.35">
      <c r="A26" s="86">
        <v>7</v>
      </c>
      <c r="B26" s="87"/>
      <c r="D26" s="77">
        <v>10</v>
      </c>
      <c r="E26" s="6">
        <f>Input!$H$22+Input!$L$22+Input!$M$22+ROUND((+Input!$N$22+Input!$J$22+Input!$K$22)*GSR!D26,2)+ROUND(Input!$C$22*GSR!D26,2)</f>
        <v>78.09</v>
      </c>
      <c r="F26" s="6">
        <f>Input!$Y$22+Input!$L$22+Input!$M$22+ROUND((+Input!$N$22+Input!$Z$22)*GSR!D26,2)+ROUND(Input!$T$22*GSR!D26,2)</f>
        <v>85.37</v>
      </c>
      <c r="G26" s="6">
        <f t="shared" si="0"/>
        <v>7.2800000000000011</v>
      </c>
      <c r="H26" s="7">
        <f t="shared" si="1"/>
        <v>9.2999999999999999E-2</v>
      </c>
      <c r="I26" s="11">
        <f>ROUND(D26*SUM(Input!$O$36:$R$36),2)</f>
        <v>29.54</v>
      </c>
      <c r="J26" s="6">
        <f t="shared" si="2"/>
        <v>107.63</v>
      </c>
      <c r="K26" s="6">
        <f t="shared" si="3"/>
        <v>114.91</v>
      </c>
      <c r="L26" s="7">
        <f t="shared" si="4"/>
        <v>6.8000000000000005E-2</v>
      </c>
    </row>
    <row r="27" spans="1:12" x14ac:dyDescent="0.35">
      <c r="A27" s="86">
        <v>8</v>
      </c>
      <c r="D27" s="77">
        <v>12</v>
      </c>
      <c r="E27" s="6">
        <f>Input!$H$22+Input!$L$22+Input!$M$22+ROUND((+Input!$N$22+Input!$J$22+Input!$K$22)*GSR!D27,2)+ROUND(Input!$C$22*GSR!D27,2)</f>
        <v>89.67</v>
      </c>
      <c r="F27" s="6">
        <f>Input!$Y$22+Input!$L$22+Input!$M$22+ROUND((+Input!$N$22+Input!$Z$22)*GSR!D27,2)+ROUND(Input!$T$22*GSR!D27,2)</f>
        <v>96.98</v>
      </c>
      <c r="G27" s="6">
        <f t="shared" si="0"/>
        <v>7.3100000000000023</v>
      </c>
      <c r="H27" s="7">
        <f t="shared" si="1"/>
        <v>8.2000000000000003E-2</v>
      </c>
      <c r="I27" s="11">
        <f>ROUND(D27*SUM(Input!$O$36:$R$36),2)</f>
        <v>35.44</v>
      </c>
      <c r="J27" s="6">
        <f t="shared" si="2"/>
        <v>125.11</v>
      </c>
      <c r="K27" s="6">
        <f t="shared" si="3"/>
        <v>132.42000000000002</v>
      </c>
      <c r="L27" s="7">
        <f t="shared" si="4"/>
        <v>5.8000000000000003E-2</v>
      </c>
    </row>
    <row r="28" spans="1:12" x14ac:dyDescent="0.35">
      <c r="A28" s="86">
        <v>9</v>
      </c>
      <c r="D28" s="77">
        <v>16</v>
      </c>
      <c r="E28" s="6">
        <f>Input!$H$22+Input!$L$22+Input!$M$22+ROUND((+Input!$N$22+Input!$J$22+Input!$K$22)*GSR!D28,2)+ROUND(Input!$C$22*GSR!D28,2)</f>
        <v>112.85000000000001</v>
      </c>
      <c r="F28" s="6">
        <f>Input!$Y$22+Input!$L$22+Input!$M$22+ROUND((+Input!$N$22+Input!$Z$22)*GSR!D28,2)+ROUND(Input!$T$22*GSR!D28,2)</f>
        <v>120.17999999999999</v>
      </c>
      <c r="G28" s="6">
        <f t="shared" si="0"/>
        <v>7.3299999999999841</v>
      </c>
      <c r="H28" s="7">
        <f t="shared" si="1"/>
        <v>6.5000000000000002E-2</v>
      </c>
      <c r="I28" s="11">
        <f>ROUND(D28*SUM(Input!$O$36:$R$36),2)</f>
        <v>47.26</v>
      </c>
      <c r="J28" s="6">
        <f t="shared" si="2"/>
        <v>160.11000000000001</v>
      </c>
      <c r="K28" s="6">
        <f t="shared" si="3"/>
        <v>167.44</v>
      </c>
      <c r="L28" s="7">
        <f t="shared" si="4"/>
        <v>4.5999999999999999E-2</v>
      </c>
    </row>
    <row r="29" spans="1:12" x14ac:dyDescent="0.35">
      <c r="A29" s="86">
        <v>10</v>
      </c>
      <c r="D29" s="77">
        <v>18</v>
      </c>
      <c r="E29" s="6">
        <f>Input!$H$22+Input!$L$22+Input!$M$22+ROUND((+Input!$N$22+Input!$J$22+Input!$K$22)*GSR!D29,2)+ROUND(Input!$C$22*GSR!D29,2)</f>
        <v>124.44999999999999</v>
      </c>
      <c r="F29" s="6">
        <f>Input!$Y$22+Input!$L$22+Input!$M$22+ROUND((+Input!$N$22+Input!$Z$22)*GSR!D29,2)+ROUND(Input!$T$22*GSR!D29,2)</f>
        <v>131.77000000000001</v>
      </c>
      <c r="G29" s="6">
        <f t="shared" si="0"/>
        <v>7.3200000000000216</v>
      </c>
      <c r="H29" s="7">
        <f t="shared" si="1"/>
        <v>5.8999999999999997E-2</v>
      </c>
      <c r="I29" s="11">
        <f>ROUND(D29*SUM(Input!$O$36:$R$36),2)</f>
        <v>53.16</v>
      </c>
      <c r="J29" s="6">
        <f t="shared" si="2"/>
        <v>177.60999999999999</v>
      </c>
      <c r="K29" s="6">
        <f t="shared" si="3"/>
        <v>184.93</v>
      </c>
      <c r="L29" s="7">
        <f t="shared" si="4"/>
        <v>4.1000000000000002E-2</v>
      </c>
    </row>
    <row r="30" spans="1:12" x14ac:dyDescent="0.35">
      <c r="A30" s="86">
        <v>11</v>
      </c>
      <c r="D30" s="77">
        <v>22</v>
      </c>
      <c r="E30" s="6">
        <f>Input!$H$22+Input!$L$22+Input!$M$22+ROUND((+Input!$N$22+Input!$J$22+Input!$K$22)*GSR!D30,2)+ROUND(Input!$C$22*GSR!D30,2)</f>
        <v>147.63</v>
      </c>
      <c r="F30" s="6">
        <f>Input!$Y$22+Input!$L$22+Input!$M$22+ROUND((+Input!$N$22+Input!$Z$22)*GSR!D30,2)+ROUND(Input!$T$22*GSR!D30,2)</f>
        <v>154.97</v>
      </c>
      <c r="G30" s="6">
        <f t="shared" si="0"/>
        <v>7.3400000000000034</v>
      </c>
      <c r="H30" s="7">
        <f t="shared" si="1"/>
        <v>0.05</v>
      </c>
      <c r="I30" s="11">
        <f>ROUND(D30*SUM(Input!$O$36:$R$36),2)</f>
        <v>64.98</v>
      </c>
      <c r="J30" s="6">
        <f t="shared" si="2"/>
        <v>212.61</v>
      </c>
      <c r="K30" s="6">
        <f t="shared" si="3"/>
        <v>219.95</v>
      </c>
      <c r="L30" s="7">
        <f t="shared" si="4"/>
        <v>3.5000000000000003E-2</v>
      </c>
    </row>
    <row r="31" spans="1:12" x14ac:dyDescent="0.35">
      <c r="A31" s="86">
        <v>12</v>
      </c>
      <c r="D31" s="77">
        <v>25</v>
      </c>
      <c r="E31" s="6">
        <f>Input!$H$22+Input!$L$22+Input!$M$22+ROUND((+Input!$N$22+Input!$J$22+Input!$K$22)*GSR!D31,2)+ROUND(Input!$C$22*GSR!D31,2)</f>
        <v>165.01</v>
      </c>
      <c r="F31" s="6">
        <f>Input!$Y$22+Input!$L$22+Input!$M$22+ROUND((+Input!$N$22+Input!$Z$22)*GSR!D31,2)+ROUND(Input!$T$22*GSR!D31,2)</f>
        <v>172.38</v>
      </c>
      <c r="G31" s="6">
        <f t="shared" si="0"/>
        <v>7.3700000000000045</v>
      </c>
      <c r="H31" s="7">
        <f t="shared" si="1"/>
        <v>4.4999999999999998E-2</v>
      </c>
      <c r="I31" s="11">
        <f>ROUND(D31*SUM(Input!$O$36:$R$36),2)</f>
        <v>73.84</v>
      </c>
      <c r="J31" s="6">
        <f t="shared" si="2"/>
        <v>238.85</v>
      </c>
      <c r="K31" s="6">
        <f t="shared" si="3"/>
        <v>246.22</v>
      </c>
      <c r="L31" s="7">
        <f t="shared" si="4"/>
        <v>3.1E-2</v>
      </c>
    </row>
    <row r="32" spans="1:12" x14ac:dyDescent="0.35">
      <c r="A32" s="86"/>
      <c r="D32" s="8"/>
      <c r="E32" s="8"/>
      <c r="F32" s="8"/>
      <c r="G32" s="8"/>
      <c r="H32" s="8"/>
      <c r="I32" s="8"/>
      <c r="J32" s="8"/>
      <c r="K32" s="8"/>
      <c r="L32" s="8"/>
    </row>
    <row r="33" spans="1:5" x14ac:dyDescent="0.35">
      <c r="A33" s="9"/>
      <c r="C33" s="1" t="s">
        <v>102</v>
      </c>
      <c r="E33" s="74">
        <f>Input!AF22</f>
        <v>5.5</v>
      </c>
    </row>
    <row r="35" spans="1:5" x14ac:dyDescent="0.35">
      <c r="E35" s="22"/>
    </row>
    <row r="36" spans="1:5" x14ac:dyDescent="0.35">
      <c r="D36" s="75"/>
      <c r="E36" s="22"/>
    </row>
    <row r="37" spans="1:5" x14ac:dyDescent="0.35">
      <c r="E37" s="22"/>
    </row>
    <row r="38" spans="1:5" x14ac:dyDescent="0.35">
      <c r="E38" s="22"/>
    </row>
    <row r="39" spans="1:5" x14ac:dyDescent="0.35">
      <c r="E39" s="22"/>
    </row>
    <row r="40" spans="1:5" x14ac:dyDescent="0.35">
      <c r="E40" s="22"/>
    </row>
    <row r="41" spans="1:5" x14ac:dyDescent="0.35">
      <c r="E41" s="22"/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9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L36"/>
  <sheetViews>
    <sheetView workbookViewId="0">
      <selection sqref="A1:L1"/>
    </sheetView>
  </sheetViews>
  <sheetFormatPr defaultColWidth="9.140625" defaultRowHeight="12.9" x14ac:dyDescent="0.35"/>
  <cols>
    <col min="1" max="1" width="9.140625" style="3"/>
    <col min="2" max="2" width="10.85546875" style="3" customWidth="1"/>
    <col min="3" max="3" width="9.5703125" style="3" customWidth="1"/>
    <col min="4" max="10" width="9.140625" style="3"/>
    <col min="11" max="12" width="10.28515625" style="3" customWidth="1"/>
    <col min="13" max="16384" width="9.140625" style="3"/>
  </cols>
  <sheetData>
    <row r="1" spans="1:12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x14ac:dyDescent="0.35">
      <c r="A2" s="108" t="str">
        <f>Input!$B$13</f>
        <v>CASE NO. 2024-00092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35">
      <c r="A3" s="108" t="s">
        <v>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35">
      <c r="A5" s="108" t="str">
        <f>Input!B17</f>
        <v>TWELVE MONTHS ENDING DECEMBER 31, 2025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3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3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35">
      <c r="A8" s="3" t="s">
        <v>113</v>
      </c>
      <c r="L8" s="13" t="s">
        <v>3</v>
      </c>
    </row>
    <row r="9" spans="1:12" x14ac:dyDescent="0.35">
      <c r="A9" s="3" t="s">
        <v>115</v>
      </c>
      <c r="L9" s="13" t="s">
        <v>125</v>
      </c>
    </row>
    <row r="10" spans="1:12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R. J. Amen</v>
      </c>
    </row>
    <row r="13" spans="1:12" x14ac:dyDescent="0.35">
      <c r="D13" s="88"/>
      <c r="E13" s="88"/>
      <c r="F13" s="88"/>
      <c r="G13" s="88"/>
      <c r="H13" s="88"/>
      <c r="I13" s="88"/>
      <c r="J13" s="88" t="s">
        <v>29</v>
      </c>
      <c r="K13" s="88" t="s">
        <v>29</v>
      </c>
      <c r="L13" s="88"/>
    </row>
    <row r="14" spans="1:12" x14ac:dyDescent="0.35">
      <c r="A14" s="88" t="s">
        <v>4</v>
      </c>
      <c r="B14" s="88" t="s">
        <v>6</v>
      </c>
      <c r="C14" s="88" t="s">
        <v>8</v>
      </c>
      <c r="D14" s="88" t="s">
        <v>8</v>
      </c>
      <c r="E14" s="88" t="s">
        <v>14</v>
      </c>
      <c r="F14" s="88" t="s">
        <v>18</v>
      </c>
      <c r="G14" s="88" t="s">
        <v>20</v>
      </c>
      <c r="H14" s="88" t="s">
        <v>20</v>
      </c>
      <c r="I14" s="88" t="s">
        <v>26</v>
      </c>
      <c r="J14" s="88" t="s">
        <v>14</v>
      </c>
      <c r="K14" s="88" t="s">
        <v>18</v>
      </c>
      <c r="L14" s="88" t="s">
        <v>33</v>
      </c>
    </row>
    <row r="15" spans="1:12" x14ac:dyDescent="0.35">
      <c r="A15" s="68" t="s">
        <v>5</v>
      </c>
      <c r="B15" s="68" t="s">
        <v>7</v>
      </c>
      <c r="C15" s="68" t="s">
        <v>9</v>
      </c>
      <c r="D15" s="68" t="s">
        <v>10</v>
      </c>
      <c r="E15" s="68" t="s">
        <v>15</v>
      </c>
      <c r="F15" s="68" t="s">
        <v>15</v>
      </c>
      <c r="G15" s="69" t="s">
        <v>21</v>
      </c>
      <c r="H15" s="69" t="s">
        <v>23</v>
      </c>
      <c r="I15" s="68" t="s">
        <v>27</v>
      </c>
      <c r="J15" s="68" t="s">
        <v>15</v>
      </c>
      <c r="K15" s="68" t="s">
        <v>15</v>
      </c>
      <c r="L15" s="68" t="s">
        <v>20</v>
      </c>
    </row>
    <row r="16" spans="1:12" x14ac:dyDescent="0.35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5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5">
      <c r="D18" s="88"/>
      <c r="E18" s="88"/>
      <c r="F18" s="88"/>
      <c r="G18" s="88"/>
      <c r="H18" s="88"/>
      <c r="I18" s="88"/>
      <c r="J18" s="10" t="s">
        <v>34</v>
      </c>
      <c r="K18" s="10" t="s">
        <v>35</v>
      </c>
      <c r="L18" s="10" t="s">
        <v>36</v>
      </c>
    </row>
    <row r="19" spans="1:12" x14ac:dyDescent="0.35">
      <c r="A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35">
      <c r="A20" s="88">
        <v>1</v>
      </c>
      <c r="B20" s="88" t="s">
        <v>44</v>
      </c>
      <c r="C20" s="88" t="s">
        <v>38</v>
      </c>
      <c r="D20" s="73">
        <f>+E33</f>
        <v>0</v>
      </c>
      <c r="E20" s="11">
        <f>Input!$H$23+ROUND((Input!$C$23*G1C!D20),2)</f>
        <v>79.09</v>
      </c>
      <c r="F20" s="11">
        <f>Input!$Y$23+ROUND((Input!$T$23*G1C!D20),2)</f>
        <v>79.09</v>
      </c>
      <c r="G20" s="11">
        <f>F20-E20</f>
        <v>0</v>
      </c>
      <c r="H20" s="12">
        <f>ROUND(G20/E20,3)</f>
        <v>0</v>
      </c>
      <c r="I20" s="11">
        <f>ROUND(D20*SUM(Input!$O$23:$R$23),2)</f>
        <v>0</v>
      </c>
      <c r="J20" s="11">
        <f>E20+I20</f>
        <v>79.09</v>
      </c>
      <c r="K20" s="11">
        <f>F20+I20</f>
        <v>79.09</v>
      </c>
      <c r="L20" s="12">
        <f>ROUND((K20-J20)/J20,3)</f>
        <v>0</v>
      </c>
    </row>
    <row r="21" spans="1:12" x14ac:dyDescent="0.35">
      <c r="A21" s="88">
        <v>2</v>
      </c>
      <c r="B21" s="88" t="s">
        <v>54</v>
      </c>
      <c r="C21" s="88" t="s">
        <v>39</v>
      </c>
      <c r="D21" s="73">
        <v>11</v>
      </c>
      <c r="E21" s="11">
        <f>Input!$H$23+ROUND((Input!$C$23*G1C!D21),2)</f>
        <v>121.05000000000001</v>
      </c>
      <c r="F21" s="11">
        <f>Input!$Y$23+ROUND((Input!$T$23*G1C!D21),2)</f>
        <v>121.05000000000001</v>
      </c>
      <c r="G21" s="11">
        <f t="shared" ref="G21:G31" si="0">F21-E21</f>
        <v>0</v>
      </c>
      <c r="H21" s="12">
        <f t="shared" ref="H21:H31" si="1">ROUND(G21/E21,3)</f>
        <v>0</v>
      </c>
      <c r="I21" s="11">
        <f>ROUND(D21*SUM(Input!$O$23:$R$23),2)</f>
        <v>46.58</v>
      </c>
      <c r="J21" s="11">
        <f t="shared" ref="J21:J31" si="2">E21+I21</f>
        <v>167.63</v>
      </c>
      <c r="K21" s="11">
        <f t="shared" ref="K21:K31" si="3">F21+I21</f>
        <v>167.63</v>
      </c>
      <c r="L21" s="12">
        <f t="shared" ref="L21:L31" si="4">ROUND((K21-J21)/J21,3)</f>
        <v>0</v>
      </c>
    </row>
    <row r="22" spans="1:12" x14ac:dyDescent="0.35">
      <c r="A22" s="88">
        <v>3</v>
      </c>
      <c r="B22" s="88" t="s">
        <v>55</v>
      </c>
      <c r="D22" s="73">
        <v>30</v>
      </c>
      <c r="E22" s="11">
        <f>Input!$H$23+ROUND((Input!$C$23*G1C!D22),2)</f>
        <v>193.53</v>
      </c>
      <c r="F22" s="11">
        <f>Input!$Y$23+ROUND((Input!$T$23*G1C!D22),2)</f>
        <v>193.53</v>
      </c>
      <c r="G22" s="11">
        <f t="shared" si="0"/>
        <v>0</v>
      </c>
      <c r="H22" s="12">
        <f t="shared" si="1"/>
        <v>0</v>
      </c>
      <c r="I22" s="11">
        <f>ROUND(D22*SUM(Input!$O$23:$R$23),2)</f>
        <v>127.03</v>
      </c>
      <c r="J22" s="11">
        <f t="shared" si="2"/>
        <v>320.56</v>
      </c>
      <c r="K22" s="11">
        <f t="shared" si="3"/>
        <v>320.56</v>
      </c>
      <c r="L22" s="12">
        <f t="shared" si="4"/>
        <v>0</v>
      </c>
    </row>
    <row r="23" spans="1:12" x14ac:dyDescent="0.35">
      <c r="A23" s="88">
        <v>4</v>
      </c>
      <c r="B23" s="88"/>
      <c r="D23" s="73">
        <v>50</v>
      </c>
      <c r="E23" s="11">
        <f>Input!$H$23+ROUND((Input!$C$23*G1C!D23),2)</f>
        <v>269.83000000000004</v>
      </c>
      <c r="F23" s="11">
        <f>Input!$Y$23+ROUND((Input!$T$23*G1C!D23),2)</f>
        <v>269.83000000000004</v>
      </c>
      <c r="G23" s="11">
        <f t="shared" si="0"/>
        <v>0</v>
      </c>
      <c r="H23" s="12">
        <f t="shared" si="1"/>
        <v>0</v>
      </c>
      <c r="I23" s="11">
        <f>ROUND(D23*SUM(Input!$O$23:$R$23),2)</f>
        <v>211.72</v>
      </c>
      <c r="J23" s="11">
        <f t="shared" si="2"/>
        <v>481.55000000000007</v>
      </c>
      <c r="K23" s="11">
        <f t="shared" si="3"/>
        <v>481.55000000000007</v>
      </c>
      <c r="L23" s="12">
        <f t="shared" si="4"/>
        <v>0</v>
      </c>
    </row>
    <row r="24" spans="1:12" x14ac:dyDescent="0.35">
      <c r="A24" s="88">
        <v>5</v>
      </c>
      <c r="B24" s="88"/>
      <c r="D24" s="73">
        <v>60</v>
      </c>
      <c r="E24" s="11">
        <f>Input!$H$23+ROUND((Input!$C$23*G1C!D24),2)</f>
        <v>307.98</v>
      </c>
      <c r="F24" s="11">
        <f>Input!$Y$23+ROUND((Input!$T$23*G1C!D24),2)</f>
        <v>307.98</v>
      </c>
      <c r="G24" s="11">
        <f t="shared" si="0"/>
        <v>0</v>
      </c>
      <c r="H24" s="12">
        <f>ROUND(G24/E24,3)</f>
        <v>0</v>
      </c>
      <c r="I24" s="11">
        <f>ROUND(D24*SUM(Input!$O$23:$R$23),2)</f>
        <v>254.06</v>
      </c>
      <c r="J24" s="11">
        <f t="shared" si="2"/>
        <v>562.04</v>
      </c>
      <c r="K24" s="11">
        <f t="shared" si="3"/>
        <v>562.04</v>
      </c>
      <c r="L24" s="12">
        <f t="shared" si="4"/>
        <v>0</v>
      </c>
    </row>
    <row r="25" spans="1:12" x14ac:dyDescent="0.35">
      <c r="A25" s="88">
        <v>6</v>
      </c>
      <c r="B25" s="89"/>
      <c r="D25" s="73">
        <v>80</v>
      </c>
      <c r="E25" s="11">
        <f>Input!$H$23+ROUND((Input!$C$23*G1C!D25),2)</f>
        <v>384.27</v>
      </c>
      <c r="F25" s="11">
        <f>Input!$Y$23+ROUND((Input!$T$23*G1C!D25),2)</f>
        <v>384.27</v>
      </c>
      <c r="G25" s="11">
        <f t="shared" si="0"/>
        <v>0</v>
      </c>
      <c r="H25" s="12">
        <f t="shared" si="1"/>
        <v>0</v>
      </c>
      <c r="I25" s="11">
        <f>ROUND(D25*SUM(Input!$O$23:$R$23),2)</f>
        <v>338.74</v>
      </c>
      <c r="J25" s="11">
        <f t="shared" si="2"/>
        <v>723.01</v>
      </c>
      <c r="K25" s="11">
        <f t="shared" si="3"/>
        <v>723.01</v>
      </c>
      <c r="L25" s="12">
        <f t="shared" si="4"/>
        <v>0</v>
      </c>
    </row>
    <row r="26" spans="1:12" x14ac:dyDescent="0.35">
      <c r="A26" s="88">
        <v>7</v>
      </c>
      <c r="D26" s="73">
        <v>90</v>
      </c>
      <c r="E26" s="11">
        <f>Input!$H$23+ROUND((Input!$C$23*G1C!D26),2)</f>
        <v>422.41999999999996</v>
      </c>
      <c r="F26" s="11">
        <f>Input!$Y$23+ROUND((Input!$T$23*G1C!D26),2)</f>
        <v>422.41999999999996</v>
      </c>
      <c r="G26" s="11">
        <f t="shared" si="0"/>
        <v>0</v>
      </c>
      <c r="H26" s="12">
        <f t="shared" si="1"/>
        <v>0</v>
      </c>
      <c r="I26" s="11">
        <f>ROUND(D26*SUM(Input!$O$23:$R$23),2)</f>
        <v>381.09</v>
      </c>
      <c r="J26" s="11">
        <f t="shared" si="2"/>
        <v>803.51</v>
      </c>
      <c r="K26" s="11">
        <f t="shared" si="3"/>
        <v>803.51</v>
      </c>
      <c r="L26" s="12">
        <f t="shared" si="4"/>
        <v>0</v>
      </c>
    </row>
    <row r="27" spans="1:12" x14ac:dyDescent="0.35">
      <c r="A27" s="88">
        <v>8</v>
      </c>
      <c r="D27" s="73">
        <v>100</v>
      </c>
      <c r="E27" s="11">
        <f>Input!$H$23+ROUND((Input!$C$23*G1C!D27),2)</f>
        <v>460.57000000000005</v>
      </c>
      <c r="F27" s="11">
        <f>Input!$Y$23+ROUND((Input!$T$23*G1C!D27),2)</f>
        <v>460.57000000000005</v>
      </c>
      <c r="G27" s="11">
        <f>F27-E27</f>
        <v>0</v>
      </c>
      <c r="H27" s="12">
        <f t="shared" si="1"/>
        <v>0</v>
      </c>
      <c r="I27" s="11">
        <f>ROUND(D27*SUM(Input!$O$23:$R$23),2)</f>
        <v>423.43</v>
      </c>
      <c r="J27" s="11">
        <f>E27+I27</f>
        <v>884</v>
      </c>
      <c r="K27" s="11">
        <f>F27+I27</f>
        <v>884</v>
      </c>
      <c r="L27" s="12">
        <f t="shared" si="4"/>
        <v>0</v>
      </c>
    </row>
    <row r="28" spans="1:12" x14ac:dyDescent="0.35">
      <c r="A28" s="88">
        <v>9</v>
      </c>
      <c r="D28" s="73">
        <v>120</v>
      </c>
      <c r="E28" s="11">
        <f>Input!$H$23+ROUND((Input!$C$23*G1C!D28),2)</f>
        <v>536.87</v>
      </c>
      <c r="F28" s="11">
        <f>Input!$Y$23+ROUND((Input!$T$23*G1C!D28),2)</f>
        <v>536.87</v>
      </c>
      <c r="G28" s="11">
        <f t="shared" si="0"/>
        <v>0</v>
      </c>
      <c r="H28" s="12">
        <f t="shared" si="1"/>
        <v>0</v>
      </c>
      <c r="I28" s="11">
        <f>ROUND(D28*SUM(Input!$O$23:$R$23),2)</f>
        <v>508.12</v>
      </c>
      <c r="J28" s="11">
        <f t="shared" si="2"/>
        <v>1044.99</v>
      </c>
      <c r="K28" s="11">
        <f t="shared" si="3"/>
        <v>1044.99</v>
      </c>
      <c r="L28" s="12">
        <f t="shared" si="4"/>
        <v>0</v>
      </c>
    </row>
    <row r="29" spans="1:12" x14ac:dyDescent="0.35">
      <c r="A29" s="88">
        <v>10</v>
      </c>
      <c r="D29" s="73">
        <v>140</v>
      </c>
      <c r="E29" s="11">
        <f>Input!$H$23+ROUND((Input!$C$23*G1C!D29),2)</f>
        <v>613.16000000000008</v>
      </c>
      <c r="F29" s="11">
        <f>Input!$Y$23+ROUND((Input!$T$23*G1C!D29),2)</f>
        <v>613.16000000000008</v>
      </c>
      <c r="G29" s="11">
        <f t="shared" si="0"/>
        <v>0</v>
      </c>
      <c r="H29" s="12">
        <f t="shared" si="1"/>
        <v>0</v>
      </c>
      <c r="I29" s="11">
        <f>ROUND(D29*SUM(Input!$O$23:$R$23),2)</f>
        <v>592.79999999999995</v>
      </c>
      <c r="J29" s="11">
        <f t="shared" si="2"/>
        <v>1205.96</v>
      </c>
      <c r="K29" s="11">
        <f t="shared" si="3"/>
        <v>1205.96</v>
      </c>
      <c r="L29" s="12">
        <f t="shared" si="4"/>
        <v>0</v>
      </c>
    </row>
    <row r="30" spans="1:12" x14ac:dyDescent="0.35">
      <c r="A30" s="88">
        <v>11</v>
      </c>
      <c r="D30" s="73">
        <v>160</v>
      </c>
      <c r="E30" s="11">
        <f>Input!$H$23+ROUND((Input!$C$23*G1C!D30),2)</f>
        <v>689.46</v>
      </c>
      <c r="F30" s="11">
        <f>Input!$Y$23+ROUND((Input!$T$23*G1C!D30),2)</f>
        <v>689.46</v>
      </c>
      <c r="G30" s="11">
        <f t="shared" si="0"/>
        <v>0</v>
      </c>
      <c r="H30" s="12">
        <f t="shared" si="1"/>
        <v>0</v>
      </c>
      <c r="I30" s="11">
        <f>ROUND(D30*SUM(Input!$O$23:$R$23),2)</f>
        <v>677.49</v>
      </c>
      <c r="J30" s="11">
        <f t="shared" si="2"/>
        <v>1366.95</v>
      </c>
      <c r="K30" s="11">
        <f t="shared" si="3"/>
        <v>1366.95</v>
      </c>
      <c r="L30" s="12">
        <f t="shared" si="4"/>
        <v>0</v>
      </c>
    </row>
    <row r="31" spans="1:12" x14ac:dyDescent="0.35">
      <c r="A31" s="88">
        <v>12</v>
      </c>
      <c r="D31" s="73">
        <v>180</v>
      </c>
      <c r="E31" s="11">
        <f>Input!$H$23+ROUND((Input!$C$23*G1C!D31),2)</f>
        <v>765.75</v>
      </c>
      <c r="F31" s="11">
        <f>Input!$Y$23+ROUND((Input!$T$23*G1C!D31),2)</f>
        <v>765.75</v>
      </c>
      <c r="G31" s="11">
        <f t="shared" si="0"/>
        <v>0</v>
      </c>
      <c r="H31" s="12">
        <f t="shared" si="1"/>
        <v>0</v>
      </c>
      <c r="I31" s="11">
        <f>ROUND(D31*SUM(Input!$O$23:$R$23),2)</f>
        <v>762.17</v>
      </c>
      <c r="J31" s="11">
        <f t="shared" si="2"/>
        <v>1527.92</v>
      </c>
      <c r="K31" s="11">
        <f t="shared" si="3"/>
        <v>1527.92</v>
      </c>
      <c r="L31" s="12">
        <f t="shared" si="4"/>
        <v>0</v>
      </c>
    </row>
    <row r="32" spans="1:12" x14ac:dyDescent="0.35">
      <c r="A32" s="88"/>
      <c r="D32" s="13"/>
      <c r="E32" s="13"/>
      <c r="F32" s="13"/>
      <c r="G32" s="13"/>
      <c r="H32" s="13"/>
      <c r="I32" s="13"/>
      <c r="J32" s="13"/>
      <c r="K32" s="13"/>
      <c r="L32" s="13"/>
    </row>
    <row r="33" spans="1:5" x14ac:dyDescent="0.35">
      <c r="A33" s="14"/>
      <c r="C33" s="3" t="s">
        <v>102</v>
      </c>
      <c r="E33" s="66">
        <f>Input!AF23</f>
        <v>0</v>
      </c>
    </row>
    <row r="34" spans="1:5" x14ac:dyDescent="0.35">
      <c r="C34" s="3" t="s">
        <v>151</v>
      </c>
    </row>
    <row r="36" spans="1:5" x14ac:dyDescent="0.35">
      <c r="D36" s="76"/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97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L36"/>
  <sheetViews>
    <sheetView workbookViewId="0">
      <selection sqref="A1:L1"/>
    </sheetView>
  </sheetViews>
  <sheetFormatPr defaultColWidth="9.140625" defaultRowHeight="12.9" x14ac:dyDescent="0.35"/>
  <cols>
    <col min="1" max="1" width="9.140625" style="3"/>
    <col min="2" max="2" width="10.28515625" style="3" customWidth="1"/>
    <col min="3" max="3" width="9.5703125" style="3" customWidth="1"/>
    <col min="4" max="10" width="9.140625" style="3"/>
    <col min="11" max="12" width="10.28515625" style="3" customWidth="1"/>
    <col min="13" max="16384" width="9.140625" style="3"/>
  </cols>
  <sheetData>
    <row r="1" spans="1:12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x14ac:dyDescent="0.35">
      <c r="A2" s="108" t="str">
        <f>Input!$B$13</f>
        <v>CASE NO. 2024-00092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35">
      <c r="A3" s="108" t="s">
        <v>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35">
      <c r="A5" s="108" t="str">
        <f>Input!B17</f>
        <v>TWELVE MONTHS ENDING DECEMBER 31, 2025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3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3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35">
      <c r="A8" s="3" t="s">
        <v>113</v>
      </c>
      <c r="L8" s="13" t="s">
        <v>3</v>
      </c>
    </row>
    <row r="9" spans="1:12" x14ac:dyDescent="0.35">
      <c r="A9" s="3" t="s">
        <v>115</v>
      </c>
      <c r="L9" s="13" t="s">
        <v>126</v>
      </c>
    </row>
    <row r="10" spans="1:12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R. J. Amen</v>
      </c>
    </row>
    <row r="13" spans="1:12" x14ac:dyDescent="0.35">
      <c r="D13" s="88"/>
      <c r="E13" s="88"/>
      <c r="F13" s="88"/>
      <c r="G13" s="88"/>
      <c r="H13" s="88"/>
      <c r="I13" s="88"/>
      <c r="J13" s="88" t="s">
        <v>29</v>
      </c>
      <c r="K13" s="88" t="s">
        <v>29</v>
      </c>
      <c r="L13" s="88"/>
    </row>
    <row r="14" spans="1:12" x14ac:dyDescent="0.35">
      <c r="A14" s="88" t="s">
        <v>4</v>
      </c>
      <c r="B14" s="88" t="s">
        <v>6</v>
      </c>
      <c r="C14" s="88" t="s">
        <v>8</v>
      </c>
      <c r="D14" s="88" t="s">
        <v>8</v>
      </c>
      <c r="E14" s="88" t="s">
        <v>14</v>
      </c>
      <c r="F14" s="88" t="s">
        <v>18</v>
      </c>
      <c r="G14" s="88" t="s">
        <v>20</v>
      </c>
      <c r="H14" s="88" t="s">
        <v>20</v>
      </c>
      <c r="I14" s="88" t="s">
        <v>26</v>
      </c>
      <c r="J14" s="88" t="s">
        <v>14</v>
      </c>
      <c r="K14" s="88" t="s">
        <v>18</v>
      </c>
      <c r="L14" s="88" t="s">
        <v>33</v>
      </c>
    </row>
    <row r="15" spans="1:12" x14ac:dyDescent="0.35">
      <c r="A15" s="68" t="s">
        <v>5</v>
      </c>
      <c r="B15" s="68" t="s">
        <v>7</v>
      </c>
      <c r="C15" s="68" t="s">
        <v>9</v>
      </c>
      <c r="D15" s="68" t="s">
        <v>10</v>
      </c>
      <c r="E15" s="68" t="s">
        <v>15</v>
      </c>
      <c r="F15" s="68" t="s">
        <v>15</v>
      </c>
      <c r="G15" s="69" t="s">
        <v>21</v>
      </c>
      <c r="H15" s="69" t="s">
        <v>23</v>
      </c>
      <c r="I15" s="68" t="s">
        <v>27</v>
      </c>
      <c r="J15" s="68" t="s">
        <v>15</v>
      </c>
      <c r="K15" s="68" t="s">
        <v>15</v>
      </c>
      <c r="L15" s="68" t="s">
        <v>20</v>
      </c>
    </row>
    <row r="16" spans="1:12" x14ac:dyDescent="0.35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5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5">
      <c r="D18" s="88"/>
      <c r="E18" s="88"/>
      <c r="F18" s="88"/>
      <c r="G18" s="88"/>
      <c r="H18" s="88"/>
      <c r="I18" s="88"/>
      <c r="J18" s="10" t="s">
        <v>34</v>
      </c>
      <c r="K18" s="10" t="s">
        <v>35</v>
      </c>
      <c r="L18" s="10" t="s">
        <v>36</v>
      </c>
    </row>
    <row r="19" spans="1:12" x14ac:dyDescent="0.35">
      <c r="A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35">
      <c r="A20" s="88">
        <v>1</v>
      </c>
      <c r="B20" s="88" t="s">
        <v>45</v>
      </c>
      <c r="C20" s="88" t="s">
        <v>38</v>
      </c>
      <c r="D20" s="73">
        <v>1</v>
      </c>
      <c r="E20" s="11">
        <f>Input!$H$24+ROUND((Input!$C$24*G1R!D20),2)</f>
        <v>27.15</v>
      </c>
      <c r="F20" s="11">
        <f>Input!$Y$24+ROUND((Input!$T$24*G1R!D20),2)</f>
        <v>27.15</v>
      </c>
      <c r="G20" s="11">
        <f>F20-E20</f>
        <v>0</v>
      </c>
      <c r="H20" s="12">
        <f>ROUND(G20/E20,3)</f>
        <v>0</v>
      </c>
      <c r="I20" s="11">
        <f>ROUND(D20*SUM(Input!$O$24:$R$24),2)</f>
        <v>4.2300000000000004</v>
      </c>
      <c r="J20" s="11">
        <f>E20+I20</f>
        <v>31.38</v>
      </c>
      <c r="K20" s="11">
        <f>F20+I20</f>
        <v>31.38</v>
      </c>
      <c r="L20" s="12">
        <f>ROUND((K20-J20)/J20,3)</f>
        <v>0</v>
      </c>
    </row>
    <row r="21" spans="1:12" x14ac:dyDescent="0.35">
      <c r="A21" s="88">
        <v>2</v>
      </c>
      <c r="B21" s="88" t="s">
        <v>54</v>
      </c>
      <c r="C21" s="88" t="s">
        <v>39</v>
      </c>
      <c r="D21" s="73">
        <v>3</v>
      </c>
      <c r="E21" s="11">
        <f>Input!$H$24+ROUND((Input!$C$24*G1R!D21),2)</f>
        <v>37.42</v>
      </c>
      <c r="F21" s="11">
        <f>Input!$Y$24+ROUND((Input!$T$24*G1R!D21),2)</f>
        <v>37.42</v>
      </c>
      <c r="G21" s="11">
        <f t="shared" ref="G21:G31" si="0">F21-E21</f>
        <v>0</v>
      </c>
      <c r="H21" s="12">
        <f t="shared" ref="H21:H31" si="1">ROUND(G21/E21,3)</f>
        <v>0</v>
      </c>
      <c r="I21" s="11">
        <f>ROUND(D21*SUM(Input!$O$24:$R$24),2)</f>
        <v>12.7</v>
      </c>
      <c r="J21" s="11">
        <f t="shared" ref="J21:J31" si="2">E21+I21</f>
        <v>50.120000000000005</v>
      </c>
      <c r="K21" s="11">
        <f t="shared" ref="K21:K31" si="3">F21+I21</f>
        <v>50.120000000000005</v>
      </c>
      <c r="L21" s="12">
        <f t="shared" ref="L21:L31" si="4">ROUND((K21-J21)/J21,3)</f>
        <v>0</v>
      </c>
    </row>
    <row r="22" spans="1:12" x14ac:dyDescent="0.35">
      <c r="A22" s="88">
        <v>3</v>
      </c>
      <c r="B22" s="88" t="s">
        <v>37</v>
      </c>
      <c r="D22" s="73">
        <v>6</v>
      </c>
      <c r="E22" s="11">
        <f>Input!$H$24+ROUND((Input!$C$24*G1R!D22),2)</f>
        <v>52.81</v>
      </c>
      <c r="F22" s="11">
        <f>Input!$Y$24+ROUND((Input!$T$24*G1R!D22),2)</f>
        <v>52.81</v>
      </c>
      <c r="G22" s="11">
        <f t="shared" si="0"/>
        <v>0</v>
      </c>
      <c r="H22" s="12">
        <f t="shared" si="1"/>
        <v>0</v>
      </c>
      <c r="I22" s="11">
        <f>ROUND(D22*SUM(Input!$O$24:$R$24),2)</f>
        <v>25.41</v>
      </c>
      <c r="J22" s="11">
        <f t="shared" si="2"/>
        <v>78.22</v>
      </c>
      <c r="K22" s="11">
        <f t="shared" si="3"/>
        <v>78.22</v>
      </c>
      <c r="L22" s="12">
        <f t="shared" si="4"/>
        <v>0</v>
      </c>
    </row>
    <row r="23" spans="1:12" x14ac:dyDescent="0.35">
      <c r="A23" s="88">
        <v>4</v>
      </c>
      <c r="B23" s="88"/>
      <c r="D23" s="73">
        <v>10</v>
      </c>
      <c r="E23" s="11">
        <f>Input!$H$24+ROUND((Input!$C$24*G1R!D23),2)</f>
        <v>73.34</v>
      </c>
      <c r="F23" s="11">
        <f>Input!$Y$24+ROUND((Input!$T$24*G1R!D23),2)</f>
        <v>73.34</v>
      </c>
      <c r="G23" s="11">
        <f t="shared" si="0"/>
        <v>0</v>
      </c>
      <c r="H23" s="12">
        <f t="shared" si="1"/>
        <v>0</v>
      </c>
      <c r="I23" s="11">
        <f>ROUND(D23*SUM(Input!$O$24:$R$24),2)</f>
        <v>42.34</v>
      </c>
      <c r="J23" s="11">
        <f t="shared" si="2"/>
        <v>115.68</v>
      </c>
      <c r="K23" s="11">
        <f t="shared" si="3"/>
        <v>115.68</v>
      </c>
      <c r="L23" s="12">
        <f t="shared" si="4"/>
        <v>0</v>
      </c>
    </row>
    <row r="24" spans="1:12" x14ac:dyDescent="0.35">
      <c r="A24" s="88">
        <v>5</v>
      </c>
      <c r="B24" s="88"/>
      <c r="D24" s="73">
        <v>12</v>
      </c>
      <c r="E24" s="11">
        <f>Input!$H$24+ROUND((Input!$C$24*G1R!D24),2)</f>
        <v>83.6</v>
      </c>
      <c r="F24" s="11">
        <f>Input!$Y$24+ROUND((Input!$T$24*G1R!D24),2)</f>
        <v>83.6</v>
      </c>
      <c r="G24" s="11">
        <f t="shared" si="0"/>
        <v>0</v>
      </c>
      <c r="H24" s="12">
        <f t="shared" si="1"/>
        <v>0</v>
      </c>
      <c r="I24" s="11">
        <f>ROUND(D24*SUM(Input!$O$24:$R$24),2)</f>
        <v>50.81</v>
      </c>
      <c r="J24" s="11">
        <f t="shared" si="2"/>
        <v>134.41</v>
      </c>
      <c r="K24" s="11">
        <f t="shared" si="3"/>
        <v>134.41</v>
      </c>
      <c r="L24" s="12">
        <f t="shared" si="4"/>
        <v>0</v>
      </c>
    </row>
    <row r="25" spans="1:12" x14ac:dyDescent="0.35">
      <c r="A25" s="88">
        <v>6</v>
      </c>
      <c r="B25" s="89"/>
      <c r="D25" s="73">
        <f>+E33</f>
        <v>12.4</v>
      </c>
      <c r="E25" s="11">
        <f>Input!$H$24+ROUND((Input!$C$24*G1R!D25),2)</f>
        <v>85.66</v>
      </c>
      <c r="F25" s="11">
        <f>Input!$Y$24+ROUND((Input!$T$24*G1R!D25),2)</f>
        <v>85.66</v>
      </c>
      <c r="G25" s="11">
        <f t="shared" si="0"/>
        <v>0</v>
      </c>
      <c r="H25" s="12">
        <f t="shared" si="1"/>
        <v>0</v>
      </c>
      <c r="I25" s="11">
        <f>ROUND(D25*SUM(Input!$O$24:$R$24),2)</f>
        <v>52.51</v>
      </c>
      <c r="J25" s="11">
        <f t="shared" si="2"/>
        <v>138.16999999999999</v>
      </c>
      <c r="K25" s="11">
        <f t="shared" si="3"/>
        <v>138.16999999999999</v>
      </c>
      <c r="L25" s="12">
        <f t="shared" si="4"/>
        <v>0</v>
      </c>
    </row>
    <row r="26" spans="1:12" x14ac:dyDescent="0.35">
      <c r="A26" s="88">
        <v>7</v>
      </c>
      <c r="B26" s="89"/>
      <c r="D26" s="73">
        <v>14</v>
      </c>
      <c r="E26" s="11">
        <f>Input!$H$24+ROUND((Input!$C$24*G1R!D26),2)</f>
        <v>93.86999999999999</v>
      </c>
      <c r="F26" s="11">
        <f>Input!$Y$24+ROUND((Input!$T$24*G1R!D26),2)</f>
        <v>93.86999999999999</v>
      </c>
      <c r="G26" s="11">
        <f>F26-E26</f>
        <v>0</v>
      </c>
      <c r="H26" s="12">
        <f t="shared" si="1"/>
        <v>0</v>
      </c>
      <c r="I26" s="11">
        <f>ROUND(D26*SUM(Input!$O$24:$R$24),2)</f>
        <v>59.28</v>
      </c>
      <c r="J26" s="11">
        <f>E26+I26</f>
        <v>153.14999999999998</v>
      </c>
      <c r="K26" s="11">
        <f>F26+I26</f>
        <v>153.14999999999998</v>
      </c>
      <c r="L26" s="12">
        <f t="shared" si="4"/>
        <v>0</v>
      </c>
    </row>
    <row r="27" spans="1:12" x14ac:dyDescent="0.35">
      <c r="A27" s="88">
        <v>8</v>
      </c>
      <c r="D27" s="73">
        <v>16</v>
      </c>
      <c r="E27" s="11">
        <f>Input!$H$24+ROUND((Input!$C$24*G1R!D27),2)</f>
        <v>104.13</v>
      </c>
      <c r="F27" s="11">
        <f>Input!$Y$24+ROUND((Input!$T$24*G1R!D27),2)</f>
        <v>104.13</v>
      </c>
      <c r="G27" s="11">
        <f t="shared" si="0"/>
        <v>0</v>
      </c>
      <c r="H27" s="12">
        <f t="shared" si="1"/>
        <v>0</v>
      </c>
      <c r="I27" s="11">
        <f>ROUND(D27*SUM(Input!$O$24:$R$24),2)</f>
        <v>67.75</v>
      </c>
      <c r="J27" s="11">
        <f t="shared" si="2"/>
        <v>171.88</v>
      </c>
      <c r="K27" s="11">
        <f t="shared" si="3"/>
        <v>171.88</v>
      </c>
      <c r="L27" s="12">
        <f t="shared" si="4"/>
        <v>0</v>
      </c>
    </row>
    <row r="28" spans="1:12" x14ac:dyDescent="0.35">
      <c r="A28" s="88">
        <v>9</v>
      </c>
      <c r="D28" s="73">
        <v>20</v>
      </c>
      <c r="E28" s="11">
        <f>Input!$H$24+ROUND((Input!$C$24*G1R!D28),2)</f>
        <v>124.66</v>
      </c>
      <c r="F28" s="11">
        <f>Input!$Y$24+ROUND((Input!$T$24*G1R!D28),2)</f>
        <v>124.66</v>
      </c>
      <c r="G28" s="11">
        <f t="shared" si="0"/>
        <v>0</v>
      </c>
      <c r="H28" s="12">
        <f t="shared" si="1"/>
        <v>0</v>
      </c>
      <c r="I28" s="11">
        <f>ROUND(D28*SUM(Input!$O$24:$R$24),2)</f>
        <v>84.69</v>
      </c>
      <c r="J28" s="11">
        <f t="shared" si="2"/>
        <v>209.35</v>
      </c>
      <c r="K28" s="11">
        <f t="shared" si="3"/>
        <v>209.35</v>
      </c>
      <c r="L28" s="12">
        <f t="shared" si="4"/>
        <v>0</v>
      </c>
    </row>
    <row r="29" spans="1:12" x14ac:dyDescent="0.35">
      <c r="A29" s="88">
        <v>10</v>
      </c>
      <c r="D29" s="73">
        <v>30</v>
      </c>
      <c r="E29" s="11">
        <f>Input!$H$24+ROUND((Input!$C$24*G1R!D29),2)</f>
        <v>175.98000000000002</v>
      </c>
      <c r="F29" s="11">
        <f>Input!$Y$24+ROUND((Input!$T$24*G1R!D29),2)</f>
        <v>175.98000000000002</v>
      </c>
      <c r="G29" s="11">
        <f t="shared" si="0"/>
        <v>0</v>
      </c>
      <c r="H29" s="12">
        <f t="shared" si="1"/>
        <v>0</v>
      </c>
      <c r="I29" s="11">
        <f>ROUND(D29*SUM(Input!$O$24:$R$24),2)</f>
        <v>127.03</v>
      </c>
      <c r="J29" s="11">
        <f t="shared" si="2"/>
        <v>303.01</v>
      </c>
      <c r="K29" s="11">
        <f t="shared" si="3"/>
        <v>303.01</v>
      </c>
      <c r="L29" s="12">
        <f t="shared" si="4"/>
        <v>0</v>
      </c>
    </row>
    <row r="30" spans="1:12" x14ac:dyDescent="0.35">
      <c r="A30" s="88">
        <v>11</v>
      </c>
      <c r="D30" s="73">
        <v>40</v>
      </c>
      <c r="E30" s="11">
        <f>Input!$H$24+ROUND((Input!$C$24*G1R!D30),2)</f>
        <v>227.3</v>
      </c>
      <c r="F30" s="11">
        <f>Input!$Y$24+ROUND((Input!$T$24*G1R!D30),2)</f>
        <v>227.3</v>
      </c>
      <c r="G30" s="11">
        <f t="shared" si="0"/>
        <v>0</v>
      </c>
      <c r="H30" s="12">
        <f t="shared" si="1"/>
        <v>0</v>
      </c>
      <c r="I30" s="11">
        <f>ROUND(D30*SUM(Input!$O$24:$R$24),2)</f>
        <v>169.37</v>
      </c>
      <c r="J30" s="11">
        <f t="shared" si="2"/>
        <v>396.67</v>
      </c>
      <c r="K30" s="11">
        <f t="shared" si="3"/>
        <v>396.67</v>
      </c>
      <c r="L30" s="12">
        <f t="shared" si="4"/>
        <v>0</v>
      </c>
    </row>
    <row r="31" spans="1:12" x14ac:dyDescent="0.35">
      <c r="A31" s="88">
        <v>12</v>
      </c>
      <c r="D31" s="73">
        <v>50</v>
      </c>
      <c r="E31" s="11">
        <f>Input!$H$24+ROUND((Input!$C$24*G1R!D31),2)</f>
        <v>278.62</v>
      </c>
      <c r="F31" s="11">
        <f>Input!$Y$24+ROUND((Input!$T$24*G1R!D31),2)</f>
        <v>278.62</v>
      </c>
      <c r="G31" s="11">
        <f t="shared" si="0"/>
        <v>0</v>
      </c>
      <c r="H31" s="12">
        <f t="shared" si="1"/>
        <v>0</v>
      </c>
      <c r="I31" s="11">
        <f>ROUND(D31*SUM(Input!$O$24:$R$24),2)</f>
        <v>211.72</v>
      </c>
      <c r="J31" s="11">
        <f t="shared" si="2"/>
        <v>490.34000000000003</v>
      </c>
      <c r="K31" s="11">
        <f t="shared" si="3"/>
        <v>490.34000000000003</v>
      </c>
      <c r="L31" s="12">
        <f t="shared" si="4"/>
        <v>0</v>
      </c>
    </row>
    <row r="32" spans="1:12" x14ac:dyDescent="0.35">
      <c r="A32" s="88"/>
      <c r="D32" s="88"/>
      <c r="E32" s="88"/>
      <c r="F32" s="88"/>
      <c r="G32" s="88"/>
      <c r="H32" s="88"/>
      <c r="I32" s="88"/>
      <c r="J32" s="19"/>
      <c r="K32" s="19"/>
      <c r="L32" s="88"/>
    </row>
    <row r="33" spans="1:5" x14ac:dyDescent="0.35">
      <c r="A33" s="14"/>
      <c r="C33" s="3" t="s">
        <v>102</v>
      </c>
      <c r="E33" s="66">
        <f>Input!AF24</f>
        <v>12.4</v>
      </c>
    </row>
    <row r="36" spans="1:5" x14ac:dyDescent="0.35">
      <c r="D36" s="76"/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9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L37"/>
  <sheetViews>
    <sheetView workbookViewId="0">
      <selection sqref="A1:L1"/>
    </sheetView>
  </sheetViews>
  <sheetFormatPr defaultColWidth="9.140625" defaultRowHeight="12.9" x14ac:dyDescent="0.35"/>
  <cols>
    <col min="1" max="1" width="9.140625" style="3"/>
    <col min="2" max="2" width="12" style="3" customWidth="1"/>
    <col min="3" max="3" width="9.5703125" style="3" customWidth="1"/>
    <col min="4" max="10" width="9.140625" style="3"/>
    <col min="11" max="12" width="10.28515625" style="3" customWidth="1"/>
    <col min="13" max="16384" width="9.140625" style="3"/>
  </cols>
  <sheetData>
    <row r="1" spans="1:12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x14ac:dyDescent="0.35">
      <c r="A2" s="108" t="str">
        <f>Input!$B$13</f>
        <v>CASE NO. 2024-00092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35">
      <c r="A3" s="108" t="s">
        <v>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35">
      <c r="A5" s="108" t="str">
        <f>Input!B17</f>
        <v>TWELVE MONTHS ENDING DECEMBER 31, 2025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3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3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35">
      <c r="A8" s="3" t="s">
        <v>113</v>
      </c>
      <c r="L8" s="13" t="s">
        <v>3</v>
      </c>
    </row>
    <row r="9" spans="1:12" x14ac:dyDescent="0.35">
      <c r="A9" s="3" t="s">
        <v>115</v>
      </c>
      <c r="L9" s="13" t="s">
        <v>127</v>
      </c>
    </row>
    <row r="10" spans="1:12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R. J. Amen</v>
      </c>
    </row>
    <row r="13" spans="1:12" x14ac:dyDescent="0.35">
      <c r="D13" s="88"/>
      <c r="E13" s="88"/>
      <c r="F13" s="88"/>
      <c r="G13" s="88"/>
      <c r="H13" s="88"/>
      <c r="I13" s="88"/>
      <c r="J13" s="88" t="s">
        <v>29</v>
      </c>
      <c r="K13" s="88" t="s">
        <v>29</v>
      </c>
      <c r="L13" s="88"/>
    </row>
    <row r="14" spans="1:12" x14ac:dyDescent="0.35">
      <c r="A14" s="88" t="s">
        <v>4</v>
      </c>
      <c r="B14" s="88" t="s">
        <v>6</v>
      </c>
      <c r="C14" s="88" t="s">
        <v>8</v>
      </c>
      <c r="D14" s="88" t="s">
        <v>8</v>
      </c>
      <c r="E14" s="88" t="s">
        <v>14</v>
      </c>
      <c r="F14" s="88" t="s">
        <v>18</v>
      </c>
      <c r="G14" s="88" t="s">
        <v>20</v>
      </c>
      <c r="H14" s="88" t="s">
        <v>20</v>
      </c>
      <c r="I14" s="88" t="s">
        <v>26</v>
      </c>
      <c r="J14" s="88" t="s">
        <v>14</v>
      </c>
      <c r="K14" s="88" t="s">
        <v>18</v>
      </c>
      <c r="L14" s="88" t="s">
        <v>33</v>
      </c>
    </row>
    <row r="15" spans="1:12" x14ac:dyDescent="0.35">
      <c r="A15" s="68" t="s">
        <v>5</v>
      </c>
      <c r="B15" s="68" t="s">
        <v>7</v>
      </c>
      <c r="C15" s="68" t="s">
        <v>9</v>
      </c>
      <c r="D15" s="68" t="s">
        <v>10</v>
      </c>
      <c r="E15" s="68" t="s">
        <v>15</v>
      </c>
      <c r="F15" s="68" t="s">
        <v>15</v>
      </c>
      <c r="G15" s="69" t="s">
        <v>21</v>
      </c>
      <c r="H15" s="69" t="s">
        <v>23</v>
      </c>
      <c r="I15" s="68" t="s">
        <v>27</v>
      </c>
      <c r="J15" s="68" t="s">
        <v>15</v>
      </c>
      <c r="K15" s="68" t="s">
        <v>15</v>
      </c>
      <c r="L15" s="68" t="s">
        <v>20</v>
      </c>
    </row>
    <row r="16" spans="1:12" x14ac:dyDescent="0.35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5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5">
      <c r="D18" s="88"/>
      <c r="E18" s="88"/>
      <c r="F18" s="88"/>
      <c r="G18" s="88"/>
      <c r="H18" s="88"/>
      <c r="I18" s="88"/>
      <c r="J18" s="10" t="s">
        <v>34</v>
      </c>
      <c r="K18" s="10" t="s">
        <v>35</v>
      </c>
      <c r="L18" s="10" t="s">
        <v>36</v>
      </c>
    </row>
    <row r="19" spans="1:12" x14ac:dyDescent="0.35">
      <c r="A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35">
      <c r="A20" s="88">
        <v>1</v>
      </c>
      <c r="B20" s="88" t="s">
        <v>46</v>
      </c>
      <c r="C20" s="88" t="s">
        <v>38</v>
      </c>
      <c r="D20" s="73">
        <v>3</v>
      </c>
      <c r="E20" s="11">
        <f>Input!$H$25+ROUND(Input!$C$25*IN3R!D20,2)+ROUND(D20*Input!$N$25,2)</f>
        <v>1.24</v>
      </c>
      <c r="F20" s="11">
        <f>Input!$Y$25+ROUND(Input!$T$25*IN3R!D20,2)+ROUND(Input!$N$25*IN3R!D20,2)</f>
        <v>1.24</v>
      </c>
      <c r="G20" s="11">
        <f>F20-E20</f>
        <v>0</v>
      </c>
      <c r="H20" s="12">
        <f>ROUND(G20/E20,3)</f>
        <v>0</v>
      </c>
      <c r="I20" s="11">
        <f>ROUND(D20*SUM(Input!$O$25:$R$25),2)</f>
        <v>0</v>
      </c>
      <c r="J20" s="11">
        <f>E20+I20</f>
        <v>1.24</v>
      </c>
      <c r="K20" s="11">
        <f>F20+I20</f>
        <v>1.24</v>
      </c>
      <c r="L20" s="12">
        <f>ROUND((K20-J20)/J20,3)</f>
        <v>0</v>
      </c>
    </row>
    <row r="21" spans="1:12" x14ac:dyDescent="0.35">
      <c r="A21" s="88">
        <v>2</v>
      </c>
      <c r="B21" s="88" t="s">
        <v>56</v>
      </c>
      <c r="C21" s="88" t="s">
        <v>39</v>
      </c>
      <c r="D21" s="73">
        <v>5</v>
      </c>
      <c r="E21" s="11">
        <f>Input!$H$25+ROUND(Input!$C$25*IN3R!D21,2)+ROUND(D21*Input!$N$25,2)</f>
        <v>2.06</v>
      </c>
      <c r="F21" s="11">
        <f>Input!$Y$25+ROUND(Input!$T$25*IN3R!D21,2)+ROUND(Input!$N$25*IN3R!D21,2)</f>
        <v>2.06</v>
      </c>
      <c r="G21" s="11">
        <f>F21-E21</f>
        <v>0</v>
      </c>
      <c r="H21" s="12">
        <f t="shared" ref="H21:H31" si="0">ROUND(G21/E21,3)</f>
        <v>0</v>
      </c>
      <c r="I21" s="11">
        <f>ROUND(D21*SUM(Input!$O$25:$R$25),2)</f>
        <v>0</v>
      </c>
      <c r="J21" s="11">
        <f t="shared" ref="J21:J31" si="1">E21+I21</f>
        <v>2.06</v>
      </c>
      <c r="K21" s="11">
        <f>F21+I21</f>
        <v>2.06</v>
      </c>
      <c r="L21" s="12">
        <f t="shared" ref="L21:L31" si="2">ROUND((K21-J21)/J21,3)</f>
        <v>0</v>
      </c>
    </row>
    <row r="22" spans="1:12" x14ac:dyDescent="0.35">
      <c r="A22" s="88">
        <v>3</v>
      </c>
      <c r="B22" s="88" t="s">
        <v>26</v>
      </c>
      <c r="D22" s="73">
        <v>7</v>
      </c>
      <c r="E22" s="11">
        <f>Input!$H$25+ROUND(Input!$C$25*IN3R!D22,2)+ROUND(D22*Input!$N$25,2)</f>
        <v>2.8899999999999997</v>
      </c>
      <c r="F22" s="11">
        <f>Input!$Y$25+ROUND(Input!$T$25*IN3R!D22,2)+ROUND(Input!$N$25*IN3R!D22,2)</f>
        <v>2.8899999999999997</v>
      </c>
      <c r="G22" s="11">
        <f t="shared" ref="G22:G31" si="3">F22-E22</f>
        <v>0</v>
      </c>
      <c r="H22" s="12">
        <f t="shared" si="0"/>
        <v>0</v>
      </c>
      <c r="I22" s="11">
        <f>ROUND(D22*SUM(Input!$O$25:$R$25),2)</f>
        <v>0</v>
      </c>
      <c r="J22" s="11">
        <f t="shared" si="1"/>
        <v>2.8899999999999997</v>
      </c>
      <c r="K22" s="11">
        <f t="shared" ref="K22:K31" si="4">F22+I22</f>
        <v>2.8899999999999997</v>
      </c>
      <c r="L22" s="12">
        <f t="shared" si="2"/>
        <v>0</v>
      </c>
    </row>
    <row r="23" spans="1:12" x14ac:dyDescent="0.35">
      <c r="A23" s="88">
        <v>4</v>
      </c>
      <c r="B23" s="88" t="s">
        <v>42</v>
      </c>
      <c r="D23" s="73">
        <v>10</v>
      </c>
      <c r="E23" s="11">
        <f>Input!$H$25+ROUND(Input!$C$25*IN3R!D23,2)+ROUND(D23*Input!$N$25,2)</f>
        <v>4.12</v>
      </c>
      <c r="F23" s="11">
        <f>Input!$Y$25+ROUND(Input!$T$25*IN3R!D23,2)+ROUND(Input!$N$25*IN3R!D23,2)</f>
        <v>4.12</v>
      </c>
      <c r="G23" s="11">
        <f t="shared" si="3"/>
        <v>0</v>
      </c>
      <c r="H23" s="12">
        <f t="shared" si="0"/>
        <v>0</v>
      </c>
      <c r="I23" s="11">
        <f>ROUND(D23*SUM(Input!$O$25:$R$25),2)</f>
        <v>0</v>
      </c>
      <c r="J23" s="11">
        <f t="shared" si="1"/>
        <v>4.12</v>
      </c>
      <c r="K23" s="11">
        <f t="shared" si="4"/>
        <v>4.12</v>
      </c>
      <c r="L23" s="12">
        <f t="shared" si="2"/>
        <v>0</v>
      </c>
    </row>
    <row r="24" spans="1:12" x14ac:dyDescent="0.35">
      <c r="A24" s="88">
        <v>5</v>
      </c>
      <c r="B24" s="88" t="s">
        <v>43</v>
      </c>
      <c r="D24" s="73">
        <v>11</v>
      </c>
      <c r="E24" s="11">
        <f>Input!$H$25+ROUND(Input!$C$25*IN3R!D24,2)+ROUND(D24*Input!$N$25,2)</f>
        <v>4.54</v>
      </c>
      <c r="F24" s="11">
        <f>Input!$Y$25+ROUND(Input!$T$25*IN3R!D24,2)+ROUND(Input!$N$25*IN3R!D24,2)</f>
        <v>4.54</v>
      </c>
      <c r="G24" s="11">
        <f t="shared" si="3"/>
        <v>0</v>
      </c>
      <c r="H24" s="12">
        <f t="shared" si="0"/>
        <v>0</v>
      </c>
      <c r="I24" s="11">
        <f>ROUND(D24*SUM(Input!$O$25:$R$25),2)</f>
        <v>0</v>
      </c>
      <c r="J24" s="11">
        <f t="shared" si="1"/>
        <v>4.54</v>
      </c>
      <c r="K24" s="11">
        <f t="shared" si="4"/>
        <v>4.54</v>
      </c>
      <c r="L24" s="12">
        <f t="shared" si="2"/>
        <v>0</v>
      </c>
    </row>
    <row r="25" spans="1:12" x14ac:dyDescent="0.35">
      <c r="A25" s="88">
        <v>6</v>
      </c>
      <c r="B25" s="88" t="s">
        <v>110</v>
      </c>
      <c r="D25" s="73">
        <f>+E33</f>
        <v>11.5</v>
      </c>
      <c r="E25" s="11">
        <f>Input!$H$25+ROUND(Input!$C$25*IN3R!D25,2)+ROUND(D25*Input!$N$25,2)</f>
        <v>4.7399999999999993</v>
      </c>
      <c r="F25" s="11">
        <f>Input!$Y$25+ROUND(Input!$T$25*IN3R!D25,2)+ROUND(Input!$N$25*IN3R!D25,2)</f>
        <v>4.7399999999999993</v>
      </c>
      <c r="G25" s="11">
        <f>F25-E25</f>
        <v>0</v>
      </c>
      <c r="H25" s="12">
        <f t="shared" si="0"/>
        <v>0</v>
      </c>
      <c r="I25" s="11">
        <f>ROUND(D25*SUM(Input!$O$25:$R$25),2)</f>
        <v>0</v>
      </c>
      <c r="J25" s="11">
        <f t="shared" si="1"/>
        <v>4.7399999999999993</v>
      </c>
      <c r="K25" s="11">
        <f>F25+I25</f>
        <v>4.7399999999999993</v>
      </c>
      <c r="L25" s="12">
        <f t="shared" si="2"/>
        <v>0</v>
      </c>
    </row>
    <row r="26" spans="1:12" x14ac:dyDescent="0.35">
      <c r="A26" s="88">
        <v>7</v>
      </c>
      <c r="D26" s="73">
        <v>16</v>
      </c>
      <c r="E26" s="11">
        <f>Input!$H$25+ROUND(Input!$C$25*IN3R!D26,2)+ROUND(D26*Input!$N$25,2)</f>
        <v>6.6000000000000005</v>
      </c>
      <c r="F26" s="11">
        <f>Input!$Y$25+ROUND(Input!$T$25*IN3R!D26,2)+ROUND(Input!$N$25*IN3R!D26,2)</f>
        <v>6.6000000000000005</v>
      </c>
      <c r="G26" s="11">
        <f t="shared" si="3"/>
        <v>0</v>
      </c>
      <c r="H26" s="12">
        <f t="shared" si="0"/>
        <v>0</v>
      </c>
      <c r="I26" s="11">
        <f>ROUND(D26*SUM(Input!$O$25:$R$25),2)</f>
        <v>0</v>
      </c>
      <c r="J26" s="11">
        <f t="shared" si="1"/>
        <v>6.6000000000000005</v>
      </c>
      <c r="K26" s="11">
        <f t="shared" si="4"/>
        <v>6.6000000000000005</v>
      </c>
      <c r="L26" s="12">
        <f t="shared" si="2"/>
        <v>0</v>
      </c>
    </row>
    <row r="27" spans="1:12" x14ac:dyDescent="0.35">
      <c r="A27" s="88">
        <v>8</v>
      </c>
      <c r="D27" s="73">
        <v>20</v>
      </c>
      <c r="E27" s="11">
        <f>Input!$H$25+ROUND(Input!$C$25*IN3R!D27,2)+ROUND(D27*Input!$N$25,2)</f>
        <v>8.25</v>
      </c>
      <c r="F27" s="11">
        <f>Input!$Y$25+ROUND(Input!$T$25*IN3R!D27,2)+ROUND(Input!$N$25*IN3R!D27,2)</f>
        <v>8.25</v>
      </c>
      <c r="G27" s="11">
        <f t="shared" si="3"/>
        <v>0</v>
      </c>
      <c r="H27" s="12">
        <f t="shared" si="0"/>
        <v>0</v>
      </c>
      <c r="I27" s="11">
        <f>ROUND(D27*SUM(Input!$O$25:$R$25),2)</f>
        <v>0</v>
      </c>
      <c r="J27" s="11">
        <f t="shared" si="1"/>
        <v>8.25</v>
      </c>
      <c r="K27" s="11">
        <f t="shared" si="4"/>
        <v>8.25</v>
      </c>
      <c r="L27" s="12">
        <f t="shared" si="2"/>
        <v>0</v>
      </c>
    </row>
    <row r="28" spans="1:12" x14ac:dyDescent="0.35">
      <c r="A28" s="88">
        <v>9</v>
      </c>
      <c r="D28" s="73">
        <v>30</v>
      </c>
      <c r="E28" s="11">
        <f>Input!$H$25+ROUND(Input!$C$25*IN3R!D28,2)+ROUND(D28*Input!$N$25,2)</f>
        <v>12.37</v>
      </c>
      <c r="F28" s="11">
        <f>Input!$Y$25+ROUND(Input!$T$25*IN3R!D28,2)+ROUND(Input!$N$25*IN3R!D28,2)</f>
        <v>12.37</v>
      </c>
      <c r="G28" s="11">
        <f t="shared" si="3"/>
        <v>0</v>
      </c>
      <c r="H28" s="12">
        <f t="shared" si="0"/>
        <v>0</v>
      </c>
      <c r="I28" s="11">
        <f>ROUND(D28*SUM(Input!$O$25:$R$25),2)</f>
        <v>0</v>
      </c>
      <c r="J28" s="11">
        <f t="shared" si="1"/>
        <v>12.37</v>
      </c>
      <c r="K28" s="11">
        <f t="shared" si="4"/>
        <v>12.37</v>
      </c>
      <c r="L28" s="12">
        <f t="shared" si="2"/>
        <v>0</v>
      </c>
    </row>
    <row r="29" spans="1:12" x14ac:dyDescent="0.35">
      <c r="A29" s="88">
        <v>10</v>
      </c>
      <c r="D29" s="73">
        <v>40</v>
      </c>
      <c r="E29" s="11">
        <f>Input!$H$25+ROUND(Input!$C$25*IN3R!D29,2)+ROUND(D29*Input!$N$25,2)</f>
        <v>16.5</v>
      </c>
      <c r="F29" s="11">
        <f>Input!$Y$25+ROUND(Input!$T$25*IN3R!D29,2)+ROUND(Input!$N$25*IN3R!D29,2)</f>
        <v>16.5</v>
      </c>
      <c r="G29" s="11">
        <f t="shared" si="3"/>
        <v>0</v>
      </c>
      <c r="H29" s="12">
        <f t="shared" si="0"/>
        <v>0</v>
      </c>
      <c r="I29" s="11">
        <f>ROUND(D29*SUM(Input!$O$25:$R$25),2)</f>
        <v>0</v>
      </c>
      <c r="J29" s="11">
        <f t="shared" si="1"/>
        <v>16.5</v>
      </c>
      <c r="K29" s="11">
        <f t="shared" si="4"/>
        <v>16.5</v>
      </c>
      <c r="L29" s="12">
        <f t="shared" si="2"/>
        <v>0</v>
      </c>
    </row>
    <row r="30" spans="1:12" x14ac:dyDescent="0.35">
      <c r="A30" s="88">
        <v>11</v>
      </c>
      <c r="D30" s="73">
        <v>50</v>
      </c>
      <c r="E30" s="11">
        <f>Input!$H$25+ROUND(Input!$C$25*IN3R!D30,2)+ROUND(D30*Input!$N$25,2)</f>
        <v>20.62</v>
      </c>
      <c r="F30" s="11">
        <f>Input!$Y$25+ROUND(Input!$T$25*IN3R!D30,2)+ROUND(Input!$N$25*IN3R!D30,2)</f>
        <v>20.62</v>
      </c>
      <c r="G30" s="11">
        <f t="shared" si="3"/>
        <v>0</v>
      </c>
      <c r="H30" s="12">
        <f t="shared" si="0"/>
        <v>0</v>
      </c>
      <c r="I30" s="11">
        <f>ROUND(D30*SUM(Input!$O$25:$R$25),2)</f>
        <v>0</v>
      </c>
      <c r="J30" s="11">
        <f t="shared" si="1"/>
        <v>20.62</v>
      </c>
      <c r="K30" s="11">
        <f t="shared" si="4"/>
        <v>20.62</v>
      </c>
      <c r="L30" s="12">
        <f t="shared" si="2"/>
        <v>0</v>
      </c>
    </row>
    <row r="31" spans="1:12" x14ac:dyDescent="0.35">
      <c r="A31" s="88">
        <v>12</v>
      </c>
      <c r="D31" s="73">
        <v>70</v>
      </c>
      <c r="E31" s="11">
        <f>Input!$H$25+ROUND(Input!$C$25*IN3R!D31,2)+ROUND(D31*Input!$N$25,2)</f>
        <v>28.87</v>
      </c>
      <c r="F31" s="11">
        <f>Input!$Y$25+ROUND(Input!$T$25*IN3R!D31,2)+ROUND(Input!$N$25*IN3R!D31,2)</f>
        <v>28.87</v>
      </c>
      <c r="G31" s="11">
        <f t="shared" si="3"/>
        <v>0</v>
      </c>
      <c r="H31" s="12">
        <f t="shared" si="0"/>
        <v>0</v>
      </c>
      <c r="I31" s="11">
        <f>ROUND(D31*SUM(Input!$O$25:$R$25),2)</f>
        <v>0</v>
      </c>
      <c r="J31" s="11">
        <f t="shared" si="1"/>
        <v>28.87</v>
      </c>
      <c r="K31" s="11">
        <f t="shared" si="4"/>
        <v>28.87</v>
      </c>
      <c r="L31" s="12">
        <f t="shared" si="2"/>
        <v>0</v>
      </c>
    </row>
    <row r="32" spans="1:12" x14ac:dyDescent="0.35">
      <c r="A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6" x14ac:dyDescent="0.35">
      <c r="A33" s="14"/>
      <c r="C33" s="3" t="s">
        <v>102</v>
      </c>
      <c r="E33" s="66">
        <f>Input!AF25</f>
        <v>11.5</v>
      </c>
    </row>
    <row r="34" spans="1:6" x14ac:dyDescent="0.35">
      <c r="A34" s="14"/>
      <c r="E34" s="88"/>
      <c r="F34" s="15"/>
    </row>
    <row r="36" spans="1:6" x14ac:dyDescent="0.35">
      <c r="D36" s="76"/>
    </row>
    <row r="37" spans="1:6" x14ac:dyDescent="0.35">
      <c r="B37" s="3" t="s">
        <v>111</v>
      </c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9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36"/>
  <sheetViews>
    <sheetView workbookViewId="0">
      <selection sqref="A1:L1"/>
    </sheetView>
  </sheetViews>
  <sheetFormatPr defaultColWidth="9.140625" defaultRowHeight="12.9" x14ac:dyDescent="0.35"/>
  <cols>
    <col min="1" max="16384" width="9.140625" style="3"/>
  </cols>
  <sheetData>
    <row r="1" spans="1:12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x14ac:dyDescent="0.35">
      <c r="A2" s="108" t="str">
        <f>Input!$B$13</f>
        <v>CASE NO. 2024-00092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35">
      <c r="A3" s="108" t="s">
        <v>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35">
      <c r="A5" s="108" t="str">
        <f>Input!B17</f>
        <v>TWELVE MONTHS ENDING DECEMBER 31, 2025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3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3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35">
      <c r="A8" s="3" t="s">
        <v>113</v>
      </c>
      <c r="L8" s="13" t="s">
        <v>3</v>
      </c>
    </row>
    <row r="9" spans="1:12" x14ac:dyDescent="0.35">
      <c r="A9" s="3" t="s">
        <v>115</v>
      </c>
      <c r="L9" s="13" t="s">
        <v>128</v>
      </c>
    </row>
    <row r="10" spans="1:12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R. J. Amen</v>
      </c>
    </row>
    <row r="13" spans="1:12" x14ac:dyDescent="0.35">
      <c r="D13" s="88"/>
      <c r="E13" s="88"/>
      <c r="F13" s="88"/>
      <c r="G13" s="88"/>
      <c r="H13" s="88"/>
      <c r="I13" s="88"/>
      <c r="J13" s="88" t="s">
        <v>29</v>
      </c>
      <c r="K13" s="88" t="s">
        <v>29</v>
      </c>
      <c r="L13" s="88"/>
    </row>
    <row r="14" spans="1:12" x14ac:dyDescent="0.35">
      <c r="A14" s="88" t="s">
        <v>4</v>
      </c>
      <c r="B14" s="88" t="s">
        <v>6</v>
      </c>
      <c r="C14" s="88" t="s">
        <v>8</v>
      </c>
      <c r="D14" s="88" t="s">
        <v>8</v>
      </c>
      <c r="E14" s="88" t="s">
        <v>14</v>
      </c>
      <c r="F14" s="88" t="s">
        <v>18</v>
      </c>
      <c r="G14" s="88" t="s">
        <v>20</v>
      </c>
      <c r="H14" s="88" t="s">
        <v>20</v>
      </c>
      <c r="I14" s="88" t="s">
        <v>26</v>
      </c>
      <c r="J14" s="88" t="s">
        <v>14</v>
      </c>
      <c r="K14" s="88" t="s">
        <v>18</v>
      </c>
      <c r="L14" s="88" t="s">
        <v>33</v>
      </c>
    </row>
    <row r="15" spans="1:12" x14ac:dyDescent="0.35">
      <c r="A15" s="68" t="s">
        <v>5</v>
      </c>
      <c r="B15" s="68" t="s">
        <v>7</v>
      </c>
      <c r="C15" s="68" t="s">
        <v>9</v>
      </c>
      <c r="D15" s="68" t="s">
        <v>10</v>
      </c>
      <c r="E15" s="68" t="s">
        <v>15</v>
      </c>
      <c r="F15" s="68" t="s">
        <v>15</v>
      </c>
      <c r="G15" s="69" t="s">
        <v>21</v>
      </c>
      <c r="H15" s="69" t="s">
        <v>23</v>
      </c>
      <c r="I15" s="68" t="s">
        <v>27</v>
      </c>
      <c r="J15" s="68" t="s">
        <v>15</v>
      </c>
      <c r="K15" s="68" t="s">
        <v>15</v>
      </c>
      <c r="L15" s="68" t="s">
        <v>20</v>
      </c>
    </row>
    <row r="16" spans="1:12" x14ac:dyDescent="0.35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5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5">
      <c r="D18" s="88"/>
      <c r="E18" s="88"/>
      <c r="F18" s="88"/>
      <c r="G18" s="88"/>
      <c r="H18" s="88"/>
      <c r="I18" s="88"/>
      <c r="J18" s="10" t="s">
        <v>34</v>
      </c>
      <c r="K18" s="10" t="s">
        <v>35</v>
      </c>
      <c r="L18" s="10" t="s">
        <v>36</v>
      </c>
    </row>
    <row r="19" spans="1:12" x14ac:dyDescent="0.35">
      <c r="A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35">
      <c r="A20" s="88">
        <v>1</v>
      </c>
      <c r="B20" s="88" t="s">
        <v>46</v>
      </c>
      <c r="C20" s="88" t="s">
        <v>38</v>
      </c>
      <c r="D20" s="67">
        <f>E33</f>
        <v>0</v>
      </c>
      <c r="E20" s="11">
        <f>Input!$H$26+ROUND(Input!$C$26*IN3C!D20,2)+ROUND(D20*Input!$N$26,2)</f>
        <v>0</v>
      </c>
      <c r="F20" s="11">
        <f>Input!$Y$26+ROUND(Input!$T$26*D20,2)+ROUND(Input!$N$26*IN3C!D20,2)</f>
        <v>0</v>
      </c>
      <c r="G20" s="11">
        <f>F20-E20</f>
        <v>0</v>
      </c>
      <c r="H20" s="12">
        <f>IF(D20=0,0,ROUND(G20/E20,3))</f>
        <v>0</v>
      </c>
      <c r="I20" s="11">
        <f>ROUND(D20*SUM(Input!$O$26:$R$26),2)</f>
        <v>0</v>
      </c>
      <c r="J20" s="11">
        <f>E20+I20</f>
        <v>0</v>
      </c>
      <c r="K20" s="11">
        <f>F20+I20</f>
        <v>0</v>
      </c>
      <c r="L20" s="12">
        <f>IF(J20=0,0,ROUND((K20-J20)/J20,3))</f>
        <v>0</v>
      </c>
    </row>
    <row r="21" spans="1:12" x14ac:dyDescent="0.35">
      <c r="A21" s="88">
        <v>2</v>
      </c>
      <c r="B21" s="88" t="s">
        <v>56</v>
      </c>
      <c r="C21" s="88" t="s">
        <v>39</v>
      </c>
      <c r="D21" s="67">
        <v>3</v>
      </c>
      <c r="E21" s="11">
        <f>Input!$H$26+ROUND(Input!$C$26*IN3C!D21,2)+ROUND(D21*Input!$N$26,2)</f>
        <v>1.24</v>
      </c>
      <c r="F21" s="11">
        <f>Input!$Y$26+ROUND(Input!$T$26*D21,2)+ROUND(Input!$N$26*IN3C!D21,2)</f>
        <v>1.24</v>
      </c>
      <c r="G21" s="11">
        <f>F21-E21</f>
        <v>0</v>
      </c>
      <c r="H21" s="12">
        <f>ROUND(G21/E21,3)</f>
        <v>0</v>
      </c>
      <c r="I21" s="11">
        <f>ROUND(D21*SUM(Input!$O$26:$R$26),2)</f>
        <v>0</v>
      </c>
      <c r="J21" s="11">
        <f>E21+I21</f>
        <v>1.24</v>
      </c>
      <c r="K21" s="11">
        <f>F21+I21</f>
        <v>1.24</v>
      </c>
      <c r="L21" s="12">
        <f t="shared" ref="L21:L31" si="0">ROUND((K21-J21)/J21,3)</f>
        <v>0</v>
      </c>
    </row>
    <row r="22" spans="1:12" x14ac:dyDescent="0.35">
      <c r="A22" s="88">
        <v>3</v>
      </c>
      <c r="B22" s="88" t="s">
        <v>26</v>
      </c>
      <c r="D22" s="67">
        <v>8</v>
      </c>
      <c r="E22" s="11">
        <f>Input!$H$26+ROUND(Input!$C$26*IN3C!D22,2)+ROUND(D22*Input!$N$26,2)</f>
        <v>3.3000000000000003</v>
      </c>
      <c r="F22" s="11">
        <f>Input!$Y$26+ROUND(Input!$T$26*D22,2)+ROUND(Input!$N$26*IN3C!D22,2)</f>
        <v>3.3000000000000003</v>
      </c>
      <c r="G22" s="11">
        <f t="shared" ref="G22:G31" si="1">F22-E22</f>
        <v>0</v>
      </c>
      <c r="H22" s="12">
        <f t="shared" ref="H22:H31" si="2">ROUND(G22/E22,3)</f>
        <v>0</v>
      </c>
      <c r="I22" s="11">
        <f>ROUND(D22*SUM(Input!$O$26:$R$26),2)</f>
        <v>0</v>
      </c>
      <c r="J22" s="11">
        <f t="shared" ref="J22:J31" si="3">E22+I22</f>
        <v>3.3000000000000003</v>
      </c>
      <c r="K22" s="11">
        <f t="shared" ref="K22:K31" si="4">F22+I22</f>
        <v>3.3000000000000003</v>
      </c>
      <c r="L22" s="12">
        <f t="shared" si="0"/>
        <v>0</v>
      </c>
    </row>
    <row r="23" spans="1:12" x14ac:dyDescent="0.35">
      <c r="A23" s="88">
        <v>4</v>
      </c>
      <c r="B23" s="88" t="s">
        <v>42</v>
      </c>
      <c r="D23" s="67">
        <v>10</v>
      </c>
      <c r="E23" s="11">
        <f>Input!$H$26+ROUND(Input!$C$26*IN3C!D23,2)+ROUND(D23*Input!$N$26,2)</f>
        <v>4.12</v>
      </c>
      <c r="F23" s="11">
        <f>Input!$Y$26+ROUND(Input!$T$26*D23,2)+ROUND(Input!$N$26*IN3C!D23,2)</f>
        <v>4.12</v>
      </c>
      <c r="G23" s="11">
        <f t="shared" si="1"/>
        <v>0</v>
      </c>
      <c r="H23" s="12">
        <f t="shared" si="2"/>
        <v>0</v>
      </c>
      <c r="I23" s="11">
        <f>ROUND(D23*SUM(Input!$O$26:$R$26),2)</f>
        <v>0</v>
      </c>
      <c r="J23" s="11">
        <f t="shared" si="3"/>
        <v>4.12</v>
      </c>
      <c r="K23" s="11">
        <f t="shared" si="4"/>
        <v>4.12</v>
      </c>
      <c r="L23" s="12">
        <f t="shared" si="0"/>
        <v>0</v>
      </c>
    </row>
    <row r="24" spans="1:12" x14ac:dyDescent="0.35">
      <c r="A24" s="88">
        <v>5</v>
      </c>
      <c r="B24" s="88" t="s">
        <v>43</v>
      </c>
      <c r="D24" s="67">
        <v>11</v>
      </c>
      <c r="E24" s="11">
        <f>Input!$H$26+ROUND(Input!$C$26*IN3C!D24,2)+ROUND(D24*Input!$N$26,2)</f>
        <v>4.54</v>
      </c>
      <c r="F24" s="11">
        <f>Input!$Y$26+ROUND(Input!$T$26*D24,2)+ROUND(Input!$N$26*IN3C!D24,2)</f>
        <v>4.54</v>
      </c>
      <c r="G24" s="11">
        <f t="shared" si="1"/>
        <v>0</v>
      </c>
      <c r="H24" s="12">
        <f t="shared" si="2"/>
        <v>0</v>
      </c>
      <c r="I24" s="11">
        <f>ROUND(D24*SUM(Input!$O$26:$R$26),2)</f>
        <v>0</v>
      </c>
      <c r="J24" s="11">
        <f t="shared" si="3"/>
        <v>4.54</v>
      </c>
      <c r="K24" s="11">
        <f t="shared" si="4"/>
        <v>4.54</v>
      </c>
      <c r="L24" s="12">
        <f t="shared" si="0"/>
        <v>0</v>
      </c>
    </row>
    <row r="25" spans="1:12" x14ac:dyDescent="0.35">
      <c r="A25" s="88">
        <v>6</v>
      </c>
      <c r="B25" s="88" t="s">
        <v>55</v>
      </c>
      <c r="D25" s="67">
        <v>13</v>
      </c>
      <c r="E25" s="11">
        <f>Input!$H$26+ROUND(Input!$C$26*IN3C!D25,2)+ROUND(D25*Input!$N$26,2)</f>
        <v>5.36</v>
      </c>
      <c r="F25" s="11">
        <f>Input!$Y$26+ROUND(Input!$T$26*D25,2)+ROUND(Input!$N$26*IN3C!D25,2)</f>
        <v>5.36</v>
      </c>
      <c r="G25" s="11">
        <f>F25-E25</f>
        <v>0</v>
      </c>
      <c r="H25" s="12">
        <f t="shared" si="2"/>
        <v>0</v>
      </c>
      <c r="I25" s="11">
        <f>ROUND(D25*SUM(Input!$O$26:$R$26),2)</f>
        <v>0</v>
      </c>
      <c r="J25" s="11">
        <f t="shared" si="3"/>
        <v>5.36</v>
      </c>
      <c r="K25" s="11">
        <f>F25+I25</f>
        <v>5.36</v>
      </c>
      <c r="L25" s="12">
        <f t="shared" si="0"/>
        <v>0</v>
      </c>
    </row>
    <row r="26" spans="1:12" x14ac:dyDescent="0.35">
      <c r="A26" s="88">
        <v>7</v>
      </c>
      <c r="D26" s="67">
        <v>16</v>
      </c>
      <c r="E26" s="11">
        <f>Input!$H$26+ROUND(Input!$C$26*IN3C!D26,2)+ROUND(D26*Input!$N$26,2)</f>
        <v>6.6000000000000005</v>
      </c>
      <c r="F26" s="11">
        <f>Input!$Y$26+ROUND(Input!$T$26*D26,2)+ROUND(Input!$N$26*IN3C!D26,2)</f>
        <v>6.6000000000000005</v>
      </c>
      <c r="G26" s="11">
        <f t="shared" si="1"/>
        <v>0</v>
      </c>
      <c r="H26" s="12">
        <f t="shared" si="2"/>
        <v>0</v>
      </c>
      <c r="I26" s="11">
        <f>ROUND(D26*SUM(Input!$O$26:$R$26),2)</f>
        <v>0</v>
      </c>
      <c r="J26" s="11">
        <f t="shared" si="3"/>
        <v>6.6000000000000005</v>
      </c>
      <c r="K26" s="11">
        <f t="shared" si="4"/>
        <v>6.6000000000000005</v>
      </c>
      <c r="L26" s="12">
        <f t="shared" si="0"/>
        <v>0</v>
      </c>
    </row>
    <row r="27" spans="1:12" x14ac:dyDescent="0.35">
      <c r="A27" s="88">
        <v>8</v>
      </c>
      <c r="D27" s="67">
        <v>20</v>
      </c>
      <c r="E27" s="11">
        <f>Input!$H$26+ROUND(Input!$C$26*IN3C!D27,2)+ROUND(D27*Input!$N$26,2)</f>
        <v>8.25</v>
      </c>
      <c r="F27" s="11">
        <f>Input!$Y$26+ROUND(Input!$T$26*D27,2)+ROUND(Input!$N$26*IN3C!D27,2)</f>
        <v>8.25</v>
      </c>
      <c r="G27" s="11">
        <f t="shared" si="1"/>
        <v>0</v>
      </c>
      <c r="H27" s="12">
        <f t="shared" si="2"/>
        <v>0</v>
      </c>
      <c r="I27" s="11">
        <f>ROUND(D27*SUM(Input!$O$26:$R$26),2)</f>
        <v>0</v>
      </c>
      <c r="J27" s="11">
        <f t="shared" si="3"/>
        <v>8.25</v>
      </c>
      <c r="K27" s="11">
        <f t="shared" si="4"/>
        <v>8.25</v>
      </c>
      <c r="L27" s="12">
        <f t="shared" si="0"/>
        <v>0</v>
      </c>
    </row>
    <row r="28" spans="1:12" x14ac:dyDescent="0.35">
      <c r="A28" s="88">
        <v>9</v>
      </c>
      <c r="D28" s="67">
        <v>30</v>
      </c>
      <c r="E28" s="11">
        <f>Input!$H$26+ROUND(Input!$C$26*IN3C!D28,2)+ROUND(D28*Input!$N$26,2)</f>
        <v>12.37</v>
      </c>
      <c r="F28" s="11">
        <f>Input!$Y$26+ROUND(Input!$T$26*D28,2)+ROUND(Input!$N$26*IN3C!D28,2)</f>
        <v>12.37</v>
      </c>
      <c r="G28" s="11">
        <f t="shared" si="1"/>
        <v>0</v>
      </c>
      <c r="H28" s="12">
        <f t="shared" si="2"/>
        <v>0</v>
      </c>
      <c r="I28" s="11">
        <f>ROUND(D28*SUM(Input!$O$26:$R$26),2)</f>
        <v>0</v>
      </c>
      <c r="J28" s="11">
        <f t="shared" si="3"/>
        <v>12.37</v>
      </c>
      <c r="K28" s="11">
        <f t="shared" si="4"/>
        <v>12.37</v>
      </c>
      <c r="L28" s="12">
        <f t="shared" si="0"/>
        <v>0</v>
      </c>
    </row>
    <row r="29" spans="1:12" x14ac:dyDescent="0.35">
      <c r="A29" s="88">
        <v>10</v>
      </c>
      <c r="D29" s="67">
        <v>40</v>
      </c>
      <c r="E29" s="11">
        <f>Input!$H$26+ROUND(Input!$C$26*IN3C!D29,2)+ROUND(D29*Input!$N$26,2)</f>
        <v>16.5</v>
      </c>
      <c r="F29" s="11">
        <f>Input!$Y$26+ROUND(Input!$T$26*D29,2)+ROUND(Input!$N$26*IN3C!D29,2)</f>
        <v>16.5</v>
      </c>
      <c r="G29" s="11">
        <f t="shared" si="1"/>
        <v>0</v>
      </c>
      <c r="H29" s="12">
        <f t="shared" si="2"/>
        <v>0</v>
      </c>
      <c r="I29" s="11">
        <f>ROUND(D29*SUM(Input!$O$26:$R$26),2)</f>
        <v>0</v>
      </c>
      <c r="J29" s="11">
        <f t="shared" si="3"/>
        <v>16.5</v>
      </c>
      <c r="K29" s="11">
        <f t="shared" si="4"/>
        <v>16.5</v>
      </c>
      <c r="L29" s="12">
        <f t="shared" si="0"/>
        <v>0</v>
      </c>
    </row>
    <row r="30" spans="1:12" x14ac:dyDescent="0.35">
      <c r="A30" s="88">
        <v>11</v>
      </c>
      <c r="D30" s="67">
        <v>50</v>
      </c>
      <c r="E30" s="11">
        <f>Input!$H$26+ROUND(Input!$C$26*IN3C!D30,2)+ROUND(D30*Input!$N$26,2)</f>
        <v>20.62</v>
      </c>
      <c r="F30" s="11">
        <f>Input!$Y$26+ROUND(Input!$T$26*D30,2)+ROUND(Input!$N$26*IN3C!D30,2)</f>
        <v>20.62</v>
      </c>
      <c r="G30" s="11">
        <f t="shared" si="1"/>
        <v>0</v>
      </c>
      <c r="H30" s="12">
        <f t="shared" si="2"/>
        <v>0</v>
      </c>
      <c r="I30" s="11">
        <f>ROUND(D30*SUM(Input!$O$26:$R$26),2)</f>
        <v>0</v>
      </c>
      <c r="J30" s="11">
        <f t="shared" si="3"/>
        <v>20.62</v>
      </c>
      <c r="K30" s="11">
        <f t="shared" si="4"/>
        <v>20.62</v>
      </c>
      <c r="L30" s="12">
        <f t="shared" si="0"/>
        <v>0</v>
      </c>
    </row>
    <row r="31" spans="1:12" x14ac:dyDescent="0.35">
      <c r="A31" s="88">
        <v>12</v>
      </c>
      <c r="D31" s="67">
        <v>70</v>
      </c>
      <c r="E31" s="11">
        <f>Input!$H$26+ROUND(Input!$C$26*IN3C!D31,2)+ROUND(D31*Input!$N$26,2)</f>
        <v>28.87</v>
      </c>
      <c r="F31" s="11">
        <f>Input!$Y$26+ROUND(Input!$T$26*D31,2)+ROUND(Input!$N$26*IN3C!D31,2)</f>
        <v>28.87</v>
      </c>
      <c r="G31" s="11">
        <f t="shared" si="1"/>
        <v>0</v>
      </c>
      <c r="H31" s="12">
        <f t="shared" si="2"/>
        <v>0</v>
      </c>
      <c r="I31" s="11">
        <f>ROUND(D31*SUM(Input!$O$26:$R$26),2)</f>
        <v>0</v>
      </c>
      <c r="J31" s="11">
        <f t="shared" si="3"/>
        <v>28.87</v>
      </c>
      <c r="K31" s="11">
        <f t="shared" si="4"/>
        <v>28.87</v>
      </c>
      <c r="L31" s="12">
        <f t="shared" si="0"/>
        <v>0</v>
      </c>
    </row>
    <row r="32" spans="1:12" x14ac:dyDescent="0.35">
      <c r="A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6" x14ac:dyDescent="0.35">
      <c r="A33" s="14"/>
      <c r="C33" s="3" t="s">
        <v>102</v>
      </c>
      <c r="E33" s="66">
        <f>IF(Input!AF26=0,0,Input!AF26)</f>
        <v>0</v>
      </c>
    </row>
    <row r="34" spans="1:6" x14ac:dyDescent="0.35">
      <c r="A34" s="14"/>
      <c r="C34" s="3" t="s">
        <v>151</v>
      </c>
      <c r="E34" s="88"/>
      <c r="F34" s="15"/>
    </row>
    <row r="36" spans="1:6" x14ac:dyDescent="0.35">
      <c r="B36" s="3" t="s">
        <v>111</v>
      </c>
      <c r="D36" s="76"/>
    </row>
  </sheetData>
  <mergeCells count="5">
    <mergeCell ref="A5:L5"/>
    <mergeCell ref="A1:L1"/>
    <mergeCell ref="A2:L2"/>
    <mergeCell ref="A3:L3"/>
    <mergeCell ref="A4:L4"/>
  </mergeCells>
  <phoneticPr fontId="7" type="noConversion"/>
  <pageMargins left="0.75" right="0.75" top="1" bottom="0.7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L37"/>
  <sheetViews>
    <sheetView workbookViewId="0">
      <selection sqref="A1:L1"/>
    </sheetView>
  </sheetViews>
  <sheetFormatPr defaultColWidth="9.140625" defaultRowHeight="12.9" x14ac:dyDescent="0.35"/>
  <cols>
    <col min="1" max="1" width="9.140625" style="3"/>
    <col min="2" max="2" width="10.28515625" style="3" customWidth="1"/>
    <col min="3" max="3" width="9.5703125" style="3" customWidth="1"/>
    <col min="4" max="10" width="9.140625" style="3"/>
    <col min="11" max="12" width="10.28515625" style="3" customWidth="1"/>
    <col min="13" max="16384" width="9.140625" style="3"/>
  </cols>
  <sheetData>
    <row r="1" spans="1:12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x14ac:dyDescent="0.35">
      <c r="A2" s="108" t="str">
        <f>Input!$B$13</f>
        <v>CASE NO. 2024-00092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35">
      <c r="A3" s="108" t="s">
        <v>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35">
      <c r="A5" s="110" t="str">
        <f>Input!B17</f>
        <v>TWELVE MONTHS ENDING DECEMBER 31, 2025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3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3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35">
      <c r="A8" s="3" t="s">
        <v>113</v>
      </c>
      <c r="L8" s="13" t="s">
        <v>3</v>
      </c>
    </row>
    <row r="9" spans="1:12" x14ac:dyDescent="0.35">
      <c r="A9" s="3" t="s">
        <v>115</v>
      </c>
      <c r="L9" s="13" t="s">
        <v>129</v>
      </c>
    </row>
    <row r="10" spans="1:12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R. J. Amen</v>
      </c>
    </row>
    <row r="13" spans="1:12" x14ac:dyDescent="0.35">
      <c r="D13" s="88"/>
      <c r="E13" s="88"/>
      <c r="F13" s="88"/>
      <c r="G13" s="88"/>
      <c r="H13" s="88"/>
      <c r="I13" s="88"/>
      <c r="J13" s="88" t="s">
        <v>29</v>
      </c>
      <c r="K13" s="88" t="s">
        <v>29</v>
      </c>
      <c r="L13" s="88"/>
    </row>
    <row r="14" spans="1:12" x14ac:dyDescent="0.35">
      <c r="A14" s="88" t="s">
        <v>4</v>
      </c>
      <c r="B14" s="88" t="s">
        <v>6</v>
      </c>
      <c r="C14" s="88" t="s">
        <v>8</v>
      </c>
      <c r="D14" s="88" t="s">
        <v>8</v>
      </c>
      <c r="E14" s="88" t="s">
        <v>14</v>
      </c>
      <c r="F14" s="88" t="s">
        <v>18</v>
      </c>
      <c r="G14" s="88" t="s">
        <v>20</v>
      </c>
      <c r="H14" s="88" t="s">
        <v>20</v>
      </c>
      <c r="I14" s="88" t="s">
        <v>26</v>
      </c>
      <c r="J14" s="88" t="s">
        <v>14</v>
      </c>
      <c r="K14" s="88" t="s">
        <v>18</v>
      </c>
      <c r="L14" s="88" t="s">
        <v>33</v>
      </c>
    </row>
    <row r="15" spans="1:12" x14ac:dyDescent="0.35">
      <c r="A15" s="68" t="s">
        <v>5</v>
      </c>
      <c r="B15" s="68" t="s">
        <v>7</v>
      </c>
      <c r="C15" s="68" t="s">
        <v>9</v>
      </c>
      <c r="D15" s="68" t="s">
        <v>10</v>
      </c>
      <c r="E15" s="68" t="s">
        <v>15</v>
      </c>
      <c r="F15" s="68" t="s">
        <v>15</v>
      </c>
      <c r="G15" s="69" t="s">
        <v>21</v>
      </c>
      <c r="H15" s="69" t="s">
        <v>23</v>
      </c>
      <c r="I15" s="68" t="s">
        <v>27</v>
      </c>
      <c r="J15" s="68" t="s">
        <v>15</v>
      </c>
      <c r="K15" s="68" t="s">
        <v>15</v>
      </c>
      <c r="L15" s="68" t="s">
        <v>20</v>
      </c>
    </row>
    <row r="16" spans="1:12" x14ac:dyDescent="0.35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5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5">
      <c r="D18" s="88"/>
      <c r="E18" s="88"/>
      <c r="F18" s="88"/>
      <c r="G18" s="88"/>
      <c r="H18" s="88"/>
      <c r="I18" s="88"/>
      <c r="J18" s="10" t="s">
        <v>34</v>
      </c>
      <c r="K18" s="10" t="s">
        <v>35</v>
      </c>
      <c r="L18" s="10" t="s">
        <v>36</v>
      </c>
    </row>
    <row r="19" spans="1:12" x14ac:dyDescent="0.35">
      <c r="A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35">
      <c r="A20" s="88">
        <v>1</v>
      </c>
      <c r="B20" s="88" t="s">
        <v>47</v>
      </c>
      <c r="C20" s="88" t="s">
        <v>38</v>
      </c>
      <c r="D20" s="73">
        <f>E33</f>
        <v>0</v>
      </c>
      <c r="E20" s="11">
        <f>Input!$H$27+ROUND((Input!$C$27*'IN4'!D20),2)+ROUND(D20*Input!$N$27,2)</f>
        <v>0</v>
      </c>
      <c r="F20" s="11">
        <f>Input!$Y$27+ROUND((Input!$T$27*'IN4'!D20),2)+ROUND(Input!$N$27*'IN4'!D20,2)</f>
        <v>0</v>
      </c>
      <c r="G20" s="11">
        <f>F20-E20</f>
        <v>0</v>
      </c>
      <c r="H20" s="12">
        <f>IF(E20=0,0,ROUND(G20/E20,3))</f>
        <v>0</v>
      </c>
      <c r="I20" s="11">
        <f>ROUND(D20*SUM(Input!$O$27:$R$27),2)</f>
        <v>0</v>
      </c>
      <c r="J20" s="11">
        <f>E20+I20</f>
        <v>0</v>
      </c>
      <c r="K20" s="11">
        <f>F20+I20</f>
        <v>0</v>
      </c>
      <c r="L20" s="12">
        <f>IF(J20=0,0,(K20-J20)/J20)</f>
        <v>0</v>
      </c>
    </row>
    <row r="21" spans="1:12" x14ac:dyDescent="0.35">
      <c r="A21" s="88">
        <v>2</v>
      </c>
      <c r="B21" s="88" t="s">
        <v>56</v>
      </c>
      <c r="C21" s="88" t="s">
        <v>39</v>
      </c>
      <c r="D21" s="73">
        <v>3</v>
      </c>
      <c r="E21" s="11">
        <f>Input!$H$27+ROUND((Input!$C$27*'IN4'!D21),2)+ROUND(D21*Input!$N$27,2)</f>
        <v>0.04</v>
      </c>
      <c r="F21" s="11">
        <f>Input!$Y$27+ROUND((Input!$T$27*'IN4'!D21),2)+ROUND(Input!$N$27*'IN4'!D21,2)</f>
        <v>0.04</v>
      </c>
      <c r="G21" s="11">
        <f t="shared" ref="G21:G31" si="0">F21-E21</f>
        <v>0</v>
      </c>
      <c r="H21" s="12">
        <f t="shared" ref="H21:H31" si="1">IF(E21=0,0,ROUND(G21/E21,3))</f>
        <v>0</v>
      </c>
      <c r="I21" s="11">
        <f>ROUND(D21*SUM(Input!$O$27:$R$27),2)</f>
        <v>0</v>
      </c>
      <c r="J21" s="11">
        <f t="shared" ref="J21:J31" si="2">E21+I21</f>
        <v>0.04</v>
      </c>
      <c r="K21" s="11">
        <f t="shared" ref="K21:K31" si="3">F21+I21</f>
        <v>0.04</v>
      </c>
      <c r="L21" s="12">
        <f t="shared" ref="L21:L31" si="4">IF(J21=0,0,(K21-J21)/J21)</f>
        <v>0</v>
      </c>
    </row>
    <row r="22" spans="1:12" x14ac:dyDescent="0.35">
      <c r="A22" s="88">
        <v>3</v>
      </c>
      <c r="B22" s="88" t="s">
        <v>26</v>
      </c>
      <c r="D22" s="73">
        <v>6</v>
      </c>
      <c r="E22" s="11">
        <f>Input!$H$27+ROUND((Input!$C$27*'IN4'!D22),2)+ROUND(D22*Input!$N$27,2)</f>
        <v>7.0000000000000007E-2</v>
      </c>
      <c r="F22" s="11">
        <f>Input!$Y$27+ROUND((Input!$T$27*'IN4'!D22),2)+ROUND(Input!$N$27*'IN4'!D22,2)</f>
        <v>7.0000000000000007E-2</v>
      </c>
      <c r="G22" s="11">
        <f t="shared" si="0"/>
        <v>0</v>
      </c>
      <c r="H22" s="12">
        <f t="shared" si="1"/>
        <v>0</v>
      </c>
      <c r="I22" s="11">
        <f>ROUND(D22*SUM(Input!$O$27:$R$27),2)</f>
        <v>0</v>
      </c>
      <c r="J22" s="11">
        <f t="shared" si="2"/>
        <v>7.0000000000000007E-2</v>
      </c>
      <c r="K22" s="11">
        <f t="shared" si="3"/>
        <v>7.0000000000000007E-2</v>
      </c>
      <c r="L22" s="12">
        <f t="shared" si="4"/>
        <v>0</v>
      </c>
    </row>
    <row r="23" spans="1:12" x14ac:dyDescent="0.35">
      <c r="A23" s="88">
        <v>4</v>
      </c>
      <c r="B23" s="88" t="s">
        <v>42</v>
      </c>
      <c r="D23" s="73">
        <v>7</v>
      </c>
      <c r="E23" s="11">
        <f>Input!$H$27+ROUND((Input!$C$27*'IN4'!D23),2)+ROUND(D23*Input!$N$27,2)</f>
        <v>0.09</v>
      </c>
      <c r="F23" s="11">
        <f>Input!$Y$27+ROUND((Input!$T$27*'IN4'!D23),2)+ROUND(Input!$N$27*'IN4'!D23,2)</f>
        <v>0.09</v>
      </c>
      <c r="G23" s="11">
        <f t="shared" si="0"/>
        <v>0</v>
      </c>
      <c r="H23" s="12">
        <f t="shared" si="1"/>
        <v>0</v>
      </c>
      <c r="I23" s="11">
        <f>ROUND(D23*SUM(Input!$O$27:$R$27),2)</f>
        <v>0</v>
      </c>
      <c r="J23" s="11">
        <f t="shared" si="2"/>
        <v>0.09</v>
      </c>
      <c r="K23" s="11">
        <f t="shared" si="3"/>
        <v>0.09</v>
      </c>
      <c r="L23" s="12">
        <f t="shared" si="4"/>
        <v>0</v>
      </c>
    </row>
    <row r="24" spans="1:12" x14ac:dyDescent="0.35">
      <c r="A24" s="88">
        <v>5</v>
      </c>
      <c r="B24" s="88" t="s">
        <v>43</v>
      </c>
      <c r="D24" s="73">
        <v>10</v>
      </c>
      <c r="E24" s="11">
        <f>Input!$H$27+ROUND((Input!$C$27*'IN4'!D24),2)+ROUND(D24*Input!$N$27,2)</f>
        <v>0.12</v>
      </c>
      <c r="F24" s="11">
        <f>Input!$Y$27+ROUND((Input!$T$27*'IN4'!D24),2)+ROUND(Input!$N$27*'IN4'!D24,2)</f>
        <v>0.12</v>
      </c>
      <c r="G24" s="11">
        <f>F24-E24</f>
        <v>0</v>
      </c>
      <c r="H24" s="12">
        <f t="shared" si="1"/>
        <v>0</v>
      </c>
      <c r="I24" s="11">
        <f>ROUND(D24*SUM(Input!$O$27:$R$27),2)</f>
        <v>0</v>
      </c>
      <c r="J24" s="11">
        <f t="shared" si="2"/>
        <v>0.12</v>
      </c>
      <c r="K24" s="11">
        <f>F24+I24</f>
        <v>0.12</v>
      </c>
      <c r="L24" s="12">
        <f t="shared" si="4"/>
        <v>0</v>
      </c>
    </row>
    <row r="25" spans="1:12" x14ac:dyDescent="0.35">
      <c r="A25" s="88">
        <v>6</v>
      </c>
      <c r="B25" s="89" t="s">
        <v>37</v>
      </c>
      <c r="D25" s="73">
        <v>12</v>
      </c>
      <c r="E25" s="11">
        <f>Input!$H$27+ROUND((Input!$C$27*'IN4'!D25),2)+ROUND(D25*Input!$N$27,2)</f>
        <v>0.15</v>
      </c>
      <c r="F25" s="11">
        <f>Input!$Y$27+ROUND((Input!$T$27*'IN4'!D25),2)+ROUND(Input!$N$27*'IN4'!D25,2)</f>
        <v>0.15</v>
      </c>
      <c r="G25" s="11">
        <f t="shared" si="0"/>
        <v>0</v>
      </c>
      <c r="H25" s="12">
        <f t="shared" si="1"/>
        <v>0</v>
      </c>
      <c r="I25" s="11">
        <f>ROUND(D25*SUM(Input!$O$27:$R$27),2)</f>
        <v>0</v>
      </c>
      <c r="J25" s="11">
        <f t="shared" si="2"/>
        <v>0.15</v>
      </c>
      <c r="K25" s="11">
        <f t="shared" si="3"/>
        <v>0.15</v>
      </c>
      <c r="L25" s="12">
        <f t="shared" si="4"/>
        <v>0</v>
      </c>
    </row>
    <row r="26" spans="1:12" x14ac:dyDescent="0.35">
      <c r="A26" s="88">
        <v>7</v>
      </c>
      <c r="D26" s="73">
        <v>14</v>
      </c>
      <c r="E26" s="11">
        <f>Input!$H$27+ROUND((Input!$C$27*'IN4'!D26),2)+ROUND(D26*Input!$N$27,2)</f>
        <v>0.17</v>
      </c>
      <c r="F26" s="11">
        <f>Input!$Y$27+ROUND((Input!$T$27*'IN4'!D26),2)+ROUND(Input!$N$27*'IN4'!D26,2)</f>
        <v>0.17</v>
      </c>
      <c r="G26" s="11">
        <f t="shared" si="0"/>
        <v>0</v>
      </c>
      <c r="H26" s="12">
        <f t="shared" si="1"/>
        <v>0</v>
      </c>
      <c r="I26" s="11">
        <f>ROUND(D26*SUM(Input!$O$27:$R$27),2)</f>
        <v>0</v>
      </c>
      <c r="J26" s="11">
        <f t="shared" si="2"/>
        <v>0.17</v>
      </c>
      <c r="K26" s="11">
        <f t="shared" si="3"/>
        <v>0.17</v>
      </c>
      <c r="L26" s="12">
        <f t="shared" si="4"/>
        <v>0</v>
      </c>
    </row>
    <row r="27" spans="1:12" x14ac:dyDescent="0.35">
      <c r="A27" s="88">
        <v>8</v>
      </c>
      <c r="D27" s="73">
        <v>16</v>
      </c>
      <c r="E27" s="11">
        <f>Input!$H$27+ROUND((Input!$C$27*'IN4'!D27),2)+ROUND(D27*Input!$N$27,2)</f>
        <v>0.2</v>
      </c>
      <c r="F27" s="11">
        <f>Input!$Y$27+ROUND((Input!$T$27*'IN4'!D27),2)+ROUND(Input!$N$27*'IN4'!D27,2)</f>
        <v>0.2</v>
      </c>
      <c r="G27" s="11">
        <f t="shared" si="0"/>
        <v>0</v>
      </c>
      <c r="H27" s="12">
        <f t="shared" si="1"/>
        <v>0</v>
      </c>
      <c r="I27" s="11">
        <f>ROUND(D27*SUM(Input!$O$27:$R$27),2)</f>
        <v>0</v>
      </c>
      <c r="J27" s="11">
        <f t="shared" si="2"/>
        <v>0.2</v>
      </c>
      <c r="K27" s="11">
        <f t="shared" si="3"/>
        <v>0.2</v>
      </c>
      <c r="L27" s="12">
        <f t="shared" si="4"/>
        <v>0</v>
      </c>
    </row>
    <row r="28" spans="1:12" x14ac:dyDescent="0.35">
      <c r="A28" s="88">
        <v>9</v>
      </c>
      <c r="D28" s="73">
        <v>20</v>
      </c>
      <c r="E28" s="11">
        <f>Input!$H$27+ROUND((Input!$C$27*'IN4'!D28),2)+ROUND(D28*Input!$N$27,2)</f>
        <v>0.25</v>
      </c>
      <c r="F28" s="11">
        <f>Input!$Y$27+ROUND((Input!$T$27*'IN4'!D28),2)+ROUND(Input!$N$27*'IN4'!D28,2)</f>
        <v>0.25</v>
      </c>
      <c r="G28" s="11">
        <f t="shared" si="0"/>
        <v>0</v>
      </c>
      <c r="H28" s="12">
        <f t="shared" si="1"/>
        <v>0</v>
      </c>
      <c r="I28" s="11">
        <f>ROUND(D28*SUM(Input!$O$27:$R$27),2)</f>
        <v>0</v>
      </c>
      <c r="J28" s="11">
        <f t="shared" si="2"/>
        <v>0.25</v>
      </c>
      <c r="K28" s="11">
        <f t="shared" si="3"/>
        <v>0.25</v>
      </c>
      <c r="L28" s="12">
        <f t="shared" si="4"/>
        <v>0</v>
      </c>
    </row>
    <row r="29" spans="1:12" x14ac:dyDescent="0.35">
      <c r="A29" s="88">
        <v>10</v>
      </c>
      <c r="D29" s="73">
        <v>30</v>
      </c>
      <c r="E29" s="11">
        <f>Input!$H$27+ROUND((Input!$C$27*'IN4'!D29),2)+ROUND(D29*Input!$N$27,2)</f>
        <v>0.37</v>
      </c>
      <c r="F29" s="11">
        <f>Input!$Y$27+ROUND((Input!$T$27*'IN4'!D29),2)+ROUND(Input!$N$27*'IN4'!D29,2)</f>
        <v>0.37</v>
      </c>
      <c r="G29" s="11">
        <f t="shared" si="0"/>
        <v>0</v>
      </c>
      <c r="H29" s="12">
        <f t="shared" si="1"/>
        <v>0</v>
      </c>
      <c r="I29" s="11">
        <f>ROUND(D29*SUM(Input!$O$27:$R$27),2)</f>
        <v>0</v>
      </c>
      <c r="J29" s="11">
        <f t="shared" si="2"/>
        <v>0.37</v>
      </c>
      <c r="K29" s="11">
        <f t="shared" si="3"/>
        <v>0.37</v>
      </c>
      <c r="L29" s="12">
        <f t="shared" si="4"/>
        <v>0</v>
      </c>
    </row>
    <row r="30" spans="1:12" x14ac:dyDescent="0.35">
      <c r="A30" s="88">
        <v>11</v>
      </c>
      <c r="D30" s="73">
        <v>40</v>
      </c>
      <c r="E30" s="11">
        <f>Input!$H$27+ROUND((Input!$C$27*'IN4'!D30),2)+ROUND(D30*Input!$N$27,2)</f>
        <v>0.5</v>
      </c>
      <c r="F30" s="11">
        <f>Input!$Y$27+ROUND((Input!$T$27*'IN4'!D30),2)+ROUND(Input!$N$27*'IN4'!D30,2)</f>
        <v>0.5</v>
      </c>
      <c r="G30" s="11">
        <f t="shared" si="0"/>
        <v>0</v>
      </c>
      <c r="H30" s="12">
        <f t="shared" si="1"/>
        <v>0</v>
      </c>
      <c r="I30" s="11">
        <f>ROUND(D30*SUM(Input!$O$27:$R$27),2)</f>
        <v>0</v>
      </c>
      <c r="J30" s="11">
        <f t="shared" si="2"/>
        <v>0.5</v>
      </c>
      <c r="K30" s="11">
        <f t="shared" si="3"/>
        <v>0.5</v>
      </c>
      <c r="L30" s="12">
        <f t="shared" si="4"/>
        <v>0</v>
      </c>
    </row>
    <row r="31" spans="1:12" x14ac:dyDescent="0.35">
      <c r="A31" s="88">
        <v>12</v>
      </c>
      <c r="D31" s="73">
        <v>50</v>
      </c>
      <c r="E31" s="11">
        <f>Input!$H$27+ROUND((Input!$C$27*'IN4'!D31),2)+ROUND(D31*Input!$N$27,2)</f>
        <v>0.62</v>
      </c>
      <c r="F31" s="11">
        <f>Input!$Y$27+ROUND((Input!$T$27*'IN4'!D31),2)+ROUND(Input!$N$27*'IN4'!D31,2)</f>
        <v>0.62</v>
      </c>
      <c r="G31" s="11">
        <f t="shared" si="0"/>
        <v>0</v>
      </c>
      <c r="H31" s="12">
        <f t="shared" si="1"/>
        <v>0</v>
      </c>
      <c r="I31" s="11">
        <f>ROUND(D31*SUM(Input!$O$27:$R$27),2)</f>
        <v>0</v>
      </c>
      <c r="J31" s="11">
        <f t="shared" si="2"/>
        <v>0.62</v>
      </c>
      <c r="K31" s="11">
        <f t="shared" si="3"/>
        <v>0.62</v>
      </c>
      <c r="L31" s="12">
        <f t="shared" si="4"/>
        <v>0</v>
      </c>
    </row>
    <row r="32" spans="1:12" x14ac:dyDescent="0.35">
      <c r="A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5" x14ac:dyDescent="0.35">
      <c r="A33" s="14"/>
      <c r="C33" s="3" t="s">
        <v>102</v>
      </c>
      <c r="E33" s="66">
        <f>Input!AF27</f>
        <v>0</v>
      </c>
    </row>
    <row r="34" spans="1:5" x14ac:dyDescent="0.35">
      <c r="C34" s="3" t="s">
        <v>151</v>
      </c>
    </row>
    <row r="36" spans="1:5" x14ac:dyDescent="0.35">
      <c r="D36" s="76"/>
    </row>
    <row r="37" spans="1:5" x14ac:dyDescent="0.35">
      <c r="B37" s="3" t="s">
        <v>111</v>
      </c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9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L36"/>
  <sheetViews>
    <sheetView workbookViewId="0">
      <selection sqref="A1:L1"/>
    </sheetView>
  </sheetViews>
  <sheetFormatPr defaultColWidth="9.140625" defaultRowHeight="12.9" x14ac:dyDescent="0.35"/>
  <cols>
    <col min="1" max="1" width="9.140625" style="3"/>
    <col min="2" max="2" width="10.28515625" style="3" customWidth="1"/>
    <col min="3" max="3" width="9.5703125" style="3" customWidth="1"/>
    <col min="4" max="10" width="9.140625" style="3"/>
    <col min="11" max="12" width="10.28515625" style="3" customWidth="1"/>
    <col min="13" max="16384" width="9.140625" style="3"/>
  </cols>
  <sheetData>
    <row r="1" spans="1:12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x14ac:dyDescent="0.35">
      <c r="A2" s="108" t="str">
        <f>Input!$B$13</f>
        <v>CASE NO. 2024-00092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35">
      <c r="A3" s="108" t="s">
        <v>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35">
      <c r="A5" s="108" t="str">
        <f>Input!B17</f>
        <v>TWELVE MONTHS ENDING DECEMBER 31, 2025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3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3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35">
      <c r="A8" s="3" t="s">
        <v>113</v>
      </c>
      <c r="L8" s="13" t="s">
        <v>3</v>
      </c>
    </row>
    <row r="9" spans="1:12" x14ac:dyDescent="0.35">
      <c r="A9" s="3" t="s">
        <v>115</v>
      </c>
      <c r="L9" s="13" t="s">
        <v>130</v>
      </c>
    </row>
    <row r="10" spans="1:12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R. J. Amen</v>
      </c>
    </row>
    <row r="13" spans="1:12" x14ac:dyDescent="0.35">
      <c r="D13" s="88"/>
      <c r="E13" s="88"/>
      <c r="F13" s="88"/>
      <c r="G13" s="88"/>
      <c r="H13" s="88"/>
      <c r="I13" s="88"/>
      <c r="J13" s="88" t="s">
        <v>29</v>
      </c>
      <c r="K13" s="88" t="s">
        <v>29</v>
      </c>
      <c r="L13" s="88"/>
    </row>
    <row r="14" spans="1:12" x14ac:dyDescent="0.35">
      <c r="A14" s="88" t="s">
        <v>4</v>
      </c>
      <c r="B14" s="88" t="s">
        <v>6</v>
      </c>
      <c r="C14" s="88" t="s">
        <v>8</v>
      </c>
      <c r="D14" s="88" t="s">
        <v>8</v>
      </c>
      <c r="E14" s="88" t="s">
        <v>14</v>
      </c>
      <c r="F14" s="88" t="s">
        <v>18</v>
      </c>
      <c r="G14" s="88" t="s">
        <v>20</v>
      </c>
      <c r="H14" s="88" t="s">
        <v>20</v>
      </c>
      <c r="I14" s="88" t="s">
        <v>26</v>
      </c>
      <c r="J14" s="88" t="s">
        <v>14</v>
      </c>
      <c r="K14" s="88" t="s">
        <v>18</v>
      </c>
      <c r="L14" s="88" t="s">
        <v>33</v>
      </c>
    </row>
    <row r="15" spans="1:12" x14ac:dyDescent="0.35">
      <c r="A15" s="68" t="s">
        <v>5</v>
      </c>
      <c r="B15" s="68" t="s">
        <v>7</v>
      </c>
      <c r="C15" s="68" t="s">
        <v>9</v>
      </c>
      <c r="D15" s="68" t="s">
        <v>10</v>
      </c>
      <c r="E15" s="68" t="s">
        <v>15</v>
      </c>
      <c r="F15" s="68" t="s">
        <v>15</v>
      </c>
      <c r="G15" s="69" t="s">
        <v>21</v>
      </c>
      <c r="H15" s="69" t="s">
        <v>23</v>
      </c>
      <c r="I15" s="68" t="s">
        <v>27</v>
      </c>
      <c r="J15" s="68" t="s">
        <v>15</v>
      </c>
      <c r="K15" s="68" t="s">
        <v>15</v>
      </c>
      <c r="L15" s="68" t="s">
        <v>20</v>
      </c>
    </row>
    <row r="16" spans="1:12" x14ac:dyDescent="0.35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5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5">
      <c r="D18" s="88"/>
      <c r="E18" s="88"/>
      <c r="F18" s="88"/>
      <c r="G18" s="88"/>
      <c r="H18" s="88"/>
      <c r="I18" s="88"/>
      <c r="J18" s="10" t="s">
        <v>34</v>
      </c>
      <c r="K18" s="10" t="s">
        <v>35</v>
      </c>
      <c r="L18" s="10" t="s">
        <v>36</v>
      </c>
    </row>
    <row r="19" spans="1:12" x14ac:dyDescent="0.35">
      <c r="A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35">
      <c r="A20" s="88">
        <v>1</v>
      </c>
      <c r="B20" s="88" t="s">
        <v>48</v>
      </c>
      <c r="C20" s="88" t="s">
        <v>38</v>
      </c>
      <c r="D20" s="67">
        <v>1</v>
      </c>
      <c r="E20" s="11">
        <f>Input!$H$28+ROUND((Input!$C$28*'IN5'!D20),2)+(ROUND(D20*(Input!$N$28),2))</f>
        <v>0.61</v>
      </c>
      <c r="F20" s="11">
        <f>Input!$Y$28+ROUND(Input!$T$28*'IN5'!D20,2)+ROUND(Input!$N$28*'IN5'!D20,2)</f>
        <v>0.61</v>
      </c>
      <c r="G20" s="11">
        <f>F20-E20</f>
        <v>0</v>
      </c>
      <c r="H20" s="12">
        <f>ROUND(G20/E20,3)</f>
        <v>0</v>
      </c>
      <c r="I20" s="11">
        <f>ROUND(D20*SUM(Input!$O$28:$R$28),2)</f>
        <v>0</v>
      </c>
      <c r="J20" s="11">
        <f>E20+I20</f>
        <v>0.61</v>
      </c>
      <c r="K20" s="11">
        <f>F20+I20</f>
        <v>0.61</v>
      </c>
      <c r="L20" s="12">
        <f>ROUND((K20-J20)/J20,3)</f>
        <v>0</v>
      </c>
    </row>
    <row r="21" spans="1:12" x14ac:dyDescent="0.35">
      <c r="A21" s="88">
        <v>2</v>
      </c>
      <c r="B21" s="88" t="s">
        <v>56</v>
      </c>
      <c r="C21" s="88" t="s">
        <v>39</v>
      </c>
      <c r="D21" s="67">
        <v>3</v>
      </c>
      <c r="E21" s="11">
        <f>Input!$H$28+ROUND((Input!$C$28*'IN5'!D21),2)+(ROUND(D21*(Input!$N$28),2))</f>
        <v>1.84</v>
      </c>
      <c r="F21" s="11">
        <f>Input!$Y$28+ROUND(Input!$T$28*'IN5'!D21,2)+ROUND(Input!$N$28*'IN5'!D21,2)</f>
        <v>1.84</v>
      </c>
      <c r="G21" s="11">
        <f t="shared" ref="G21:G31" si="0">F21-E21</f>
        <v>0</v>
      </c>
      <c r="H21" s="12">
        <f t="shared" ref="H21:H31" si="1">ROUND(G21/E21,3)</f>
        <v>0</v>
      </c>
      <c r="I21" s="11">
        <f>ROUND(D21*SUM(Input!$O$28:$R$28),2)</f>
        <v>0</v>
      </c>
      <c r="J21" s="11">
        <f t="shared" ref="J21:J31" si="2">E21+I21</f>
        <v>1.84</v>
      </c>
      <c r="K21" s="11">
        <f t="shared" ref="K21:K31" si="3">F21+I21</f>
        <v>1.84</v>
      </c>
      <c r="L21" s="12">
        <f t="shared" ref="L21:L31" si="4">ROUND((K21-J21)/J21,3)</f>
        <v>0</v>
      </c>
    </row>
    <row r="22" spans="1:12" x14ac:dyDescent="0.35">
      <c r="A22" s="88">
        <v>3</v>
      </c>
      <c r="B22" s="88" t="s">
        <v>26</v>
      </c>
      <c r="D22" s="67">
        <v>6</v>
      </c>
      <c r="E22" s="11">
        <f>Input!$H$28+ROUND((Input!$C$28*'IN5'!D22),2)+(ROUND(D22*(Input!$N$28),2))</f>
        <v>3.67</v>
      </c>
      <c r="F22" s="11">
        <f>Input!$Y$28+ROUND(Input!$T$28*'IN5'!D22,2)+ROUND(Input!$N$28*'IN5'!D22,2)</f>
        <v>3.67</v>
      </c>
      <c r="G22" s="11">
        <f t="shared" si="0"/>
        <v>0</v>
      </c>
      <c r="H22" s="12">
        <f t="shared" si="1"/>
        <v>0</v>
      </c>
      <c r="I22" s="11">
        <f>ROUND(D22*SUM(Input!$O$28:$R$28),2)</f>
        <v>0</v>
      </c>
      <c r="J22" s="11">
        <f t="shared" si="2"/>
        <v>3.67</v>
      </c>
      <c r="K22" s="11">
        <f t="shared" si="3"/>
        <v>3.67</v>
      </c>
      <c r="L22" s="12">
        <f t="shared" si="4"/>
        <v>0</v>
      </c>
    </row>
    <row r="23" spans="1:12" x14ac:dyDescent="0.35">
      <c r="A23" s="88">
        <v>4</v>
      </c>
      <c r="B23" s="88" t="s">
        <v>42</v>
      </c>
      <c r="D23" s="67">
        <v>7</v>
      </c>
      <c r="E23" s="11">
        <f>Input!$H$28+ROUND((Input!$C$28*'IN5'!D23),2)+(ROUND(D23*(Input!$N$28),2))</f>
        <v>4.29</v>
      </c>
      <c r="F23" s="11">
        <f>Input!$Y$28+ROUND(Input!$T$28*'IN5'!D23,2)+ROUND(Input!$N$28*'IN5'!D23,2)</f>
        <v>4.29</v>
      </c>
      <c r="G23" s="11">
        <f t="shared" si="0"/>
        <v>0</v>
      </c>
      <c r="H23" s="12">
        <f t="shared" si="1"/>
        <v>0</v>
      </c>
      <c r="I23" s="11">
        <f>ROUND(D23*SUM(Input!$O$28:$R$28),2)</f>
        <v>0</v>
      </c>
      <c r="J23" s="11">
        <f t="shared" si="2"/>
        <v>4.29</v>
      </c>
      <c r="K23" s="11">
        <f t="shared" si="3"/>
        <v>4.29</v>
      </c>
      <c r="L23" s="12">
        <f t="shared" si="4"/>
        <v>0</v>
      </c>
    </row>
    <row r="24" spans="1:12" x14ac:dyDescent="0.35">
      <c r="A24" s="88">
        <v>5</v>
      </c>
      <c r="B24" s="88" t="s">
        <v>43</v>
      </c>
      <c r="D24" s="67">
        <f>E33</f>
        <v>8.1999999999999993</v>
      </c>
      <c r="E24" s="11">
        <f>Input!$H$28+ROUND((Input!$C$28*'IN5'!D24),2)+(ROUND(D24*(Input!$N$28),2))</f>
        <v>5.0199999999999996</v>
      </c>
      <c r="F24" s="11">
        <f>Input!$Y$28+ROUND(Input!$T$28*'IN5'!D24,2)+ROUND(Input!$N$28*'IN5'!D24,2)</f>
        <v>5.0199999999999996</v>
      </c>
      <c r="G24" s="11">
        <f>F24-E24</f>
        <v>0</v>
      </c>
      <c r="H24" s="12">
        <f t="shared" si="1"/>
        <v>0</v>
      </c>
      <c r="I24" s="11">
        <f>ROUND(D24*SUM(Input!$O$28:$R$28),2)</f>
        <v>0</v>
      </c>
      <c r="J24" s="11">
        <f t="shared" si="2"/>
        <v>5.0199999999999996</v>
      </c>
      <c r="K24" s="11">
        <f>F24+I24</f>
        <v>5.0199999999999996</v>
      </c>
      <c r="L24" s="12">
        <f t="shared" si="4"/>
        <v>0</v>
      </c>
    </row>
    <row r="25" spans="1:12" x14ac:dyDescent="0.35">
      <c r="A25" s="88">
        <v>6</v>
      </c>
      <c r="B25" s="89" t="s">
        <v>37</v>
      </c>
      <c r="D25" s="67">
        <v>10</v>
      </c>
      <c r="E25" s="11">
        <f>Input!$H$28+ROUND((Input!$C$28*'IN5'!D25),2)+(ROUND(D25*(Input!$N$28),2))</f>
        <v>6.12</v>
      </c>
      <c r="F25" s="11">
        <f>Input!$Y$28+ROUND(Input!$T$28*'IN5'!D25,2)+ROUND(Input!$N$28*'IN5'!D25,2)</f>
        <v>6.12</v>
      </c>
      <c r="G25" s="11">
        <f t="shared" si="0"/>
        <v>0</v>
      </c>
      <c r="H25" s="12">
        <f t="shared" si="1"/>
        <v>0</v>
      </c>
      <c r="I25" s="11">
        <f>ROUND(D25*SUM(Input!$O$28:$R$28),2)</f>
        <v>0</v>
      </c>
      <c r="J25" s="11">
        <f t="shared" si="2"/>
        <v>6.12</v>
      </c>
      <c r="K25" s="11">
        <f t="shared" si="3"/>
        <v>6.12</v>
      </c>
      <c r="L25" s="12">
        <f t="shared" si="4"/>
        <v>0</v>
      </c>
    </row>
    <row r="26" spans="1:12" x14ac:dyDescent="0.35">
      <c r="A26" s="88">
        <v>7</v>
      </c>
      <c r="D26" s="67">
        <v>15</v>
      </c>
      <c r="E26" s="11">
        <f>Input!$H$28+ROUND((Input!$C$28*'IN5'!D26),2)+(ROUND(D26*(Input!$N$28),2))</f>
        <v>9.19</v>
      </c>
      <c r="F26" s="11">
        <f>Input!$Y$28+ROUND(Input!$T$28*'IN5'!D26,2)+ROUND(Input!$N$28*'IN5'!D26,2)</f>
        <v>9.19</v>
      </c>
      <c r="G26" s="11">
        <f t="shared" si="0"/>
        <v>0</v>
      </c>
      <c r="H26" s="12">
        <f t="shared" si="1"/>
        <v>0</v>
      </c>
      <c r="I26" s="11">
        <f>ROUND(D26*SUM(Input!$O$28:$R$28),2)</f>
        <v>0</v>
      </c>
      <c r="J26" s="11">
        <f t="shared" si="2"/>
        <v>9.19</v>
      </c>
      <c r="K26" s="11">
        <f t="shared" si="3"/>
        <v>9.19</v>
      </c>
      <c r="L26" s="12">
        <f t="shared" si="4"/>
        <v>0</v>
      </c>
    </row>
    <row r="27" spans="1:12" x14ac:dyDescent="0.35">
      <c r="A27" s="88">
        <v>8</v>
      </c>
      <c r="D27" s="67">
        <v>16</v>
      </c>
      <c r="E27" s="11">
        <f>Input!$H$28+ROUND((Input!$C$28*'IN5'!D27),2)+(ROUND(D27*(Input!$N$28),2))</f>
        <v>9.7999999999999989</v>
      </c>
      <c r="F27" s="11">
        <f>Input!$Y$28+ROUND(Input!$T$28*'IN5'!D27,2)+ROUND(Input!$N$28*'IN5'!D27,2)</f>
        <v>9.7999999999999989</v>
      </c>
      <c r="G27" s="11">
        <f t="shared" si="0"/>
        <v>0</v>
      </c>
      <c r="H27" s="12">
        <f t="shared" si="1"/>
        <v>0</v>
      </c>
      <c r="I27" s="11">
        <f>ROUND(D27*SUM(Input!$O$28:$R$28),2)</f>
        <v>0</v>
      </c>
      <c r="J27" s="11">
        <f t="shared" si="2"/>
        <v>9.7999999999999989</v>
      </c>
      <c r="K27" s="11">
        <f t="shared" si="3"/>
        <v>9.7999999999999989</v>
      </c>
      <c r="L27" s="12">
        <f t="shared" si="4"/>
        <v>0</v>
      </c>
    </row>
    <row r="28" spans="1:12" x14ac:dyDescent="0.35">
      <c r="A28" s="88">
        <v>9</v>
      </c>
      <c r="D28" s="67">
        <v>20</v>
      </c>
      <c r="E28" s="11">
        <f>Input!$H$28+ROUND((Input!$C$28*'IN5'!D28),2)+(ROUND(D28*(Input!$N$28),2))</f>
        <v>12.25</v>
      </c>
      <c r="F28" s="11">
        <f>Input!$Y$28+ROUND(Input!$T$28*'IN5'!D28,2)+ROUND(Input!$N$28*'IN5'!D28,2)</f>
        <v>12.25</v>
      </c>
      <c r="G28" s="11">
        <f t="shared" si="0"/>
        <v>0</v>
      </c>
      <c r="H28" s="12">
        <f t="shared" si="1"/>
        <v>0</v>
      </c>
      <c r="I28" s="11">
        <f>ROUND(D28*SUM(Input!$O$28:$R$28),2)</f>
        <v>0</v>
      </c>
      <c r="J28" s="11">
        <f t="shared" si="2"/>
        <v>12.25</v>
      </c>
      <c r="K28" s="11">
        <f t="shared" si="3"/>
        <v>12.25</v>
      </c>
      <c r="L28" s="12">
        <f t="shared" si="4"/>
        <v>0</v>
      </c>
    </row>
    <row r="29" spans="1:12" x14ac:dyDescent="0.35">
      <c r="A29" s="88">
        <v>10</v>
      </c>
      <c r="D29" s="67">
        <v>30</v>
      </c>
      <c r="E29" s="11">
        <f>Input!$H$28+ROUND((Input!$C$28*'IN5'!D29),2)+(ROUND(D29*(Input!$N$28),2))</f>
        <v>18.37</v>
      </c>
      <c r="F29" s="11">
        <f>Input!$Y$28+ROUND(Input!$T$28*'IN5'!D29,2)+ROUND(Input!$N$28*'IN5'!D29,2)</f>
        <v>18.37</v>
      </c>
      <c r="G29" s="11">
        <f t="shared" si="0"/>
        <v>0</v>
      </c>
      <c r="H29" s="12">
        <f t="shared" si="1"/>
        <v>0</v>
      </c>
      <c r="I29" s="11">
        <f>ROUND(D29*SUM(Input!$O$28:$R$28),2)</f>
        <v>0</v>
      </c>
      <c r="J29" s="11">
        <f t="shared" si="2"/>
        <v>18.37</v>
      </c>
      <c r="K29" s="11">
        <f t="shared" si="3"/>
        <v>18.37</v>
      </c>
      <c r="L29" s="12">
        <f t="shared" si="4"/>
        <v>0</v>
      </c>
    </row>
    <row r="30" spans="1:12" x14ac:dyDescent="0.35">
      <c r="A30" s="88">
        <v>11</v>
      </c>
      <c r="D30" s="67">
        <v>40</v>
      </c>
      <c r="E30" s="11">
        <f>Input!$H$28+ROUND((Input!$C$28*'IN5'!D30),2)+(ROUND(D30*(Input!$N$28),2))</f>
        <v>24.5</v>
      </c>
      <c r="F30" s="11">
        <f>Input!$Y$28+ROUND(Input!$T$28*'IN5'!D30,2)+ROUND(Input!$N$28*'IN5'!D30,2)</f>
        <v>24.5</v>
      </c>
      <c r="G30" s="11">
        <f t="shared" si="0"/>
        <v>0</v>
      </c>
      <c r="H30" s="12">
        <f t="shared" si="1"/>
        <v>0</v>
      </c>
      <c r="I30" s="11">
        <f>ROUND(D30*SUM(Input!$O$28:$R$28),2)</f>
        <v>0</v>
      </c>
      <c r="J30" s="11">
        <f t="shared" si="2"/>
        <v>24.5</v>
      </c>
      <c r="K30" s="11">
        <f t="shared" si="3"/>
        <v>24.5</v>
      </c>
      <c r="L30" s="12">
        <f t="shared" si="4"/>
        <v>0</v>
      </c>
    </row>
    <row r="31" spans="1:12" x14ac:dyDescent="0.35">
      <c r="A31" s="88">
        <v>12</v>
      </c>
      <c r="D31" s="67">
        <v>50</v>
      </c>
      <c r="E31" s="11">
        <f>Input!$H$28+ROUND((Input!$C$28*'IN5'!D31),2)+(ROUND(D31*(Input!$N$28),2))</f>
        <v>30.62</v>
      </c>
      <c r="F31" s="11">
        <f>Input!$Y$28+ROUND(Input!$T$28*'IN5'!D31,2)+ROUND(Input!$N$28*'IN5'!D31,2)</f>
        <v>30.62</v>
      </c>
      <c r="G31" s="11">
        <f t="shared" si="0"/>
        <v>0</v>
      </c>
      <c r="H31" s="12">
        <f t="shared" si="1"/>
        <v>0</v>
      </c>
      <c r="I31" s="11">
        <f>ROUND(D31*SUM(Input!$O$28:$R$28),2)</f>
        <v>0</v>
      </c>
      <c r="J31" s="11">
        <f t="shared" si="2"/>
        <v>30.62</v>
      </c>
      <c r="K31" s="11">
        <f t="shared" si="3"/>
        <v>30.62</v>
      </c>
      <c r="L31" s="12">
        <f t="shared" si="4"/>
        <v>0</v>
      </c>
    </row>
    <row r="32" spans="1:12" x14ac:dyDescent="0.35">
      <c r="A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5" x14ac:dyDescent="0.35">
      <c r="A33" s="14"/>
      <c r="C33" s="3" t="s">
        <v>102</v>
      </c>
      <c r="E33" s="66">
        <f>Input!AF28</f>
        <v>8.1999999999999993</v>
      </c>
    </row>
    <row r="36" spans="1:5" x14ac:dyDescent="0.35">
      <c r="B36" s="3" t="s">
        <v>111</v>
      </c>
      <c r="D36" s="76"/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98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8A8D0D-1F59-4AE9-A6EE-DF97F14BC7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B5049F-DE52-494C-A87B-819AF0440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9917F5-75E9-4FAD-946B-D77442DAA702}">
  <ds:schemaRefs>
    <ds:schemaRef ds:uri="http://purl.org/dc/dcmitype/"/>
    <ds:schemaRef ds:uri="41f51831-4435-4781-bf4a-49effccf5732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bec63c5-7005-460f-9e35-624454017d7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Input</vt:lpstr>
      <vt:lpstr>INDEX N</vt:lpstr>
      <vt:lpstr>GSR</vt:lpstr>
      <vt:lpstr>G1C</vt:lpstr>
      <vt:lpstr>G1R</vt:lpstr>
      <vt:lpstr>IN3R</vt:lpstr>
      <vt:lpstr>IN3C</vt:lpstr>
      <vt:lpstr>IN4</vt:lpstr>
      <vt:lpstr>IN5</vt:lpstr>
      <vt:lpstr>LG2R</vt:lpstr>
      <vt:lpstr>LG2C</vt:lpstr>
      <vt:lpstr>LG3</vt:lpstr>
      <vt:lpstr>LG4</vt:lpstr>
      <vt:lpstr>GSO</vt:lpstr>
      <vt:lpstr>IS</vt:lpstr>
      <vt:lpstr>IUS</vt:lpstr>
      <vt:lpstr>IN3C!Print_Area</vt:lpstr>
      <vt:lpstr>'IN4'!Print_Area</vt:lpstr>
      <vt:lpstr>'INDEX N'!Print_Area</vt:lpstr>
      <vt:lpstr>Input!Print_Area</vt:lpstr>
      <vt:lpstr>LG2C!Print_Area</vt:lpstr>
      <vt:lpstr>Print_Area_MI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Ann Strauss</dc:creator>
  <cp:lastModifiedBy>Heather Temple</cp:lastModifiedBy>
  <cp:lastPrinted>2024-05-08T12:16:15Z</cp:lastPrinted>
  <dcterms:created xsi:type="dcterms:W3CDTF">2002-02-26T16:35:47Z</dcterms:created>
  <dcterms:modified xsi:type="dcterms:W3CDTF">2024-05-30T21:17:12Z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  <property fmtid="{D5CDD505-2E9C-101B-9397-08002B2CF9AE}" pid="9" name="ContentTypeId">
    <vt:lpwstr>0x01010023D3BF6419712D41B897E776747B2DEC</vt:lpwstr>
  </property>
</Properties>
</file>