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F3C4A744-C667-4EEA-9AAF-AF2C08ED2CA0}" xr6:coauthVersionLast="47" xr6:coauthVersionMax="47" xr10:uidLastSave="{00000000-0000-0000-0000-000000000000}"/>
  <bookViews>
    <workbookView xWindow="45240" yWindow="3480" windowWidth="20565" windowHeight="9960" xr2:uid="{00000000-000D-0000-FFFF-FFFF00000000}"/>
  </bookViews>
  <sheets>
    <sheet name="Sheet1" sheetId="1" r:id="rId1"/>
  </sheets>
  <definedNames>
    <definedName name="_xlnm.Print_Area" localSheetId="0">Sheet1!$A$1:$O$257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H114" i="1" l="1"/>
  <c r="G114" i="1"/>
  <c r="F114" i="1"/>
  <c r="E114" i="1"/>
  <c r="D114" i="1"/>
  <c r="C114" i="1"/>
  <c r="H69" i="1"/>
  <c r="G69" i="1"/>
  <c r="F69" i="1"/>
  <c r="E69" i="1"/>
  <c r="D69" i="1"/>
  <c r="C69" i="1"/>
  <c r="H40" i="1"/>
  <c r="G40" i="1"/>
  <c r="F40" i="1"/>
  <c r="E40" i="1"/>
  <c r="D40" i="1"/>
  <c r="C40" i="1"/>
  <c r="H26" i="1"/>
  <c r="G26" i="1"/>
  <c r="F26" i="1"/>
  <c r="E26" i="1"/>
  <c r="D26" i="1"/>
  <c r="C26" i="1"/>
  <c r="H12" i="1"/>
  <c r="G12" i="1"/>
  <c r="F12" i="1"/>
  <c r="E12" i="1"/>
  <c r="D12" i="1"/>
  <c r="C12" i="1"/>
  <c r="N114" i="1" l="1"/>
  <c r="M114" i="1"/>
  <c r="L114" i="1"/>
  <c r="K114" i="1"/>
  <c r="J114" i="1"/>
  <c r="I114" i="1"/>
  <c r="H170" i="1" l="1"/>
  <c r="H127" i="1"/>
  <c r="G170" i="1" l="1"/>
  <c r="G127" i="1"/>
  <c r="J224" i="1"/>
  <c r="K224" i="1"/>
  <c r="L224" i="1"/>
  <c r="M224" i="1"/>
  <c r="N224" i="1"/>
  <c r="O224" i="1"/>
  <c r="I224" i="1"/>
  <c r="O176" i="1" l="1"/>
  <c r="O146" i="1"/>
  <c r="O103" i="1"/>
  <c r="O58" i="1"/>
  <c r="E127" i="1" l="1"/>
  <c r="D257" i="1"/>
  <c r="D252" i="1"/>
  <c r="D251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E251" i="1"/>
  <c r="F251" i="1"/>
  <c r="G251" i="1"/>
  <c r="H251" i="1"/>
  <c r="I251" i="1"/>
  <c r="J251" i="1"/>
  <c r="K251" i="1"/>
  <c r="L251" i="1"/>
  <c r="M251" i="1"/>
  <c r="N251" i="1"/>
  <c r="O251" i="1"/>
  <c r="D247" i="1"/>
  <c r="C246" i="1"/>
  <c r="C247" i="1"/>
  <c r="C248" i="1"/>
  <c r="C249" i="1"/>
  <c r="C250" i="1"/>
  <c r="C251" i="1"/>
  <c r="A247" i="1"/>
  <c r="A248" i="1"/>
  <c r="A249" i="1"/>
  <c r="A250" i="1"/>
  <c r="A251" i="1"/>
  <c r="E224" i="1" l="1"/>
  <c r="F224" i="1"/>
  <c r="G224" i="1"/>
  <c r="H224" i="1"/>
  <c r="D224" i="1"/>
  <c r="I199" i="1"/>
  <c r="J199" i="1"/>
  <c r="K199" i="1"/>
  <c r="L199" i="1"/>
  <c r="M199" i="1"/>
  <c r="N199" i="1"/>
  <c r="O199" i="1"/>
  <c r="H199" i="1"/>
  <c r="E199" i="1"/>
  <c r="F199" i="1"/>
  <c r="G199" i="1"/>
  <c r="D199" i="1"/>
  <c r="N171" i="1" l="1"/>
  <c r="N158" i="1"/>
  <c r="N115" i="1"/>
  <c r="N128" i="1" s="1"/>
  <c r="M171" i="1" l="1"/>
  <c r="M158" i="1"/>
  <c r="M115" i="1"/>
  <c r="M128" i="1" s="1"/>
  <c r="L158" i="1" l="1"/>
  <c r="L115" i="1"/>
  <c r="L128" i="1" s="1"/>
  <c r="K171" i="1" l="1"/>
  <c r="K158" i="1"/>
  <c r="K115" i="1"/>
  <c r="K128" i="1" s="1"/>
  <c r="J158" i="1" l="1"/>
  <c r="J115" i="1"/>
  <c r="J128" i="1" s="1"/>
  <c r="I171" i="1" l="1"/>
  <c r="I158" i="1"/>
  <c r="I115" i="1"/>
  <c r="I128" i="1" s="1"/>
  <c r="H171" i="1" l="1"/>
  <c r="H158" i="1"/>
  <c r="H115" i="1"/>
  <c r="H128" i="1" s="1"/>
  <c r="G158" i="1" l="1"/>
  <c r="G115" i="1"/>
  <c r="G128" i="1" s="1"/>
  <c r="F171" i="1" l="1"/>
  <c r="F158" i="1"/>
  <c r="F115" i="1"/>
  <c r="F128" i="1" s="1"/>
  <c r="E158" i="1" l="1"/>
  <c r="E115" i="1"/>
  <c r="E128" i="1" s="1"/>
  <c r="D171" i="1" l="1"/>
  <c r="D158" i="1"/>
  <c r="D115" i="1"/>
  <c r="D128" i="1" s="1"/>
  <c r="C158" i="1" l="1"/>
  <c r="C115" i="1" l="1"/>
  <c r="C128" i="1" s="1"/>
  <c r="D127" i="1" l="1"/>
  <c r="D235" i="1" l="1"/>
  <c r="N55" i="1" l="1"/>
  <c r="M55" i="1"/>
  <c r="L55" i="1"/>
  <c r="K55" i="1"/>
  <c r="J55" i="1"/>
  <c r="I55" i="1"/>
  <c r="H55" i="1"/>
  <c r="G55" i="1"/>
  <c r="F55" i="1"/>
  <c r="E55" i="1"/>
  <c r="D55" i="1"/>
  <c r="N54" i="1"/>
  <c r="M54" i="1"/>
  <c r="L54" i="1"/>
  <c r="K54" i="1"/>
  <c r="J54" i="1"/>
  <c r="I54" i="1"/>
  <c r="H54" i="1"/>
  <c r="G54" i="1"/>
  <c r="F54" i="1"/>
  <c r="E54" i="1"/>
  <c r="D54" i="1"/>
  <c r="C55" i="1"/>
  <c r="O52" i="1"/>
  <c r="N51" i="1"/>
  <c r="M51" i="1"/>
  <c r="L51" i="1"/>
  <c r="K51" i="1"/>
  <c r="J51" i="1"/>
  <c r="I51" i="1"/>
  <c r="H51" i="1"/>
  <c r="F51" i="1"/>
  <c r="E51" i="1"/>
  <c r="D51" i="1"/>
  <c r="C51" i="1"/>
  <c r="H46" i="1"/>
  <c r="H45" i="1"/>
  <c r="O53" i="1" l="1"/>
  <c r="O55" i="1" s="1"/>
  <c r="C54" i="1"/>
  <c r="C127" i="1"/>
  <c r="O54" i="1" l="1"/>
  <c r="C25" i="1"/>
  <c r="D25" i="1"/>
  <c r="E25" i="1"/>
  <c r="F25" i="1"/>
  <c r="G25" i="1"/>
  <c r="H25" i="1"/>
  <c r="I25" i="1"/>
  <c r="J25" i="1"/>
  <c r="K25" i="1"/>
  <c r="L25" i="1"/>
  <c r="M25" i="1"/>
  <c r="N25" i="1"/>
  <c r="C39" i="1"/>
  <c r="D39" i="1"/>
  <c r="E39" i="1"/>
  <c r="F39" i="1"/>
  <c r="G39" i="1"/>
  <c r="H39" i="1"/>
  <c r="I39" i="1"/>
  <c r="J39" i="1"/>
  <c r="K39" i="1"/>
  <c r="L39" i="1"/>
  <c r="M39" i="1"/>
  <c r="N39" i="1"/>
  <c r="A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E247" i="1"/>
  <c r="F247" i="1"/>
  <c r="G247" i="1"/>
  <c r="H247" i="1"/>
  <c r="I247" i="1"/>
  <c r="J247" i="1"/>
  <c r="K247" i="1"/>
  <c r="L247" i="1"/>
  <c r="M247" i="1"/>
  <c r="N247" i="1"/>
  <c r="O247" i="1"/>
  <c r="A252" i="1"/>
  <c r="C252" i="1"/>
  <c r="E252" i="1"/>
  <c r="F252" i="1"/>
  <c r="G252" i="1"/>
  <c r="H252" i="1"/>
  <c r="I252" i="1"/>
  <c r="J252" i="1"/>
  <c r="K252" i="1"/>
  <c r="L252" i="1"/>
  <c r="M252" i="1"/>
  <c r="N252" i="1"/>
  <c r="O252" i="1"/>
  <c r="A253" i="1"/>
  <c r="C253" i="1"/>
  <c r="A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A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A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A257" i="1"/>
  <c r="C257" i="1"/>
  <c r="E257" i="1"/>
  <c r="F257" i="1"/>
  <c r="G257" i="1"/>
  <c r="H257" i="1"/>
  <c r="I257" i="1"/>
  <c r="J257" i="1"/>
  <c r="K257" i="1"/>
  <c r="L257" i="1"/>
  <c r="M257" i="1"/>
  <c r="N257" i="1"/>
  <c r="O257" i="1"/>
  <c r="A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A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A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A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A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A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A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A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A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A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06" i="1"/>
  <c r="A217" i="1"/>
  <c r="A218" i="1"/>
  <c r="A215" i="1"/>
  <c r="A216" i="1"/>
  <c r="A214" i="1"/>
  <c r="A213" i="1"/>
  <c r="A207" i="1"/>
  <c r="A208" i="1"/>
  <c r="A209" i="1"/>
  <c r="A210" i="1"/>
  <c r="A211" i="1"/>
  <c r="A212" i="1"/>
  <c r="A225" i="1"/>
  <c r="C225" i="1"/>
  <c r="A226" i="1"/>
  <c r="C226" i="1"/>
  <c r="A227" i="1"/>
  <c r="C227" i="1"/>
  <c r="A228" i="1"/>
  <c r="C228" i="1"/>
  <c r="H253" i="1"/>
  <c r="G253" i="1"/>
  <c r="F253" i="1"/>
  <c r="E253" i="1"/>
  <c r="D253" i="1"/>
  <c r="A224" i="1"/>
  <c r="C224" i="1"/>
  <c r="C223" i="1"/>
  <c r="A223" i="1"/>
  <c r="A206" i="1"/>
  <c r="C235" i="1"/>
  <c r="A235" i="1"/>
  <c r="I253" i="1" l="1"/>
  <c r="O253" i="1"/>
  <c r="L253" i="1"/>
  <c r="M253" i="1"/>
  <c r="K253" i="1"/>
  <c r="N253" i="1"/>
  <c r="J253" i="1"/>
  <c r="H159" i="1" l="1"/>
  <c r="O70" i="1" l="1"/>
  <c r="O69" i="1"/>
  <c r="O41" i="1"/>
  <c r="O40" i="1"/>
  <c r="D29" i="1"/>
  <c r="D28" i="1"/>
  <c r="C28" i="1"/>
  <c r="O12" i="1"/>
  <c r="O13" i="1"/>
  <c r="D15" i="1"/>
  <c r="D14" i="1"/>
  <c r="C14" i="1"/>
  <c r="O42" i="1" l="1"/>
  <c r="O72" i="1"/>
  <c r="O71" i="1"/>
  <c r="O15" i="1"/>
  <c r="O43" i="1"/>
  <c r="O14" i="1"/>
  <c r="E235" i="1"/>
  <c r="F235" i="1"/>
  <c r="G235" i="1"/>
  <c r="H235" i="1"/>
  <c r="I235" i="1"/>
  <c r="J235" i="1"/>
  <c r="K235" i="1"/>
  <c r="L235" i="1"/>
  <c r="M235" i="1"/>
  <c r="N235" i="1"/>
  <c r="O235" i="1"/>
  <c r="N169" i="1" l="1"/>
  <c r="M169" i="1"/>
  <c r="L169" i="1"/>
  <c r="K169" i="1"/>
  <c r="J169" i="1"/>
  <c r="I169" i="1"/>
  <c r="H169" i="1"/>
  <c r="G169" i="1"/>
  <c r="F169" i="1"/>
  <c r="E169" i="1"/>
  <c r="D169" i="1"/>
  <c r="C169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96" i="1"/>
  <c r="M96" i="1"/>
  <c r="L96" i="1"/>
  <c r="K96" i="1"/>
  <c r="J96" i="1"/>
  <c r="I96" i="1"/>
  <c r="H96" i="1"/>
  <c r="G96" i="1"/>
  <c r="F96" i="1"/>
  <c r="E96" i="1"/>
  <c r="D96" i="1"/>
  <c r="C96" i="1"/>
  <c r="N82" i="1"/>
  <c r="M82" i="1"/>
  <c r="L82" i="1"/>
  <c r="K82" i="1"/>
  <c r="J82" i="1"/>
  <c r="I82" i="1"/>
  <c r="H82" i="1"/>
  <c r="G82" i="1"/>
  <c r="F82" i="1"/>
  <c r="E82" i="1"/>
  <c r="D82" i="1"/>
  <c r="C82" i="1"/>
  <c r="N68" i="1"/>
  <c r="M68" i="1"/>
  <c r="L68" i="1"/>
  <c r="K68" i="1"/>
  <c r="J68" i="1"/>
  <c r="I68" i="1"/>
  <c r="H68" i="1"/>
  <c r="G68" i="1"/>
  <c r="F68" i="1"/>
  <c r="E68" i="1"/>
  <c r="D68" i="1"/>
  <c r="C68" i="1"/>
  <c r="H164" i="1"/>
  <c r="H163" i="1"/>
  <c r="H151" i="1"/>
  <c r="H150" i="1"/>
  <c r="H134" i="1"/>
  <c r="H133" i="1"/>
  <c r="H121" i="1"/>
  <c r="H120" i="1"/>
  <c r="H108" i="1"/>
  <c r="H107" i="1"/>
  <c r="H91" i="1"/>
  <c r="H90" i="1"/>
  <c r="H77" i="1"/>
  <c r="H76" i="1"/>
  <c r="H63" i="1"/>
  <c r="H62" i="1"/>
  <c r="H34" i="1"/>
  <c r="H33" i="1"/>
  <c r="H20" i="1"/>
  <c r="H19" i="1"/>
  <c r="N173" i="1" l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1" i="1"/>
  <c r="O17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N159" i="1"/>
  <c r="M159" i="1"/>
  <c r="L159" i="1"/>
  <c r="K159" i="1"/>
  <c r="J159" i="1"/>
  <c r="I159" i="1"/>
  <c r="G159" i="1"/>
  <c r="F159" i="1"/>
  <c r="E159" i="1"/>
  <c r="D159" i="1"/>
  <c r="C159" i="1"/>
  <c r="O158" i="1"/>
  <c r="O157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1" i="1"/>
  <c r="O14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8" i="1"/>
  <c r="O12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5" i="1"/>
  <c r="O114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O98" i="1"/>
  <c r="O97" i="1"/>
  <c r="O173" i="1" l="1"/>
  <c r="O172" i="1"/>
  <c r="O160" i="1"/>
  <c r="O159" i="1"/>
  <c r="O143" i="1"/>
  <c r="O142" i="1"/>
  <c r="O130" i="1"/>
  <c r="O129" i="1"/>
  <c r="O116" i="1"/>
  <c r="O117" i="1"/>
  <c r="O100" i="1"/>
  <c r="O99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O84" i="1"/>
  <c r="O8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29" i="1"/>
  <c r="M29" i="1"/>
  <c r="L29" i="1"/>
  <c r="K29" i="1"/>
  <c r="J29" i="1"/>
  <c r="I29" i="1"/>
  <c r="H29" i="1"/>
  <c r="G29" i="1"/>
  <c r="F29" i="1"/>
  <c r="E29" i="1"/>
  <c r="C29" i="1"/>
  <c r="N28" i="1"/>
  <c r="M28" i="1"/>
  <c r="L28" i="1"/>
  <c r="K28" i="1"/>
  <c r="J28" i="1"/>
  <c r="I28" i="1"/>
  <c r="H28" i="1"/>
  <c r="G28" i="1"/>
  <c r="F28" i="1"/>
  <c r="E28" i="1"/>
  <c r="O27" i="1"/>
  <c r="O26" i="1"/>
  <c r="M15" i="1"/>
  <c r="N15" i="1"/>
  <c r="E15" i="1"/>
  <c r="F15" i="1"/>
  <c r="G15" i="1"/>
  <c r="H15" i="1"/>
  <c r="I15" i="1"/>
  <c r="J15" i="1"/>
  <c r="K15" i="1"/>
  <c r="L15" i="1"/>
  <c r="C15" i="1"/>
  <c r="E14" i="1"/>
  <c r="F14" i="1"/>
  <c r="G14" i="1"/>
  <c r="H14" i="1"/>
  <c r="I14" i="1"/>
  <c r="J14" i="1"/>
  <c r="K14" i="1"/>
  <c r="L14" i="1"/>
  <c r="M14" i="1"/>
  <c r="N14" i="1"/>
  <c r="O85" i="1" l="1"/>
  <c r="O86" i="1"/>
  <c r="O29" i="1"/>
  <c r="O28" i="1"/>
</calcChain>
</file>

<file path=xl/sharedStrings.xml><?xml version="1.0" encoding="utf-8"?>
<sst xmlns="http://schemas.openxmlformats.org/spreadsheetml/2006/main" count="205" uniqueCount="84">
  <si>
    <t>Columbia Gas of Kentucky, Inc.</t>
  </si>
  <si>
    <t>“000 Omitted”</t>
  </si>
  <si>
    <t>Total</t>
  </si>
  <si>
    <t>Increase</t>
  </si>
  <si>
    <t>(Decrease)</t>
  </si>
  <si>
    <t>Most Recent 12 Months</t>
  </si>
  <si>
    <t>Previous 12 Months</t>
  </si>
  <si>
    <t>Comparison of Revenue Account Balances</t>
  </si>
  <si>
    <t>Account 480 Residential Sales Revenue</t>
  </si>
  <si>
    <t>Account 481.1 Commercial Sales Revenue</t>
  </si>
  <si>
    <t>Account 481.2 Industrial Sales Revenue</t>
  </si>
  <si>
    <t>Account 483  Public Utilities</t>
  </si>
  <si>
    <t>Account 487  Forfeited Discounts</t>
  </si>
  <si>
    <t>Account 488 Misc. Service Revenue</t>
  </si>
  <si>
    <t>Account 489 Transportation Revenue</t>
  </si>
  <si>
    <t>Account 489 Unbilled Transportation Revenue</t>
  </si>
  <si>
    <t>Account 493 Rent from Gas Property</t>
  </si>
  <si>
    <t>Account 495 Other Gas Revenue</t>
  </si>
  <si>
    <t>Account 495 Unbilled Gas Revenue</t>
  </si>
  <si>
    <t>$/Mcf</t>
  </si>
  <si>
    <t>$/Bill</t>
  </si>
  <si>
    <t>PSC approved non-base rates: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</si>
  <si>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</si>
  <si>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</si>
  <si>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</si>
  <si>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</si>
  <si>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</si>
  <si>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</si>
  <si>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</si>
  <si>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</si>
  <si>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</si>
  <si>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</si>
  <si>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Increase / (Decrease)</t>
  </si>
  <si>
    <t>With Those of the Preceding 12 months</t>
  </si>
  <si>
    <t>Mar</t>
  </si>
  <si>
    <t>Apr</t>
  </si>
  <si>
    <t>TCJA factor GSR, GTR</t>
  </si>
  <si>
    <t>Research &amp; Development - All Rate Sch</t>
  </si>
  <si>
    <t>Energy Assistance Program GSR, GTR</t>
  </si>
  <si>
    <t>Energy Efficiency Conservation GSR, GTR</t>
  </si>
  <si>
    <t>SMRP - Rate GSR, GTR</t>
  </si>
  <si>
    <t>SMRP - Rate GSO, GTO, GDS</t>
  </si>
  <si>
    <t>SMRP - Rate IUS, IUDS</t>
  </si>
  <si>
    <t>SMRP - Rate IS, DS, SAS</t>
  </si>
  <si>
    <t>TCJA factor GSO, GTO</t>
  </si>
  <si>
    <t>TCJA factor IS</t>
  </si>
  <si>
    <t>TCJA factor IUS</t>
  </si>
  <si>
    <t>TCJA factor DS, SAS</t>
  </si>
  <si>
    <t>TCJA factor GDS</t>
  </si>
  <si>
    <t>Gas Cost Uncollectible Rider GSR, GSO, IS, IUS</t>
  </si>
  <si>
    <t>Gas Cost Uncoll Rider ACA - GSR, GSO, IS, IUS</t>
  </si>
  <si>
    <t>Gas Cost Recovery GSR, GSO, IS, IUS</t>
  </si>
  <si>
    <t>Gas Cost Recovery ACA - GSR, GSO, IS, IUS</t>
  </si>
  <si>
    <t>Choice ACA - GSR, GSO, IS, IUS</t>
  </si>
  <si>
    <t>Choice Uncoll Rider ACA - GTR, GTO</t>
  </si>
  <si>
    <t>Page 6 of 6</t>
  </si>
  <si>
    <t>Page 5 of 6</t>
  </si>
  <si>
    <t>Page 4 of 6</t>
  </si>
  <si>
    <t>Page 3 of 6</t>
  </si>
  <si>
    <t>Page 2 of 6</t>
  </si>
  <si>
    <t>Page 1 of 6</t>
  </si>
  <si>
    <t>Schedule A</t>
  </si>
  <si>
    <t>Sep-23 / Sep-22</t>
  </si>
  <si>
    <t>Oct-23  / Oct-22</t>
  </si>
  <si>
    <t>Nov-23 / Nov-22</t>
  </si>
  <si>
    <t>Dec-23 / Dec-22</t>
  </si>
  <si>
    <t>Jan-24 / Jan-23</t>
  </si>
  <si>
    <t>Feb-24 / Feb-23</t>
  </si>
  <si>
    <t>Mar-24 / Mar-23</t>
  </si>
  <si>
    <t>Apr-24 / Apr-23</t>
  </si>
  <si>
    <t>May-24 / May-23</t>
  </si>
  <si>
    <t>Jun-24 / Jun-23</t>
  </si>
  <si>
    <t>Jul-24 / Jul-23</t>
  </si>
  <si>
    <t>Aug-24 / Aug-23</t>
  </si>
  <si>
    <t>Account 481.3 Gas Sales - Other Revenue</t>
  </si>
  <si>
    <t>KY PSC Case No. 2024-00092, Staff 1-2, Attachment A</t>
  </si>
  <si>
    <t>Case No. 2024-00092</t>
  </si>
  <si>
    <t>Most Recent 12 Months [1]</t>
  </si>
  <si>
    <t>[1] Revenue excluding SMRP from September 2023 - February 2024 actuals</t>
  </si>
  <si>
    <t>SMRP - Rate GSR, GTR [2]</t>
  </si>
  <si>
    <t>SMRP - Rate GSO, GTO, GDS [2]</t>
  </si>
  <si>
    <t>SMRP - Rate IUS, IUDS [2]</t>
  </si>
  <si>
    <t>SMRP - Rate IS, DS, SAS [2]</t>
  </si>
  <si>
    <t>[2] SMRP rates are subject to refund beginning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</si>
</sst>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mmm"/>
    <numFmt numFmtId="166" formatCode="#,##0.0000_);\(#,##0.0000\)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7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4" fontId="2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0" xfId="1" applyNumberFormat="1" applyFont="1" applyFill="1"/>
    <xf numFmtId="164" fontId="2" fillId="0" borderId="15" xfId="1" applyNumberFormat="1" applyFont="1" applyFill="1" applyBorder="1" applyAlignment="1">
      <alignment vertical="center" wrapText="1"/>
    </xf>
    <xf numFmtId="164" fontId="2" fillId="0" borderId="17" xfId="1" applyNumberFormat="1" applyFont="1" applyFill="1" applyBorder="1" applyAlignment="1">
      <alignment vertical="center" wrapText="1"/>
    </xf>
    <xf numFmtId="164" fontId="2" fillId="0" borderId="10" xfId="1" applyNumberFormat="1" applyFont="1" applyFill="1" applyBorder="1" applyAlignment="1">
      <alignment vertical="center" wrapText="1"/>
    </xf>
    <xf numFmtId="164" fontId="2" fillId="0" borderId="11" xfId="1" applyNumberFormat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>
      <alignment vertical="center" wrapText="1"/>
    </xf>
    <xf numFmtId="164" fontId="2" fillId="0" borderId="14" xfId="1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 wrapText="1"/>
    </xf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64" fontId="2" fillId="0" borderId="0" xfId="0" applyNumberFormat="1" applyFont="1"/>
    <xf numFmtId="1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39" fontId="2" fillId="0" borderId="0" xfId="0" applyNumberFormat="1" applyFont="1"/>
    <xf numFmtId="166" fontId="5" fillId="0" borderId="0" xfId="0" applyNumberFormat="1" applyFont="1"/>
    <xf numFmtId="165" fontId="4" fillId="0" borderId="0" xfId="0" applyNumberFormat="1" applyFont="1" applyAlignment="1">
      <alignment horizontal="center"/>
    </xf>
    <xf numFmtId="39" fontId="5" fillId="0" borderId="0" xfId="0" applyNumberFormat="1" applyFont="1"/>
  </cellXfs>
  <cellStyles count="3">
    <cellStyle name="Comma" xfId="1" builtinId="3"/>
    <cellStyle name="Normal" xfId="0" builtinId="0"/>
    <cellStyle name="Normal 2" xfId="2" xr:uid="{E54DF4D8-9710-4A97-84F2-4878209C7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72"/>
  <sheetViews>
    <sheetView showGridLines="0" tabSelected="1" zoomScale="90" zoomScaleNormal="90" zoomScaleSheetLayoutView="80" workbookViewId="0"/>
  </sheetViews>
  <sheetFormatPr defaultColWidth="9.15234375" defaultRowHeight="14.15" x14ac:dyDescent="0.35"/>
  <cols>
    <col min="1" max="1" width="3.53515625" style="3" customWidth="1"/>
    <col min="2" max="2" width="38.3046875" style="3" customWidth="1"/>
    <col min="3" max="14" width="9.3046875" style="3" customWidth="1"/>
    <col min="15" max="15" width="10.15234375" style="3" customWidth="1"/>
    <col min="16" max="16" width="9.15234375" style="3"/>
    <col min="17" max="20" width="11.15234375" style="3" bestFit="1" customWidth="1"/>
    <col min="21" max="21" width="11.69140625" style="3" bestFit="1" customWidth="1"/>
    <col min="22" max="22" width="13.3046875" style="3" bestFit="1" customWidth="1"/>
    <col min="23" max="16384" width="9.15234375" style="3"/>
  </cols>
  <sheetData>
    <row r="1" spans="2:22" x14ac:dyDescent="0.35">
      <c r="K1" s="1"/>
      <c r="L1" s="1"/>
      <c r="M1" s="1"/>
      <c r="N1" s="1"/>
      <c r="O1" s="24" t="s">
        <v>75</v>
      </c>
    </row>
    <row r="2" spans="2:22" x14ac:dyDescent="0.35">
      <c r="K2" s="1"/>
      <c r="L2" s="1"/>
      <c r="M2" s="1"/>
      <c r="N2" s="1"/>
      <c r="O2" s="25" t="s">
        <v>61</v>
      </c>
    </row>
    <row r="3" spans="2:22" x14ac:dyDescent="0.35">
      <c r="K3" s="1"/>
      <c r="L3" s="1"/>
      <c r="M3" s="1"/>
      <c r="N3" s="1"/>
      <c r="O3" s="25" t="s">
        <v>60</v>
      </c>
    </row>
    <row r="4" spans="2:22" ht="14.6" thickBot="1" x14ac:dyDescent="0.4">
      <c r="K4" s="1"/>
      <c r="L4" s="1"/>
      <c r="M4" s="1"/>
      <c r="N4" s="1"/>
      <c r="O4" s="1"/>
    </row>
    <row r="5" spans="2:22" ht="15.75" customHeight="1" thickTop="1" x14ac:dyDescent="0.35">
      <c r="B5" s="4"/>
      <c r="C5" s="5"/>
      <c r="D5" s="5"/>
      <c r="E5" s="5"/>
      <c r="F5" s="26"/>
      <c r="G5" s="26"/>
      <c r="H5" s="30" t="s">
        <v>0</v>
      </c>
      <c r="I5" s="26"/>
      <c r="J5" s="5"/>
      <c r="K5" s="26"/>
      <c r="L5" s="26"/>
      <c r="M5" s="26"/>
      <c r="N5" s="26"/>
      <c r="O5" s="27"/>
    </row>
    <row r="6" spans="2:22" ht="15" customHeight="1" x14ac:dyDescent="0.35">
      <c r="B6" s="6"/>
      <c r="C6" s="7"/>
      <c r="D6" s="7"/>
      <c r="E6" s="7"/>
      <c r="F6" s="28"/>
      <c r="G6" s="28"/>
      <c r="H6" s="31" t="s">
        <v>76</v>
      </c>
      <c r="I6" s="28"/>
      <c r="J6" s="7"/>
      <c r="K6" s="28"/>
      <c r="L6" s="28"/>
      <c r="M6" s="28"/>
      <c r="N6" s="28"/>
      <c r="O6" s="29"/>
    </row>
    <row r="7" spans="2:22" x14ac:dyDescent="0.35">
      <c r="B7" s="6"/>
      <c r="C7" s="7"/>
      <c r="D7" s="7"/>
      <c r="E7" s="7"/>
      <c r="F7" s="28"/>
      <c r="G7" s="28"/>
      <c r="H7" s="28"/>
      <c r="I7" s="28"/>
      <c r="J7" s="7"/>
      <c r="K7" s="7"/>
      <c r="L7" s="7"/>
      <c r="M7" s="10"/>
      <c r="N7" s="10"/>
      <c r="O7" s="9"/>
    </row>
    <row r="8" spans="2:22" ht="15" customHeight="1" x14ac:dyDescent="0.35">
      <c r="B8" s="6"/>
      <c r="C8" s="7"/>
      <c r="D8" s="7"/>
      <c r="E8" s="7"/>
      <c r="F8" s="7"/>
      <c r="G8" s="7"/>
      <c r="H8" s="8" t="s">
        <v>7</v>
      </c>
      <c r="I8" s="7"/>
      <c r="J8" s="7"/>
      <c r="K8" s="7"/>
      <c r="L8" s="7"/>
      <c r="M8" s="7"/>
      <c r="N8" s="7"/>
      <c r="O8" s="9"/>
    </row>
    <row r="9" spans="2:22" ht="15" customHeight="1" x14ac:dyDescent="0.35">
      <c r="B9" s="6"/>
      <c r="C9" s="7"/>
      <c r="D9" s="7"/>
      <c r="E9" s="7"/>
      <c r="F9" s="7"/>
      <c r="G9" s="7"/>
      <c r="H9" s="8" t="s">
        <v>33</v>
      </c>
      <c r="I9" s="7"/>
      <c r="J9" s="7"/>
      <c r="K9" s="7"/>
      <c r="L9" s="7"/>
      <c r="M9" s="7"/>
      <c r="N9" s="7"/>
      <c r="O9" s="11"/>
    </row>
    <row r="10" spans="2:22" ht="14.6" thickBot="1" x14ac:dyDescent="0.4">
      <c r="B10" s="6"/>
      <c r="C10" s="7"/>
      <c r="D10" s="7"/>
      <c r="E10" s="7"/>
      <c r="F10" s="7"/>
      <c r="G10" s="7"/>
      <c r="H10" s="8" t="s">
        <v>1</v>
      </c>
      <c r="I10" s="7"/>
      <c r="J10" s="7"/>
      <c r="K10" s="7"/>
      <c r="L10" s="7"/>
      <c r="M10" s="7"/>
      <c r="N10" s="7"/>
      <c r="O10" s="11"/>
    </row>
    <row r="11" spans="2:22" ht="29.15" thickTop="1" thickBot="1" x14ac:dyDescent="0.4">
      <c r="B11" s="12" t="s">
        <v>8</v>
      </c>
      <c r="C11" s="13" t="s">
        <v>62</v>
      </c>
      <c r="D11" s="13" t="s">
        <v>63</v>
      </c>
      <c r="E11" s="13" t="s">
        <v>64</v>
      </c>
      <c r="F11" s="13" t="s">
        <v>65</v>
      </c>
      <c r="G11" s="13" t="s">
        <v>66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3" t="s">
        <v>73</v>
      </c>
      <c r="O11" s="14" t="s">
        <v>2</v>
      </c>
    </row>
    <row r="12" spans="2:22" ht="28.5" customHeight="1" thickBot="1" x14ac:dyDescent="0.4">
      <c r="B12" s="15" t="s">
        <v>77</v>
      </c>
      <c r="C12" s="33">
        <f>3130.09387</f>
        <v>3130.0938700000002</v>
      </c>
      <c r="D12" s="33">
        <f>3568.07715</f>
        <v>3568.0771500000001</v>
      </c>
      <c r="E12" s="33">
        <f>5943.95894</f>
        <v>5943.9589400000004</v>
      </c>
      <c r="F12" s="33">
        <f>12881.85966</f>
        <v>12881.85966</v>
      </c>
      <c r="G12" s="33">
        <f>17402.11006</f>
        <v>17402.110059999999</v>
      </c>
      <c r="H12" s="33">
        <f>16369.67038</f>
        <v>16369.67038</v>
      </c>
      <c r="I12" s="33">
        <v>11939.99401</v>
      </c>
      <c r="J12" s="33">
        <v>8126.1660000000002</v>
      </c>
      <c r="K12" s="33">
        <v>4825.3216000000002</v>
      </c>
      <c r="L12" s="33">
        <v>3458.7959799999999</v>
      </c>
      <c r="M12" s="33">
        <v>3079.2350900000001</v>
      </c>
      <c r="N12" s="33">
        <v>3069.28838</v>
      </c>
      <c r="O12" s="34">
        <f>SUM(C12:N12)</f>
        <v>93794.571119999979</v>
      </c>
      <c r="Q12" s="32"/>
      <c r="R12" s="32"/>
      <c r="S12" s="32"/>
      <c r="T12" s="32"/>
      <c r="U12" s="32"/>
      <c r="V12" s="32"/>
    </row>
    <row r="13" spans="2:22" ht="30" customHeight="1" thickBot="1" x14ac:dyDescent="0.4">
      <c r="B13" s="16" t="s">
        <v>6</v>
      </c>
      <c r="C13" s="35">
        <v>3671.6424299999999</v>
      </c>
      <c r="D13" s="35">
        <v>5339.6831700000002</v>
      </c>
      <c r="E13" s="35">
        <v>9063.0850300000002</v>
      </c>
      <c r="F13" s="35">
        <v>18617.368320000001</v>
      </c>
      <c r="G13" s="35">
        <v>24410.744170000002</v>
      </c>
      <c r="H13" s="35">
        <v>21424.35096</v>
      </c>
      <c r="I13" s="35">
        <v>14425.87378</v>
      </c>
      <c r="J13" s="35">
        <v>10555.50009</v>
      </c>
      <c r="K13" s="35">
        <v>6272.0565500000002</v>
      </c>
      <c r="L13" s="35">
        <v>3960.3934399999998</v>
      </c>
      <c r="M13" s="35">
        <v>3719.6956399999999</v>
      </c>
      <c r="N13" s="35">
        <v>3404.99287</v>
      </c>
      <c r="O13" s="36">
        <f>SUM(C13:N13)</f>
        <v>124865.38644999999</v>
      </c>
    </row>
    <row r="14" spans="2:22" ht="14.6" thickBot="1" x14ac:dyDescent="0.4">
      <c r="B14" s="16" t="s">
        <v>3</v>
      </c>
      <c r="C14" s="35">
        <f>IF((C12-C13)&gt;0,C12-C13,0)</f>
        <v>0</v>
      </c>
      <c r="D14" s="35">
        <f>IF((D12-D13)&gt;0,D12-D13,0)</f>
        <v>0</v>
      </c>
      <c r="E14" s="35">
        <f t="shared" ref="E14:N14" si="0">IF((E12-E13)&gt;0,E12-E13,0)</f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6">
        <f>IF((O12-O13)&gt;0,O12-O13,0)</f>
        <v>0</v>
      </c>
    </row>
    <row r="15" spans="2:22" ht="14.6" thickBot="1" x14ac:dyDescent="0.4">
      <c r="B15" s="17" t="s">
        <v>4</v>
      </c>
      <c r="C15" s="37">
        <f>IF((C12-C13)&gt;0,0,C12-C13)</f>
        <v>-541.54855999999972</v>
      </c>
      <c r="D15" s="37">
        <f>IF((D12-D13)&gt;0,0,D12-D13)</f>
        <v>-1771.6060200000002</v>
      </c>
      <c r="E15" s="37">
        <f t="shared" ref="E15:N15" si="1">IF((E12-E13)&gt;0,0,E12-E13)</f>
        <v>-3119.1260899999997</v>
      </c>
      <c r="F15" s="37">
        <f t="shared" si="1"/>
        <v>-5735.5086600000013</v>
      </c>
      <c r="G15" s="37">
        <f t="shared" si="1"/>
        <v>-7008.6341100000027</v>
      </c>
      <c r="H15" s="37">
        <f t="shared" si="1"/>
        <v>-5054.6805800000002</v>
      </c>
      <c r="I15" s="37">
        <f t="shared" si="1"/>
        <v>-2485.8797699999996</v>
      </c>
      <c r="J15" s="37">
        <f t="shared" si="1"/>
        <v>-2429.3340899999994</v>
      </c>
      <c r="K15" s="37">
        <f t="shared" si="1"/>
        <v>-1446.73495</v>
      </c>
      <c r="L15" s="37">
        <f t="shared" si="1"/>
        <v>-501.59745999999996</v>
      </c>
      <c r="M15" s="37">
        <f t="shared" si="1"/>
        <v>-640.46054999999978</v>
      </c>
      <c r="N15" s="37">
        <f t="shared" si="1"/>
        <v>-335.70449000000008</v>
      </c>
      <c r="O15" s="38">
        <f>IF((O12-O13)&gt;0,0,O12-O13)</f>
        <v>-31070.815330000012</v>
      </c>
    </row>
    <row r="16" spans="2:22" ht="14.6" thickTop="1" x14ac:dyDescent="0.3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22" x14ac:dyDescent="0.3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22" ht="14.6" thickBot="1" x14ac:dyDescent="0.4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22" ht="14.6" thickTop="1" x14ac:dyDescent="0.35">
      <c r="B19" s="4"/>
      <c r="C19" s="26"/>
      <c r="D19" s="26"/>
      <c r="E19" s="26"/>
      <c r="F19" s="26"/>
      <c r="G19" s="26"/>
      <c r="H19" s="30" t="str">
        <f>$H$5</f>
        <v>Columbia Gas of Kentucky, Inc.</v>
      </c>
      <c r="I19" s="26"/>
      <c r="J19" s="26"/>
      <c r="K19" s="26"/>
      <c r="L19" s="26"/>
      <c r="M19" s="26"/>
      <c r="N19" s="26"/>
      <c r="O19" s="27"/>
    </row>
    <row r="20" spans="2:22" x14ac:dyDescent="0.35">
      <c r="B20" s="6"/>
      <c r="C20" s="28"/>
      <c r="D20" s="28"/>
      <c r="E20" s="28"/>
      <c r="F20" s="28"/>
      <c r="G20" s="28"/>
      <c r="H20" s="31" t="str">
        <f>$H$6</f>
        <v>Case No. 2024-00092</v>
      </c>
      <c r="I20" s="28"/>
      <c r="J20" s="28"/>
      <c r="K20" s="28"/>
      <c r="L20" s="28"/>
      <c r="M20" s="28"/>
      <c r="N20" s="28"/>
      <c r="O20" s="39"/>
    </row>
    <row r="21" spans="2:22" x14ac:dyDescent="0.35">
      <c r="B21" s="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9"/>
    </row>
    <row r="22" spans="2:22" x14ac:dyDescent="0.35">
      <c r="B22" s="6"/>
      <c r="C22" s="28"/>
      <c r="D22" s="28"/>
      <c r="E22" s="28"/>
      <c r="F22" s="28"/>
      <c r="G22" s="28"/>
      <c r="H22" s="31" t="s">
        <v>7</v>
      </c>
      <c r="I22" s="28"/>
      <c r="J22" s="28"/>
      <c r="K22" s="28"/>
      <c r="L22" s="28"/>
      <c r="M22" s="28"/>
      <c r="N22" s="28"/>
      <c r="O22" s="39"/>
    </row>
    <row r="23" spans="2:22" x14ac:dyDescent="0.35">
      <c r="B23" s="6"/>
      <c r="C23" s="28"/>
      <c r="D23" s="28"/>
      <c r="E23" s="28"/>
      <c r="F23" s="28"/>
      <c r="G23" s="28"/>
      <c r="H23" s="31" t="s">
        <v>33</v>
      </c>
      <c r="I23" s="28"/>
      <c r="J23" s="28"/>
      <c r="K23" s="28"/>
      <c r="L23" s="28"/>
      <c r="M23" s="28"/>
      <c r="N23" s="28"/>
      <c r="O23" s="39"/>
    </row>
    <row r="24" spans="2:22" ht="14.6" thickBot="1" x14ac:dyDescent="0.4">
      <c r="B24" s="6"/>
      <c r="C24" s="28"/>
      <c r="D24" s="28"/>
      <c r="E24" s="28"/>
      <c r="F24" s="28"/>
      <c r="G24" s="28"/>
      <c r="H24" s="31" t="s">
        <v>1</v>
      </c>
      <c r="I24" s="28"/>
      <c r="J24" s="28"/>
      <c r="K24" s="28"/>
      <c r="L24" s="28"/>
      <c r="M24" s="28"/>
      <c r="N24" s="28"/>
      <c r="O24" s="39"/>
    </row>
    <row r="25" spans="2:22" ht="29.15" thickTop="1" thickBot="1" x14ac:dyDescent="0.4">
      <c r="B25" s="12" t="s">
        <v>9</v>
      </c>
      <c r="C25" s="40" t="str">
        <f>$C$11</f>
        <v>Sep-23 / Sep-22</v>
      </c>
      <c r="D25" s="40" t="str">
        <f>$D$11</f>
        <v>Oct-23  / Oct-22</v>
      </c>
      <c r="E25" s="40" t="str">
        <f>$E$11</f>
        <v>Nov-23 / Nov-22</v>
      </c>
      <c r="F25" s="40" t="str">
        <f>$F$11</f>
        <v>Dec-23 / Dec-22</v>
      </c>
      <c r="G25" s="40" t="str">
        <f>$G$11</f>
        <v>Jan-24 / Jan-23</v>
      </c>
      <c r="H25" s="40" t="str">
        <f>$H$11</f>
        <v>Feb-24 / Feb-23</v>
      </c>
      <c r="I25" s="40" t="str">
        <f>$I$11</f>
        <v>Mar-24 / Mar-23</v>
      </c>
      <c r="J25" s="40" t="str">
        <f>$J$11</f>
        <v>Apr-24 / Apr-23</v>
      </c>
      <c r="K25" s="40" t="str">
        <f>$K$11</f>
        <v>May-24 / May-23</v>
      </c>
      <c r="L25" s="40" t="str">
        <f>$L$11</f>
        <v>Jun-24 / Jun-23</v>
      </c>
      <c r="M25" s="40" t="str">
        <f>$M$11</f>
        <v>Jul-24 / Jul-23</v>
      </c>
      <c r="N25" s="40" t="str">
        <f>$N$11</f>
        <v>Aug-24 / Aug-23</v>
      </c>
      <c r="O25" s="41" t="s">
        <v>2</v>
      </c>
    </row>
    <row r="26" spans="2:22" ht="27" customHeight="1" thickBot="1" x14ac:dyDescent="0.4">
      <c r="B26" s="15" t="s">
        <v>77</v>
      </c>
      <c r="C26" s="33">
        <f>1791.01733</f>
        <v>1791.0173299999999</v>
      </c>
      <c r="D26" s="33">
        <f>1940.43149</f>
        <v>1940.4314899999999</v>
      </c>
      <c r="E26" s="33">
        <f>2761.62559</f>
        <v>2761.6255900000001</v>
      </c>
      <c r="F26" s="33">
        <f>5513.75358</f>
        <v>5513.7535799999996</v>
      </c>
      <c r="G26" s="33">
        <f>7364.33438</f>
        <v>7364.3343800000002</v>
      </c>
      <c r="H26" s="33">
        <f>6698.12646</f>
        <v>6698.1264600000004</v>
      </c>
      <c r="I26" s="33">
        <v>4260.3781600000002</v>
      </c>
      <c r="J26" s="33">
        <v>3349.7308800000001</v>
      </c>
      <c r="K26" s="33">
        <v>2286.0959800000001</v>
      </c>
      <c r="L26" s="33">
        <v>1895.78709</v>
      </c>
      <c r="M26" s="33">
        <v>1757.93481</v>
      </c>
      <c r="N26" s="33">
        <v>1700.6052400000001</v>
      </c>
      <c r="O26" s="34">
        <f>SUM(C26:N26)</f>
        <v>41319.820989999993</v>
      </c>
      <c r="Q26" s="32"/>
      <c r="R26" s="32"/>
      <c r="S26" s="32"/>
      <c r="T26" s="32"/>
      <c r="U26" s="32"/>
      <c r="V26" s="32"/>
    </row>
    <row r="27" spans="2:22" ht="14.6" thickBot="1" x14ac:dyDescent="0.4">
      <c r="B27" s="16" t="s">
        <v>6</v>
      </c>
      <c r="C27" s="35">
        <v>2385.0794799999999</v>
      </c>
      <c r="D27" s="35">
        <v>3107.5487899999998</v>
      </c>
      <c r="E27" s="35">
        <v>4557.1907300000003</v>
      </c>
      <c r="F27" s="35">
        <v>8410.9120999999996</v>
      </c>
      <c r="G27" s="35">
        <v>10802.798479999999</v>
      </c>
      <c r="H27" s="35">
        <v>9257.5594400000009</v>
      </c>
      <c r="I27" s="35">
        <v>6019.7495900000004</v>
      </c>
      <c r="J27" s="35">
        <v>4777.4552199999998</v>
      </c>
      <c r="K27" s="35">
        <v>3182.2124199999998</v>
      </c>
      <c r="L27" s="35">
        <v>2389.3127800000002</v>
      </c>
      <c r="M27" s="35">
        <v>2290.7810899999999</v>
      </c>
      <c r="N27" s="35">
        <v>2006.0488600000001</v>
      </c>
      <c r="O27" s="36">
        <f>SUM(C27:N27)</f>
        <v>59186.648979999991</v>
      </c>
    </row>
    <row r="28" spans="2:22" ht="14.6" thickBot="1" x14ac:dyDescent="0.4">
      <c r="B28" s="16" t="s">
        <v>3</v>
      </c>
      <c r="C28" s="35">
        <f>IF((C26-C27)&gt;0,C26-C27,0)</f>
        <v>0</v>
      </c>
      <c r="D28" s="35">
        <f>IF((D26-D27)&gt;0,D26-D27,0)</f>
        <v>0</v>
      </c>
      <c r="E28" s="35">
        <f t="shared" ref="E28" si="2">IF((E26-E27)&gt;0,E26-E27,0)</f>
        <v>0</v>
      </c>
      <c r="F28" s="35">
        <f t="shared" ref="F28" si="3">IF((F26-F27)&gt;0,F26-F27,0)</f>
        <v>0</v>
      </c>
      <c r="G28" s="35">
        <f t="shared" ref="G28" si="4">IF((G26-G27)&gt;0,G26-G27,0)</f>
        <v>0</v>
      </c>
      <c r="H28" s="35">
        <f t="shared" ref="H28" si="5">IF((H26-H27)&gt;0,H26-H27,0)</f>
        <v>0</v>
      </c>
      <c r="I28" s="35">
        <f t="shared" ref="I28" si="6">IF((I26-I27)&gt;0,I26-I27,0)</f>
        <v>0</v>
      </c>
      <c r="J28" s="35">
        <f t="shared" ref="J28" si="7">IF((J26-J27)&gt;0,J26-J27,0)</f>
        <v>0</v>
      </c>
      <c r="K28" s="35">
        <f t="shared" ref="K28" si="8">IF((K26-K27)&gt;0,K26-K27,0)</f>
        <v>0</v>
      </c>
      <c r="L28" s="35">
        <f t="shared" ref="L28" si="9">IF((L26-L27)&gt;0,L26-L27,0)</f>
        <v>0</v>
      </c>
      <c r="M28" s="35">
        <f t="shared" ref="M28" si="10">IF((M26-M27)&gt;0,M26-M27,0)</f>
        <v>0</v>
      </c>
      <c r="N28" s="35">
        <f t="shared" ref="N28" si="11">IF((N26-N27)&gt;0,N26-N27,0)</f>
        <v>0</v>
      </c>
      <c r="O28" s="36">
        <f t="shared" ref="O28" si="12">IF((O26-O27)&gt;0,O26-O27,0)</f>
        <v>0</v>
      </c>
    </row>
    <row r="29" spans="2:22" ht="14.6" thickBot="1" x14ac:dyDescent="0.4">
      <c r="B29" s="17" t="s">
        <v>4</v>
      </c>
      <c r="C29" s="37">
        <f>IF((C26-C27)&gt;0,0,C26-C27)</f>
        <v>-594.06214999999997</v>
      </c>
      <c r="D29" s="37">
        <f>IF((D26-D27)&gt;0,0,D26-D27)</f>
        <v>-1167.1172999999999</v>
      </c>
      <c r="E29" s="37">
        <f t="shared" ref="E29:O29" si="13">IF((E26-E27)&gt;0,0,E26-E27)</f>
        <v>-1795.5651400000002</v>
      </c>
      <c r="F29" s="37">
        <f t="shared" si="13"/>
        <v>-2897.15852</v>
      </c>
      <c r="G29" s="37">
        <f t="shared" si="13"/>
        <v>-3438.4640999999992</v>
      </c>
      <c r="H29" s="37">
        <f t="shared" si="13"/>
        <v>-2559.4329800000005</v>
      </c>
      <c r="I29" s="37">
        <f t="shared" si="13"/>
        <v>-1759.3714300000001</v>
      </c>
      <c r="J29" s="37">
        <f t="shared" si="13"/>
        <v>-1427.7243399999998</v>
      </c>
      <c r="K29" s="37">
        <f t="shared" si="13"/>
        <v>-896.11643999999978</v>
      </c>
      <c r="L29" s="37">
        <f t="shared" si="13"/>
        <v>-493.52569000000017</v>
      </c>
      <c r="M29" s="37">
        <f t="shared" si="13"/>
        <v>-532.84627999999998</v>
      </c>
      <c r="N29" s="37">
        <f t="shared" si="13"/>
        <v>-305.44362000000001</v>
      </c>
      <c r="O29" s="38">
        <f t="shared" si="13"/>
        <v>-17866.827989999998</v>
      </c>
    </row>
    <row r="30" spans="2:22" ht="14.6" thickTop="1" x14ac:dyDescent="0.3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22" x14ac:dyDescent="0.3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22" ht="14.6" thickBot="1" x14ac:dyDescent="0.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22" ht="14.6" thickTop="1" x14ac:dyDescent="0.35">
      <c r="B33" s="4"/>
      <c r="C33" s="26"/>
      <c r="D33" s="26"/>
      <c r="E33" s="26"/>
      <c r="F33" s="26"/>
      <c r="G33" s="26"/>
      <c r="H33" s="30" t="str">
        <f>$H$5</f>
        <v>Columbia Gas of Kentucky, Inc.</v>
      </c>
      <c r="I33" s="26"/>
      <c r="J33" s="26"/>
      <c r="K33" s="26"/>
      <c r="L33" s="26"/>
      <c r="M33" s="26"/>
      <c r="N33" s="26"/>
      <c r="O33" s="27"/>
    </row>
    <row r="34" spans="2:22" x14ac:dyDescent="0.35">
      <c r="B34" s="6"/>
      <c r="C34" s="28"/>
      <c r="D34" s="28"/>
      <c r="E34" s="28"/>
      <c r="F34" s="28"/>
      <c r="G34" s="28"/>
      <c r="H34" s="31" t="str">
        <f>$H$6</f>
        <v>Case No. 2024-00092</v>
      </c>
      <c r="I34" s="28"/>
      <c r="J34" s="28"/>
      <c r="K34" s="28"/>
      <c r="L34" s="28"/>
      <c r="M34" s="28"/>
      <c r="N34" s="28"/>
      <c r="O34" s="29"/>
    </row>
    <row r="35" spans="2:22" x14ac:dyDescent="0.35">
      <c r="B35" s="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2:22" x14ac:dyDescent="0.35">
      <c r="B36" s="6"/>
      <c r="C36" s="28"/>
      <c r="D36" s="28"/>
      <c r="E36" s="28"/>
      <c r="F36" s="28"/>
      <c r="G36" s="28"/>
      <c r="H36" s="31" t="s">
        <v>7</v>
      </c>
      <c r="I36" s="28"/>
      <c r="J36" s="28"/>
      <c r="K36" s="28"/>
      <c r="L36" s="28"/>
      <c r="M36" s="28"/>
      <c r="N36" s="28"/>
      <c r="O36" s="29"/>
    </row>
    <row r="37" spans="2:22" x14ac:dyDescent="0.35">
      <c r="B37" s="6"/>
      <c r="C37" s="28"/>
      <c r="D37" s="28"/>
      <c r="E37" s="28"/>
      <c r="F37" s="28"/>
      <c r="G37" s="28"/>
      <c r="H37" s="31" t="s">
        <v>33</v>
      </c>
      <c r="I37" s="28"/>
      <c r="J37" s="28"/>
      <c r="K37" s="28"/>
      <c r="L37" s="28"/>
      <c r="M37" s="28"/>
      <c r="N37" s="28"/>
      <c r="O37" s="39"/>
    </row>
    <row r="38" spans="2:22" ht="14.6" thickBot="1" x14ac:dyDescent="0.4">
      <c r="B38" s="6"/>
      <c r="C38" s="28"/>
      <c r="D38" s="28"/>
      <c r="E38" s="28"/>
      <c r="F38" s="28"/>
      <c r="G38" s="28"/>
      <c r="H38" s="31" t="s">
        <v>1</v>
      </c>
      <c r="I38" s="28"/>
      <c r="J38" s="28"/>
      <c r="K38" s="28"/>
      <c r="L38" s="28"/>
      <c r="M38" s="28"/>
      <c r="N38" s="28"/>
      <c r="O38" s="39"/>
    </row>
    <row r="39" spans="2:22" ht="29.15" thickTop="1" thickBot="1" x14ac:dyDescent="0.4">
      <c r="B39" s="12" t="s">
        <v>10</v>
      </c>
      <c r="C39" s="40" t="str">
        <f>$C$11</f>
        <v>Sep-23 / Sep-22</v>
      </c>
      <c r="D39" s="40" t="str">
        <f>$D$11</f>
        <v>Oct-23  / Oct-22</v>
      </c>
      <c r="E39" s="40" t="str">
        <f>$E$11</f>
        <v>Nov-23 / Nov-22</v>
      </c>
      <c r="F39" s="40" t="str">
        <f>$F$11</f>
        <v>Dec-23 / Dec-22</v>
      </c>
      <c r="G39" s="40" t="str">
        <f>$G$11</f>
        <v>Jan-24 / Jan-23</v>
      </c>
      <c r="H39" s="40" t="str">
        <f>$H$11</f>
        <v>Feb-24 / Feb-23</v>
      </c>
      <c r="I39" s="40" t="str">
        <f>$I$11</f>
        <v>Mar-24 / Mar-23</v>
      </c>
      <c r="J39" s="40" t="str">
        <f>$J$11</f>
        <v>Apr-24 / Apr-23</v>
      </c>
      <c r="K39" s="40" t="str">
        <f>$K$11</f>
        <v>May-24 / May-23</v>
      </c>
      <c r="L39" s="40" t="str">
        <f>$L$11</f>
        <v>Jun-24 / Jun-23</v>
      </c>
      <c r="M39" s="40" t="str">
        <f>$M$11</f>
        <v>Jul-24 / Jul-23</v>
      </c>
      <c r="N39" s="40" t="str">
        <f>$N$11</f>
        <v>Aug-24 / Aug-23</v>
      </c>
      <c r="O39" s="41" t="s">
        <v>2</v>
      </c>
    </row>
    <row r="40" spans="2:22" ht="30.75" customHeight="1" thickBot="1" x14ac:dyDescent="0.4">
      <c r="B40" s="15" t="s">
        <v>77</v>
      </c>
      <c r="C40" s="33">
        <f>67.17993</f>
        <v>67.179929999999999</v>
      </c>
      <c r="D40" s="33">
        <f>143.30665</f>
        <v>143.30664999999999</v>
      </c>
      <c r="E40" s="33">
        <f>223.64469</f>
        <v>223.64469</v>
      </c>
      <c r="F40" s="33">
        <f>20.58365</f>
        <v>20.583649999999999</v>
      </c>
      <c r="G40" s="33">
        <f>257.49101</f>
        <v>257.49101000000002</v>
      </c>
      <c r="H40" s="33">
        <f>246.2692</f>
        <v>246.26920000000001</v>
      </c>
      <c r="I40" s="33">
        <v>142.21055999999999</v>
      </c>
      <c r="J40" s="33">
        <v>109.05613</v>
      </c>
      <c r="K40" s="33">
        <v>83.138009999999994</v>
      </c>
      <c r="L40" s="33">
        <v>68.430769999999995</v>
      </c>
      <c r="M40" s="33">
        <v>49.710459999999998</v>
      </c>
      <c r="N40" s="33">
        <v>47.81335</v>
      </c>
      <c r="O40" s="34">
        <f>SUM(C40:N40)</f>
        <v>1458.8344099999997</v>
      </c>
      <c r="Q40" s="32"/>
      <c r="R40" s="32"/>
      <c r="S40" s="32"/>
      <c r="T40" s="32"/>
      <c r="U40" s="32"/>
      <c r="V40" s="32"/>
    </row>
    <row r="41" spans="2:22" ht="14.6" thickBot="1" x14ac:dyDescent="0.4">
      <c r="B41" s="16" t="s">
        <v>6</v>
      </c>
      <c r="C41" s="35">
        <v>87.306340000000006</v>
      </c>
      <c r="D41" s="35">
        <v>203.24594999999999</v>
      </c>
      <c r="E41" s="35">
        <v>335.56741</v>
      </c>
      <c r="F41" s="35">
        <v>521.17262000000005</v>
      </c>
      <c r="G41" s="35">
        <v>667.88896</v>
      </c>
      <c r="H41" s="35">
        <v>369.62563</v>
      </c>
      <c r="I41" s="35">
        <v>251.81831</v>
      </c>
      <c r="J41" s="35">
        <v>142.54668000000001</v>
      </c>
      <c r="K41" s="35">
        <v>98.947159999999997</v>
      </c>
      <c r="L41" s="35">
        <v>43.837220000000002</v>
      </c>
      <c r="M41" s="35">
        <v>238.06720000000001</v>
      </c>
      <c r="N41" s="35">
        <v>74.781959999999998</v>
      </c>
      <c r="O41" s="36">
        <f>SUM(C41:N41)</f>
        <v>3034.8054400000001</v>
      </c>
    </row>
    <row r="42" spans="2:22" ht="14.6" thickBot="1" x14ac:dyDescent="0.4">
      <c r="B42" s="16" t="s">
        <v>3</v>
      </c>
      <c r="C42" s="35">
        <f>IF((C40-C41)&gt;0,C40-C41,0)</f>
        <v>0</v>
      </c>
      <c r="D42" s="35">
        <f t="shared" ref="D42" si="14">IF((D40-D41)&gt;0,D40-D41,0)</f>
        <v>0</v>
      </c>
      <c r="E42" s="35">
        <f t="shared" ref="E42" si="15">IF((E40-E41)&gt;0,E40-E41,0)</f>
        <v>0</v>
      </c>
      <c r="F42" s="35">
        <f t="shared" ref="F42" si="16">IF((F40-F41)&gt;0,F40-F41,0)</f>
        <v>0</v>
      </c>
      <c r="G42" s="35">
        <f t="shared" ref="G42" si="17">IF((G40-G41)&gt;0,G40-G41,0)</f>
        <v>0</v>
      </c>
      <c r="H42" s="35">
        <f t="shared" ref="H42" si="18">IF((H40-H41)&gt;0,H40-H41,0)</f>
        <v>0</v>
      </c>
      <c r="I42" s="35">
        <f t="shared" ref="I42" si="19">IF((I40-I41)&gt;0,I40-I41,0)</f>
        <v>0</v>
      </c>
      <c r="J42" s="35">
        <f t="shared" ref="J42" si="20">IF((J40-J41)&gt;0,J40-J41,0)</f>
        <v>0</v>
      </c>
      <c r="K42" s="35">
        <f t="shared" ref="K42" si="21">IF((K40-K41)&gt;0,K40-K41,0)</f>
        <v>0</v>
      </c>
      <c r="L42" s="35">
        <f t="shared" ref="L42" si="22">IF((L40-L41)&gt;0,L40-L41,0)</f>
        <v>24.593549999999993</v>
      </c>
      <c r="M42" s="35">
        <f t="shared" ref="M42" si="23">IF((M40-M41)&gt;0,M40-M41,0)</f>
        <v>0</v>
      </c>
      <c r="N42" s="35">
        <f t="shared" ref="N42" si="24">IF((N40-N41)&gt;0,N40-N41,0)</f>
        <v>0</v>
      </c>
      <c r="O42" s="36">
        <f>IF((O40-O41)&gt;0,O40-O41,0)</f>
        <v>0</v>
      </c>
    </row>
    <row r="43" spans="2:22" ht="14.6" thickBot="1" x14ac:dyDescent="0.4">
      <c r="B43" s="17" t="s">
        <v>4</v>
      </c>
      <c r="C43" s="37">
        <f>IF((C40-C41)&gt;0,0,C40-C41)</f>
        <v>-20.126410000000007</v>
      </c>
      <c r="D43" s="37">
        <f t="shared" ref="D43:N43" si="25">IF((D40-D41)&gt;0,0,D40-D41)</f>
        <v>-59.939300000000003</v>
      </c>
      <c r="E43" s="37">
        <f t="shared" si="25"/>
        <v>-111.92272</v>
      </c>
      <c r="F43" s="37">
        <f t="shared" si="25"/>
        <v>-500.58897000000007</v>
      </c>
      <c r="G43" s="37">
        <f t="shared" si="25"/>
        <v>-410.39794999999998</v>
      </c>
      <c r="H43" s="37">
        <f t="shared" si="25"/>
        <v>-123.35642999999999</v>
      </c>
      <c r="I43" s="37">
        <f t="shared" si="25"/>
        <v>-109.60775000000001</v>
      </c>
      <c r="J43" s="37">
        <f t="shared" si="25"/>
        <v>-33.490550000000013</v>
      </c>
      <c r="K43" s="37">
        <f t="shared" si="25"/>
        <v>-15.809150000000002</v>
      </c>
      <c r="L43" s="37">
        <f t="shared" si="25"/>
        <v>0</v>
      </c>
      <c r="M43" s="37">
        <f t="shared" si="25"/>
        <v>-188.35674</v>
      </c>
      <c r="N43" s="37">
        <f t="shared" si="25"/>
        <v>-26.968609999999998</v>
      </c>
      <c r="O43" s="38">
        <f>IF((O40-O41)&gt;0,0,O40-O41)</f>
        <v>-1575.9710300000004</v>
      </c>
    </row>
    <row r="44" spans="2:22" ht="15" thickTop="1" thickBot="1" x14ac:dyDescent="0.4">
      <c r="B44" s="1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22" ht="14.6" thickTop="1" x14ac:dyDescent="0.35">
      <c r="B45" s="4"/>
      <c r="C45" s="26"/>
      <c r="D45" s="26"/>
      <c r="E45" s="26"/>
      <c r="F45" s="26"/>
      <c r="G45" s="26"/>
      <c r="H45" s="30" t="str">
        <f>$H$5</f>
        <v>Columbia Gas of Kentucky, Inc.</v>
      </c>
      <c r="I45" s="26"/>
      <c r="J45" s="26"/>
      <c r="K45" s="26"/>
      <c r="L45" s="26"/>
      <c r="M45" s="26"/>
      <c r="N45" s="26"/>
      <c r="O45" s="27"/>
    </row>
    <row r="46" spans="2:22" x14ac:dyDescent="0.35">
      <c r="B46" s="6"/>
      <c r="C46" s="28"/>
      <c r="D46" s="28"/>
      <c r="E46" s="28"/>
      <c r="F46" s="28"/>
      <c r="G46" s="28"/>
      <c r="H46" s="31" t="str">
        <f>$H$6</f>
        <v>Case No. 2024-00092</v>
      </c>
      <c r="I46" s="28"/>
      <c r="J46" s="28"/>
      <c r="K46" s="28"/>
      <c r="L46" s="28"/>
      <c r="M46" s="28"/>
      <c r="N46" s="28"/>
      <c r="O46" s="29"/>
    </row>
    <row r="47" spans="2:22" x14ac:dyDescent="0.35">
      <c r="B47" s="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2:22" x14ac:dyDescent="0.35">
      <c r="B48" s="6"/>
      <c r="C48" s="28"/>
      <c r="D48" s="28"/>
      <c r="E48" s="28"/>
      <c r="F48" s="28"/>
      <c r="G48" s="28"/>
      <c r="H48" s="31" t="s">
        <v>7</v>
      </c>
      <c r="I48" s="28"/>
      <c r="J48" s="28"/>
      <c r="K48" s="28"/>
      <c r="L48" s="28"/>
      <c r="M48" s="28"/>
      <c r="N48" s="28"/>
      <c r="O48" s="29"/>
    </row>
    <row r="49" spans="2:15" x14ac:dyDescent="0.35">
      <c r="B49" s="6"/>
      <c r="C49" s="28"/>
      <c r="D49" s="28"/>
      <c r="E49" s="28"/>
      <c r="F49" s="28"/>
      <c r="G49" s="28"/>
      <c r="H49" s="31" t="s">
        <v>33</v>
      </c>
      <c r="I49" s="28"/>
      <c r="J49" s="28"/>
      <c r="K49" s="28"/>
      <c r="L49" s="28"/>
      <c r="M49" s="28"/>
      <c r="N49" s="28"/>
      <c r="O49" s="39"/>
    </row>
    <row r="50" spans="2:15" ht="14.6" thickBot="1" x14ac:dyDescent="0.4">
      <c r="B50" s="6"/>
      <c r="C50" s="28"/>
      <c r="D50" s="28"/>
      <c r="E50" s="28"/>
      <c r="F50" s="28"/>
      <c r="G50" s="28"/>
      <c r="H50" s="31" t="s">
        <v>1</v>
      </c>
      <c r="I50" s="28"/>
      <c r="J50" s="28"/>
      <c r="K50" s="28"/>
      <c r="L50" s="28"/>
      <c r="M50" s="28"/>
      <c r="N50" s="28"/>
      <c r="O50" s="39"/>
    </row>
    <row r="51" spans="2:15" ht="29.15" thickTop="1" thickBot="1" x14ac:dyDescent="0.4">
      <c r="B51" s="12" t="s">
        <v>74</v>
      </c>
      <c r="C51" s="40" t="str">
        <f>$C$11</f>
        <v>Sep-23 / Sep-22</v>
      </c>
      <c r="D51" s="40" t="str">
        <f>$D$11</f>
        <v>Oct-23  / Oct-22</v>
      </c>
      <c r="E51" s="40" t="str">
        <f>$E$11</f>
        <v>Nov-23 / Nov-22</v>
      </c>
      <c r="F51" s="40" t="str">
        <f>$F$11</f>
        <v>Dec-23 / Dec-22</v>
      </c>
      <c r="G51" s="40" t="str">
        <f>$G$11</f>
        <v>Jan-24 / Jan-23</v>
      </c>
      <c r="H51" s="40" t="str">
        <f>$H$11</f>
        <v>Feb-24 / Feb-23</v>
      </c>
      <c r="I51" s="40" t="str">
        <f>$I$11</f>
        <v>Mar-24 / Mar-23</v>
      </c>
      <c r="J51" s="40" t="str">
        <f>$J$11</f>
        <v>Apr-24 / Apr-23</v>
      </c>
      <c r="K51" s="40" t="str">
        <f>$K$11</f>
        <v>May-24 / May-23</v>
      </c>
      <c r="L51" s="40" t="str">
        <f>$L$11</f>
        <v>Jun-24 / Jun-23</v>
      </c>
      <c r="M51" s="40" t="str">
        <f>$M$11</f>
        <v>Jul-24 / Jul-23</v>
      </c>
      <c r="N51" s="40" t="str">
        <f>$N$11</f>
        <v>Aug-24 / Aug-23</v>
      </c>
      <c r="O51" s="41" t="s">
        <v>2</v>
      </c>
    </row>
    <row r="52" spans="2:15" ht="14.6" thickBot="1" x14ac:dyDescent="0.4">
      <c r="B52" s="15" t="s">
        <v>5</v>
      </c>
      <c r="C52" s="33">
        <v>-1.4436100000000001</v>
      </c>
      <c r="D52" s="33">
        <v>0.54257</v>
      </c>
      <c r="E52" s="33">
        <v>2.6957399999999998</v>
      </c>
      <c r="F52" s="33">
        <v>4.34741</v>
      </c>
      <c r="G52" s="33">
        <v>3.1173500000000001</v>
      </c>
      <c r="H52" s="33">
        <v>-1.10487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f>SUM(C52:N52)</f>
        <v>8.1545900000000007</v>
      </c>
    </row>
    <row r="53" spans="2:15" ht="14.6" thickBot="1" x14ac:dyDescent="0.4">
      <c r="B53" s="16" t="s">
        <v>6</v>
      </c>
      <c r="C53" s="35">
        <v>-0.23435</v>
      </c>
      <c r="D53" s="35">
        <v>0.77854000000000001</v>
      </c>
      <c r="E53" s="35">
        <v>6.8717800000000002</v>
      </c>
      <c r="F53" s="35">
        <v>7.0245300000000004</v>
      </c>
      <c r="G53" s="35">
        <v>2.4857</v>
      </c>
      <c r="H53" s="35">
        <v>-5.6008599999999999</v>
      </c>
      <c r="I53" s="35">
        <v>-4.8457600000000003</v>
      </c>
      <c r="J53" s="35">
        <v>-2.9498799999999998</v>
      </c>
      <c r="K53" s="35">
        <v>-3.4666700000000001</v>
      </c>
      <c r="L53" s="35">
        <v>-0.92972999999999995</v>
      </c>
      <c r="M53" s="35">
        <v>-9.2789999999999997E-2</v>
      </c>
      <c r="N53" s="35">
        <v>0.20765</v>
      </c>
      <c r="O53" s="36">
        <f>SUM(C53:N53)</f>
        <v>-0.75183999999999962</v>
      </c>
    </row>
    <row r="54" spans="2:15" ht="14.6" thickBot="1" x14ac:dyDescent="0.4">
      <c r="B54" s="16" t="s">
        <v>3</v>
      </c>
      <c r="C54" s="35">
        <f>IF((C52-C53)&gt;0,C52-C53,0)</f>
        <v>0</v>
      </c>
      <c r="D54" s="35">
        <f t="shared" ref="D54:N54" si="26">IF((D52-D53)&gt;0,D52-D53,0)</f>
        <v>0</v>
      </c>
      <c r="E54" s="35">
        <f t="shared" si="26"/>
        <v>0</v>
      </c>
      <c r="F54" s="35">
        <f t="shared" si="26"/>
        <v>0</v>
      </c>
      <c r="G54" s="35">
        <f t="shared" si="26"/>
        <v>0.63165000000000004</v>
      </c>
      <c r="H54" s="35">
        <f t="shared" si="26"/>
        <v>4.4959899999999999</v>
      </c>
      <c r="I54" s="35">
        <f t="shared" si="26"/>
        <v>4.8457600000000003</v>
      </c>
      <c r="J54" s="35">
        <f t="shared" si="26"/>
        <v>2.9498799999999998</v>
      </c>
      <c r="K54" s="35">
        <f t="shared" si="26"/>
        <v>3.4666700000000001</v>
      </c>
      <c r="L54" s="35">
        <f t="shared" si="26"/>
        <v>0.92972999999999995</v>
      </c>
      <c r="M54" s="35">
        <f t="shared" si="26"/>
        <v>9.2789999999999997E-2</v>
      </c>
      <c r="N54" s="35">
        <f t="shared" si="26"/>
        <v>0</v>
      </c>
      <c r="O54" s="36">
        <f>IF((O52-O53)&gt;0,O52-O53,0)</f>
        <v>8.9064300000000003</v>
      </c>
    </row>
    <row r="55" spans="2:15" ht="14.6" thickBot="1" x14ac:dyDescent="0.4">
      <c r="B55" s="17" t="s">
        <v>4</v>
      </c>
      <c r="C55" s="37">
        <f>IF((C52-C53)&gt;0,0,C52-C53)</f>
        <v>-1.20926</v>
      </c>
      <c r="D55" s="37">
        <f t="shared" ref="D55:N55" si="27">IF((D52-D53)&gt;0,0,D52-D53)</f>
        <v>-0.23597000000000001</v>
      </c>
      <c r="E55" s="37">
        <f t="shared" si="27"/>
        <v>-4.1760400000000004</v>
      </c>
      <c r="F55" s="37">
        <f t="shared" si="27"/>
        <v>-2.6771200000000004</v>
      </c>
      <c r="G55" s="37">
        <f t="shared" si="27"/>
        <v>0</v>
      </c>
      <c r="H55" s="37">
        <f t="shared" si="27"/>
        <v>0</v>
      </c>
      <c r="I55" s="37">
        <f t="shared" si="27"/>
        <v>0</v>
      </c>
      <c r="J55" s="37">
        <f t="shared" si="27"/>
        <v>0</v>
      </c>
      <c r="K55" s="37">
        <f t="shared" si="27"/>
        <v>0</v>
      </c>
      <c r="L55" s="37">
        <f t="shared" si="27"/>
        <v>0</v>
      </c>
      <c r="M55" s="37">
        <f t="shared" si="27"/>
        <v>0</v>
      </c>
      <c r="N55" s="37">
        <f t="shared" si="27"/>
        <v>-0.20765</v>
      </c>
      <c r="O55" s="38">
        <f>IF((O52-O53)&gt;0,0,O52-O53)</f>
        <v>0</v>
      </c>
    </row>
    <row r="56" spans="2:15" ht="14.6" thickTop="1" x14ac:dyDescent="0.35">
      <c r="B56" s="10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2:15" x14ac:dyDescent="0.3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3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 t="str">
        <f>O1</f>
        <v>KY PSC Case No. 2024-00092, Staff 1-2, Attachment A</v>
      </c>
    </row>
    <row r="59" spans="2:15" x14ac:dyDescent="0.3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 t="s">
        <v>61</v>
      </c>
    </row>
    <row r="60" spans="2:15" x14ac:dyDescent="0.3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 t="s">
        <v>59</v>
      </c>
    </row>
    <row r="61" spans="2:15" ht="14.6" thickBot="1" x14ac:dyDescent="0.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4.6" thickTop="1" x14ac:dyDescent="0.35">
      <c r="B62" s="4"/>
      <c r="C62" s="26"/>
      <c r="D62" s="26"/>
      <c r="E62" s="26"/>
      <c r="F62" s="26"/>
      <c r="G62" s="26"/>
      <c r="H62" s="30" t="str">
        <f>$H$5</f>
        <v>Columbia Gas of Kentucky, Inc.</v>
      </c>
      <c r="I62" s="26"/>
      <c r="J62" s="26"/>
      <c r="K62" s="26"/>
      <c r="L62" s="26"/>
      <c r="M62" s="26"/>
      <c r="N62" s="26"/>
      <c r="O62" s="27"/>
    </row>
    <row r="63" spans="2:15" x14ac:dyDescent="0.35">
      <c r="B63" s="6"/>
      <c r="C63" s="28"/>
      <c r="D63" s="28"/>
      <c r="E63" s="28"/>
      <c r="F63" s="28"/>
      <c r="G63" s="28"/>
      <c r="H63" s="31" t="str">
        <f>$H$6</f>
        <v>Case No. 2024-00092</v>
      </c>
      <c r="I63" s="28"/>
      <c r="J63" s="28"/>
      <c r="K63" s="28"/>
      <c r="L63" s="28"/>
      <c r="M63" s="28"/>
      <c r="N63" s="28"/>
      <c r="O63" s="39"/>
    </row>
    <row r="64" spans="2:15" x14ac:dyDescent="0.35">
      <c r="B64" s="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9"/>
    </row>
    <row r="65" spans="2:22" x14ac:dyDescent="0.35">
      <c r="B65" s="6"/>
      <c r="C65" s="28"/>
      <c r="D65" s="28"/>
      <c r="E65" s="28"/>
      <c r="F65" s="28"/>
      <c r="G65" s="28"/>
      <c r="H65" s="31" t="s">
        <v>7</v>
      </c>
      <c r="I65" s="28"/>
      <c r="J65" s="28"/>
      <c r="K65" s="28"/>
      <c r="L65" s="28"/>
      <c r="M65" s="28"/>
      <c r="N65" s="28"/>
      <c r="O65" s="39"/>
    </row>
    <row r="66" spans="2:22" x14ac:dyDescent="0.35">
      <c r="B66" s="6"/>
      <c r="C66" s="28"/>
      <c r="D66" s="28"/>
      <c r="E66" s="28"/>
      <c r="F66" s="28"/>
      <c r="G66" s="28"/>
      <c r="H66" s="31" t="s">
        <v>33</v>
      </c>
      <c r="I66" s="28"/>
      <c r="J66" s="28"/>
      <c r="K66" s="28"/>
      <c r="L66" s="28"/>
      <c r="M66" s="28"/>
      <c r="N66" s="28"/>
      <c r="O66" s="39"/>
    </row>
    <row r="67" spans="2:22" ht="14.6" thickBot="1" x14ac:dyDescent="0.4">
      <c r="B67" s="6"/>
      <c r="C67" s="28"/>
      <c r="D67" s="28"/>
      <c r="E67" s="28"/>
      <c r="F67" s="28"/>
      <c r="G67" s="28"/>
      <c r="H67" s="31" t="s">
        <v>1</v>
      </c>
      <c r="I67" s="28"/>
      <c r="J67" s="28"/>
      <c r="K67" s="28"/>
      <c r="L67" s="28"/>
      <c r="M67" s="28"/>
      <c r="N67" s="28"/>
      <c r="O67" s="39"/>
    </row>
    <row r="68" spans="2:22" ht="29.15" thickTop="1" thickBot="1" x14ac:dyDescent="0.4">
      <c r="B68" s="12" t="s">
        <v>11</v>
      </c>
      <c r="C68" s="40" t="str">
        <f>$C$11</f>
        <v>Sep-23 / Sep-22</v>
      </c>
      <c r="D68" s="40" t="str">
        <f>$D$11</f>
        <v>Oct-23  / Oct-22</v>
      </c>
      <c r="E68" s="40" t="str">
        <f>$E$11</f>
        <v>Nov-23 / Nov-22</v>
      </c>
      <c r="F68" s="40" t="str">
        <f>$F$11</f>
        <v>Dec-23 / Dec-22</v>
      </c>
      <c r="G68" s="40" t="str">
        <f>$G$11</f>
        <v>Jan-24 / Jan-23</v>
      </c>
      <c r="H68" s="40" t="str">
        <f>$H$11</f>
        <v>Feb-24 / Feb-23</v>
      </c>
      <c r="I68" s="40" t="str">
        <f>$I$11</f>
        <v>Mar-24 / Mar-23</v>
      </c>
      <c r="J68" s="40" t="str">
        <f>$J$11</f>
        <v>Apr-24 / Apr-23</v>
      </c>
      <c r="K68" s="40" t="str">
        <f>$K$11</f>
        <v>May-24 / May-23</v>
      </c>
      <c r="L68" s="40" t="str">
        <f>$L$11</f>
        <v>Jun-24 / Jun-23</v>
      </c>
      <c r="M68" s="40" t="str">
        <f>$M$11</f>
        <v>Jul-24 / Jul-23</v>
      </c>
      <c r="N68" s="40" t="str">
        <f>$N$11</f>
        <v>Aug-24 / Aug-23</v>
      </c>
      <c r="O68" s="41" t="s">
        <v>2</v>
      </c>
    </row>
    <row r="69" spans="2:22" ht="25.5" customHeight="1" thickBot="1" x14ac:dyDescent="0.4">
      <c r="B69" s="15" t="s">
        <v>77</v>
      </c>
      <c r="C69" s="33">
        <f>10.63303</f>
        <v>10.63303</v>
      </c>
      <c r="D69" s="33">
        <f>-3.99434</f>
        <v>-3.9943399999999998</v>
      </c>
      <c r="E69" s="33">
        <f>3.60605</f>
        <v>3.6060500000000002</v>
      </c>
      <c r="F69" s="33">
        <f>6.39255</f>
        <v>6.39255</v>
      </c>
      <c r="G69" s="33">
        <f>12.00788</f>
        <v>12.00788</v>
      </c>
      <c r="H69" s="33">
        <f>13.18621</f>
        <v>13.186210000000001</v>
      </c>
      <c r="I69" s="33">
        <v>5.4964000000000004</v>
      </c>
      <c r="J69" s="33">
        <v>7.8201200000000002</v>
      </c>
      <c r="K69" s="33">
        <v>2.85317</v>
      </c>
      <c r="L69" s="33">
        <v>2.5108299999999999</v>
      </c>
      <c r="M69" s="33">
        <v>3.9776799999999999</v>
      </c>
      <c r="N69" s="33">
        <v>2.8863599999999998</v>
      </c>
      <c r="O69" s="34">
        <f>SUM(C69:N69)</f>
        <v>67.37594</v>
      </c>
      <c r="Q69" s="32"/>
      <c r="R69" s="32"/>
      <c r="S69" s="32"/>
      <c r="T69" s="32"/>
      <c r="U69" s="32"/>
      <c r="V69" s="32"/>
    </row>
    <row r="70" spans="2:22" ht="14.6" thickBot="1" x14ac:dyDescent="0.4">
      <c r="B70" s="16" t="s">
        <v>6</v>
      </c>
      <c r="C70" s="35">
        <v>4.7990399999999998</v>
      </c>
      <c r="D70" s="35">
        <v>5.3944200000000002</v>
      </c>
      <c r="E70" s="35">
        <v>9.5793499999999998</v>
      </c>
      <c r="F70" s="35">
        <v>13.951040000000001</v>
      </c>
      <c r="G70" s="35">
        <v>17.515599999999999</v>
      </c>
      <c r="H70" s="35">
        <v>18.173439999999999</v>
      </c>
      <c r="I70" s="35">
        <v>-0.79352</v>
      </c>
      <c r="J70" s="35">
        <v>5.9325700000000001</v>
      </c>
      <c r="K70" s="35">
        <v>24.39911</v>
      </c>
      <c r="L70" s="35">
        <v>2.7848999999999999</v>
      </c>
      <c r="M70" s="35">
        <v>2.0669499999999998</v>
      </c>
      <c r="N70" s="35">
        <v>6.3316600000000003</v>
      </c>
      <c r="O70" s="36">
        <f>SUM(C70:N70)</f>
        <v>110.13456000000001</v>
      </c>
    </row>
    <row r="71" spans="2:22" ht="14.6" thickBot="1" x14ac:dyDescent="0.4">
      <c r="B71" s="16" t="s">
        <v>3</v>
      </c>
      <c r="C71" s="35">
        <f>IF((C69-C70)&gt;0,C69-C70,0)</f>
        <v>5.83399</v>
      </c>
      <c r="D71" s="35">
        <f t="shared" ref="D71" si="28">IF((D69-D70)&gt;0,D69-D70,0)</f>
        <v>0</v>
      </c>
      <c r="E71" s="35">
        <f t="shared" ref="E71" si="29">IF((E69-E70)&gt;0,E69-E70,0)</f>
        <v>0</v>
      </c>
      <c r="F71" s="35">
        <f t="shared" ref="F71" si="30">IF((F69-F70)&gt;0,F69-F70,0)</f>
        <v>0</v>
      </c>
      <c r="G71" s="35">
        <f t="shared" ref="G71" si="31">IF((G69-G70)&gt;0,G69-G70,0)</f>
        <v>0</v>
      </c>
      <c r="H71" s="35">
        <f t="shared" ref="H71" si="32">IF((H69-H70)&gt;0,H69-H70,0)</f>
        <v>0</v>
      </c>
      <c r="I71" s="35">
        <f t="shared" ref="I71" si="33">IF((I69-I70)&gt;0,I69-I70,0)</f>
        <v>6.2899200000000004</v>
      </c>
      <c r="J71" s="35">
        <f t="shared" ref="J71" si="34">IF((J69-J70)&gt;0,J69-J70,0)</f>
        <v>1.8875500000000001</v>
      </c>
      <c r="K71" s="35">
        <f t="shared" ref="K71" si="35">IF((K69-K70)&gt;0,K69-K70,0)</f>
        <v>0</v>
      </c>
      <c r="L71" s="35">
        <f t="shared" ref="L71" si="36">IF((L69-L70)&gt;0,L69-L70,0)</f>
        <v>0</v>
      </c>
      <c r="M71" s="35">
        <f t="shared" ref="M71" si="37">IF((M69-M70)&gt;0,M69-M70,0)</f>
        <v>1.91073</v>
      </c>
      <c r="N71" s="35">
        <f t="shared" ref="N71" si="38">IF((N69-N70)&gt;0,N69-N70,0)</f>
        <v>0</v>
      </c>
      <c r="O71" s="36">
        <f>IF((O69-O70)&gt;0,O69-O70,0)</f>
        <v>0</v>
      </c>
    </row>
    <row r="72" spans="2:22" ht="14.6" thickBot="1" x14ac:dyDescent="0.4">
      <c r="B72" s="17" t="s">
        <v>4</v>
      </c>
      <c r="C72" s="37">
        <f>IF((C69-C70)&gt;0,0,C69-C70)</f>
        <v>0</v>
      </c>
      <c r="D72" s="37">
        <f t="shared" ref="D72:N72" si="39">IF((D69-D70)&gt;0,0,D69-D70)</f>
        <v>-9.3887599999999996</v>
      </c>
      <c r="E72" s="37">
        <f t="shared" si="39"/>
        <v>-5.9733000000000001</v>
      </c>
      <c r="F72" s="37">
        <f t="shared" si="39"/>
        <v>-7.5584900000000008</v>
      </c>
      <c r="G72" s="37">
        <f t="shared" si="39"/>
        <v>-5.5077199999999991</v>
      </c>
      <c r="H72" s="37">
        <f t="shared" si="39"/>
        <v>-4.9872299999999985</v>
      </c>
      <c r="I72" s="37">
        <f t="shared" si="39"/>
        <v>0</v>
      </c>
      <c r="J72" s="37">
        <f t="shared" si="39"/>
        <v>0</v>
      </c>
      <c r="K72" s="37">
        <f t="shared" si="39"/>
        <v>-21.545940000000002</v>
      </c>
      <c r="L72" s="37">
        <f t="shared" si="39"/>
        <v>-0.27407000000000004</v>
      </c>
      <c r="M72" s="37">
        <f t="shared" si="39"/>
        <v>0</v>
      </c>
      <c r="N72" s="37">
        <f t="shared" si="39"/>
        <v>-3.4453000000000005</v>
      </c>
      <c r="O72" s="38">
        <f>IF((O69-O70)&gt;0,0,O69-O70)</f>
        <v>-42.758620000000008</v>
      </c>
    </row>
    <row r="73" spans="2:22" ht="14.6" thickTop="1" x14ac:dyDescent="0.3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22" x14ac:dyDescent="0.3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22" ht="14.6" thickBot="1" x14ac:dyDescent="0.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22" ht="14.6" thickTop="1" x14ac:dyDescent="0.35">
      <c r="B76" s="4"/>
      <c r="C76" s="26"/>
      <c r="D76" s="26"/>
      <c r="E76" s="26"/>
      <c r="F76" s="26"/>
      <c r="G76" s="26"/>
      <c r="H76" s="30" t="str">
        <f>$H$5</f>
        <v>Columbia Gas of Kentucky, Inc.</v>
      </c>
      <c r="I76" s="26"/>
      <c r="J76" s="26"/>
      <c r="K76" s="26"/>
      <c r="L76" s="26"/>
      <c r="M76" s="26"/>
      <c r="N76" s="26"/>
      <c r="O76" s="27"/>
    </row>
    <row r="77" spans="2:22" x14ac:dyDescent="0.35">
      <c r="B77" s="6"/>
      <c r="C77" s="28"/>
      <c r="D77" s="28"/>
      <c r="E77" s="28"/>
      <c r="F77" s="28"/>
      <c r="G77" s="28"/>
      <c r="H77" s="31" t="str">
        <f>$H$6</f>
        <v>Case No. 2024-00092</v>
      </c>
      <c r="I77" s="28"/>
      <c r="J77" s="28"/>
      <c r="K77" s="28"/>
      <c r="L77" s="28"/>
      <c r="M77" s="28"/>
      <c r="N77" s="28"/>
      <c r="O77" s="29"/>
    </row>
    <row r="78" spans="2:22" x14ac:dyDescent="0.35">
      <c r="B78" s="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/>
    </row>
    <row r="79" spans="2:22" x14ac:dyDescent="0.35">
      <c r="B79" s="6"/>
      <c r="C79" s="28"/>
      <c r="D79" s="28"/>
      <c r="E79" s="28"/>
      <c r="F79" s="28"/>
      <c r="G79" s="28"/>
      <c r="H79" s="31" t="s">
        <v>7</v>
      </c>
      <c r="I79" s="28"/>
      <c r="J79" s="28"/>
      <c r="K79" s="28"/>
      <c r="L79" s="28"/>
      <c r="M79" s="28"/>
      <c r="N79" s="28"/>
      <c r="O79" s="29"/>
    </row>
    <row r="80" spans="2:22" x14ac:dyDescent="0.35">
      <c r="B80" s="6"/>
      <c r="C80" s="28"/>
      <c r="D80" s="28"/>
      <c r="E80" s="28"/>
      <c r="F80" s="28"/>
      <c r="G80" s="28"/>
      <c r="H80" s="31" t="s">
        <v>33</v>
      </c>
      <c r="I80" s="28"/>
      <c r="J80" s="28"/>
      <c r="K80" s="28"/>
      <c r="L80" s="28"/>
      <c r="M80" s="28"/>
      <c r="N80" s="28"/>
      <c r="O80" s="39"/>
    </row>
    <row r="81" spans="2:15" ht="14.6" thickBot="1" x14ac:dyDescent="0.4">
      <c r="B81" s="6"/>
      <c r="C81" s="28"/>
      <c r="D81" s="28"/>
      <c r="E81" s="28"/>
      <c r="F81" s="28"/>
      <c r="G81" s="28"/>
      <c r="H81" s="31" t="s">
        <v>1</v>
      </c>
      <c r="I81" s="28"/>
      <c r="J81" s="28"/>
      <c r="K81" s="28"/>
      <c r="L81" s="28"/>
      <c r="M81" s="28"/>
      <c r="N81" s="28"/>
      <c r="O81" s="39"/>
    </row>
    <row r="82" spans="2:15" ht="29.15" thickTop="1" thickBot="1" x14ac:dyDescent="0.4">
      <c r="B82" s="12" t="s">
        <v>12</v>
      </c>
      <c r="C82" s="40" t="str">
        <f>$C$11</f>
        <v>Sep-23 / Sep-22</v>
      </c>
      <c r="D82" s="40" t="str">
        <f>$D$11</f>
        <v>Oct-23  / Oct-22</v>
      </c>
      <c r="E82" s="40" t="str">
        <f>$E$11</f>
        <v>Nov-23 / Nov-22</v>
      </c>
      <c r="F82" s="40" t="str">
        <f>$F$11</f>
        <v>Dec-23 / Dec-22</v>
      </c>
      <c r="G82" s="40" t="str">
        <f>$G$11</f>
        <v>Jan-24 / Jan-23</v>
      </c>
      <c r="H82" s="40" t="str">
        <f>$H$11</f>
        <v>Feb-24 / Feb-23</v>
      </c>
      <c r="I82" s="40" t="str">
        <f>$I$11</f>
        <v>Mar-24 / Mar-23</v>
      </c>
      <c r="J82" s="40" t="str">
        <f>$J$11</f>
        <v>Apr-24 / Apr-23</v>
      </c>
      <c r="K82" s="40" t="str">
        <f>$K$11</f>
        <v>May-24 / May-23</v>
      </c>
      <c r="L82" s="40" t="str">
        <f>$L$11</f>
        <v>Jun-24 / Jun-23</v>
      </c>
      <c r="M82" s="40" t="str">
        <f>$M$11</f>
        <v>Jul-24 / Jul-23</v>
      </c>
      <c r="N82" s="40" t="str">
        <f>$N$11</f>
        <v>Aug-24 / Aug-23</v>
      </c>
      <c r="O82" s="41" t="s">
        <v>2</v>
      </c>
    </row>
    <row r="83" spans="2:15" ht="29.25" customHeight="1" thickBot="1" x14ac:dyDescent="0.4">
      <c r="B83" s="15" t="s">
        <v>5</v>
      </c>
      <c r="C83" s="33">
        <v>23.016459999999999</v>
      </c>
      <c r="D83" s="33">
        <v>27.229610000000001</v>
      </c>
      <c r="E83" s="33">
        <v>26.347470000000001</v>
      </c>
      <c r="F83" s="33">
        <v>32.77908</v>
      </c>
      <c r="G83" s="33">
        <v>68.513120000000001</v>
      </c>
      <c r="H83" s="33">
        <v>100.21912</v>
      </c>
      <c r="I83" s="33">
        <v>102.037327466284</v>
      </c>
      <c r="J83" s="33">
        <v>68.398169834640896</v>
      </c>
      <c r="K83" s="33">
        <v>47.509012229421401</v>
      </c>
      <c r="L83" s="33">
        <v>41.943998542022598</v>
      </c>
      <c r="M83" s="33">
        <v>30.4021997910016</v>
      </c>
      <c r="N83" s="33">
        <v>24.5053118059094</v>
      </c>
      <c r="O83" s="34">
        <f>SUM(C83:N83)</f>
        <v>592.9008796692799</v>
      </c>
    </row>
    <row r="84" spans="2:15" ht="14.6" thickBot="1" x14ac:dyDescent="0.4">
      <c r="B84" s="16" t="s">
        <v>6</v>
      </c>
      <c r="C84" s="35">
        <v>22.629259999999999</v>
      </c>
      <c r="D84" s="35">
        <v>24.943000000000001</v>
      </c>
      <c r="E84" s="35">
        <v>36.430500000000002</v>
      </c>
      <c r="F84" s="35">
        <v>52.850079999999998</v>
      </c>
      <c r="G84" s="35">
        <v>73.901920000000004</v>
      </c>
      <c r="H84" s="35">
        <v>101.4134</v>
      </c>
      <c r="I84" s="35">
        <v>118.35961</v>
      </c>
      <c r="J84" s="35">
        <v>77.253870000000006</v>
      </c>
      <c r="K84" s="35">
        <v>58.030799999999999</v>
      </c>
      <c r="L84" s="35">
        <v>43.148800000000001</v>
      </c>
      <c r="M84" s="35">
        <v>29.49099</v>
      </c>
      <c r="N84" s="35">
        <v>32.782519999999998</v>
      </c>
      <c r="O84" s="36">
        <f>SUM(C84:N84)</f>
        <v>671.23474999999996</v>
      </c>
    </row>
    <row r="85" spans="2:15" ht="14.6" thickBot="1" x14ac:dyDescent="0.4">
      <c r="B85" s="16" t="s">
        <v>3</v>
      </c>
      <c r="C85" s="35">
        <f>IF((C83-C84)&gt;0,C83-C84,0)</f>
        <v>0.38719999999999999</v>
      </c>
      <c r="D85" s="35">
        <f t="shared" ref="D85" si="40">IF((D83-D84)&gt;0,D83-D84,0)</f>
        <v>2.2866099999999996</v>
      </c>
      <c r="E85" s="35">
        <f t="shared" ref="E85" si="41">IF((E83-E84)&gt;0,E83-E84,0)</f>
        <v>0</v>
      </c>
      <c r="F85" s="35">
        <f t="shared" ref="F85" si="42">IF((F83-F84)&gt;0,F83-F84,0)</f>
        <v>0</v>
      </c>
      <c r="G85" s="35">
        <f t="shared" ref="G85" si="43">IF((G83-G84)&gt;0,G83-G84,0)</f>
        <v>0</v>
      </c>
      <c r="H85" s="35">
        <f t="shared" ref="H85" si="44">IF((H83-H84)&gt;0,H83-H84,0)</f>
        <v>0</v>
      </c>
      <c r="I85" s="35">
        <f t="shared" ref="I85" si="45">IF((I83-I84)&gt;0,I83-I84,0)</f>
        <v>0</v>
      </c>
      <c r="J85" s="35">
        <f t="shared" ref="J85" si="46">IF((J83-J84)&gt;0,J83-J84,0)</f>
        <v>0</v>
      </c>
      <c r="K85" s="35">
        <f t="shared" ref="K85" si="47">IF((K83-K84)&gt;0,K83-K84,0)</f>
        <v>0</v>
      </c>
      <c r="L85" s="35">
        <f t="shared" ref="L85" si="48">IF((L83-L84)&gt;0,L83-L84,0)</f>
        <v>0</v>
      </c>
      <c r="M85" s="35">
        <f t="shared" ref="M85" si="49">IF((M83-M84)&gt;0,M83-M84,0)</f>
        <v>0.91120979100159971</v>
      </c>
      <c r="N85" s="35">
        <f t="shared" ref="N85" si="50">IF((N83-N84)&gt;0,N83-N84,0)</f>
        <v>0</v>
      </c>
      <c r="O85" s="36">
        <f t="shared" ref="O85" si="51">IF((O83-O84)&gt;0,O83-O84,0)</f>
        <v>0</v>
      </c>
    </row>
    <row r="86" spans="2:15" ht="14.6" thickBot="1" x14ac:dyDescent="0.4">
      <c r="B86" s="17" t="s">
        <v>4</v>
      </c>
      <c r="C86" s="37">
        <f>IF((C83-C84)&gt;0,0,C83-C84)</f>
        <v>0</v>
      </c>
      <c r="D86" s="37">
        <f t="shared" ref="D86:O86" si="52">IF((D83-D84)&gt;0,0,D83-D84)</f>
        <v>0</v>
      </c>
      <c r="E86" s="37">
        <f t="shared" si="52"/>
        <v>-10.083030000000001</v>
      </c>
      <c r="F86" s="37">
        <f t="shared" si="52"/>
        <v>-20.070999999999998</v>
      </c>
      <c r="G86" s="37">
        <f t="shared" si="52"/>
        <v>-5.3888000000000034</v>
      </c>
      <c r="H86" s="37">
        <f t="shared" si="52"/>
        <v>-1.194279999999992</v>
      </c>
      <c r="I86" s="37">
        <f t="shared" si="52"/>
        <v>-16.322282533716006</v>
      </c>
      <c r="J86" s="37">
        <f t="shared" si="52"/>
        <v>-8.8557001653591101</v>
      </c>
      <c r="K86" s="37">
        <f t="shared" si="52"/>
        <v>-10.521787770578598</v>
      </c>
      <c r="L86" s="37">
        <f t="shared" si="52"/>
        <v>-1.2048014579774033</v>
      </c>
      <c r="M86" s="37">
        <f t="shared" si="52"/>
        <v>0</v>
      </c>
      <c r="N86" s="37">
        <f t="shared" si="52"/>
        <v>-8.2772081940905977</v>
      </c>
      <c r="O86" s="38">
        <f t="shared" si="52"/>
        <v>-78.33387033072006</v>
      </c>
    </row>
    <row r="87" spans="2:15" ht="14.6" thickTop="1" x14ac:dyDescent="0.3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3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4.6" thickBot="1" x14ac:dyDescent="0.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4.6" thickTop="1" x14ac:dyDescent="0.35">
      <c r="B90" s="4"/>
      <c r="C90" s="26"/>
      <c r="D90" s="26"/>
      <c r="E90" s="26"/>
      <c r="F90" s="26"/>
      <c r="G90" s="26"/>
      <c r="H90" s="30" t="str">
        <f>$H$5</f>
        <v>Columbia Gas of Kentucky, Inc.</v>
      </c>
      <c r="I90" s="26"/>
      <c r="J90" s="26"/>
      <c r="K90" s="26"/>
      <c r="L90" s="26"/>
      <c r="M90" s="26"/>
      <c r="N90" s="26"/>
      <c r="O90" s="27"/>
    </row>
    <row r="91" spans="2:15" x14ac:dyDescent="0.35">
      <c r="B91" s="6"/>
      <c r="C91" s="28"/>
      <c r="D91" s="28"/>
      <c r="E91" s="28"/>
      <c r="F91" s="28"/>
      <c r="G91" s="28"/>
      <c r="H91" s="31" t="str">
        <f>$H$6</f>
        <v>Case No. 2024-00092</v>
      </c>
      <c r="I91" s="28"/>
      <c r="J91" s="28"/>
      <c r="K91" s="28"/>
      <c r="L91" s="28"/>
      <c r="M91" s="28"/>
      <c r="N91" s="28"/>
      <c r="O91" s="39"/>
    </row>
    <row r="92" spans="2:15" x14ac:dyDescent="0.35">
      <c r="B92" s="6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9"/>
    </row>
    <row r="93" spans="2:15" x14ac:dyDescent="0.35">
      <c r="B93" s="6"/>
      <c r="C93" s="28"/>
      <c r="D93" s="28"/>
      <c r="E93" s="28"/>
      <c r="F93" s="28"/>
      <c r="G93" s="28"/>
      <c r="H93" s="31" t="s">
        <v>7</v>
      </c>
      <c r="I93" s="28"/>
      <c r="J93" s="28"/>
      <c r="K93" s="28"/>
      <c r="L93" s="28"/>
      <c r="M93" s="28"/>
      <c r="N93" s="28"/>
      <c r="O93" s="39"/>
    </row>
    <row r="94" spans="2:15" x14ac:dyDescent="0.35">
      <c r="B94" s="6"/>
      <c r="C94" s="28"/>
      <c r="D94" s="28"/>
      <c r="E94" s="28"/>
      <c r="F94" s="28"/>
      <c r="G94" s="28"/>
      <c r="H94" s="31" t="s">
        <v>33</v>
      </c>
      <c r="I94" s="28"/>
      <c r="J94" s="28"/>
      <c r="K94" s="28"/>
      <c r="L94" s="28"/>
      <c r="M94" s="28"/>
      <c r="N94" s="28"/>
      <c r="O94" s="39"/>
    </row>
    <row r="95" spans="2:15" ht="14.6" thickBot="1" x14ac:dyDescent="0.4">
      <c r="B95" s="6"/>
      <c r="C95" s="28"/>
      <c r="D95" s="28"/>
      <c r="E95" s="28"/>
      <c r="F95" s="28"/>
      <c r="G95" s="28"/>
      <c r="H95" s="31" t="s">
        <v>1</v>
      </c>
      <c r="I95" s="28"/>
      <c r="J95" s="28"/>
      <c r="K95" s="28"/>
      <c r="L95" s="28"/>
      <c r="M95" s="28"/>
      <c r="N95" s="28"/>
      <c r="O95" s="39"/>
    </row>
    <row r="96" spans="2:15" ht="29.15" thickTop="1" thickBot="1" x14ac:dyDescent="0.4">
      <c r="B96" s="12" t="s">
        <v>13</v>
      </c>
      <c r="C96" s="40" t="str">
        <f>$C$11</f>
        <v>Sep-23 / Sep-22</v>
      </c>
      <c r="D96" s="40" t="str">
        <f>$D$11</f>
        <v>Oct-23  / Oct-22</v>
      </c>
      <c r="E96" s="40" t="str">
        <f>$E$11</f>
        <v>Nov-23 / Nov-22</v>
      </c>
      <c r="F96" s="40" t="str">
        <f>$F$11</f>
        <v>Dec-23 / Dec-22</v>
      </c>
      <c r="G96" s="40" t="str">
        <f>$G$11</f>
        <v>Jan-24 / Jan-23</v>
      </c>
      <c r="H96" s="40" t="str">
        <f>$H$11</f>
        <v>Feb-24 / Feb-23</v>
      </c>
      <c r="I96" s="40" t="str">
        <f>$I$11</f>
        <v>Mar-24 / Mar-23</v>
      </c>
      <c r="J96" s="40" t="str">
        <f>$J$11</f>
        <v>Apr-24 / Apr-23</v>
      </c>
      <c r="K96" s="40" t="str">
        <f>$K$11</f>
        <v>May-24 / May-23</v>
      </c>
      <c r="L96" s="40" t="str">
        <f>$L$11</f>
        <v>Jun-24 / Jun-23</v>
      </c>
      <c r="M96" s="40" t="str">
        <f>$M$11</f>
        <v>Jul-24 / Jul-23</v>
      </c>
      <c r="N96" s="40" t="str">
        <f>$N$11</f>
        <v>Aug-24 / Aug-23</v>
      </c>
      <c r="O96" s="41" t="s">
        <v>2</v>
      </c>
    </row>
    <row r="97" spans="2:15" ht="26.25" customHeight="1" thickBot="1" x14ac:dyDescent="0.4">
      <c r="B97" s="15" t="s">
        <v>5</v>
      </c>
      <c r="C97" s="33">
        <v>4.2299199999999999</v>
      </c>
      <c r="D97" s="33">
        <v>16.5199</v>
      </c>
      <c r="E97" s="33">
        <v>25.87012</v>
      </c>
      <c r="F97" s="33">
        <v>4.3772799999999998</v>
      </c>
      <c r="G97" s="33">
        <v>-10.51079</v>
      </c>
      <c r="H97" s="33">
        <v>4.9956300000000002</v>
      </c>
      <c r="I97" s="33">
        <v>9.9945161211327207</v>
      </c>
      <c r="J97" s="33">
        <v>13.598968573674901</v>
      </c>
      <c r="K97" s="33">
        <v>5.8028149023813302</v>
      </c>
      <c r="L97" s="33">
        <v>4.6807182750986502</v>
      </c>
      <c r="M97" s="33">
        <v>6.9486445776570802</v>
      </c>
      <c r="N97" s="33">
        <v>18.166026376554701</v>
      </c>
      <c r="O97" s="34">
        <f>SUM(C97:N97)</f>
        <v>104.67374882649938</v>
      </c>
    </row>
    <row r="98" spans="2:15" ht="14.6" thickBot="1" x14ac:dyDescent="0.4">
      <c r="B98" s="16" t="s">
        <v>6</v>
      </c>
      <c r="C98" s="35">
        <v>16.689779999999999</v>
      </c>
      <c r="D98" s="35">
        <v>16.922249999999998</v>
      </c>
      <c r="E98" s="35">
        <v>14.311590000000001</v>
      </c>
      <c r="F98" s="35">
        <v>8.1435499999999994</v>
      </c>
      <c r="G98" s="35">
        <v>-0.83945000000000003</v>
      </c>
      <c r="H98" s="35">
        <v>5.1515199999999997</v>
      </c>
      <c r="I98" s="35">
        <v>17.29693</v>
      </c>
      <c r="J98" s="35">
        <v>16.365939999999998</v>
      </c>
      <c r="K98" s="35">
        <v>-0.24576000000000001</v>
      </c>
      <c r="L98" s="35">
        <v>3.5771500000000001</v>
      </c>
      <c r="M98" s="35">
        <v>9.3347800000000003</v>
      </c>
      <c r="N98" s="35">
        <v>2.5326599999999999</v>
      </c>
      <c r="O98" s="36">
        <f>SUM(C98:N98)</f>
        <v>109.24093999999999</v>
      </c>
    </row>
    <row r="99" spans="2:15" ht="14.6" thickBot="1" x14ac:dyDescent="0.4">
      <c r="B99" s="16" t="s">
        <v>3</v>
      </c>
      <c r="C99" s="35">
        <f>IF((C97-C98)&gt;0,C97-C98,0)</f>
        <v>0</v>
      </c>
      <c r="D99" s="35">
        <f t="shared" ref="D99" si="53">IF((D97-D98)&gt;0,D97-D98,0)</f>
        <v>0</v>
      </c>
      <c r="E99" s="35">
        <f t="shared" ref="E99" si="54">IF((E97-E98)&gt;0,E97-E98,0)</f>
        <v>11.558529999999999</v>
      </c>
      <c r="F99" s="35">
        <f t="shared" ref="F99" si="55">IF((F97-F98)&gt;0,F97-F98,0)</f>
        <v>0</v>
      </c>
      <c r="G99" s="35">
        <f t="shared" ref="G99" si="56">IF((G97-G98)&gt;0,G97-G98,0)</f>
        <v>0</v>
      </c>
      <c r="H99" s="35">
        <f t="shared" ref="H99" si="57">IF((H97-H98)&gt;0,H97-H98,0)</f>
        <v>0</v>
      </c>
      <c r="I99" s="35">
        <f t="shared" ref="I99" si="58">IF((I97-I98)&gt;0,I97-I98,0)</f>
        <v>0</v>
      </c>
      <c r="J99" s="35">
        <f t="shared" ref="J99" si="59">IF((J97-J98)&gt;0,J97-J98,0)</f>
        <v>0</v>
      </c>
      <c r="K99" s="35">
        <f t="shared" ref="K99" si="60">IF((K97-K98)&gt;0,K97-K98,0)</f>
        <v>6.04857490238133</v>
      </c>
      <c r="L99" s="35">
        <f t="shared" ref="L99" si="61">IF((L97-L98)&gt;0,L97-L98,0)</f>
        <v>1.1035682750986502</v>
      </c>
      <c r="M99" s="35">
        <f t="shared" ref="M99" si="62">IF((M97-M98)&gt;0,M97-M98,0)</f>
        <v>0</v>
      </c>
      <c r="N99" s="35">
        <f t="shared" ref="N99" si="63">IF((N97-N98)&gt;0,N97-N98,0)</f>
        <v>15.633366376554701</v>
      </c>
      <c r="O99" s="36">
        <f t="shared" ref="O99" si="64">IF((O97-O98)&gt;0,O97-O98,0)</f>
        <v>0</v>
      </c>
    </row>
    <row r="100" spans="2:15" ht="14.6" thickBot="1" x14ac:dyDescent="0.4">
      <c r="B100" s="17" t="s">
        <v>4</v>
      </c>
      <c r="C100" s="37">
        <f>IF((C97-C98)&gt;0,0,C97-C98)</f>
        <v>-12.459859999999999</v>
      </c>
      <c r="D100" s="37">
        <f t="shared" ref="D100:O100" si="65">IF((D97-D98)&gt;0,0,D97-D98)</f>
        <v>-0.40234999999999843</v>
      </c>
      <c r="E100" s="37">
        <f t="shared" si="65"/>
        <v>0</v>
      </c>
      <c r="F100" s="37">
        <f t="shared" si="65"/>
        <v>-3.7662699999999996</v>
      </c>
      <c r="G100" s="37">
        <f t="shared" si="65"/>
        <v>-9.6713400000000007</v>
      </c>
      <c r="H100" s="37">
        <f t="shared" si="65"/>
        <v>-0.15588999999999942</v>
      </c>
      <c r="I100" s="37">
        <f t="shared" si="65"/>
        <v>-7.302413878867279</v>
      </c>
      <c r="J100" s="37">
        <f t="shared" si="65"/>
        <v>-2.7669714263250977</v>
      </c>
      <c r="K100" s="37">
        <f t="shared" si="65"/>
        <v>0</v>
      </c>
      <c r="L100" s="37">
        <f t="shared" si="65"/>
        <v>0</v>
      </c>
      <c r="M100" s="37">
        <f t="shared" si="65"/>
        <v>-2.3861354223429201</v>
      </c>
      <c r="N100" s="37">
        <f t="shared" si="65"/>
        <v>0</v>
      </c>
      <c r="O100" s="38">
        <f t="shared" si="65"/>
        <v>-4.5671911735006177</v>
      </c>
    </row>
    <row r="101" spans="2:15" ht="14.6" thickTop="1" x14ac:dyDescent="0.3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3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3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 t="str">
        <f>O1</f>
        <v>KY PSC Case No. 2024-00092, Staff 1-2, Attachment A</v>
      </c>
    </row>
    <row r="104" spans="2:15" x14ac:dyDescent="0.3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 t="s">
        <v>61</v>
      </c>
    </row>
    <row r="105" spans="2:15" x14ac:dyDescent="0.3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 t="s">
        <v>58</v>
      </c>
    </row>
    <row r="106" spans="2:15" ht="14.6" thickBot="1" x14ac:dyDescent="0.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4.6" thickTop="1" x14ac:dyDescent="0.35">
      <c r="B107" s="4"/>
      <c r="C107" s="26"/>
      <c r="D107" s="26"/>
      <c r="E107" s="26"/>
      <c r="F107" s="26"/>
      <c r="G107" s="26"/>
      <c r="H107" s="30" t="str">
        <f>$H$5</f>
        <v>Columbia Gas of Kentucky, Inc.</v>
      </c>
      <c r="I107" s="26"/>
      <c r="J107" s="26"/>
      <c r="K107" s="26"/>
      <c r="L107" s="26"/>
      <c r="M107" s="26"/>
      <c r="N107" s="26"/>
      <c r="O107" s="27"/>
    </row>
    <row r="108" spans="2:15" x14ac:dyDescent="0.35">
      <c r="B108" s="6"/>
      <c r="C108" s="28"/>
      <c r="D108" s="28"/>
      <c r="E108" s="28"/>
      <c r="F108" s="28"/>
      <c r="G108" s="28"/>
      <c r="H108" s="31" t="str">
        <f>$H$6</f>
        <v>Case No. 2024-00092</v>
      </c>
      <c r="I108" s="28"/>
      <c r="J108" s="28"/>
      <c r="K108" s="28"/>
      <c r="L108" s="28"/>
      <c r="M108" s="28"/>
      <c r="N108" s="28"/>
      <c r="O108" s="29"/>
    </row>
    <row r="109" spans="2:15" x14ac:dyDescent="0.35">
      <c r="B109" s="6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2:15" x14ac:dyDescent="0.35">
      <c r="B110" s="6"/>
      <c r="C110" s="28"/>
      <c r="D110" s="28"/>
      <c r="E110" s="28"/>
      <c r="F110" s="28"/>
      <c r="G110" s="28"/>
      <c r="H110" s="31" t="s">
        <v>7</v>
      </c>
      <c r="I110" s="28"/>
      <c r="J110" s="28"/>
      <c r="K110" s="28"/>
      <c r="L110" s="28"/>
      <c r="M110" s="28"/>
      <c r="N110" s="28"/>
      <c r="O110" s="29"/>
    </row>
    <row r="111" spans="2:15" x14ac:dyDescent="0.35">
      <c r="B111" s="6"/>
      <c r="C111" s="28"/>
      <c r="D111" s="28"/>
      <c r="E111" s="28"/>
      <c r="F111" s="28"/>
      <c r="G111" s="28"/>
      <c r="H111" s="31" t="s">
        <v>33</v>
      </c>
      <c r="I111" s="28"/>
      <c r="J111" s="28"/>
      <c r="K111" s="28"/>
      <c r="L111" s="28"/>
      <c r="M111" s="28"/>
      <c r="N111" s="28"/>
      <c r="O111" s="39"/>
    </row>
    <row r="112" spans="2:15" ht="14.6" thickBot="1" x14ac:dyDescent="0.4">
      <c r="B112" s="6"/>
      <c r="C112" s="28"/>
      <c r="D112" s="28"/>
      <c r="E112" s="28"/>
      <c r="F112" s="28"/>
      <c r="G112" s="28"/>
      <c r="H112" s="31" t="s">
        <v>1</v>
      </c>
      <c r="I112" s="28"/>
      <c r="J112" s="28"/>
      <c r="K112" s="28"/>
      <c r="L112" s="28"/>
      <c r="M112" s="28"/>
      <c r="N112" s="28"/>
      <c r="O112" s="39"/>
    </row>
    <row r="113" spans="2:22" ht="29.15" thickTop="1" thickBot="1" x14ac:dyDescent="0.4">
      <c r="B113" s="12" t="s">
        <v>14</v>
      </c>
      <c r="C113" s="40" t="str">
        <f>$C$11</f>
        <v>Sep-23 / Sep-22</v>
      </c>
      <c r="D113" s="40" t="str">
        <f>$D$11</f>
        <v>Oct-23  / Oct-22</v>
      </c>
      <c r="E113" s="40" t="str">
        <f>$E$11</f>
        <v>Nov-23 / Nov-22</v>
      </c>
      <c r="F113" s="40" t="str">
        <f>$F$11</f>
        <v>Dec-23 / Dec-22</v>
      </c>
      <c r="G113" s="40" t="str">
        <f>$G$11</f>
        <v>Jan-24 / Jan-23</v>
      </c>
      <c r="H113" s="40" t="str">
        <f>$H$11</f>
        <v>Feb-24 / Feb-23</v>
      </c>
      <c r="I113" s="40" t="str">
        <f>$I$11</f>
        <v>Mar-24 / Mar-23</v>
      </c>
      <c r="J113" s="40" t="str">
        <f>$J$11</f>
        <v>Apr-24 / Apr-23</v>
      </c>
      <c r="K113" s="40" t="str">
        <f>$K$11</f>
        <v>May-24 / May-23</v>
      </c>
      <c r="L113" s="40" t="str">
        <f>$L$11</f>
        <v>Jun-24 / Jun-23</v>
      </c>
      <c r="M113" s="40" t="str">
        <f>$M$11</f>
        <v>Jul-24 / Jul-23</v>
      </c>
      <c r="N113" s="40" t="str">
        <f>$N$11</f>
        <v>Aug-24 / Aug-23</v>
      </c>
      <c r="O113" s="41" t="s">
        <v>2</v>
      </c>
    </row>
    <row r="114" spans="2:22" ht="28.5" customHeight="1" thickBot="1" x14ac:dyDescent="0.4">
      <c r="B114" s="15" t="s">
        <v>77</v>
      </c>
      <c r="C114" s="33">
        <f>1289.88509</f>
        <v>1289.88509</v>
      </c>
      <c r="D114" s="33">
        <f>1582.27198</f>
        <v>1582.27198</v>
      </c>
      <c r="E114" s="33">
        <f>2078.77302</f>
        <v>2078.7730200000001</v>
      </c>
      <c r="F114" s="33">
        <f>2566.61968</f>
        <v>2566.6196799999998</v>
      </c>
      <c r="G114" s="33">
        <f>3292.81928</f>
        <v>3292.8192800000002</v>
      </c>
      <c r="H114" s="33">
        <f>2660.42438</f>
        <v>2660.4243799999999</v>
      </c>
      <c r="I114" s="33">
        <f>931.13914+1034.36765+591.78554</f>
        <v>2557.2923299999998</v>
      </c>
      <c r="J114" s="33">
        <f>654.36687+728.53838+551.4093</f>
        <v>1934.3145499999998</v>
      </c>
      <c r="K114" s="33">
        <f>418.43398+592.44727+517.56507</f>
        <v>1528.44632</v>
      </c>
      <c r="L114" s="33">
        <f>313.3187+532.59507+480.75818</f>
        <v>1326.6719499999999</v>
      </c>
      <c r="M114" s="33">
        <f>282.60254+503.54905+403.4415</f>
        <v>1189.5930899999998</v>
      </c>
      <c r="N114" s="33">
        <f>284.45113+510.49085+491.53053</f>
        <v>1286.4725100000001</v>
      </c>
      <c r="O114" s="34">
        <f>SUM(C114:N114)</f>
        <v>23293.584179999998</v>
      </c>
      <c r="Q114" s="32"/>
      <c r="R114" s="32"/>
      <c r="S114" s="32"/>
      <c r="T114" s="32"/>
      <c r="U114" s="32"/>
      <c r="V114" s="32"/>
    </row>
    <row r="115" spans="2:22" ht="14.6" thickBot="1" x14ac:dyDescent="0.4">
      <c r="B115" s="16" t="s">
        <v>6</v>
      </c>
      <c r="C115" s="35">
        <f>314.72431+508.19747+547.27156</f>
        <v>1370.19334</v>
      </c>
      <c r="D115" s="35">
        <f>398.1977+578.57689+657.2419</f>
        <v>1634.01649</v>
      </c>
      <c r="E115" s="35">
        <f>560.83541+712.56762+662.27713</f>
        <v>1935.6801599999999</v>
      </c>
      <c r="F115" s="35">
        <f>995.27996+966.98957+524.05287</f>
        <v>2486.3224</v>
      </c>
      <c r="G115" s="35">
        <f>1304.85452+1271.87491+716.63703</f>
        <v>3293.3664600000002</v>
      </c>
      <c r="H115" s="35">
        <f>1217.74699+1141.74709+555.54509</f>
        <v>2915.0391700000005</v>
      </c>
      <c r="I115" s="35">
        <f>1001.40157+1007.55177+652.44661</f>
        <v>2661.39995</v>
      </c>
      <c r="J115" s="35">
        <f>676.27297+720.36324+593.41993</f>
        <v>1990.0561400000001</v>
      </c>
      <c r="K115" s="35">
        <f>452.42885+558.04963+560.18541</f>
        <v>1570.66389</v>
      </c>
      <c r="L115" s="35">
        <f>325.72802+554.88952+549.40046</f>
        <v>1430.018</v>
      </c>
      <c r="M115" s="35">
        <f>301.64319+526.54791+488.8396</f>
        <v>1317.0307</v>
      </c>
      <c r="N115" s="35">
        <f>294.62093+506.12278+530.78305</f>
        <v>1331.52676</v>
      </c>
      <c r="O115" s="36">
        <f>SUM(C115:N115)</f>
        <v>23935.313460000001</v>
      </c>
    </row>
    <row r="116" spans="2:22" ht="14.6" thickBot="1" x14ac:dyDescent="0.4">
      <c r="B116" s="16" t="s">
        <v>3</v>
      </c>
      <c r="C116" s="35">
        <f>IF((C114-C115)&gt;0,C114-C115,0)</f>
        <v>0</v>
      </c>
      <c r="D116" s="35">
        <f t="shared" ref="D116" si="66">IF((D114-D115)&gt;0,D114-D115,0)</f>
        <v>0</v>
      </c>
      <c r="E116" s="35">
        <f t="shared" ref="E116" si="67">IF((E114-E115)&gt;0,E114-E115,0)</f>
        <v>143.0928600000002</v>
      </c>
      <c r="F116" s="35">
        <f t="shared" ref="F116" si="68">IF((F114-F115)&gt;0,F114-F115,0)</f>
        <v>80.297279999999773</v>
      </c>
      <c r="G116" s="35">
        <f t="shared" ref="G116" si="69">IF((G114-G115)&gt;0,G114-G115,0)</f>
        <v>0</v>
      </c>
      <c r="H116" s="35">
        <f t="shared" ref="H116" si="70">IF((H114-H115)&gt;0,H114-H115,0)</f>
        <v>0</v>
      </c>
      <c r="I116" s="35">
        <f t="shared" ref="I116" si="71">IF((I114-I115)&gt;0,I114-I115,0)</f>
        <v>0</v>
      </c>
      <c r="J116" s="35">
        <f t="shared" ref="J116" si="72">IF((J114-J115)&gt;0,J114-J115,0)</f>
        <v>0</v>
      </c>
      <c r="K116" s="35">
        <f t="shared" ref="K116" si="73">IF((K114-K115)&gt;0,K114-K115,0)</f>
        <v>0</v>
      </c>
      <c r="L116" s="35">
        <f t="shared" ref="L116" si="74">IF((L114-L115)&gt;0,L114-L115,0)</f>
        <v>0</v>
      </c>
      <c r="M116" s="35">
        <f t="shared" ref="M116" si="75">IF((M114-M115)&gt;0,M114-M115,0)</f>
        <v>0</v>
      </c>
      <c r="N116" s="35">
        <f t="shared" ref="N116" si="76">IF((N114-N115)&gt;0,N114-N115,0)</f>
        <v>0</v>
      </c>
      <c r="O116" s="36">
        <f t="shared" ref="O116" si="77">IF((O114-O115)&gt;0,O114-O115,0)</f>
        <v>0</v>
      </c>
    </row>
    <row r="117" spans="2:22" ht="14.6" thickBot="1" x14ac:dyDescent="0.4">
      <c r="B117" s="17" t="s">
        <v>4</v>
      </c>
      <c r="C117" s="37">
        <f>IF((C114-C115)&gt;0,0,C114-C115)</f>
        <v>-80.308250000000044</v>
      </c>
      <c r="D117" s="37">
        <f t="shared" ref="D117:O117" si="78">IF((D114-D115)&gt;0,0,D114-D115)</f>
        <v>-51.744509999999991</v>
      </c>
      <c r="E117" s="37">
        <f t="shared" si="78"/>
        <v>0</v>
      </c>
      <c r="F117" s="37">
        <f t="shared" si="78"/>
        <v>0</v>
      </c>
      <c r="G117" s="37">
        <f t="shared" si="78"/>
        <v>-0.54718000000002576</v>
      </c>
      <c r="H117" s="37">
        <f t="shared" si="78"/>
        <v>-254.61479000000054</v>
      </c>
      <c r="I117" s="37">
        <f t="shared" si="78"/>
        <v>-104.10762000000022</v>
      </c>
      <c r="J117" s="37">
        <f t="shared" si="78"/>
        <v>-55.741590000000315</v>
      </c>
      <c r="K117" s="37">
        <f t="shared" si="78"/>
        <v>-42.217570000000023</v>
      </c>
      <c r="L117" s="37">
        <f t="shared" si="78"/>
        <v>-103.3460500000001</v>
      </c>
      <c r="M117" s="37">
        <f t="shared" si="78"/>
        <v>-127.43761000000018</v>
      </c>
      <c r="N117" s="37">
        <f t="shared" si="78"/>
        <v>-45.054249999999911</v>
      </c>
      <c r="O117" s="38">
        <f t="shared" si="78"/>
        <v>-641.7292800000032</v>
      </c>
    </row>
    <row r="118" spans="2:22" ht="14.6" thickTop="1" x14ac:dyDescent="0.35">
      <c r="B118" s="10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2:22" ht="14.6" thickBot="1" x14ac:dyDescent="0.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22" ht="14.6" thickTop="1" x14ac:dyDescent="0.35">
      <c r="B120" s="4"/>
      <c r="C120" s="26"/>
      <c r="D120" s="26"/>
      <c r="E120" s="26"/>
      <c r="F120" s="26"/>
      <c r="G120" s="26"/>
      <c r="H120" s="30" t="str">
        <f>$H$5</f>
        <v>Columbia Gas of Kentucky, Inc.</v>
      </c>
      <c r="I120" s="26"/>
      <c r="J120" s="26"/>
      <c r="K120" s="26"/>
      <c r="L120" s="26"/>
      <c r="M120" s="26"/>
      <c r="N120" s="26"/>
      <c r="O120" s="27"/>
    </row>
    <row r="121" spans="2:22" x14ac:dyDescent="0.35">
      <c r="B121" s="6"/>
      <c r="C121" s="28"/>
      <c r="D121" s="28"/>
      <c r="E121" s="28"/>
      <c r="F121" s="28"/>
      <c r="G121" s="28"/>
      <c r="H121" s="31" t="str">
        <f>$H$6</f>
        <v>Case No. 2024-00092</v>
      </c>
      <c r="I121" s="28"/>
      <c r="J121" s="28"/>
      <c r="K121" s="28"/>
      <c r="L121" s="28"/>
      <c r="M121" s="28"/>
      <c r="N121" s="28"/>
      <c r="O121" s="39"/>
    </row>
    <row r="122" spans="2:22" x14ac:dyDescent="0.35">
      <c r="B122" s="6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39"/>
    </row>
    <row r="123" spans="2:22" x14ac:dyDescent="0.35">
      <c r="B123" s="6"/>
      <c r="C123" s="28"/>
      <c r="D123" s="28"/>
      <c r="E123" s="28"/>
      <c r="F123" s="28"/>
      <c r="G123" s="28"/>
      <c r="H123" s="31" t="s">
        <v>7</v>
      </c>
      <c r="I123" s="28"/>
      <c r="J123" s="28"/>
      <c r="K123" s="28"/>
      <c r="L123" s="28"/>
      <c r="M123" s="28"/>
      <c r="N123" s="28"/>
      <c r="O123" s="39"/>
    </row>
    <row r="124" spans="2:22" x14ac:dyDescent="0.35">
      <c r="B124" s="6"/>
      <c r="C124" s="28"/>
      <c r="D124" s="28"/>
      <c r="E124" s="28"/>
      <c r="F124" s="28"/>
      <c r="G124" s="28"/>
      <c r="H124" s="31" t="s">
        <v>33</v>
      </c>
      <c r="I124" s="28"/>
      <c r="J124" s="28"/>
      <c r="K124" s="28"/>
      <c r="L124" s="28"/>
      <c r="M124" s="28"/>
      <c r="N124" s="28"/>
      <c r="O124" s="39"/>
    </row>
    <row r="125" spans="2:22" ht="14.6" thickBot="1" x14ac:dyDescent="0.4">
      <c r="B125" s="6"/>
      <c r="C125" s="28"/>
      <c r="D125" s="28"/>
      <c r="E125" s="28"/>
      <c r="F125" s="28"/>
      <c r="G125" s="28"/>
      <c r="H125" s="31" t="s">
        <v>1</v>
      </c>
      <c r="I125" s="28"/>
      <c r="J125" s="28"/>
      <c r="K125" s="28"/>
      <c r="L125" s="28"/>
      <c r="M125" s="28"/>
      <c r="N125" s="28"/>
      <c r="O125" s="39"/>
    </row>
    <row r="126" spans="2:22" ht="29.15" thickTop="1" thickBot="1" x14ac:dyDescent="0.4">
      <c r="B126" s="12" t="s">
        <v>15</v>
      </c>
      <c r="C126" s="40" t="str">
        <f>$C$11</f>
        <v>Sep-23 / Sep-22</v>
      </c>
      <c r="D126" s="40" t="str">
        <f>$D$11</f>
        <v>Oct-23  / Oct-22</v>
      </c>
      <c r="E126" s="40" t="str">
        <f>$E$11</f>
        <v>Nov-23 / Nov-22</v>
      </c>
      <c r="F126" s="40" t="str">
        <f>$F$11</f>
        <v>Dec-23 / Dec-22</v>
      </c>
      <c r="G126" s="40" t="str">
        <f>$G$11</f>
        <v>Jan-24 / Jan-23</v>
      </c>
      <c r="H126" s="40" t="str">
        <f>$H$11</f>
        <v>Feb-24 / Feb-23</v>
      </c>
      <c r="I126" s="40" t="str">
        <f>$I$11</f>
        <v>Mar-24 / Mar-23</v>
      </c>
      <c r="J126" s="40" t="str">
        <f>$J$11</f>
        <v>Apr-24 / Apr-23</v>
      </c>
      <c r="K126" s="40" t="str">
        <f>$K$11</f>
        <v>May-24 / May-23</v>
      </c>
      <c r="L126" s="40" t="str">
        <f>$L$11</f>
        <v>Jun-24 / Jun-23</v>
      </c>
      <c r="M126" s="40" t="str">
        <f>$M$11</f>
        <v>Jul-24 / Jul-23</v>
      </c>
      <c r="N126" s="40" t="str">
        <f>$N$11</f>
        <v>Aug-24 / Aug-23</v>
      </c>
      <c r="O126" s="41" t="s">
        <v>2</v>
      </c>
    </row>
    <row r="127" spans="2:22" ht="26.25" customHeight="1" thickBot="1" x14ac:dyDescent="0.4">
      <c r="B127" s="15" t="s">
        <v>5</v>
      </c>
      <c r="C127" s="33">
        <f>1298.91523-C114</f>
        <v>9.030140000000074</v>
      </c>
      <c r="D127" s="33">
        <f>1593.84128-D114</f>
        <v>11.569300000000112</v>
      </c>
      <c r="E127" s="33">
        <f>2092.21413-E114</f>
        <v>13.441109999999753</v>
      </c>
      <c r="F127" s="33">
        <v>13.799280000000181</v>
      </c>
      <c r="G127" s="33">
        <f>3370.02977-G114</f>
        <v>77.210489999999936</v>
      </c>
      <c r="H127" s="33">
        <f>2728.28529-H114</f>
        <v>67.860909999999876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4">
        <f>SUM(C127:N127)</f>
        <v>192.91122999999993</v>
      </c>
    </row>
    <row r="128" spans="2:22" ht="14.6" thickBot="1" x14ac:dyDescent="0.4">
      <c r="B128" s="16" t="s">
        <v>6</v>
      </c>
      <c r="C128" s="35">
        <f>1418.38227-C115</f>
        <v>48.188930000000028</v>
      </c>
      <c r="D128" s="35">
        <f>1793.75778-D115</f>
        <v>159.74128999999994</v>
      </c>
      <c r="E128" s="35">
        <f>2346.00627-E115</f>
        <v>410.32610999999997</v>
      </c>
      <c r="F128" s="35">
        <f>2479.20519-F115</f>
        <v>-7.1172099999998863</v>
      </c>
      <c r="G128" s="35">
        <f>3336.06499-G115</f>
        <v>42.698529999999664</v>
      </c>
      <c r="H128" s="35">
        <f>2659.52356-H115</f>
        <v>-255.51561000000038</v>
      </c>
      <c r="I128" s="35">
        <f>2454.64874-I115</f>
        <v>-206.7512099999999</v>
      </c>
      <c r="J128" s="35">
        <f>1801.21224-J115</f>
        <v>-188.84390000000008</v>
      </c>
      <c r="K128" s="35">
        <f>1448.31441-K115</f>
        <v>-122.34948000000009</v>
      </c>
      <c r="L128" s="35">
        <f>1427.68982-L115</f>
        <v>-2.3281799999999748</v>
      </c>
      <c r="M128" s="35">
        <f>1285.68238-M115</f>
        <v>-31.348320000000058</v>
      </c>
      <c r="N128" s="35">
        <f>1342.72841-N115</f>
        <v>11.201649999999972</v>
      </c>
      <c r="O128" s="36">
        <f>SUM(C128:N128)</f>
        <v>-142.09740000000079</v>
      </c>
    </row>
    <row r="129" spans="2:15" ht="14.6" thickBot="1" x14ac:dyDescent="0.4">
      <c r="B129" s="16" t="s">
        <v>3</v>
      </c>
      <c r="C129" s="35">
        <f>IF((C127-C128)&gt;0,C127-C128,0)</f>
        <v>0</v>
      </c>
      <c r="D129" s="35">
        <f t="shared" ref="D129" si="79">IF((D127-D128)&gt;0,D127-D128,0)</f>
        <v>0</v>
      </c>
      <c r="E129" s="35">
        <f t="shared" ref="E129" si="80">IF((E127-E128)&gt;0,E127-E128,0)</f>
        <v>0</v>
      </c>
      <c r="F129" s="35">
        <f t="shared" ref="F129" si="81">IF((F127-F128)&gt;0,F127-F128,0)</f>
        <v>20.916490000000067</v>
      </c>
      <c r="G129" s="35">
        <f t="shared" ref="G129" si="82">IF((G127-G128)&gt;0,G127-G128,0)</f>
        <v>34.511960000000272</v>
      </c>
      <c r="H129" s="35">
        <f t="shared" ref="H129" si="83">IF((H127-H128)&gt;0,H127-H128,0)</f>
        <v>323.37652000000026</v>
      </c>
      <c r="I129" s="35">
        <f t="shared" ref="I129" si="84">IF((I127-I128)&gt;0,I127-I128,0)</f>
        <v>206.7512099999999</v>
      </c>
      <c r="J129" s="35">
        <f t="shared" ref="J129" si="85">IF((J127-J128)&gt;0,J127-J128,0)</f>
        <v>188.84390000000008</v>
      </c>
      <c r="K129" s="35">
        <f t="shared" ref="K129" si="86">IF((K127-K128)&gt;0,K127-K128,0)</f>
        <v>122.34948000000009</v>
      </c>
      <c r="L129" s="35">
        <f t="shared" ref="L129" si="87">IF((L127-L128)&gt;0,L127-L128,0)</f>
        <v>2.3281799999999748</v>
      </c>
      <c r="M129" s="35">
        <f t="shared" ref="M129" si="88">IF((M127-M128)&gt;0,M127-M128,0)</f>
        <v>31.348320000000058</v>
      </c>
      <c r="N129" s="35">
        <f t="shared" ref="N129" si="89">IF((N127-N128)&gt;0,N127-N128,0)</f>
        <v>0</v>
      </c>
      <c r="O129" s="36">
        <f t="shared" ref="O129" si="90">IF((O127-O128)&gt;0,O127-O128,0)</f>
        <v>335.00863000000072</v>
      </c>
    </row>
    <row r="130" spans="2:15" ht="14.6" thickBot="1" x14ac:dyDescent="0.4">
      <c r="B130" s="17" t="s">
        <v>4</v>
      </c>
      <c r="C130" s="37">
        <f>IF((C127-C128)&gt;0,0,C127-C128)</f>
        <v>-39.158789999999954</v>
      </c>
      <c r="D130" s="37">
        <f t="shared" ref="D130:O130" si="91">IF((D127-D128)&gt;0,0,D127-D128)</f>
        <v>-148.17198999999982</v>
      </c>
      <c r="E130" s="37">
        <f t="shared" si="91"/>
        <v>-396.88500000000022</v>
      </c>
      <c r="F130" s="37">
        <f t="shared" si="91"/>
        <v>0</v>
      </c>
      <c r="G130" s="37">
        <f t="shared" si="91"/>
        <v>0</v>
      </c>
      <c r="H130" s="37">
        <f t="shared" si="91"/>
        <v>0</v>
      </c>
      <c r="I130" s="37">
        <f t="shared" si="91"/>
        <v>0</v>
      </c>
      <c r="J130" s="37">
        <f t="shared" si="91"/>
        <v>0</v>
      </c>
      <c r="K130" s="37">
        <f t="shared" si="91"/>
        <v>0</v>
      </c>
      <c r="L130" s="37">
        <f t="shared" si="91"/>
        <v>0</v>
      </c>
      <c r="M130" s="37">
        <f t="shared" si="91"/>
        <v>0</v>
      </c>
      <c r="N130" s="37">
        <f t="shared" si="91"/>
        <v>-11.201649999999972</v>
      </c>
      <c r="O130" s="38">
        <f t="shared" si="91"/>
        <v>0</v>
      </c>
    </row>
    <row r="131" spans="2:15" ht="14.6" thickTop="1" x14ac:dyDescent="0.3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4.6" thickBot="1" x14ac:dyDescent="0.4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4.6" thickTop="1" x14ac:dyDescent="0.35">
      <c r="B133" s="4"/>
      <c r="C133" s="26"/>
      <c r="D133" s="26"/>
      <c r="E133" s="26"/>
      <c r="F133" s="26"/>
      <c r="G133" s="26"/>
      <c r="H133" s="30" t="str">
        <f>$H$5</f>
        <v>Columbia Gas of Kentucky, Inc.</v>
      </c>
      <c r="I133" s="26"/>
      <c r="J133" s="26"/>
      <c r="K133" s="26"/>
      <c r="L133" s="26"/>
      <c r="M133" s="26"/>
      <c r="N133" s="26"/>
      <c r="O133" s="27"/>
    </row>
    <row r="134" spans="2:15" x14ac:dyDescent="0.35">
      <c r="B134" s="6"/>
      <c r="C134" s="28"/>
      <c r="D134" s="28"/>
      <c r="E134" s="28"/>
      <c r="F134" s="28"/>
      <c r="G134" s="28"/>
      <c r="H134" s="31" t="str">
        <f>$H$6</f>
        <v>Case No. 2024-00092</v>
      </c>
      <c r="I134" s="28"/>
      <c r="J134" s="28"/>
      <c r="K134" s="28"/>
      <c r="L134" s="28"/>
      <c r="M134" s="28"/>
      <c r="N134" s="28"/>
      <c r="O134" s="29"/>
    </row>
    <row r="135" spans="2:15" x14ac:dyDescent="0.35">
      <c r="B135" s="6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9"/>
    </row>
    <row r="136" spans="2:15" x14ac:dyDescent="0.35">
      <c r="B136" s="6"/>
      <c r="C136" s="28"/>
      <c r="D136" s="28"/>
      <c r="E136" s="28"/>
      <c r="F136" s="28"/>
      <c r="G136" s="28"/>
      <c r="H136" s="31" t="s">
        <v>7</v>
      </c>
      <c r="I136" s="28"/>
      <c r="J136" s="28"/>
      <c r="K136" s="28"/>
      <c r="L136" s="28"/>
      <c r="M136" s="28"/>
      <c r="N136" s="28"/>
      <c r="O136" s="29"/>
    </row>
    <row r="137" spans="2:15" x14ac:dyDescent="0.35">
      <c r="B137" s="6"/>
      <c r="C137" s="28"/>
      <c r="D137" s="28"/>
      <c r="E137" s="28"/>
      <c r="F137" s="28"/>
      <c r="G137" s="28"/>
      <c r="H137" s="31" t="s">
        <v>33</v>
      </c>
      <c r="I137" s="28"/>
      <c r="J137" s="28"/>
      <c r="K137" s="28"/>
      <c r="L137" s="28"/>
      <c r="M137" s="28"/>
      <c r="N137" s="28"/>
      <c r="O137" s="39"/>
    </row>
    <row r="138" spans="2:15" ht="14.6" thickBot="1" x14ac:dyDescent="0.4">
      <c r="B138" s="6"/>
      <c r="C138" s="28"/>
      <c r="D138" s="28"/>
      <c r="E138" s="28"/>
      <c r="F138" s="28"/>
      <c r="G138" s="28"/>
      <c r="H138" s="31" t="s">
        <v>1</v>
      </c>
      <c r="I138" s="28"/>
      <c r="J138" s="28"/>
      <c r="K138" s="28"/>
      <c r="L138" s="28"/>
      <c r="M138" s="28"/>
      <c r="N138" s="28"/>
      <c r="O138" s="39"/>
    </row>
    <row r="139" spans="2:15" ht="29.15" thickTop="1" thickBot="1" x14ac:dyDescent="0.4">
      <c r="B139" s="12" t="s">
        <v>16</v>
      </c>
      <c r="C139" s="40" t="str">
        <f>$C$11</f>
        <v>Sep-23 / Sep-22</v>
      </c>
      <c r="D139" s="40" t="str">
        <f>$D$11</f>
        <v>Oct-23  / Oct-22</v>
      </c>
      <c r="E139" s="40" t="str">
        <f>$E$11</f>
        <v>Nov-23 / Nov-22</v>
      </c>
      <c r="F139" s="40" t="str">
        <f>$F$11</f>
        <v>Dec-23 / Dec-22</v>
      </c>
      <c r="G139" s="40" t="str">
        <f>$G$11</f>
        <v>Jan-24 / Jan-23</v>
      </c>
      <c r="H139" s="40" t="str">
        <f>$H$11</f>
        <v>Feb-24 / Feb-23</v>
      </c>
      <c r="I139" s="40" t="str">
        <f>$I$11</f>
        <v>Mar-24 / Mar-23</v>
      </c>
      <c r="J139" s="40" t="str">
        <f>$J$11</f>
        <v>Apr-24 / Apr-23</v>
      </c>
      <c r="K139" s="40" t="str">
        <f>$K$11</f>
        <v>May-24 / May-23</v>
      </c>
      <c r="L139" s="40" t="str">
        <f>$L$11</f>
        <v>Jun-24 / Jun-23</v>
      </c>
      <c r="M139" s="40" t="str">
        <f>$M$11</f>
        <v>Jul-24 / Jul-23</v>
      </c>
      <c r="N139" s="40" t="str">
        <f>$N$11</f>
        <v>Aug-24 / Aug-23</v>
      </c>
      <c r="O139" s="41" t="s">
        <v>2</v>
      </c>
    </row>
    <row r="140" spans="2:15" ht="30.75" customHeight="1" thickBot="1" x14ac:dyDescent="0.4">
      <c r="B140" s="15" t="s">
        <v>5</v>
      </c>
      <c r="C140" s="33">
        <v>4.9950000000000001</v>
      </c>
      <c r="D140" s="33">
        <v>4.9950000000000001</v>
      </c>
      <c r="E140" s="33">
        <v>4.9950000000000001</v>
      </c>
      <c r="F140" s="33">
        <v>4.9950000000000001</v>
      </c>
      <c r="G140" s="33">
        <v>4.9950000000000001</v>
      </c>
      <c r="H140" s="33">
        <v>7.3440000000000003</v>
      </c>
      <c r="I140" s="33">
        <v>8.5298761085115</v>
      </c>
      <c r="J140" s="33">
        <v>9.7001717035415194</v>
      </c>
      <c r="K140" s="33">
        <v>9.7001717035415194</v>
      </c>
      <c r="L140" s="33">
        <v>9.7001717035415194</v>
      </c>
      <c r="M140" s="33">
        <v>7.6106718797001998</v>
      </c>
      <c r="N140" s="33">
        <v>7.6106718797001998</v>
      </c>
      <c r="O140" s="34">
        <f>SUM(C140:N140)</f>
        <v>85.170734978536473</v>
      </c>
    </row>
    <row r="141" spans="2:15" ht="14.6" thickBot="1" x14ac:dyDescent="0.4">
      <c r="B141" s="16" t="s">
        <v>6</v>
      </c>
      <c r="C141" s="35">
        <v>4.2626200000000001</v>
      </c>
      <c r="D141" s="35">
        <v>4.2626200000000001</v>
      </c>
      <c r="E141" s="35">
        <v>4.2626200000000001</v>
      </c>
      <c r="F141" s="35">
        <v>4.2626200000000001</v>
      </c>
      <c r="G141" s="35">
        <v>4.2626200000000001</v>
      </c>
      <c r="H141" s="35">
        <v>4.2626200000000001</v>
      </c>
      <c r="I141" s="35">
        <v>6.46</v>
      </c>
      <c r="J141" s="35">
        <v>4.9950000000000001</v>
      </c>
      <c r="K141" s="35">
        <v>4.9950000000000001</v>
      </c>
      <c r="L141" s="35">
        <v>4.9950000000000001</v>
      </c>
      <c r="M141" s="35">
        <v>4.9950000000000001</v>
      </c>
      <c r="N141" s="35">
        <v>4.9950000000000001</v>
      </c>
      <c r="O141" s="36">
        <f>SUM(C141:N141)</f>
        <v>57.010719999999985</v>
      </c>
    </row>
    <row r="142" spans="2:15" ht="14.6" thickBot="1" x14ac:dyDescent="0.4">
      <c r="B142" s="16" t="s">
        <v>3</v>
      </c>
      <c r="C142" s="35">
        <f>IF((C140-C141)&gt;0,C140-C141,0)</f>
        <v>0.73238000000000003</v>
      </c>
      <c r="D142" s="35">
        <f t="shared" ref="D142" si="92">IF((D140-D141)&gt;0,D140-D141,0)</f>
        <v>0.73238000000000003</v>
      </c>
      <c r="E142" s="35">
        <f t="shared" ref="E142" si="93">IF((E140-E141)&gt;0,E140-E141,0)</f>
        <v>0.73238000000000003</v>
      </c>
      <c r="F142" s="35">
        <f t="shared" ref="F142" si="94">IF((F140-F141)&gt;0,F140-F141,0)</f>
        <v>0.73238000000000003</v>
      </c>
      <c r="G142" s="35">
        <f t="shared" ref="G142" si="95">IF((G140-G141)&gt;0,G140-G141,0)</f>
        <v>0.73238000000000003</v>
      </c>
      <c r="H142" s="35">
        <f t="shared" ref="H142" si="96">IF((H140-H141)&gt;0,H140-H141,0)</f>
        <v>3.0813800000000002</v>
      </c>
      <c r="I142" s="35">
        <f t="shared" ref="I142" si="97">IF((I140-I141)&gt;0,I140-I141,0)</f>
        <v>2.0698761085115001</v>
      </c>
      <c r="J142" s="35">
        <f t="shared" ref="J142" si="98">IF((J140-J141)&gt;0,J140-J141,0)</f>
        <v>4.7051717035415193</v>
      </c>
      <c r="K142" s="35">
        <f t="shared" ref="K142" si="99">IF((K140-K141)&gt;0,K140-K141,0)</f>
        <v>4.7051717035415193</v>
      </c>
      <c r="L142" s="35">
        <f t="shared" ref="L142" si="100">IF((L140-L141)&gt;0,L140-L141,0)</f>
        <v>4.7051717035415193</v>
      </c>
      <c r="M142" s="35">
        <f t="shared" ref="M142" si="101">IF((M140-M141)&gt;0,M140-M141,0)</f>
        <v>2.6156718797001997</v>
      </c>
      <c r="N142" s="35">
        <f t="shared" ref="N142" si="102">IF((N140-N141)&gt;0,N140-N141,0)</f>
        <v>2.6156718797001997</v>
      </c>
      <c r="O142" s="36">
        <f t="shared" ref="O142" si="103">IF((O140-O141)&gt;0,O140-O141,0)</f>
        <v>28.160014978536488</v>
      </c>
    </row>
    <row r="143" spans="2:15" ht="14.6" thickBot="1" x14ac:dyDescent="0.4">
      <c r="B143" s="17" t="s">
        <v>4</v>
      </c>
      <c r="C143" s="37">
        <f>IF((C140-C141)&gt;0,0,C140-C141)</f>
        <v>0</v>
      </c>
      <c r="D143" s="37">
        <f t="shared" ref="D143:O143" si="104">IF((D140-D141)&gt;0,0,D140-D141)</f>
        <v>0</v>
      </c>
      <c r="E143" s="37">
        <f t="shared" si="104"/>
        <v>0</v>
      </c>
      <c r="F143" s="37">
        <f t="shared" si="104"/>
        <v>0</v>
      </c>
      <c r="G143" s="37">
        <f t="shared" si="104"/>
        <v>0</v>
      </c>
      <c r="H143" s="37">
        <f t="shared" si="104"/>
        <v>0</v>
      </c>
      <c r="I143" s="37">
        <f t="shared" si="104"/>
        <v>0</v>
      </c>
      <c r="J143" s="37">
        <f t="shared" si="104"/>
        <v>0</v>
      </c>
      <c r="K143" s="37">
        <f t="shared" si="104"/>
        <v>0</v>
      </c>
      <c r="L143" s="37">
        <f t="shared" si="104"/>
        <v>0</v>
      </c>
      <c r="M143" s="37">
        <f t="shared" si="104"/>
        <v>0</v>
      </c>
      <c r="N143" s="37">
        <f t="shared" si="104"/>
        <v>0</v>
      </c>
      <c r="O143" s="38">
        <f t="shared" si="104"/>
        <v>0</v>
      </c>
    </row>
    <row r="144" spans="2:15" ht="14.6" thickTop="1" x14ac:dyDescent="0.3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3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3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 t="str">
        <f>O1</f>
        <v>KY PSC Case No. 2024-00092, Staff 1-2, Attachment A</v>
      </c>
    </row>
    <row r="147" spans="2:15" x14ac:dyDescent="0.3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 t="s">
        <v>61</v>
      </c>
    </row>
    <row r="148" spans="2:15" x14ac:dyDescent="0.3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 t="s">
        <v>57</v>
      </c>
    </row>
    <row r="149" spans="2:15" ht="14.6" thickBot="1" x14ac:dyDescent="0.4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4.6" thickTop="1" x14ac:dyDescent="0.35">
      <c r="B150" s="4"/>
      <c r="C150" s="26"/>
      <c r="D150" s="26"/>
      <c r="E150" s="26"/>
      <c r="F150" s="26"/>
      <c r="G150" s="26"/>
      <c r="H150" s="30" t="str">
        <f>$H$5</f>
        <v>Columbia Gas of Kentucky, Inc.</v>
      </c>
      <c r="I150" s="26"/>
      <c r="J150" s="26"/>
      <c r="K150" s="26"/>
      <c r="L150" s="26"/>
      <c r="M150" s="26"/>
      <c r="N150" s="26"/>
      <c r="O150" s="27"/>
    </row>
    <row r="151" spans="2:15" x14ac:dyDescent="0.35">
      <c r="B151" s="6"/>
      <c r="C151" s="28"/>
      <c r="D151" s="28"/>
      <c r="E151" s="28"/>
      <c r="F151" s="28"/>
      <c r="G151" s="28"/>
      <c r="H151" s="31" t="str">
        <f>$H$6</f>
        <v>Case No. 2024-00092</v>
      </c>
      <c r="I151" s="28"/>
      <c r="J151" s="28"/>
      <c r="K151" s="28"/>
      <c r="L151" s="28"/>
      <c r="M151" s="28"/>
      <c r="N151" s="28"/>
      <c r="O151" s="39"/>
    </row>
    <row r="152" spans="2:15" x14ac:dyDescent="0.35">
      <c r="B152" s="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9"/>
    </row>
    <row r="153" spans="2:15" x14ac:dyDescent="0.35">
      <c r="B153" s="6"/>
      <c r="C153" s="28"/>
      <c r="D153" s="28"/>
      <c r="E153" s="28"/>
      <c r="F153" s="28"/>
      <c r="G153" s="28"/>
      <c r="H153" s="31" t="s">
        <v>7</v>
      </c>
      <c r="I153" s="28"/>
      <c r="J153" s="28"/>
      <c r="K153" s="28"/>
      <c r="L153" s="28"/>
      <c r="M153" s="28"/>
      <c r="N153" s="28"/>
      <c r="O153" s="39"/>
    </row>
    <row r="154" spans="2:15" x14ac:dyDescent="0.35">
      <c r="B154" s="6"/>
      <c r="C154" s="28"/>
      <c r="D154" s="28"/>
      <c r="E154" s="28"/>
      <c r="F154" s="28"/>
      <c r="G154" s="28"/>
      <c r="H154" s="31" t="s">
        <v>33</v>
      </c>
      <c r="I154" s="28"/>
      <c r="J154" s="28"/>
      <c r="K154" s="28"/>
      <c r="L154" s="28"/>
      <c r="M154" s="28"/>
      <c r="N154" s="28"/>
      <c r="O154" s="39"/>
    </row>
    <row r="155" spans="2:15" ht="14.6" thickBot="1" x14ac:dyDescent="0.4">
      <c r="B155" s="6"/>
      <c r="C155" s="28"/>
      <c r="D155" s="28"/>
      <c r="E155" s="28"/>
      <c r="F155" s="28"/>
      <c r="G155" s="28"/>
      <c r="H155" s="31" t="s">
        <v>1</v>
      </c>
      <c r="I155" s="28"/>
      <c r="J155" s="28"/>
      <c r="K155" s="28"/>
      <c r="L155" s="28"/>
      <c r="M155" s="28"/>
      <c r="N155" s="28"/>
      <c r="O155" s="39"/>
    </row>
    <row r="156" spans="2:15" ht="29.15" thickTop="1" thickBot="1" x14ac:dyDescent="0.4">
      <c r="B156" s="12" t="s">
        <v>17</v>
      </c>
      <c r="C156" s="40" t="str">
        <f>$C$11</f>
        <v>Sep-23 / Sep-22</v>
      </c>
      <c r="D156" s="40" t="str">
        <f>$D$11</f>
        <v>Oct-23  / Oct-22</v>
      </c>
      <c r="E156" s="40" t="str">
        <f>$E$11</f>
        <v>Nov-23 / Nov-22</v>
      </c>
      <c r="F156" s="40" t="str">
        <f>$F$11</f>
        <v>Dec-23 / Dec-22</v>
      </c>
      <c r="G156" s="40" t="str">
        <f>$G$11</f>
        <v>Jan-24 / Jan-23</v>
      </c>
      <c r="H156" s="40" t="str">
        <f>$H$11</f>
        <v>Feb-24 / Feb-23</v>
      </c>
      <c r="I156" s="40" t="str">
        <f>$I$11</f>
        <v>Mar-24 / Mar-23</v>
      </c>
      <c r="J156" s="40" t="str">
        <f>$J$11</f>
        <v>Apr-24 / Apr-23</v>
      </c>
      <c r="K156" s="40" t="str">
        <f>$K$11</f>
        <v>May-24 / May-23</v>
      </c>
      <c r="L156" s="40" t="str">
        <f>$L$11</f>
        <v>Jun-24 / Jun-23</v>
      </c>
      <c r="M156" s="40" t="str">
        <f>$M$11</f>
        <v>Jul-24 / Jul-23</v>
      </c>
      <c r="N156" s="40" t="str">
        <f>$N$11</f>
        <v>Aug-24 / Aug-23</v>
      </c>
      <c r="O156" s="41" t="s">
        <v>2</v>
      </c>
    </row>
    <row r="157" spans="2:15" ht="26.25" customHeight="1" thickBot="1" x14ac:dyDescent="0.4">
      <c r="B157" s="15" t="s">
        <v>77</v>
      </c>
      <c r="C157" s="33">
        <v>331.23293999999999</v>
      </c>
      <c r="D157" s="33">
        <v>322.96842999999996</v>
      </c>
      <c r="E157" s="33">
        <v>426.91086999999999</v>
      </c>
      <c r="F157" s="33">
        <v>157.61996999999997</v>
      </c>
      <c r="G157" s="33">
        <v>419.51520000000005</v>
      </c>
      <c r="H157" s="33">
        <v>-291.21892000000003</v>
      </c>
      <c r="I157" s="33">
        <v>33.603128949678499</v>
      </c>
      <c r="J157" s="33">
        <v>-4.4218662418327197</v>
      </c>
      <c r="K157" s="33">
        <v>3.9139133842415998</v>
      </c>
      <c r="L157" s="33">
        <v>-37.866592590427899</v>
      </c>
      <c r="M157" s="33">
        <v>-28.910866860564202</v>
      </c>
      <c r="N157" s="33">
        <v>9.1265224822955506</v>
      </c>
      <c r="O157" s="34">
        <f>SUM(C157:N157)</f>
        <v>1342.4727291233905</v>
      </c>
    </row>
    <row r="158" spans="2:15" ht="14.6" thickBot="1" x14ac:dyDescent="0.4">
      <c r="B158" s="16" t="s">
        <v>6</v>
      </c>
      <c r="C158" s="35">
        <f>10.96157+35.999</f>
        <v>46.960570000000004</v>
      </c>
      <c r="D158" s="35">
        <f>11.20129+402.10321</f>
        <v>413.30449999999996</v>
      </c>
      <c r="E158" s="35">
        <f>16.73146+1712.41687</f>
        <v>1729.14833</v>
      </c>
      <c r="F158" s="35">
        <f>23.4699+845.95795</f>
        <v>869.42785000000003</v>
      </c>
      <c r="G158" s="35">
        <f>-321.60011+80.01505</f>
        <v>-241.58505999999997</v>
      </c>
      <c r="H158" s="35">
        <f>-60.92043+55.766</f>
        <v>-5.154430000000005</v>
      </c>
      <c r="I158" s="35">
        <f>-116.04004+223.00255</f>
        <v>106.96251000000001</v>
      </c>
      <c r="J158" s="35">
        <f>-50.28932+398.6723</f>
        <v>348.38298000000003</v>
      </c>
      <c r="K158" s="35">
        <f>24.64437+387.88086</f>
        <v>412.52522999999997</v>
      </c>
      <c r="L158" s="35">
        <f>287.3096+151.34861</f>
        <v>438.65821</v>
      </c>
      <c r="M158" s="35">
        <f>17.03017+50.83277</f>
        <v>67.862939999999995</v>
      </c>
      <c r="N158" s="35">
        <f>176.35175+118.16566</f>
        <v>294.51741000000004</v>
      </c>
      <c r="O158" s="36">
        <f>SUM(C158:N158)</f>
        <v>4481.0110399999994</v>
      </c>
    </row>
    <row r="159" spans="2:15" ht="14.6" thickBot="1" x14ac:dyDescent="0.4">
      <c r="B159" s="16" t="s">
        <v>3</v>
      </c>
      <c r="C159" s="35">
        <f>IF((C157-C158)&gt;0,C157-C158,0)</f>
        <v>284.27236999999997</v>
      </c>
      <c r="D159" s="35">
        <f t="shared" ref="D159" si="105">IF((D157-D158)&gt;0,D157-D158,0)</f>
        <v>0</v>
      </c>
      <c r="E159" s="35">
        <f t="shared" ref="E159" si="106">IF((E157-E158)&gt;0,E157-E158,0)</f>
        <v>0</v>
      </c>
      <c r="F159" s="35">
        <f t="shared" ref="F159" si="107">IF((F157-F158)&gt;0,F157-F158,0)</f>
        <v>0</v>
      </c>
      <c r="G159" s="35">
        <f t="shared" ref="G159:H159" si="108">IF((G157-G158)&gt;0,G157-G158,0)</f>
        <v>661.10026000000005</v>
      </c>
      <c r="H159" s="35">
        <f t="shared" si="108"/>
        <v>0</v>
      </c>
      <c r="I159" s="35">
        <f t="shared" ref="I159" si="109">IF((I157-I158)&gt;0,I157-I158,0)</f>
        <v>0</v>
      </c>
      <c r="J159" s="35">
        <f t="shared" ref="J159" si="110">IF((J157-J158)&gt;0,J157-J158,0)</f>
        <v>0</v>
      </c>
      <c r="K159" s="35">
        <f t="shared" ref="K159" si="111">IF((K157-K158)&gt;0,K157-K158,0)</f>
        <v>0</v>
      </c>
      <c r="L159" s="35">
        <f t="shared" ref="L159" si="112">IF((L157-L158)&gt;0,L157-L158,0)</f>
        <v>0</v>
      </c>
      <c r="M159" s="35">
        <f t="shared" ref="M159" si="113">IF((M157-M158)&gt;0,M157-M158,0)</f>
        <v>0</v>
      </c>
      <c r="N159" s="35">
        <f t="shared" ref="N159" si="114">IF((N157-N158)&gt;0,N157-N158,0)</f>
        <v>0</v>
      </c>
      <c r="O159" s="36">
        <f t="shared" ref="O159" si="115">IF((O157-O158)&gt;0,O157-O158,0)</f>
        <v>0</v>
      </c>
    </row>
    <row r="160" spans="2:15" ht="14.6" thickBot="1" x14ac:dyDescent="0.4">
      <c r="B160" s="17" t="s">
        <v>4</v>
      </c>
      <c r="C160" s="37">
        <f>IF((C157-C158)&gt;0,0,C157-C158)</f>
        <v>0</v>
      </c>
      <c r="D160" s="37">
        <f t="shared" ref="D160:O160" si="116">IF((D157-D158)&gt;0,0,D157-D158)</f>
        <v>-90.336070000000007</v>
      </c>
      <c r="E160" s="37">
        <f t="shared" si="116"/>
        <v>-1302.2374600000001</v>
      </c>
      <c r="F160" s="37">
        <f t="shared" si="116"/>
        <v>-711.80788000000007</v>
      </c>
      <c r="G160" s="37">
        <f t="shared" si="116"/>
        <v>0</v>
      </c>
      <c r="H160" s="37">
        <f t="shared" si="116"/>
        <v>-286.06449000000003</v>
      </c>
      <c r="I160" s="37">
        <f t="shared" si="116"/>
        <v>-73.359381050321502</v>
      </c>
      <c r="J160" s="37">
        <f t="shared" si="116"/>
        <v>-352.80484624183276</v>
      </c>
      <c r="K160" s="37">
        <f t="shared" si="116"/>
        <v>-408.61131661575837</v>
      </c>
      <c r="L160" s="37">
        <f t="shared" si="116"/>
        <v>-476.5248025904279</v>
      </c>
      <c r="M160" s="37">
        <f t="shared" si="116"/>
        <v>-96.773806860564193</v>
      </c>
      <c r="N160" s="37">
        <f t="shared" si="116"/>
        <v>-285.39088751770447</v>
      </c>
      <c r="O160" s="38">
        <f t="shared" si="116"/>
        <v>-3138.5383108766091</v>
      </c>
    </row>
    <row r="161" spans="2:17" ht="14.6" thickTop="1" x14ac:dyDescent="0.3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7" ht="14.6" thickBot="1" x14ac:dyDescent="0.4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7" ht="14.6" thickTop="1" x14ac:dyDescent="0.35">
      <c r="B163" s="4"/>
      <c r="C163" s="26"/>
      <c r="D163" s="26"/>
      <c r="E163" s="26"/>
      <c r="F163" s="26"/>
      <c r="G163" s="26"/>
      <c r="H163" s="30" t="str">
        <f>$H$5</f>
        <v>Columbia Gas of Kentucky, Inc.</v>
      </c>
      <c r="I163" s="26"/>
      <c r="J163" s="26"/>
      <c r="K163" s="26"/>
      <c r="L163" s="26"/>
      <c r="M163" s="26"/>
      <c r="N163" s="26"/>
      <c r="O163" s="27"/>
    </row>
    <row r="164" spans="2:17" x14ac:dyDescent="0.35">
      <c r="B164" s="6"/>
      <c r="C164" s="28"/>
      <c r="D164" s="28"/>
      <c r="E164" s="28"/>
      <c r="F164" s="28"/>
      <c r="G164" s="28"/>
      <c r="H164" s="31" t="str">
        <f>$H$6</f>
        <v>Case No. 2024-00092</v>
      </c>
      <c r="I164" s="28"/>
      <c r="J164" s="28"/>
      <c r="K164" s="28"/>
      <c r="L164" s="28"/>
      <c r="M164" s="28"/>
      <c r="N164" s="28"/>
      <c r="O164" s="29"/>
    </row>
    <row r="165" spans="2:17" x14ac:dyDescent="0.35">
      <c r="B165" s="6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9"/>
    </row>
    <row r="166" spans="2:17" x14ac:dyDescent="0.35">
      <c r="B166" s="6"/>
      <c r="C166" s="28"/>
      <c r="D166" s="28"/>
      <c r="E166" s="28"/>
      <c r="F166" s="28"/>
      <c r="G166" s="28"/>
      <c r="H166" s="31" t="s">
        <v>7</v>
      </c>
      <c r="I166" s="28"/>
      <c r="J166" s="28"/>
      <c r="K166" s="28"/>
      <c r="L166" s="28"/>
      <c r="M166" s="28"/>
      <c r="N166" s="28"/>
      <c r="O166" s="29"/>
    </row>
    <row r="167" spans="2:17" x14ac:dyDescent="0.35">
      <c r="B167" s="6"/>
      <c r="C167" s="28"/>
      <c r="D167" s="28"/>
      <c r="E167" s="28"/>
      <c r="F167" s="28"/>
      <c r="G167" s="28"/>
      <c r="H167" s="31" t="s">
        <v>33</v>
      </c>
      <c r="I167" s="28"/>
      <c r="J167" s="28"/>
      <c r="K167" s="28"/>
      <c r="L167" s="28"/>
      <c r="M167" s="28"/>
      <c r="N167" s="28"/>
      <c r="O167" s="39"/>
    </row>
    <row r="168" spans="2:17" ht="14.6" thickBot="1" x14ac:dyDescent="0.4">
      <c r="B168" s="6"/>
      <c r="C168" s="28"/>
      <c r="D168" s="28"/>
      <c r="E168" s="28"/>
      <c r="F168" s="28"/>
      <c r="G168" s="28"/>
      <c r="H168" s="31" t="s">
        <v>1</v>
      </c>
      <c r="I168" s="28"/>
      <c r="J168" s="28"/>
      <c r="K168" s="28"/>
      <c r="L168" s="28"/>
      <c r="M168" s="28"/>
      <c r="N168" s="28"/>
      <c r="O168" s="39"/>
    </row>
    <row r="169" spans="2:17" ht="29.15" thickTop="1" thickBot="1" x14ac:dyDescent="0.4">
      <c r="B169" s="12" t="s">
        <v>18</v>
      </c>
      <c r="C169" s="40" t="str">
        <f>$C$11</f>
        <v>Sep-23 / Sep-22</v>
      </c>
      <c r="D169" s="40" t="str">
        <f>$D$11</f>
        <v>Oct-23  / Oct-22</v>
      </c>
      <c r="E169" s="40" t="str">
        <f>$E$11</f>
        <v>Nov-23 / Nov-22</v>
      </c>
      <c r="F169" s="40" t="str">
        <f>$F$11</f>
        <v>Dec-23 / Dec-22</v>
      </c>
      <c r="G169" s="40" t="str">
        <f>$G$11</f>
        <v>Jan-24 / Jan-23</v>
      </c>
      <c r="H169" s="40" t="str">
        <f>$H$11</f>
        <v>Feb-24 / Feb-23</v>
      </c>
      <c r="I169" s="40" t="str">
        <f>$I$11</f>
        <v>Mar-24 / Mar-23</v>
      </c>
      <c r="J169" s="40" t="str">
        <f>$J$11</f>
        <v>Apr-24 / Apr-23</v>
      </c>
      <c r="K169" s="40" t="str">
        <f>$K$11</f>
        <v>May-24 / May-23</v>
      </c>
      <c r="L169" s="40" t="str">
        <f>$L$11</f>
        <v>Jun-24 / Jun-23</v>
      </c>
      <c r="M169" s="40" t="str">
        <f>$M$11</f>
        <v>Jul-24 / Jul-23</v>
      </c>
      <c r="N169" s="40" t="str">
        <f>$N$11</f>
        <v>Aug-24 / Aug-23</v>
      </c>
      <c r="O169" s="41" t="s">
        <v>2</v>
      </c>
    </row>
    <row r="170" spans="2:17" ht="21.75" customHeight="1" thickBot="1" x14ac:dyDescent="0.4">
      <c r="B170" s="15" t="s">
        <v>5</v>
      </c>
      <c r="C170" s="33">
        <v>-20.722670000000001</v>
      </c>
      <c r="D170" s="33">
        <v>1803.3697199999999</v>
      </c>
      <c r="E170" s="33">
        <v>5966.4762100000007</v>
      </c>
      <c r="F170" s="33">
        <v>2233.6850099999997</v>
      </c>
      <c r="G170" s="33">
        <f>686.64301+81.60809-80.39276</f>
        <v>687.85834</v>
      </c>
      <c r="H170" s="33">
        <f>-3246.44339-1525.40639-41.85882</f>
        <v>-4813.7086000000008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4">
        <f>SUM(C170:N170)</f>
        <v>5856.9580099999994</v>
      </c>
    </row>
    <row r="171" spans="2:17" ht="14.6" thickBot="1" x14ac:dyDescent="0.4">
      <c r="B171" s="16" t="s">
        <v>6</v>
      </c>
      <c r="C171" s="35">
        <v>690.39966000000004</v>
      </c>
      <c r="D171" s="35">
        <f>2762.50435</f>
        <v>2762.5043500000002</v>
      </c>
      <c r="E171" s="35">
        <v>7798.51728</v>
      </c>
      <c r="F171" s="35">
        <f>5883.69377</f>
        <v>5883.6937699999999</v>
      </c>
      <c r="G171" s="35">
        <v>-2581.83376</v>
      </c>
      <c r="H171" s="35">
        <f>-7169.86268</f>
        <v>-7169.8626800000002</v>
      </c>
      <c r="I171" s="35">
        <f>-1164.30168</f>
        <v>-1164.30168</v>
      </c>
      <c r="J171" s="35">
        <v>-3676.8710799999999</v>
      </c>
      <c r="K171" s="35">
        <f>-2063.57148</f>
        <v>-2063.5714800000001</v>
      </c>
      <c r="L171" s="35">
        <v>-344.73041999999998</v>
      </c>
      <c r="M171" s="35">
        <f>-208.04771</f>
        <v>-208.04771</v>
      </c>
      <c r="N171" s="35">
        <f>-477.60674</f>
        <v>-477.60674</v>
      </c>
      <c r="O171" s="36">
        <f>SUM(C171:N171)</f>
        <v>-551.71049000000005</v>
      </c>
    </row>
    <row r="172" spans="2:17" ht="14.6" thickBot="1" x14ac:dyDescent="0.4">
      <c r="B172" s="16" t="s">
        <v>3</v>
      </c>
      <c r="C172" s="35">
        <f>IF((C170-C171)&gt;0,C170-C171,0)</f>
        <v>0</v>
      </c>
      <c r="D172" s="35">
        <f t="shared" ref="D172" si="117">IF((D170-D171)&gt;0,D170-D171,0)</f>
        <v>0</v>
      </c>
      <c r="E172" s="35">
        <f t="shared" ref="E172" si="118">IF((E170-E171)&gt;0,E170-E171,0)</f>
        <v>0</v>
      </c>
      <c r="F172" s="35">
        <f t="shared" ref="F172" si="119">IF((F170-F171)&gt;0,F170-F171,0)</f>
        <v>0</v>
      </c>
      <c r="G172" s="35">
        <f t="shared" ref="G172" si="120">IF((G170-G171)&gt;0,G170-G171,0)</f>
        <v>3269.6921000000002</v>
      </c>
      <c r="H172" s="35">
        <f t="shared" ref="H172" si="121">IF((H170-H171)&gt;0,H170-H171,0)</f>
        <v>2356.1540799999993</v>
      </c>
      <c r="I172" s="35">
        <f t="shared" ref="I172" si="122">IF((I170-I171)&gt;0,I170-I171,0)</f>
        <v>1164.30168</v>
      </c>
      <c r="J172" s="35">
        <f t="shared" ref="J172" si="123">IF((J170-J171)&gt;0,J170-J171,0)</f>
        <v>3676.8710799999999</v>
      </c>
      <c r="K172" s="35">
        <f t="shared" ref="K172" si="124">IF((K170-K171)&gt;0,K170-K171,0)</f>
        <v>2063.5714800000001</v>
      </c>
      <c r="L172" s="35">
        <f t="shared" ref="L172" si="125">IF((L170-L171)&gt;0,L170-L171,0)</f>
        <v>344.73041999999998</v>
      </c>
      <c r="M172" s="35">
        <f t="shared" ref="M172" si="126">IF((M170-M171)&gt;0,M170-M171,0)</f>
        <v>208.04771</v>
      </c>
      <c r="N172" s="35">
        <f t="shared" ref="N172" si="127">IF((N170-N171)&gt;0,N170-N171,0)</f>
        <v>477.60674</v>
      </c>
      <c r="O172" s="36">
        <f t="shared" ref="O172" si="128">IF((O170-O171)&gt;0,O170-O171,0)</f>
        <v>6408.6684999999998</v>
      </c>
      <c r="Q172" s="18"/>
    </row>
    <row r="173" spans="2:17" ht="14.6" thickBot="1" x14ac:dyDescent="0.4">
      <c r="B173" s="17" t="s">
        <v>4</v>
      </c>
      <c r="C173" s="37">
        <f>IF((C170-C171)&gt;0,0,C170-C171)</f>
        <v>-711.12233000000003</v>
      </c>
      <c r="D173" s="37">
        <f t="shared" ref="D173:O173" si="129">IF((D170-D171)&gt;0,0,D170-D171)</f>
        <v>-959.13463000000024</v>
      </c>
      <c r="E173" s="37">
        <f t="shared" si="129"/>
        <v>-1832.0410699999993</v>
      </c>
      <c r="F173" s="37">
        <f t="shared" si="129"/>
        <v>-3650.0087600000002</v>
      </c>
      <c r="G173" s="37">
        <f t="shared" si="129"/>
        <v>0</v>
      </c>
      <c r="H173" s="37">
        <f t="shared" si="129"/>
        <v>0</v>
      </c>
      <c r="I173" s="37">
        <f t="shared" si="129"/>
        <v>0</v>
      </c>
      <c r="J173" s="37">
        <f t="shared" si="129"/>
        <v>0</v>
      </c>
      <c r="K173" s="37">
        <f t="shared" si="129"/>
        <v>0</v>
      </c>
      <c r="L173" s="37">
        <f t="shared" si="129"/>
        <v>0</v>
      </c>
      <c r="M173" s="37">
        <f t="shared" si="129"/>
        <v>0</v>
      </c>
      <c r="N173" s="37">
        <f t="shared" si="129"/>
        <v>0</v>
      </c>
      <c r="O173" s="38">
        <f t="shared" si="129"/>
        <v>0</v>
      </c>
      <c r="Q173" s="18"/>
    </row>
    <row r="174" spans="2:17" ht="14.6" thickTop="1" x14ac:dyDescent="0.35">
      <c r="C174" s="43"/>
      <c r="D174" s="43"/>
      <c r="E174" s="43"/>
      <c r="F174" s="44"/>
      <c r="G174" s="44"/>
      <c r="H174" s="44"/>
      <c r="I174" s="44"/>
      <c r="J174" s="44"/>
      <c r="K174" s="44"/>
      <c r="L174" s="45"/>
      <c r="M174" s="44"/>
      <c r="N174" s="44"/>
      <c r="O174" s="1"/>
    </row>
    <row r="175" spans="2:17" x14ac:dyDescent="0.35">
      <c r="B175" s="3" t="s">
        <v>78</v>
      </c>
      <c r="C175" s="43"/>
      <c r="D175" s="43"/>
      <c r="E175" s="43"/>
      <c r="F175" s="44"/>
      <c r="G175" s="44"/>
      <c r="H175" s="44"/>
      <c r="I175" s="44"/>
      <c r="J175" s="44"/>
      <c r="K175" s="44"/>
      <c r="L175" s="45"/>
      <c r="M175" s="44"/>
      <c r="N175" s="44"/>
      <c r="O175" s="1"/>
    </row>
    <row r="176" spans="2:17" x14ac:dyDescent="0.35"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4" t="str">
        <f>O1</f>
        <v>KY PSC Case No. 2024-00092, Staff 1-2, Attachment A</v>
      </c>
    </row>
    <row r="177" spans="1:18" x14ac:dyDescent="0.35"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5" t="s">
        <v>61</v>
      </c>
    </row>
    <row r="178" spans="1:18" x14ac:dyDescent="0.35"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5" t="s">
        <v>56</v>
      </c>
    </row>
    <row r="179" spans="1:18" x14ac:dyDescent="0.35"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8" x14ac:dyDescent="0.35">
      <c r="A180" s="19" t="s">
        <v>21</v>
      </c>
      <c r="C180" s="1"/>
      <c r="D180" s="47">
        <v>44805</v>
      </c>
      <c r="E180" s="47">
        <v>44835</v>
      </c>
      <c r="F180" s="47">
        <v>44866</v>
      </c>
      <c r="G180" s="47">
        <v>44896</v>
      </c>
      <c r="H180" s="47">
        <v>44927</v>
      </c>
      <c r="I180" s="47">
        <v>44958</v>
      </c>
      <c r="J180" s="47">
        <v>44986</v>
      </c>
      <c r="K180" s="47">
        <v>45017</v>
      </c>
      <c r="L180" s="47">
        <v>45047</v>
      </c>
      <c r="M180" s="47">
        <v>45078</v>
      </c>
      <c r="N180" s="47">
        <v>45108</v>
      </c>
      <c r="O180" s="47">
        <v>45139</v>
      </c>
    </row>
    <row r="181" spans="1:18" x14ac:dyDescent="0.35">
      <c r="A181" s="2" t="s">
        <v>37</v>
      </c>
      <c r="B181" s="1"/>
      <c r="C181" s="48" t="s">
        <v>19</v>
      </c>
      <c r="D181" s="49">
        <v>1.2500000000000001E-2</v>
      </c>
      <c r="E181" s="49">
        <v>1.2500000000000001E-2</v>
      </c>
      <c r="F181" s="49">
        <v>1.2500000000000001E-2</v>
      </c>
      <c r="G181" s="49">
        <v>1.2500000000000001E-2</v>
      </c>
      <c r="H181" s="49">
        <v>1.2500000000000001E-2</v>
      </c>
      <c r="I181" s="49">
        <v>1.2500000000000001E-2</v>
      </c>
      <c r="J181" s="49">
        <v>1.26E-2</v>
      </c>
      <c r="K181" s="49">
        <v>1.26E-2</v>
      </c>
      <c r="L181" s="49">
        <v>1.26E-2</v>
      </c>
      <c r="M181" s="49">
        <v>1.26E-2</v>
      </c>
      <c r="N181" s="49">
        <v>1.26E-2</v>
      </c>
      <c r="O181" s="49">
        <v>1.26E-2</v>
      </c>
      <c r="Q181" s="23"/>
      <c r="R181" s="22"/>
    </row>
    <row r="182" spans="1:18" x14ac:dyDescent="0.35">
      <c r="A182" s="2" t="s">
        <v>36</v>
      </c>
      <c r="B182" s="1"/>
      <c r="C182" s="48" t="s">
        <v>19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Q182" s="23"/>
    </row>
    <row r="183" spans="1:18" x14ac:dyDescent="0.35">
      <c r="A183" s="2" t="s">
        <v>44</v>
      </c>
      <c r="B183" s="1"/>
      <c r="C183" s="48" t="s">
        <v>19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Q183" s="23"/>
    </row>
    <row r="184" spans="1:18" x14ac:dyDescent="0.35">
      <c r="A184" s="2" t="s">
        <v>45</v>
      </c>
      <c r="B184" s="1"/>
      <c r="C184" s="48" t="s">
        <v>19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Q184" s="23"/>
    </row>
    <row r="185" spans="1:18" x14ac:dyDescent="0.35">
      <c r="A185" s="2" t="s">
        <v>46</v>
      </c>
      <c r="B185" s="1"/>
      <c r="C185" s="48" t="s">
        <v>19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Q185" s="23"/>
    </row>
    <row r="186" spans="1:18" x14ac:dyDescent="0.35">
      <c r="A186" s="2" t="s">
        <v>47</v>
      </c>
      <c r="B186" s="1"/>
      <c r="C186" s="48" t="s">
        <v>19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Q186" s="23"/>
    </row>
    <row r="187" spans="1:18" x14ac:dyDescent="0.35">
      <c r="A187" s="2" t="s">
        <v>48</v>
      </c>
      <c r="B187" s="1"/>
      <c r="C187" s="48" t="s">
        <v>19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Q187" s="23"/>
    </row>
    <row r="188" spans="1:18" x14ac:dyDescent="0.35">
      <c r="A188" s="2" t="s">
        <v>49</v>
      </c>
      <c r="B188" s="1"/>
      <c r="C188" s="48" t="s">
        <v>19</v>
      </c>
      <c r="D188" s="49">
        <v>2.4199999999999999E-2</v>
      </c>
      <c r="E188" s="49">
        <v>2.4199999999999999E-2</v>
      </c>
      <c r="F188" s="49">
        <v>2.4199999999999999E-2</v>
      </c>
      <c r="G188" s="49">
        <v>2.5000000000000001E-2</v>
      </c>
      <c r="H188" s="49">
        <v>2.5000000000000001E-2</v>
      </c>
      <c r="I188" s="49">
        <v>2.5000000000000001E-2</v>
      </c>
      <c r="J188" s="49">
        <v>1.55E-2</v>
      </c>
      <c r="K188" s="49">
        <v>1.55E-2</v>
      </c>
      <c r="L188" s="49">
        <v>1.55E-2</v>
      </c>
      <c r="M188" s="49">
        <v>1.3299999999999999E-2</v>
      </c>
      <c r="N188" s="49">
        <v>1.3299999999999999E-2</v>
      </c>
      <c r="O188" s="49">
        <v>1.3299999999999999E-2</v>
      </c>
      <c r="Q188" s="23"/>
    </row>
    <row r="189" spans="1:18" x14ac:dyDescent="0.35">
      <c r="A189" s="2" t="s">
        <v>50</v>
      </c>
      <c r="B189" s="1"/>
      <c r="C189" s="48" t="s">
        <v>19</v>
      </c>
      <c r="D189" s="49">
        <v>8.6999999999999994E-3</v>
      </c>
      <c r="E189" s="49">
        <v>8.6999999999999994E-3</v>
      </c>
      <c r="F189" s="49">
        <v>8.6999999999999994E-3</v>
      </c>
      <c r="G189" s="49">
        <v>7.6E-3</v>
      </c>
      <c r="H189" s="49">
        <v>7.6E-3</v>
      </c>
      <c r="I189" s="49">
        <v>7.6E-3</v>
      </c>
      <c r="J189" s="49">
        <v>6.0000000000000001E-3</v>
      </c>
      <c r="K189" s="49">
        <v>6.0000000000000001E-3</v>
      </c>
      <c r="L189" s="49">
        <v>6.0000000000000001E-3</v>
      </c>
      <c r="M189" s="49">
        <v>6.6E-3</v>
      </c>
      <c r="N189" s="49">
        <v>6.6E-3</v>
      </c>
      <c r="O189" s="49">
        <v>6.6E-3</v>
      </c>
      <c r="Q189" s="23"/>
    </row>
    <row r="190" spans="1:18" x14ac:dyDescent="0.35">
      <c r="A190" s="2" t="s">
        <v>51</v>
      </c>
      <c r="B190" s="1"/>
      <c r="C190" s="48" t="s">
        <v>19</v>
      </c>
      <c r="D190" s="49">
        <v>7.3544999999999998</v>
      </c>
      <c r="E190" s="49">
        <v>7.3544999999999998</v>
      </c>
      <c r="F190" s="49">
        <v>7.3544999999999998</v>
      </c>
      <c r="G190" s="49">
        <v>7.55</v>
      </c>
      <c r="H190" s="49">
        <v>7.55</v>
      </c>
      <c r="I190" s="49">
        <v>7.55</v>
      </c>
      <c r="J190" s="49">
        <v>5.3192000000000004</v>
      </c>
      <c r="K190" s="49">
        <v>5.3192000000000004</v>
      </c>
      <c r="L190" s="49">
        <v>5.3192000000000004</v>
      </c>
      <c r="M190" s="49">
        <v>4.9701000000000004</v>
      </c>
      <c r="N190" s="49">
        <v>4.9701000000000004</v>
      </c>
      <c r="O190" s="49">
        <v>4.9701000000000004</v>
      </c>
      <c r="Q190" s="23"/>
    </row>
    <row r="191" spans="1:18" x14ac:dyDescent="0.35">
      <c r="A191" s="2" t="s">
        <v>52</v>
      </c>
      <c r="B191" s="1"/>
      <c r="C191" s="48" t="s">
        <v>19</v>
      </c>
      <c r="D191" s="49">
        <v>2.4007999999999998</v>
      </c>
      <c r="E191" s="49">
        <v>2.4007999999999998</v>
      </c>
      <c r="F191" s="49">
        <v>2.4007999999999998</v>
      </c>
      <c r="G191" s="49">
        <v>2.1787999999999998</v>
      </c>
      <c r="H191" s="49">
        <v>2.1787999999999998</v>
      </c>
      <c r="I191" s="49">
        <v>2.1787999999999998</v>
      </c>
      <c r="J191" s="49">
        <v>2.0188999999999999</v>
      </c>
      <c r="K191" s="49">
        <v>2.0188999999999999</v>
      </c>
      <c r="L191" s="49">
        <v>2.0188999999999999</v>
      </c>
      <c r="M191" s="49">
        <v>2.5929000000000002</v>
      </c>
      <c r="N191" s="49">
        <v>2.5929000000000002</v>
      </c>
      <c r="O191" s="49">
        <v>2.5929000000000002</v>
      </c>
      <c r="Q191" s="23"/>
    </row>
    <row r="192" spans="1:18" x14ac:dyDescent="0.35">
      <c r="A192" s="2" t="s">
        <v>53</v>
      </c>
      <c r="B192" s="1"/>
      <c r="C192" s="48" t="s">
        <v>19</v>
      </c>
      <c r="D192" s="49">
        <v>2.3544999999999998</v>
      </c>
      <c r="E192" s="49">
        <v>2.3544999999999998</v>
      </c>
      <c r="F192" s="49">
        <v>2.3544999999999998</v>
      </c>
      <c r="G192" s="49">
        <v>2.1916000000000002</v>
      </c>
      <c r="H192" s="49">
        <v>2.1916000000000002</v>
      </c>
      <c r="I192" s="49">
        <v>2.1916000000000002</v>
      </c>
      <c r="J192" s="49">
        <v>2.2810999999999999</v>
      </c>
      <c r="K192" s="49">
        <v>2.2810999999999999</v>
      </c>
      <c r="L192" s="49">
        <v>2.2810999999999999</v>
      </c>
      <c r="M192" s="49">
        <v>2.8841999999999999</v>
      </c>
      <c r="N192" s="49">
        <v>2.8841999999999999</v>
      </c>
      <c r="O192" s="49">
        <v>2.8841999999999999</v>
      </c>
      <c r="Q192" s="23"/>
    </row>
    <row r="193" spans="1:17" x14ac:dyDescent="0.35">
      <c r="A193" s="2" t="s">
        <v>54</v>
      </c>
      <c r="B193" s="1"/>
      <c r="C193" s="48" t="s">
        <v>19</v>
      </c>
      <c r="D193" s="49">
        <v>8.6999999999999994E-3</v>
      </c>
      <c r="E193" s="49">
        <v>8.6999999999999994E-3</v>
      </c>
      <c r="F193" s="49">
        <v>8.6999999999999994E-3</v>
      </c>
      <c r="G193" s="49">
        <v>7.6E-3</v>
      </c>
      <c r="H193" s="49">
        <v>7.6E-3</v>
      </c>
      <c r="I193" s="49">
        <v>7.6E-3</v>
      </c>
      <c r="J193" s="49">
        <v>6.0000000000000001E-3</v>
      </c>
      <c r="K193" s="49">
        <v>6.0000000000000001E-3</v>
      </c>
      <c r="L193" s="49">
        <v>6.0000000000000001E-3</v>
      </c>
      <c r="M193" s="49">
        <v>6.6E-3</v>
      </c>
      <c r="N193" s="49">
        <v>6.6E-3</v>
      </c>
      <c r="O193" s="49">
        <v>6.6E-3</v>
      </c>
      <c r="Q193" s="23"/>
    </row>
    <row r="194" spans="1:17" x14ac:dyDescent="0.35">
      <c r="A194" s="2" t="s">
        <v>40</v>
      </c>
      <c r="B194" s="1"/>
      <c r="C194" s="48" t="s">
        <v>19</v>
      </c>
      <c r="D194" s="49">
        <v>0</v>
      </c>
      <c r="E194" s="49">
        <v>0</v>
      </c>
      <c r="F194" s="49">
        <v>0</v>
      </c>
      <c r="G194" s="49">
        <v>0</v>
      </c>
      <c r="H194" s="49">
        <v>0.12239999999999999</v>
      </c>
      <c r="I194" s="49">
        <v>0.12239999999999999</v>
      </c>
      <c r="J194" s="49">
        <v>0.12239999999999999</v>
      </c>
      <c r="K194" s="49">
        <v>0.12239999999999999</v>
      </c>
      <c r="L194" s="49">
        <v>0.12239999999999999</v>
      </c>
      <c r="M194" s="49">
        <v>0.12239999999999999</v>
      </c>
      <c r="N194" s="49">
        <v>0.12239999999999999</v>
      </c>
      <c r="O194" s="49">
        <v>0.12239999999999999</v>
      </c>
      <c r="Q194" s="23"/>
    </row>
    <row r="195" spans="1:17" x14ac:dyDescent="0.35">
      <c r="A195" s="2" t="s">
        <v>41</v>
      </c>
      <c r="B195" s="1"/>
      <c r="C195" s="48" t="s">
        <v>19</v>
      </c>
      <c r="D195" s="49">
        <v>0</v>
      </c>
      <c r="E195" s="49">
        <v>0</v>
      </c>
      <c r="F195" s="49">
        <v>0</v>
      </c>
      <c r="G195" s="49">
        <v>0</v>
      </c>
      <c r="H195" s="49">
        <v>7.3200000000000001E-2</v>
      </c>
      <c r="I195" s="49">
        <v>7.3200000000000001E-2</v>
      </c>
      <c r="J195" s="49">
        <v>7.3200000000000001E-2</v>
      </c>
      <c r="K195" s="49">
        <v>7.3200000000000001E-2</v>
      </c>
      <c r="L195" s="49">
        <v>7.3200000000000001E-2</v>
      </c>
      <c r="M195" s="49">
        <v>7.3200000000000001E-2</v>
      </c>
      <c r="N195" s="49">
        <v>7.3200000000000001E-2</v>
      </c>
      <c r="O195" s="49">
        <v>7.3200000000000001E-2</v>
      </c>
      <c r="Q195" s="23"/>
    </row>
    <row r="196" spans="1:17" x14ac:dyDescent="0.35">
      <c r="A196" s="2" t="s">
        <v>42</v>
      </c>
      <c r="B196" s="1"/>
      <c r="C196" s="48" t="s">
        <v>19</v>
      </c>
      <c r="D196" s="49">
        <v>0</v>
      </c>
      <c r="E196" s="49">
        <v>0</v>
      </c>
      <c r="F196" s="49">
        <v>0</v>
      </c>
      <c r="G196" s="49">
        <v>0</v>
      </c>
      <c r="H196" s="49">
        <v>4.4699999999999997E-2</v>
      </c>
      <c r="I196" s="49">
        <v>4.4699999999999997E-2</v>
      </c>
      <c r="J196" s="49">
        <v>4.4699999999999997E-2</v>
      </c>
      <c r="K196" s="49">
        <v>4.4699999999999997E-2</v>
      </c>
      <c r="L196" s="49">
        <v>4.4699999999999997E-2</v>
      </c>
      <c r="M196" s="49">
        <v>4.4699999999999997E-2</v>
      </c>
      <c r="N196" s="49">
        <v>4.4699999999999997E-2</v>
      </c>
      <c r="O196" s="49">
        <v>4.4699999999999997E-2</v>
      </c>
      <c r="Q196" s="23"/>
    </row>
    <row r="197" spans="1:17" x14ac:dyDescent="0.35">
      <c r="A197" s="2" t="s">
        <v>43</v>
      </c>
      <c r="B197" s="1"/>
      <c r="C197" s="48" t="s">
        <v>19</v>
      </c>
      <c r="D197" s="49">
        <v>0</v>
      </c>
      <c r="E197" s="49">
        <v>0</v>
      </c>
      <c r="F197" s="49">
        <v>0</v>
      </c>
      <c r="G197" s="49">
        <v>0</v>
      </c>
      <c r="H197" s="49">
        <v>1.3899999999999999E-2</v>
      </c>
      <c r="I197" s="49">
        <v>1.3899999999999999E-2</v>
      </c>
      <c r="J197" s="49">
        <v>1.3899999999999999E-2</v>
      </c>
      <c r="K197" s="49">
        <v>1.3899999999999999E-2</v>
      </c>
      <c r="L197" s="49">
        <v>1.3899999999999999E-2</v>
      </c>
      <c r="M197" s="49">
        <v>1.3899999999999999E-2</v>
      </c>
      <c r="N197" s="49">
        <v>1.3899999999999999E-2</v>
      </c>
      <c r="O197" s="49">
        <v>1.3899999999999999E-2</v>
      </c>
      <c r="Q197" s="23"/>
    </row>
    <row r="198" spans="1:17" x14ac:dyDescent="0.35">
      <c r="A198" s="2" t="s">
        <v>38</v>
      </c>
      <c r="B198" s="1"/>
      <c r="C198" s="48" t="s">
        <v>20</v>
      </c>
      <c r="D198" s="50">
        <v>0.3</v>
      </c>
      <c r="E198" s="50">
        <v>0.3</v>
      </c>
      <c r="F198" s="50">
        <v>0.3</v>
      </c>
      <c r="G198" s="50">
        <v>0.3</v>
      </c>
      <c r="H198" s="50">
        <v>0.3</v>
      </c>
      <c r="I198" s="50">
        <v>0.3</v>
      </c>
      <c r="J198" s="50">
        <v>0.3</v>
      </c>
      <c r="K198" s="50">
        <v>0.3</v>
      </c>
      <c r="L198" s="50">
        <v>0.3</v>
      </c>
      <c r="M198" s="50">
        <v>0.3</v>
      </c>
      <c r="N198" s="50">
        <v>0.3</v>
      </c>
      <c r="O198" s="50">
        <v>0.3</v>
      </c>
      <c r="Q198" s="23"/>
    </row>
    <row r="199" spans="1:17" x14ac:dyDescent="0.35">
      <c r="A199" s="20" t="s">
        <v>39</v>
      </c>
      <c r="B199" s="1"/>
      <c r="C199" s="48" t="s">
        <v>20</v>
      </c>
      <c r="D199" s="50">
        <f>0.21-0.16</f>
        <v>4.9999999999999989E-2</v>
      </c>
      <c r="E199" s="50">
        <f t="shared" ref="E199:G199" si="130">0.21-0.16</f>
        <v>4.9999999999999989E-2</v>
      </c>
      <c r="F199" s="50">
        <f t="shared" si="130"/>
        <v>4.9999999999999989E-2</v>
      </c>
      <c r="G199" s="50">
        <f t="shared" si="130"/>
        <v>4.9999999999999989E-2</v>
      </c>
      <c r="H199" s="50">
        <f>0.21-0.21</f>
        <v>0</v>
      </c>
      <c r="I199" s="50">
        <f t="shared" ref="I199:O199" si="131">0.21-0.21</f>
        <v>0</v>
      </c>
      <c r="J199" s="50">
        <f t="shared" si="131"/>
        <v>0</v>
      </c>
      <c r="K199" s="50">
        <f t="shared" si="131"/>
        <v>0</v>
      </c>
      <c r="L199" s="50">
        <f t="shared" si="131"/>
        <v>0</v>
      </c>
      <c r="M199" s="50">
        <f t="shared" si="131"/>
        <v>0</v>
      </c>
      <c r="N199" s="50">
        <f t="shared" si="131"/>
        <v>0</v>
      </c>
      <c r="O199" s="50">
        <f t="shared" si="131"/>
        <v>0</v>
      </c>
      <c r="Q199" s="23"/>
    </row>
    <row r="200" spans="1:17" x14ac:dyDescent="0.35">
      <c r="A200" s="2" t="s">
        <v>40</v>
      </c>
      <c r="B200" s="1"/>
      <c r="C200" s="48" t="s">
        <v>20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Q200" s="23"/>
    </row>
    <row r="201" spans="1:17" x14ac:dyDescent="0.35">
      <c r="A201" s="2" t="s">
        <v>41</v>
      </c>
      <c r="B201" s="1"/>
      <c r="C201" s="48" t="s">
        <v>20</v>
      </c>
      <c r="D201" s="50">
        <v>0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Q201" s="23"/>
    </row>
    <row r="202" spans="1:17" x14ac:dyDescent="0.35">
      <c r="A202" s="2" t="s">
        <v>42</v>
      </c>
      <c r="B202" s="1"/>
      <c r="C202" s="48" t="s">
        <v>20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Q202" s="23"/>
    </row>
    <row r="203" spans="1:17" x14ac:dyDescent="0.35">
      <c r="A203" s="2" t="s">
        <v>43</v>
      </c>
      <c r="B203" s="1"/>
      <c r="C203" s="48" t="s">
        <v>20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Q203" s="23"/>
    </row>
    <row r="204" spans="1:1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7" x14ac:dyDescent="0.35">
      <c r="A205" s="2"/>
      <c r="B205" s="1"/>
      <c r="C205" s="48"/>
      <c r="D205" s="47">
        <v>45170</v>
      </c>
      <c r="E205" s="47">
        <v>45200</v>
      </c>
      <c r="F205" s="47">
        <v>45231</v>
      </c>
      <c r="G205" s="47">
        <v>45261</v>
      </c>
      <c r="H205" s="47">
        <v>45292</v>
      </c>
      <c r="I205" s="47">
        <v>45323</v>
      </c>
      <c r="J205" s="47">
        <v>45352</v>
      </c>
      <c r="K205" s="47">
        <v>45383</v>
      </c>
      <c r="L205" s="47">
        <v>45413</v>
      </c>
      <c r="M205" s="47">
        <v>45444</v>
      </c>
      <c r="N205" s="47">
        <v>45474</v>
      </c>
      <c r="O205" s="47">
        <v>45505</v>
      </c>
    </row>
    <row r="206" spans="1:17" x14ac:dyDescent="0.35">
      <c r="A206" s="2" t="str">
        <f t="shared" ref="A206:A218" si="132">A181</f>
        <v>Research &amp; Development - All Rate Sch</v>
      </c>
      <c r="B206" s="1"/>
      <c r="C206" s="48" t="str">
        <f t="shared" ref="C206:C218" si="133">C181</f>
        <v>$/Mcf</v>
      </c>
      <c r="D206" s="51">
        <v>1.26E-2</v>
      </c>
      <c r="E206" s="51">
        <v>1.26E-2</v>
      </c>
      <c r="F206" s="51">
        <v>1.26E-2</v>
      </c>
      <c r="G206" s="51">
        <v>1.26E-2</v>
      </c>
      <c r="H206" s="51">
        <v>1.26E-2</v>
      </c>
      <c r="I206" s="51">
        <v>1.26E-2</v>
      </c>
      <c r="J206" s="51">
        <v>1.24E-2</v>
      </c>
      <c r="K206" s="51">
        <v>1.24E-2</v>
      </c>
      <c r="L206" s="51">
        <v>1.24E-2</v>
      </c>
      <c r="M206" s="51">
        <v>1.24E-2</v>
      </c>
      <c r="N206" s="51">
        <v>1.24E-2</v>
      </c>
      <c r="O206" s="51">
        <v>1.24E-2</v>
      </c>
      <c r="Q206" s="23"/>
    </row>
    <row r="207" spans="1:17" x14ac:dyDescent="0.35">
      <c r="A207" s="2" t="str">
        <f t="shared" si="132"/>
        <v>TCJA factor GSR, GTR</v>
      </c>
      <c r="B207" s="1"/>
      <c r="C207" s="48" t="str">
        <f t="shared" si="133"/>
        <v>$/Mcf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Q207" s="23"/>
    </row>
    <row r="208" spans="1:17" x14ac:dyDescent="0.35">
      <c r="A208" s="2" t="str">
        <f t="shared" si="132"/>
        <v>TCJA factor GSO, GTO</v>
      </c>
      <c r="B208" s="1"/>
      <c r="C208" s="48" t="str">
        <f t="shared" si="133"/>
        <v>$/Mcf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Q208" s="23"/>
    </row>
    <row r="209" spans="1:22" x14ac:dyDescent="0.35">
      <c r="A209" s="2" t="str">
        <f t="shared" si="132"/>
        <v>TCJA factor IS</v>
      </c>
      <c r="B209" s="1"/>
      <c r="C209" s="48" t="str">
        <f t="shared" si="133"/>
        <v>$/Mcf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Q209" s="23"/>
    </row>
    <row r="210" spans="1:22" x14ac:dyDescent="0.35">
      <c r="A210" s="2" t="str">
        <f t="shared" si="132"/>
        <v>TCJA factor IUS</v>
      </c>
      <c r="B210" s="1"/>
      <c r="C210" s="48" t="str">
        <f t="shared" si="133"/>
        <v>$/Mcf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Q210" s="23"/>
    </row>
    <row r="211" spans="1:22" x14ac:dyDescent="0.35">
      <c r="A211" s="2" t="str">
        <f t="shared" si="132"/>
        <v>TCJA factor DS, SAS</v>
      </c>
      <c r="B211" s="1"/>
      <c r="C211" s="48" t="str">
        <f t="shared" si="133"/>
        <v>$/Mcf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Q211" s="23"/>
    </row>
    <row r="212" spans="1:22" x14ac:dyDescent="0.35">
      <c r="A212" s="2" t="str">
        <f t="shared" si="132"/>
        <v>TCJA factor GDS</v>
      </c>
      <c r="B212" s="1"/>
      <c r="C212" s="48" t="str">
        <f t="shared" si="133"/>
        <v>$/Mcf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Q212" s="23"/>
    </row>
    <row r="213" spans="1:22" x14ac:dyDescent="0.35">
      <c r="A213" s="2" t="str">
        <f t="shared" si="132"/>
        <v>Gas Cost Uncollectible Rider GSR, GSO, IS, IUS</v>
      </c>
      <c r="B213" s="1"/>
      <c r="C213" s="48" t="str">
        <f t="shared" si="133"/>
        <v>$/Mcf</v>
      </c>
      <c r="D213" s="49">
        <v>1.12E-2</v>
      </c>
      <c r="E213" s="49">
        <v>1.12E-2</v>
      </c>
      <c r="F213" s="49">
        <v>1.12E-2</v>
      </c>
      <c r="G213" s="49">
        <v>1.54E-2</v>
      </c>
      <c r="H213" s="49">
        <v>1.54E-2</v>
      </c>
      <c r="I213" s="49">
        <v>1.54E-2</v>
      </c>
      <c r="J213" s="49">
        <v>1.03E-2</v>
      </c>
      <c r="K213" s="49">
        <v>1.03E-2</v>
      </c>
      <c r="L213" s="49">
        <v>1.03E-2</v>
      </c>
      <c r="M213" s="49">
        <v>1.03E-2</v>
      </c>
      <c r="N213" s="49">
        <v>1.03E-2</v>
      </c>
      <c r="O213" s="49">
        <v>1.03E-2</v>
      </c>
      <c r="Q213" s="23"/>
    </row>
    <row r="214" spans="1:22" x14ac:dyDescent="0.35">
      <c r="A214" s="2" t="str">
        <f t="shared" si="132"/>
        <v>Gas Cost Uncoll Rider ACA - GSR, GSO, IS, IUS</v>
      </c>
      <c r="B214" s="1"/>
      <c r="C214" s="48" t="str">
        <f t="shared" si="133"/>
        <v>$/Mcf</v>
      </c>
      <c r="D214" s="49">
        <v>-3.3E-3</v>
      </c>
      <c r="E214" s="49">
        <v>-3.3E-3</v>
      </c>
      <c r="F214" s="49">
        <v>-3.3E-3</v>
      </c>
      <c r="G214" s="49">
        <v>-5.4000000000000003E-3</v>
      </c>
      <c r="H214" s="49">
        <v>-5.4000000000000003E-3</v>
      </c>
      <c r="I214" s="49">
        <v>-5.4000000000000003E-3</v>
      </c>
      <c r="J214" s="49">
        <v>-6.0000000000000001E-3</v>
      </c>
      <c r="K214" s="49">
        <v>-6.0000000000000001E-3</v>
      </c>
      <c r="L214" s="49">
        <v>-6.0000000000000001E-3</v>
      </c>
      <c r="M214" s="49">
        <v>-6.0000000000000001E-3</v>
      </c>
      <c r="N214" s="49">
        <v>-6.0000000000000001E-3</v>
      </c>
      <c r="O214" s="49">
        <v>-6.0000000000000001E-3</v>
      </c>
      <c r="Q214" s="23"/>
    </row>
    <row r="215" spans="1:22" x14ac:dyDescent="0.35">
      <c r="A215" s="2" t="str">
        <f t="shared" si="132"/>
        <v>Gas Cost Recovery GSR, GSO, IS, IUS</v>
      </c>
      <c r="B215" s="1"/>
      <c r="C215" s="48" t="str">
        <f t="shared" si="133"/>
        <v>$/Mcf</v>
      </c>
      <c r="D215" s="49">
        <v>4.4029999999999996</v>
      </c>
      <c r="E215" s="49">
        <v>4.4029999999999996</v>
      </c>
      <c r="F215" s="49">
        <v>4.4029999999999996</v>
      </c>
      <c r="G215" s="49">
        <v>5.4302999999999999</v>
      </c>
      <c r="H215" s="49">
        <v>5.4302999999999999</v>
      </c>
      <c r="I215" s="49">
        <v>5.4302999999999999</v>
      </c>
      <c r="J215" s="49">
        <v>4.2343000000000002</v>
      </c>
      <c r="K215" s="49">
        <v>4.2343000000000002</v>
      </c>
      <c r="L215" s="49">
        <v>4.2343000000000002</v>
      </c>
      <c r="M215" s="49">
        <v>4.2343000000000002</v>
      </c>
      <c r="N215" s="49">
        <v>4.2343000000000002</v>
      </c>
      <c r="O215" s="49">
        <v>4.2343000000000002</v>
      </c>
      <c r="Q215" s="23"/>
    </row>
    <row r="216" spans="1:22" x14ac:dyDescent="0.35">
      <c r="A216" s="2" t="str">
        <f t="shared" si="132"/>
        <v>Gas Cost Recovery ACA - GSR, GSO, IS, IUS</v>
      </c>
      <c r="B216" s="1"/>
      <c r="C216" s="48" t="str">
        <f t="shared" si="133"/>
        <v>$/Mcf</v>
      </c>
      <c r="D216" s="49">
        <v>-1.4088000000000001</v>
      </c>
      <c r="E216" s="49">
        <v>-1.4088000000000001</v>
      </c>
      <c r="F216" s="49">
        <v>-1.4088000000000001</v>
      </c>
      <c r="G216" s="49">
        <v>-0.35060000000000002</v>
      </c>
      <c r="H216" s="49">
        <v>-0.35060000000000002</v>
      </c>
      <c r="I216" s="49">
        <v>-0.35060000000000002</v>
      </c>
      <c r="J216" s="49">
        <v>-1.2849999999999999</v>
      </c>
      <c r="K216" s="49">
        <v>-1.2849999999999999</v>
      </c>
      <c r="L216" s="49">
        <v>-1.2849999999999999</v>
      </c>
      <c r="M216" s="49">
        <v>-1.2849999999999999</v>
      </c>
      <c r="N216" s="49">
        <v>-1.2849999999999999</v>
      </c>
      <c r="O216" s="49">
        <v>-1.2849999999999999</v>
      </c>
      <c r="Q216" s="23"/>
    </row>
    <row r="217" spans="1:22" x14ac:dyDescent="0.35">
      <c r="A217" s="2" t="str">
        <f t="shared" si="132"/>
        <v>Choice ACA - GSR, GSO, IS, IUS</v>
      </c>
      <c r="B217" s="1"/>
      <c r="C217" s="48" t="str">
        <f t="shared" si="133"/>
        <v>$/Mcf</v>
      </c>
      <c r="D217" s="49">
        <v>-1.1778</v>
      </c>
      <c r="E217" s="49">
        <v>-1.1778</v>
      </c>
      <c r="F217" s="49">
        <v>-1.1778</v>
      </c>
      <c r="G217" s="49">
        <v>-6.5100000000000005E-2</v>
      </c>
      <c r="H217" s="49">
        <v>-6.5100000000000005E-2</v>
      </c>
      <c r="I217" s="49">
        <v>-6.5100000000000005E-2</v>
      </c>
      <c r="J217" s="49">
        <v>-1.0406</v>
      </c>
      <c r="K217" s="49">
        <v>-1.0406</v>
      </c>
      <c r="L217" s="49">
        <v>-1.0406</v>
      </c>
      <c r="M217" s="49">
        <v>-1.0406</v>
      </c>
      <c r="N217" s="49">
        <v>-1.0406</v>
      </c>
      <c r="O217" s="49">
        <v>-1.0406</v>
      </c>
      <c r="Q217" s="23"/>
    </row>
    <row r="218" spans="1:22" x14ac:dyDescent="0.35">
      <c r="A218" s="2" t="str">
        <f t="shared" si="132"/>
        <v>Choice Uncoll Rider ACA - GTR, GTO</v>
      </c>
      <c r="B218" s="1"/>
      <c r="C218" s="48" t="str">
        <f t="shared" si="133"/>
        <v>$/Mcf</v>
      </c>
      <c r="D218" s="49">
        <v>-3.3E-3</v>
      </c>
      <c r="E218" s="49">
        <v>-3.3E-3</v>
      </c>
      <c r="F218" s="49">
        <v>-3.3E-3</v>
      </c>
      <c r="G218" s="49">
        <v>-5.4000000000000003E-3</v>
      </c>
      <c r="H218" s="49">
        <v>-5.4000000000000003E-3</v>
      </c>
      <c r="I218" s="49">
        <v>-5.4000000000000003E-3</v>
      </c>
      <c r="J218" s="49">
        <v>-6.0000000000000001E-3</v>
      </c>
      <c r="K218" s="49">
        <v>-6.0000000000000001E-3</v>
      </c>
      <c r="L218" s="49">
        <v>-6.0000000000000001E-3</v>
      </c>
      <c r="M218" s="49">
        <v>-6.0000000000000001E-3</v>
      </c>
      <c r="N218" s="49">
        <v>-6.0000000000000001E-3</v>
      </c>
      <c r="O218" s="49">
        <v>-6.0000000000000001E-3</v>
      </c>
      <c r="Q218" s="23"/>
    </row>
    <row r="219" spans="1:22" s="1" customFormat="1" x14ac:dyDescent="0.35">
      <c r="A219" s="2" t="s">
        <v>79</v>
      </c>
      <c r="C219" s="48" t="s">
        <v>19</v>
      </c>
      <c r="D219" s="49">
        <v>0.12239999999999999</v>
      </c>
      <c r="E219" s="49">
        <v>0.12239999999999999</v>
      </c>
      <c r="F219" s="49">
        <v>0.12239999999999999</v>
      </c>
      <c r="G219" s="49">
        <v>0.12239999999999999</v>
      </c>
      <c r="H219" s="49">
        <v>0.53010000000000002</v>
      </c>
      <c r="I219" s="49">
        <v>0.53010000000000002</v>
      </c>
      <c r="J219" s="49">
        <v>0.53010000000000002</v>
      </c>
      <c r="K219" s="49">
        <v>0.53010000000000002</v>
      </c>
      <c r="L219" s="49">
        <v>0.53010000000000002</v>
      </c>
      <c r="M219" s="49">
        <v>0.53010000000000002</v>
      </c>
      <c r="N219" s="49">
        <v>0.53010000000000002</v>
      </c>
      <c r="O219" s="49">
        <v>0.53010000000000002</v>
      </c>
      <c r="Q219" s="23"/>
      <c r="S219" s="3"/>
      <c r="T219" s="3"/>
      <c r="U219" s="3"/>
      <c r="V219" s="3"/>
    </row>
    <row r="220" spans="1:22" s="1" customFormat="1" x14ac:dyDescent="0.35">
      <c r="A220" s="2" t="s">
        <v>80</v>
      </c>
      <c r="C220" s="48" t="s">
        <v>19</v>
      </c>
      <c r="D220" s="49">
        <v>7.3200000000000001E-2</v>
      </c>
      <c r="E220" s="49">
        <v>7.3200000000000001E-2</v>
      </c>
      <c r="F220" s="49">
        <v>7.3200000000000001E-2</v>
      </c>
      <c r="G220" s="49">
        <v>7.3200000000000001E-2</v>
      </c>
      <c r="H220" s="49">
        <v>0.32100000000000001</v>
      </c>
      <c r="I220" s="49">
        <v>0.32100000000000001</v>
      </c>
      <c r="J220" s="49">
        <v>0.32100000000000001</v>
      </c>
      <c r="K220" s="49">
        <v>0.32100000000000001</v>
      </c>
      <c r="L220" s="49">
        <v>0.32100000000000001</v>
      </c>
      <c r="M220" s="49">
        <v>0.32100000000000001</v>
      </c>
      <c r="N220" s="49">
        <v>0.32100000000000001</v>
      </c>
      <c r="O220" s="49">
        <v>0.32100000000000001</v>
      </c>
      <c r="Q220" s="23"/>
      <c r="S220" s="3"/>
      <c r="T220" s="3"/>
      <c r="U220" s="3"/>
      <c r="V220" s="3"/>
    </row>
    <row r="221" spans="1:22" s="1" customFormat="1" x14ac:dyDescent="0.35">
      <c r="A221" s="2" t="s">
        <v>81</v>
      </c>
      <c r="C221" s="48" t="s">
        <v>19</v>
      </c>
      <c r="D221" s="49">
        <v>4.4699999999999997E-2</v>
      </c>
      <c r="E221" s="49">
        <v>4.4699999999999997E-2</v>
      </c>
      <c r="F221" s="49">
        <v>4.4699999999999997E-2</v>
      </c>
      <c r="G221" s="49">
        <v>4.4699999999999997E-2</v>
      </c>
      <c r="H221" s="49">
        <v>0.2011</v>
      </c>
      <c r="I221" s="49">
        <v>0.2011</v>
      </c>
      <c r="J221" s="49">
        <v>0.2011</v>
      </c>
      <c r="K221" s="49">
        <v>0.2011</v>
      </c>
      <c r="L221" s="49">
        <v>0.2011</v>
      </c>
      <c r="M221" s="49">
        <v>0.2011</v>
      </c>
      <c r="N221" s="49">
        <v>0.2011</v>
      </c>
      <c r="O221" s="49">
        <v>0.2011</v>
      </c>
      <c r="Q221" s="23"/>
      <c r="S221" s="3"/>
      <c r="T221" s="3"/>
      <c r="U221" s="3"/>
      <c r="V221" s="3"/>
    </row>
    <row r="222" spans="1:22" s="1" customFormat="1" x14ac:dyDescent="0.35">
      <c r="A222" s="2" t="s">
        <v>82</v>
      </c>
      <c r="C222" s="48" t="s">
        <v>19</v>
      </c>
      <c r="D222" s="49">
        <v>1.3899999999999999E-2</v>
      </c>
      <c r="E222" s="49">
        <v>1.3899999999999999E-2</v>
      </c>
      <c r="F222" s="49">
        <v>1.3899999999999999E-2</v>
      </c>
      <c r="G222" s="49">
        <v>1.3899999999999999E-2</v>
      </c>
      <c r="H222" s="49">
        <v>5.8700000000000002E-2</v>
      </c>
      <c r="I222" s="49">
        <v>5.8700000000000002E-2</v>
      </c>
      <c r="J222" s="49">
        <v>5.8700000000000002E-2</v>
      </c>
      <c r="K222" s="49">
        <v>5.8700000000000002E-2</v>
      </c>
      <c r="L222" s="49">
        <v>5.8700000000000002E-2</v>
      </c>
      <c r="M222" s="49">
        <v>5.8700000000000002E-2</v>
      </c>
      <c r="N222" s="49">
        <v>5.8700000000000002E-2</v>
      </c>
      <c r="O222" s="49">
        <v>5.8700000000000002E-2</v>
      </c>
      <c r="Q222" s="23"/>
    </row>
    <row r="223" spans="1:22" x14ac:dyDescent="0.35">
      <c r="A223" s="2" t="str">
        <f t="shared" ref="A223:A228" si="134">A198</f>
        <v>Energy Assistance Program GSR, GTR</v>
      </c>
      <c r="B223" s="1"/>
      <c r="C223" s="48" t="str">
        <f t="shared" ref="C223:C228" si="135">C198</f>
        <v>$/Bill</v>
      </c>
      <c r="D223" s="50">
        <v>0.3</v>
      </c>
      <c r="E223" s="50">
        <v>0.3</v>
      </c>
      <c r="F223" s="50">
        <v>0.3</v>
      </c>
      <c r="G223" s="50">
        <v>0.3</v>
      </c>
      <c r="H223" s="50">
        <v>0.3</v>
      </c>
      <c r="I223" s="50">
        <v>0.3</v>
      </c>
      <c r="J223" s="50">
        <v>0.3</v>
      </c>
      <c r="K223" s="50">
        <v>0.3</v>
      </c>
      <c r="L223" s="50">
        <v>0.3</v>
      </c>
      <c r="M223" s="50">
        <v>0.3</v>
      </c>
      <c r="N223" s="50">
        <v>0.3</v>
      </c>
      <c r="O223" s="50">
        <v>0.3</v>
      </c>
      <c r="Q223" s="23"/>
    </row>
    <row r="224" spans="1:22" x14ac:dyDescent="0.35">
      <c r="A224" s="2" t="str">
        <f t="shared" si="134"/>
        <v>Energy Efficiency Conservation GSR, GTR</v>
      </c>
      <c r="B224" s="1"/>
      <c r="C224" s="48" t="str">
        <f t="shared" si="135"/>
        <v>$/Bill</v>
      </c>
      <c r="D224" s="50">
        <f>0.21-0.21</f>
        <v>0</v>
      </c>
      <c r="E224" s="50">
        <f t="shared" ref="E224:H224" si="136">0.21-0.21</f>
        <v>0</v>
      </c>
      <c r="F224" s="50">
        <f t="shared" si="136"/>
        <v>0</v>
      </c>
      <c r="G224" s="50">
        <f t="shared" si="136"/>
        <v>0</v>
      </c>
      <c r="H224" s="50">
        <f t="shared" si="136"/>
        <v>0</v>
      </c>
      <c r="I224" s="50">
        <f>0.21-0.13</f>
        <v>7.9999999999999988E-2</v>
      </c>
      <c r="J224" s="50">
        <f t="shared" ref="J224:O224" si="137">0.21-0.13</f>
        <v>7.9999999999999988E-2</v>
      </c>
      <c r="K224" s="50">
        <f t="shared" si="137"/>
        <v>7.9999999999999988E-2</v>
      </c>
      <c r="L224" s="50">
        <f t="shared" si="137"/>
        <v>7.9999999999999988E-2</v>
      </c>
      <c r="M224" s="50">
        <f t="shared" si="137"/>
        <v>7.9999999999999988E-2</v>
      </c>
      <c r="N224" s="50">
        <f t="shared" si="137"/>
        <v>7.9999999999999988E-2</v>
      </c>
      <c r="O224" s="50">
        <f t="shared" si="137"/>
        <v>7.9999999999999988E-2</v>
      </c>
      <c r="Q224" s="23"/>
    </row>
    <row r="225" spans="1:17" x14ac:dyDescent="0.35">
      <c r="A225" s="2" t="str">
        <f t="shared" si="134"/>
        <v>SMRP - Rate GSR, GTR</v>
      </c>
      <c r="B225" s="1"/>
      <c r="C225" s="48" t="str">
        <f t="shared" si="135"/>
        <v>$/Bill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Q225" s="23"/>
    </row>
    <row r="226" spans="1:17" x14ac:dyDescent="0.35">
      <c r="A226" s="2" t="str">
        <f t="shared" si="134"/>
        <v>SMRP - Rate GSO, GTO, GDS</v>
      </c>
      <c r="B226" s="1"/>
      <c r="C226" s="48" t="str">
        <f t="shared" si="135"/>
        <v>$/Bill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Q226" s="23"/>
    </row>
    <row r="227" spans="1:17" x14ac:dyDescent="0.35">
      <c r="A227" s="2" t="str">
        <f t="shared" si="134"/>
        <v>SMRP - Rate IUS, IUDS</v>
      </c>
      <c r="B227" s="1"/>
      <c r="C227" s="48" t="str">
        <f t="shared" si="135"/>
        <v>$/Bill</v>
      </c>
      <c r="D227" s="50">
        <v>0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Q227" s="23"/>
    </row>
    <row r="228" spans="1:17" x14ac:dyDescent="0.35">
      <c r="A228" s="2" t="str">
        <f t="shared" si="134"/>
        <v>SMRP - Rate IS, DS, SAS</v>
      </c>
      <c r="B228" s="1"/>
      <c r="C228" s="48" t="str">
        <f t="shared" si="135"/>
        <v>$/Bill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Q228" s="23"/>
    </row>
    <row r="229" spans="1:17" x14ac:dyDescent="0.35">
      <c r="A229" s="2"/>
      <c r="B229" s="1"/>
      <c r="C229" s="48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Q229" s="23"/>
    </row>
    <row r="230" spans="1:17" x14ac:dyDescent="0.35">
      <c r="A230" s="2" t="s">
        <v>83</v>
      </c>
      <c r="B230" s="1"/>
      <c r="C230" s="48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1:17" x14ac:dyDescent="0.35">
      <c r="A231" s="2"/>
      <c r="B231" s="1"/>
      <c r="C231" s="48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25" t="s">
        <v>61</v>
      </c>
    </row>
    <row r="232" spans="1:17" x14ac:dyDescent="0.35">
      <c r="A232" s="2"/>
      <c r="B232" s="1"/>
      <c r="C232" s="48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25" t="s">
        <v>55</v>
      </c>
    </row>
    <row r="233" spans="1:17" x14ac:dyDescent="0.35">
      <c r="A233" s="2"/>
      <c r="B233" s="1"/>
      <c r="C233" s="48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1:17" x14ac:dyDescent="0.35">
      <c r="A234" s="21" t="s">
        <v>32</v>
      </c>
      <c r="C234" s="48"/>
      <c r="D234" s="52" t="s">
        <v>26</v>
      </c>
      <c r="E234" s="52" t="s">
        <v>27</v>
      </c>
      <c r="F234" s="52" t="s">
        <v>28</v>
      </c>
      <c r="G234" s="52" t="s">
        <v>29</v>
      </c>
      <c r="H234" s="52" t="s">
        <v>30</v>
      </c>
      <c r="I234" s="52" t="s">
        <v>31</v>
      </c>
      <c r="J234" s="52" t="s">
        <v>34</v>
      </c>
      <c r="K234" s="52" t="s">
        <v>35</v>
      </c>
      <c r="L234" s="52" t="s">
        <v>22</v>
      </c>
      <c r="M234" s="52" t="s">
        <v>23</v>
      </c>
      <c r="N234" s="52" t="s">
        <v>24</v>
      </c>
      <c r="O234" s="52" t="s">
        <v>25</v>
      </c>
    </row>
    <row r="235" spans="1:17" x14ac:dyDescent="0.35">
      <c r="A235" s="20" t="str">
        <f t="shared" ref="A235:A257" si="138">A181</f>
        <v>Research &amp; Development - All Rate Sch</v>
      </c>
      <c r="C235" s="48" t="str">
        <f t="shared" ref="C235:C257" si="139">C181</f>
        <v>$/Mcf</v>
      </c>
      <c r="D235" s="51">
        <f t="shared" ref="D235:O235" si="140">D206-D181</f>
        <v>9.9999999999999395E-5</v>
      </c>
      <c r="E235" s="51">
        <f t="shared" si="140"/>
        <v>9.9999999999999395E-5</v>
      </c>
      <c r="F235" s="51">
        <f t="shared" si="140"/>
        <v>9.9999999999999395E-5</v>
      </c>
      <c r="G235" s="51">
        <f t="shared" si="140"/>
        <v>9.9999999999999395E-5</v>
      </c>
      <c r="H235" s="51">
        <f t="shared" si="140"/>
        <v>9.9999999999999395E-5</v>
      </c>
      <c r="I235" s="51">
        <f t="shared" si="140"/>
        <v>9.9999999999999395E-5</v>
      </c>
      <c r="J235" s="51">
        <f t="shared" si="140"/>
        <v>-2.0000000000000052E-4</v>
      </c>
      <c r="K235" s="51">
        <f t="shared" si="140"/>
        <v>-2.0000000000000052E-4</v>
      </c>
      <c r="L235" s="51">
        <f t="shared" si="140"/>
        <v>-2.0000000000000052E-4</v>
      </c>
      <c r="M235" s="51">
        <f t="shared" si="140"/>
        <v>-2.0000000000000052E-4</v>
      </c>
      <c r="N235" s="51">
        <f t="shared" si="140"/>
        <v>-2.0000000000000052E-4</v>
      </c>
      <c r="O235" s="51">
        <f t="shared" si="140"/>
        <v>-2.0000000000000052E-4</v>
      </c>
    </row>
    <row r="236" spans="1:17" x14ac:dyDescent="0.35">
      <c r="A236" s="20" t="str">
        <f t="shared" si="138"/>
        <v>TCJA factor GSR, GTR</v>
      </c>
      <c r="C236" s="48" t="str">
        <f t="shared" si="139"/>
        <v>$/Mcf</v>
      </c>
      <c r="D236" s="51">
        <f t="shared" ref="D236:O236" si="141">D207-D182</f>
        <v>0</v>
      </c>
      <c r="E236" s="51">
        <f t="shared" si="141"/>
        <v>0</v>
      </c>
      <c r="F236" s="51">
        <f t="shared" si="141"/>
        <v>0</v>
      </c>
      <c r="G236" s="51">
        <f t="shared" si="141"/>
        <v>0</v>
      </c>
      <c r="H236" s="51">
        <f t="shared" si="141"/>
        <v>0</v>
      </c>
      <c r="I236" s="51">
        <f t="shared" si="141"/>
        <v>0</v>
      </c>
      <c r="J236" s="51">
        <f t="shared" si="141"/>
        <v>0</v>
      </c>
      <c r="K236" s="51">
        <f t="shared" si="141"/>
        <v>0</v>
      </c>
      <c r="L236" s="51">
        <f t="shared" si="141"/>
        <v>0</v>
      </c>
      <c r="M236" s="51">
        <f t="shared" si="141"/>
        <v>0</v>
      </c>
      <c r="N236" s="51">
        <f t="shared" si="141"/>
        <v>0</v>
      </c>
      <c r="O236" s="51">
        <f t="shared" si="141"/>
        <v>0</v>
      </c>
    </row>
    <row r="237" spans="1:17" x14ac:dyDescent="0.35">
      <c r="A237" s="20" t="str">
        <f t="shared" si="138"/>
        <v>TCJA factor GSO, GTO</v>
      </c>
      <c r="C237" s="48" t="str">
        <f t="shared" si="139"/>
        <v>$/Mcf</v>
      </c>
      <c r="D237" s="51">
        <f t="shared" ref="D237:O237" si="142">D208-D183</f>
        <v>0</v>
      </c>
      <c r="E237" s="51">
        <f t="shared" si="142"/>
        <v>0</v>
      </c>
      <c r="F237" s="51">
        <f t="shared" si="142"/>
        <v>0</v>
      </c>
      <c r="G237" s="51">
        <f t="shared" si="142"/>
        <v>0</v>
      </c>
      <c r="H237" s="51">
        <f t="shared" si="142"/>
        <v>0</v>
      </c>
      <c r="I237" s="51">
        <f t="shared" si="142"/>
        <v>0</v>
      </c>
      <c r="J237" s="51">
        <f t="shared" si="142"/>
        <v>0</v>
      </c>
      <c r="K237" s="51">
        <f t="shared" si="142"/>
        <v>0</v>
      </c>
      <c r="L237" s="51">
        <f t="shared" si="142"/>
        <v>0</v>
      </c>
      <c r="M237" s="51">
        <f t="shared" si="142"/>
        <v>0</v>
      </c>
      <c r="N237" s="51">
        <f t="shared" si="142"/>
        <v>0</v>
      </c>
      <c r="O237" s="51">
        <f t="shared" si="142"/>
        <v>0</v>
      </c>
    </row>
    <row r="238" spans="1:17" x14ac:dyDescent="0.35">
      <c r="A238" s="20" t="str">
        <f t="shared" si="138"/>
        <v>TCJA factor IS</v>
      </c>
      <c r="C238" s="48" t="str">
        <f t="shared" si="139"/>
        <v>$/Mcf</v>
      </c>
      <c r="D238" s="51">
        <f t="shared" ref="D238:O238" si="143">D209-D184</f>
        <v>0</v>
      </c>
      <c r="E238" s="51">
        <f t="shared" si="143"/>
        <v>0</v>
      </c>
      <c r="F238" s="51">
        <f t="shared" si="143"/>
        <v>0</v>
      </c>
      <c r="G238" s="51">
        <f t="shared" si="143"/>
        <v>0</v>
      </c>
      <c r="H238" s="51">
        <f t="shared" si="143"/>
        <v>0</v>
      </c>
      <c r="I238" s="51">
        <f t="shared" si="143"/>
        <v>0</v>
      </c>
      <c r="J238" s="51">
        <f t="shared" si="143"/>
        <v>0</v>
      </c>
      <c r="K238" s="51">
        <f t="shared" si="143"/>
        <v>0</v>
      </c>
      <c r="L238" s="51">
        <f t="shared" si="143"/>
        <v>0</v>
      </c>
      <c r="M238" s="51">
        <f t="shared" si="143"/>
        <v>0</v>
      </c>
      <c r="N238" s="51">
        <f t="shared" si="143"/>
        <v>0</v>
      </c>
      <c r="O238" s="51">
        <f t="shared" si="143"/>
        <v>0</v>
      </c>
    </row>
    <row r="239" spans="1:17" x14ac:dyDescent="0.35">
      <c r="A239" s="20" t="str">
        <f t="shared" si="138"/>
        <v>TCJA factor IUS</v>
      </c>
      <c r="C239" s="48" t="str">
        <f t="shared" si="139"/>
        <v>$/Mcf</v>
      </c>
      <c r="D239" s="51">
        <f t="shared" ref="D239:O239" si="144">D210-D185</f>
        <v>0</v>
      </c>
      <c r="E239" s="51">
        <f t="shared" si="144"/>
        <v>0</v>
      </c>
      <c r="F239" s="51">
        <f t="shared" si="144"/>
        <v>0</v>
      </c>
      <c r="G239" s="51">
        <f t="shared" si="144"/>
        <v>0</v>
      </c>
      <c r="H239" s="51">
        <f t="shared" si="144"/>
        <v>0</v>
      </c>
      <c r="I239" s="51">
        <f t="shared" si="144"/>
        <v>0</v>
      </c>
      <c r="J239" s="51">
        <f t="shared" si="144"/>
        <v>0</v>
      </c>
      <c r="K239" s="51">
        <f t="shared" si="144"/>
        <v>0</v>
      </c>
      <c r="L239" s="51">
        <f t="shared" si="144"/>
        <v>0</v>
      </c>
      <c r="M239" s="51">
        <f t="shared" si="144"/>
        <v>0</v>
      </c>
      <c r="N239" s="51">
        <f t="shared" si="144"/>
        <v>0</v>
      </c>
      <c r="O239" s="51">
        <f t="shared" si="144"/>
        <v>0</v>
      </c>
    </row>
    <row r="240" spans="1:17" x14ac:dyDescent="0.35">
      <c r="A240" s="20" t="str">
        <f t="shared" si="138"/>
        <v>TCJA factor DS, SAS</v>
      </c>
      <c r="C240" s="48" t="str">
        <f t="shared" si="139"/>
        <v>$/Mcf</v>
      </c>
      <c r="D240" s="51">
        <f t="shared" ref="D240:O240" si="145">D211-D186</f>
        <v>0</v>
      </c>
      <c r="E240" s="51">
        <f t="shared" si="145"/>
        <v>0</v>
      </c>
      <c r="F240" s="51">
        <f t="shared" si="145"/>
        <v>0</v>
      </c>
      <c r="G240" s="51">
        <f t="shared" si="145"/>
        <v>0</v>
      </c>
      <c r="H240" s="51">
        <f t="shared" si="145"/>
        <v>0</v>
      </c>
      <c r="I240" s="51">
        <f t="shared" si="145"/>
        <v>0</v>
      </c>
      <c r="J240" s="51">
        <f t="shared" si="145"/>
        <v>0</v>
      </c>
      <c r="K240" s="51">
        <f t="shared" si="145"/>
        <v>0</v>
      </c>
      <c r="L240" s="51">
        <f t="shared" si="145"/>
        <v>0</v>
      </c>
      <c r="M240" s="51">
        <f t="shared" si="145"/>
        <v>0</v>
      </c>
      <c r="N240" s="51">
        <f t="shared" si="145"/>
        <v>0</v>
      </c>
      <c r="O240" s="51">
        <f t="shared" si="145"/>
        <v>0</v>
      </c>
    </row>
    <row r="241" spans="1:15" x14ac:dyDescent="0.35">
      <c r="A241" s="20" t="str">
        <f t="shared" si="138"/>
        <v>TCJA factor GDS</v>
      </c>
      <c r="C241" s="48" t="str">
        <f t="shared" si="139"/>
        <v>$/Mcf</v>
      </c>
      <c r="D241" s="51">
        <f t="shared" ref="D241:O241" si="146">D212-D187</f>
        <v>0</v>
      </c>
      <c r="E241" s="51">
        <f t="shared" si="146"/>
        <v>0</v>
      </c>
      <c r="F241" s="51">
        <f t="shared" si="146"/>
        <v>0</v>
      </c>
      <c r="G241" s="51">
        <f t="shared" si="146"/>
        <v>0</v>
      </c>
      <c r="H241" s="51">
        <f t="shared" si="146"/>
        <v>0</v>
      </c>
      <c r="I241" s="51">
        <f t="shared" si="146"/>
        <v>0</v>
      </c>
      <c r="J241" s="51">
        <f t="shared" si="146"/>
        <v>0</v>
      </c>
      <c r="K241" s="51">
        <f t="shared" si="146"/>
        <v>0</v>
      </c>
      <c r="L241" s="51">
        <f t="shared" si="146"/>
        <v>0</v>
      </c>
      <c r="M241" s="51">
        <f t="shared" si="146"/>
        <v>0</v>
      </c>
      <c r="N241" s="51">
        <f t="shared" si="146"/>
        <v>0</v>
      </c>
      <c r="O241" s="51">
        <f t="shared" si="146"/>
        <v>0</v>
      </c>
    </row>
    <row r="242" spans="1:15" x14ac:dyDescent="0.35">
      <c r="A242" s="20" t="str">
        <f t="shared" si="138"/>
        <v>Gas Cost Uncollectible Rider GSR, GSO, IS, IUS</v>
      </c>
      <c r="C242" s="48" t="str">
        <f t="shared" si="139"/>
        <v>$/Mcf</v>
      </c>
      <c r="D242" s="51">
        <f t="shared" ref="D242:O242" si="147">D213-D188</f>
        <v>-1.2999999999999999E-2</v>
      </c>
      <c r="E242" s="51">
        <f t="shared" si="147"/>
        <v>-1.2999999999999999E-2</v>
      </c>
      <c r="F242" s="51">
        <f t="shared" si="147"/>
        <v>-1.2999999999999999E-2</v>
      </c>
      <c r="G242" s="51">
        <f t="shared" si="147"/>
        <v>-9.6000000000000009E-3</v>
      </c>
      <c r="H242" s="51">
        <f t="shared" si="147"/>
        <v>-9.6000000000000009E-3</v>
      </c>
      <c r="I242" s="51">
        <f t="shared" si="147"/>
        <v>-9.6000000000000009E-3</v>
      </c>
      <c r="J242" s="51">
        <f t="shared" si="147"/>
        <v>-5.1999999999999998E-3</v>
      </c>
      <c r="K242" s="51">
        <f t="shared" si="147"/>
        <v>-5.1999999999999998E-3</v>
      </c>
      <c r="L242" s="51">
        <f t="shared" si="147"/>
        <v>-5.1999999999999998E-3</v>
      </c>
      <c r="M242" s="51">
        <f t="shared" si="147"/>
        <v>-2.9999999999999992E-3</v>
      </c>
      <c r="N242" s="51">
        <f t="shared" si="147"/>
        <v>-2.9999999999999992E-3</v>
      </c>
      <c r="O242" s="51">
        <f t="shared" si="147"/>
        <v>-2.9999999999999992E-3</v>
      </c>
    </row>
    <row r="243" spans="1:15" x14ac:dyDescent="0.35">
      <c r="A243" s="20" t="str">
        <f t="shared" si="138"/>
        <v>Gas Cost Uncoll Rider ACA - GSR, GSO, IS, IUS</v>
      </c>
      <c r="C243" s="48" t="str">
        <f t="shared" si="139"/>
        <v>$/Mcf</v>
      </c>
      <c r="D243" s="51">
        <f t="shared" ref="D243:O243" si="148">D214-D189</f>
        <v>-1.2E-2</v>
      </c>
      <c r="E243" s="51">
        <f t="shared" si="148"/>
        <v>-1.2E-2</v>
      </c>
      <c r="F243" s="51">
        <f t="shared" si="148"/>
        <v>-1.2E-2</v>
      </c>
      <c r="G243" s="51">
        <f t="shared" si="148"/>
        <v>-1.3000000000000001E-2</v>
      </c>
      <c r="H243" s="51">
        <f t="shared" si="148"/>
        <v>-1.3000000000000001E-2</v>
      </c>
      <c r="I243" s="51">
        <f t="shared" si="148"/>
        <v>-1.3000000000000001E-2</v>
      </c>
      <c r="J243" s="51">
        <f t="shared" si="148"/>
        <v>-1.2E-2</v>
      </c>
      <c r="K243" s="51">
        <f t="shared" si="148"/>
        <v>-1.2E-2</v>
      </c>
      <c r="L243" s="51">
        <f t="shared" si="148"/>
        <v>-1.2E-2</v>
      </c>
      <c r="M243" s="51">
        <f t="shared" si="148"/>
        <v>-1.26E-2</v>
      </c>
      <c r="N243" s="51">
        <f t="shared" si="148"/>
        <v>-1.26E-2</v>
      </c>
      <c r="O243" s="51">
        <f t="shared" si="148"/>
        <v>-1.26E-2</v>
      </c>
    </row>
    <row r="244" spans="1:15" x14ac:dyDescent="0.35">
      <c r="A244" s="20" t="str">
        <f t="shared" si="138"/>
        <v>Gas Cost Recovery GSR, GSO, IS, IUS</v>
      </c>
      <c r="C244" s="48" t="str">
        <f t="shared" si="139"/>
        <v>$/Mcf</v>
      </c>
      <c r="D244" s="51">
        <f t="shared" ref="D244:O244" si="149">D215-D190</f>
        <v>-2.9515000000000002</v>
      </c>
      <c r="E244" s="51">
        <f t="shared" si="149"/>
        <v>-2.9515000000000002</v>
      </c>
      <c r="F244" s="51">
        <f t="shared" si="149"/>
        <v>-2.9515000000000002</v>
      </c>
      <c r="G244" s="51">
        <f t="shared" si="149"/>
        <v>-2.1196999999999999</v>
      </c>
      <c r="H244" s="51">
        <f t="shared" si="149"/>
        <v>-2.1196999999999999</v>
      </c>
      <c r="I244" s="51">
        <f t="shared" si="149"/>
        <v>-2.1196999999999999</v>
      </c>
      <c r="J244" s="51">
        <f t="shared" si="149"/>
        <v>-1.0849000000000002</v>
      </c>
      <c r="K244" s="51">
        <f t="shared" si="149"/>
        <v>-1.0849000000000002</v>
      </c>
      <c r="L244" s="51">
        <f t="shared" si="149"/>
        <v>-1.0849000000000002</v>
      </c>
      <c r="M244" s="51">
        <f t="shared" si="149"/>
        <v>-0.73580000000000023</v>
      </c>
      <c r="N244" s="51">
        <f t="shared" si="149"/>
        <v>-0.73580000000000023</v>
      </c>
      <c r="O244" s="51">
        <f t="shared" si="149"/>
        <v>-0.73580000000000023</v>
      </c>
    </row>
    <row r="245" spans="1:15" x14ac:dyDescent="0.35">
      <c r="A245" s="20" t="str">
        <f t="shared" si="138"/>
        <v>Gas Cost Recovery ACA - GSR, GSO, IS, IUS</v>
      </c>
      <c r="C245" s="48" t="str">
        <f t="shared" si="139"/>
        <v>$/Mcf</v>
      </c>
      <c r="D245" s="51">
        <f t="shared" ref="D245:O245" si="150">D216-D191</f>
        <v>-3.8095999999999997</v>
      </c>
      <c r="E245" s="51">
        <f t="shared" si="150"/>
        <v>-3.8095999999999997</v>
      </c>
      <c r="F245" s="51">
        <f t="shared" si="150"/>
        <v>-3.8095999999999997</v>
      </c>
      <c r="G245" s="51">
        <f t="shared" si="150"/>
        <v>-2.5293999999999999</v>
      </c>
      <c r="H245" s="51">
        <f t="shared" si="150"/>
        <v>-2.5293999999999999</v>
      </c>
      <c r="I245" s="51">
        <f t="shared" si="150"/>
        <v>-2.5293999999999999</v>
      </c>
      <c r="J245" s="51">
        <f t="shared" si="150"/>
        <v>-3.3038999999999996</v>
      </c>
      <c r="K245" s="51">
        <f t="shared" si="150"/>
        <v>-3.3038999999999996</v>
      </c>
      <c r="L245" s="51">
        <f t="shared" si="150"/>
        <v>-3.3038999999999996</v>
      </c>
      <c r="M245" s="51">
        <f t="shared" si="150"/>
        <v>-3.8779000000000003</v>
      </c>
      <c r="N245" s="51">
        <f t="shared" si="150"/>
        <v>-3.8779000000000003</v>
      </c>
      <c r="O245" s="51">
        <f t="shared" si="150"/>
        <v>-3.8779000000000003</v>
      </c>
    </row>
    <row r="246" spans="1:15" x14ac:dyDescent="0.35">
      <c r="A246" s="20" t="str">
        <f t="shared" si="138"/>
        <v>Choice ACA - GSR, GSO, IS, IUS</v>
      </c>
      <c r="C246" s="48" t="str">
        <f t="shared" si="139"/>
        <v>$/Mcf</v>
      </c>
      <c r="D246" s="51">
        <f t="shared" ref="D246:O246" si="151">D217-D192</f>
        <v>-3.5322999999999998</v>
      </c>
      <c r="E246" s="51">
        <f t="shared" si="151"/>
        <v>-3.5322999999999998</v>
      </c>
      <c r="F246" s="51">
        <f t="shared" si="151"/>
        <v>-3.5322999999999998</v>
      </c>
      <c r="G246" s="51">
        <f t="shared" si="151"/>
        <v>-2.2567000000000004</v>
      </c>
      <c r="H246" s="51">
        <f t="shared" si="151"/>
        <v>-2.2567000000000004</v>
      </c>
      <c r="I246" s="51">
        <f t="shared" si="151"/>
        <v>-2.2567000000000004</v>
      </c>
      <c r="J246" s="51">
        <f t="shared" si="151"/>
        <v>-3.3216999999999999</v>
      </c>
      <c r="K246" s="51">
        <f t="shared" si="151"/>
        <v>-3.3216999999999999</v>
      </c>
      <c r="L246" s="51">
        <f t="shared" si="151"/>
        <v>-3.3216999999999999</v>
      </c>
      <c r="M246" s="51">
        <f t="shared" si="151"/>
        <v>-3.9247999999999998</v>
      </c>
      <c r="N246" s="51">
        <f t="shared" si="151"/>
        <v>-3.9247999999999998</v>
      </c>
      <c r="O246" s="51">
        <f t="shared" si="151"/>
        <v>-3.9247999999999998</v>
      </c>
    </row>
    <row r="247" spans="1:15" x14ac:dyDescent="0.35">
      <c r="A247" s="20" t="str">
        <f t="shared" si="138"/>
        <v>Choice Uncoll Rider ACA - GTR, GTO</v>
      </c>
      <c r="C247" s="48" t="str">
        <f t="shared" si="139"/>
        <v>$/Mcf</v>
      </c>
      <c r="D247" s="51">
        <f t="shared" ref="D247:O247" si="152">D218-D193</f>
        <v>-1.2E-2</v>
      </c>
      <c r="E247" s="51">
        <f t="shared" si="152"/>
        <v>-1.2E-2</v>
      </c>
      <c r="F247" s="51">
        <f t="shared" si="152"/>
        <v>-1.2E-2</v>
      </c>
      <c r="G247" s="51">
        <f t="shared" si="152"/>
        <v>-1.3000000000000001E-2</v>
      </c>
      <c r="H247" s="51">
        <f t="shared" si="152"/>
        <v>-1.3000000000000001E-2</v>
      </c>
      <c r="I247" s="51">
        <f t="shared" si="152"/>
        <v>-1.3000000000000001E-2</v>
      </c>
      <c r="J247" s="51">
        <f t="shared" si="152"/>
        <v>-1.2E-2</v>
      </c>
      <c r="K247" s="51">
        <f t="shared" si="152"/>
        <v>-1.2E-2</v>
      </c>
      <c r="L247" s="51">
        <f t="shared" si="152"/>
        <v>-1.2E-2</v>
      </c>
      <c r="M247" s="51">
        <f t="shared" si="152"/>
        <v>-1.26E-2</v>
      </c>
      <c r="N247" s="51">
        <f t="shared" si="152"/>
        <v>-1.26E-2</v>
      </c>
      <c r="O247" s="51">
        <f t="shared" si="152"/>
        <v>-1.26E-2</v>
      </c>
    </row>
    <row r="248" spans="1:15" x14ac:dyDescent="0.35">
      <c r="A248" s="20" t="str">
        <f t="shared" si="138"/>
        <v>SMRP - Rate GSR, GTR</v>
      </c>
      <c r="B248" s="1"/>
      <c r="C248" s="48" t="str">
        <f t="shared" si="139"/>
        <v>$/Mcf</v>
      </c>
      <c r="D248" s="51">
        <f t="shared" ref="D248:O248" si="153">D219-D194</f>
        <v>0.12239999999999999</v>
      </c>
      <c r="E248" s="51">
        <f t="shared" si="153"/>
        <v>0.12239999999999999</v>
      </c>
      <c r="F248" s="51">
        <f t="shared" si="153"/>
        <v>0.12239999999999999</v>
      </c>
      <c r="G248" s="51">
        <f t="shared" si="153"/>
        <v>0.12239999999999999</v>
      </c>
      <c r="H248" s="51">
        <f t="shared" si="153"/>
        <v>0.40770000000000001</v>
      </c>
      <c r="I248" s="51">
        <f t="shared" si="153"/>
        <v>0.40770000000000001</v>
      </c>
      <c r="J248" s="51">
        <f t="shared" si="153"/>
        <v>0.40770000000000001</v>
      </c>
      <c r="K248" s="51">
        <f t="shared" si="153"/>
        <v>0.40770000000000001</v>
      </c>
      <c r="L248" s="51">
        <f t="shared" si="153"/>
        <v>0.40770000000000001</v>
      </c>
      <c r="M248" s="51">
        <f t="shared" si="153"/>
        <v>0.40770000000000001</v>
      </c>
      <c r="N248" s="51">
        <f t="shared" si="153"/>
        <v>0.40770000000000001</v>
      </c>
      <c r="O248" s="51">
        <f t="shared" si="153"/>
        <v>0.40770000000000001</v>
      </c>
    </row>
    <row r="249" spans="1:15" x14ac:dyDescent="0.35">
      <c r="A249" s="20" t="str">
        <f t="shared" si="138"/>
        <v>SMRP - Rate GSO, GTO, GDS</v>
      </c>
      <c r="B249" s="1"/>
      <c r="C249" s="48" t="str">
        <f t="shared" si="139"/>
        <v>$/Mcf</v>
      </c>
      <c r="D249" s="51">
        <f t="shared" ref="D249:O249" si="154">D220-D195</f>
        <v>7.3200000000000001E-2</v>
      </c>
      <c r="E249" s="51">
        <f t="shared" si="154"/>
        <v>7.3200000000000001E-2</v>
      </c>
      <c r="F249" s="51">
        <f t="shared" si="154"/>
        <v>7.3200000000000001E-2</v>
      </c>
      <c r="G249" s="51">
        <f t="shared" si="154"/>
        <v>7.3200000000000001E-2</v>
      </c>
      <c r="H249" s="51">
        <f t="shared" si="154"/>
        <v>0.24780000000000002</v>
      </c>
      <c r="I249" s="51">
        <f t="shared" si="154"/>
        <v>0.24780000000000002</v>
      </c>
      <c r="J249" s="51">
        <f t="shared" si="154"/>
        <v>0.24780000000000002</v>
      </c>
      <c r="K249" s="51">
        <f t="shared" si="154"/>
        <v>0.24780000000000002</v>
      </c>
      <c r="L249" s="51">
        <f t="shared" si="154"/>
        <v>0.24780000000000002</v>
      </c>
      <c r="M249" s="51">
        <f t="shared" si="154"/>
        <v>0.24780000000000002</v>
      </c>
      <c r="N249" s="51">
        <f t="shared" si="154"/>
        <v>0.24780000000000002</v>
      </c>
      <c r="O249" s="51">
        <f t="shared" si="154"/>
        <v>0.24780000000000002</v>
      </c>
    </row>
    <row r="250" spans="1:15" x14ac:dyDescent="0.35">
      <c r="A250" s="20" t="str">
        <f t="shared" si="138"/>
        <v>SMRP - Rate IUS, IUDS</v>
      </c>
      <c r="B250" s="1"/>
      <c r="C250" s="48" t="str">
        <f t="shared" si="139"/>
        <v>$/Mcf</v>
      </c>
      <c r="D250" s="51">
        <f t="shared" ref="D250:O250" si="155">D221-D196</f>
        <v>4.4699999999999997E-2</v>
      </c>
      <c r="E250" s="51">
        <f t="shared" si="155"/>
        <v>4.4699999999999997E-2</v>
      </c>
      <c r="F250" s="51">
        <f t="shared" si="155"/>
        <v>4.4699999999999997E-2</v>
      </c>
      <c r="G250" s="51">
        <f t="shared" si="155"/>
        <v>4.4699999999999997E-2</v>
      </c>
      <c r="H250" s="51">
        <f t="shared" si="155"/>
        <v>0.15640000000000001</v>
      </c>
      <c r="I250" s="51">
        <f t="shared" si="155"/>
        <v>0.15640000000000001</v>
      </c>
      <c r="J250" s="51">
        <f t="shared" si="155"/>
        <v>0.15640000000000001</v>
      </c>
      <c r="K250" s="51">
        <f t="shared" si="155"/>
        <v>0.15640000000000001</v>
      </c>
      <c r="L250" s="51">
        <f t="shared" si="155"/>
        <v>0.15640000000000001</v>
      </c>
      <c r="M250" s="51">
        <f t="shared" si="155"/>
        <v>0.15640000000000001</v>
      </c>
      <c r="N250" s="51">
        <f t="shared" si="155"/>
        <v>0.15640000000000001</v>
      </c>
      <c r="O250" s="51">
        <f t="shared" si="155"/>
        <v>0.15640000000000001</v>
      </c>
    </row>
    <row r="251" spans="1:15" x14ac:dyDescent="0.35">
      <c r="A251" s="20" t="str">
        <f t="shared" si="138"/>
        <v>SMRP - Rate IS, DS, SAS</v>
      </c>
      <c r="B251" s="1"/>
      <c r="C251" s="48" t="str">
        <f t="shared" si="139"/>
        <v>$/Mcf</v>
      </c>
      <c r="D251" s="51">
        <f t="shared" ref="D251:O251" si="156">D222-D197</f>
        <v>1.3899999999999999E-2</v>
      </c>
      <c r="E251" s="51">
        <f t="shared" si="156"/>
        <v>1.3899999999999999E-2</v>
      </c>
      <c r="F251" s="51">
        <f t="shared" si="156"/>
        <v>1.3899999999999999E-2</v>
      </c>
      <c r="G251" s="51">
        <f t="shared" si="156"/>
        <v>1.3899999999999999E-2</v>
      </c>
      <c r="H251" s="51">
        <f t="shared" si="156"/>
        <v>4.4800000000000006E-2</v>
      </c>
      <c r="I251" s="51">
        <f t="shared" si="156"/>
        <v>4.4800000000000006E-2</v>
      </c>
      <c r="J251" s="51">
        <f t="shared" si="156"/>
        <v>4.4800000000000006E-2</v>
      </c>
      <c r="K251" s="51">
        <f t="shared" si="156"/>
        <v>4.4800000000000006E-2</v>
      </c>
      <c r="L251" s="51">
        <f t="shared" si="156"/>
        <v>4.4800000000000006E-2</v>
      </c>
      <c r="M251" s="51">
        <f t="shared" si="156"/>
        <v>4.4800000000000006E-2</v>
      </c>
      <c r="N251" s="51">
        <f t="shared" si="156"/>
        <v>4.4800000000000006E-2</v>
      </c>
      <c r="O251" s="51">
        <f t="shared" si="156"/>
        <v>4.4800000000000006E-2</v>
      </c>
    </row>
    <row r="252" spans="1:15" x14ac:dyDescent="0.35">
      <c r="A252" s="20" t="str">
        <f t="shared" si="138"/>
        <v>Energy Assistance Program GSR, GTR</v>
      </c>
      <c r="C252" s="48" t="str">
        <f t="shared" si="139"/>
        <v>$/Bill</v>
      </c>
      <c r="D252" s="53">
        <f t="shared" ref="D252:O252" si="157">D223-D198</f>
        <v>0</v>
      </c>
      <c r="E252" s="53">
        <f t="shared" si="157"/>
        <v>0</v>
      </c>
      <c r="F252" s="53">
        <f t="shared" si="157"/>
        <v>0</v>
      </c>
      <c r="G252" s="53">
        <f t="shared" si="157"/>
        <v>0</v>
      </c>
      <c r="H252" s="53">
        <f t="shared" si="157"/>
        <v>0</v>
      </c>
      <c r="I252" s="53">
        <f t="shared" si="157"/>
        <v>0</v>
      </c>
      <c r="J252" s="53">
        <f t="shared" si="157"/>
        <v>0</v>
      </c>
      <c r="K252" s="53">
        <f t="shared" si="157"/>
        <v>0</v>
      </c>
      <c r="L252" s="53">
        <f t="shared" si="157"/>
        <v>0</v>
      </c>
      <c r="M252" s="53">
        <f t="shared" si="157"/>
        <v>0</v>
      </c>
      <c r="N252" s="53">
        <f t="shared" si="157"/>
        <v>0</v>
      </c>
      <c r="O252" s="53">
        <f t="shared" si="157"/>
        <v>0</v>
      </c>
    </row>
    <row r="253" spans="1:15" x14ac:dyDescent="0.35">
      <c r="A253" s="20" t="str">
        <f t="shared" si="138"/>
        <v>Energy Efficiency Conservation GSR, GTR</v>
      </c>
      <c r="C253" s="48" t="str">
        <f t="shared" si="139"/>
        <v>$/Bill</v>
      </c>
      <c r="D253" s="53">
        <f t="shared" ref="D253:O253" si="158">D224-D199</f>
        <v>-4.9999999999999989E-2</v>
      </c>
      <c r="E253" s="53">
        <f t="shared" si="158"/>
        <v>-4.9999999999999989E-2</v>
      </c>
      <c r="F253" s="53">
        <f t="shared" si="158"/>
        <v>-4.9999999999999989E-2</v>
      </c>
      <c r="G253" s="53">
        <f t="shared" si="158"/>
        <v>-4.9999999999999989E-2</v>
      </c>
      <c r="H253" s="53">
        <f t="shared" si="158"/>
        <v>0</v>
      </c>
      <c r="I253" s="53">
        <f t="shared" si="158"/>
        <v>7.9999999999999988E-2</v>
      </c>
      <c r="J253" s="53">
        <f t="shared" si="158"/>
        <v>7.9999999999999988E-2</v>
      </c>
      <c r="K253" s="53">
        <f t="shared" si="158"/>
        <v>7.9999999999999988E-2</v>
      </c>
      <c r="L253" s="53">
        <f t="shared" si="158"/>
        <v>7.9999999999999988E-2</v>
      </c>
      <c r="M253" s="53">
        <f t="shared" si="158"/>
        <v>7.9999999999999988E-2</v>
      </c>
      <c r="N253" s="53">
        <f t="shared" si="158"/>
        <v>7.9999999999999988E-2</v>
      </c>
      <c r="O253" s="53">
        <f t="shared" si="158"/>
        <v>7.9999999999999988E-2</v>
      </c>
    </row>
    <row r="254" spans="1:15" x14ac:dyDescent="0.35">
      <c r="A254" s="20" t="str">
        <f t="shared" si="138"/>
        <v>SMRP - Rate GSR, GTR</v>
      </c>
      <c r="C254" s="48" t="str">
        <f t="shared" si="139"/>
        <v>$/Bill</v>
      </c>
      <c r="D254" s="53">
        <f t="shared" ref="D254:O254" si="159">D225-D200</f>
        <v>0</v>
      </c>
      <c r="E254" s="53">
        <f t="shared" si="159"/>
        <v>0</v>
      </c>
      <c r="F254" s="53">
        <f t="shared" si="159"/>
        <v>0</v>
      </c>
      <c r="G254" s="53">
        <f t="shared" si="159"/>
        <v>0</v>
      </c>
      <c r="H254" s="53">
        <f t="shared" si="159"/>
        <v>0</v>
      </c>
      <c r="I254" s="53">
        <f t="shared" si="159"/>
        <v>0</v>
      </c>
      <c r="J254" s="53">
        <f t="shared" si="159"/>
        <v>0</v>
      </c>
      <c r="K254" s="53">
        <f t="shared" si="159"/>
        <v>0</v>
      </c>
      <c r="L254" s="53">
        <f t="shared" si="159"/>
        <v>0</v>
      </c>
      <c r="M254" s="53">
        <f t="shared" si="159"/>
        <v>0</v>
      </c>
      <c r="N254" s="53">
        <f t="shared" si="159"/>
        <v>0</v>
      </c>
      <c r="O254" s="53">
        <f t="shared" si="159"/>
        <v>0</v>
      </c>
    </row>
    <row r="255" spans="1:15" x14ac:dyDescent="0.35">
      <c r="A255" s="20" t="str">
        <f t="shared" si="138"/>
        <v>SMRP - Rate GSO, GTO, GDS</v>
      </c>
      <c r="C255" s="48" t="str">
        <f t="shared" si="139"/>
        <v>$/Bill</v>
      </c>
      <c r="D255" s="53">
        <f t="shared" ref="D255:O255" si="160">D226-D201</f>
        <v>0</v>
      </c>
      <c r="E255" s="53">
        <f t="shared" si="160"/>
        <v>0</v>
      </c>
      <c r="F255" s="53">
        <f t="shared" si="160"/>
        <v>0</v>
      </c>
      <c r="G255" s="53">
        <f t="shared" si="160"/>
        <v>0</v>
      </c>
      <c r="H255" s="53">
        <f t="shared" si="160"/>
        <v>0</v>
      </c>
      <c r="I255" s="53">
        <f t="shared" si="160"/>
        <v>0</v>
      </c>
      <c r="J255" s="53">
        <f t="shared" si="160"/>
        <v>0</v>
      </c>
      <c r="K255" s="53">
        <f t="shared" si="160"/>
        <v>0</v>
      </c>
      <c r="L255" s="53">
        <f t="shared" si="160"/>
        <v>0</v>
      </c>
      <c r="M255" s="53">
        <f t="shared" si="160"/>
        <v>0</v>
      </c>
      <c r="N255" s="53">
        <f t="shared" si="160"/>
        <v>0</v>
      </c>
      <c r="O255" s="53">
        <f t="shared" si="160"/>
        <v>0</v>
      </c>
    </row>
    <row r="256" spans="1:15" x14ac:dyDescent="0.35">
      <c r="A256" s="20" t="str">
        <f t="shared" si="138"/>
        <v>SMRP - Rate IUS, IUDS</v>
      </c>
      <c r="C256" s="48" t="str">
        <f t="shared" si="139"/>
        <v>$/Bill</v>
      </c>
      <c r="D256" s="53">
        <f t="shared" ref="D256:O256" si="161">D227-D202</f>
        <v>0</v>
      </c>
      <c r="E256" s="53">
        <f t="shared" si="161"/>
        <v>0</v>
      </c>
      <c r="F256" s="53">
        <f t="shared" si="161"/>
        <v>0</v>
      </c>
      <c r="G256" s="53">
        <f t="shared" si="161"/>
        <v>0</v>
      </c>
      <c r="H256" s="53">
        <f t="shared" si="161"/>
        <v>0</v>
      </c>
      <c r="I256" s="53">
        <f t="shared" si="161"/>
        <v>0</v>
      </c>
      <c r="J256" s="53">
        <f t="shared" si="161"/>
        <v>0</v>
      </c>
      <c r="K256" s="53">
        <f t="shared" si="161"/>
        <v>0</v>
      </c>
      <c r="L256" s="53">
        <f t="shared" si="161"/>
        <v>0</v>
      </c>
      <c r="M256" s="53">
        <f t="shared" si="161"/>
        <v>0</v>
      </c>
      <c r="N256" s="53">
        <f t="shared" si="161"/>
        <v>0</v>
      </c>
      <c r="O256" s="53">
        <f t="shared" si="161"/>
        <v>0</v>
      </c>
    </row>
    <row r="257" spans="1:15" x14ac:dyDescent="0.35">
      <c r="A257" s="20" t="str">
        <f t="shared" si="138"/>
        <v>SMRP - Rate IS, DS, SAS</v>
      </c>
      <c r="C257" s="48" t="str">
        <f t="shared" si="139"/>
        <v>$/Bill</v>
      </c>
      <c r="D257" s="53">
        <f t="shared" ref="D257:O257" si="162">D228-D203</f>
        <v>0</v>
      </c>
      <c r="E257" s="53">
        <f t="shared" si="162"/>
        <v>0</v>
      </c>
      <c r="F257" s="53">
        <f t="shared" si="162"/>
        <v>0</v>
      </c>
      <c r="G257" s="53">
        <f t="shared" si="162"/>
        <v>0</v>
      </c>
      <c r="H257" s="53">
        <f t="shared" si="162"/>
        <v>0</v>
      </c>
      <c r="I257" s="53">
        <f t="shared" si="162"/>
        <v>0</v>
      </c>
      <c r="J257" s="53">
        <f t="shared" si="162"/>
        <v>0</v>
      </c>
      <c r="K257" s="53">
        <f t="shared" si="162"/>
        <v>0</v>
      </c>
      <c r="L257" s="53">
        <f t="shared" si="162"/>
        <v>0</v>
      </c>
      <c r="M257" s="53">
        <f t="shared" si="162"/>
        <v>0</v>
      </c>
      <c r="N257" s="53">
        <f t="shared" si="162"/>
        <v>0</v>
      </c>
      <c r="O257" s="53">
        <f t="shared" si="162"/>
        <v>0</v>
      </c>
    </row>
    <row r="272" spans="1:15" x14ac:dyDescent="0.35">
      <c r="E272" s="18"/>
    </row>
  </sheetData>
  <printOptions horizontalCentered="1"/>
  <pageMargins left="0.25" right="0.25" top="0.75" bottom="0" header="0.3" footer="0.3"/>
  <pageSetup scale="61" orientation="landscape" r:id="rId1"/>
  <rowBreaks count="5" manualBreakCount="5">
    <brk id="56" max="14" man="1"/>
    <brk id="101" max="14" man="1"/>
    <brk id="144" max="14" man="1"/>
    <brk id="175" max="14" man="1"/>
    <brk id="230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AB542-8CF8-4311-8511-AF4A00986F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8E0189-D123-458C-AD17-EDAD320FC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C197F-2559-4B3B-A7BA-237B590F4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Heather Temple</cp:lastModifiedBy>
  <cp:lastPrinted>2021-06-06T20:09:17Z</cp:lastPrinted>
  <dcterms:created xsi:type="dcterms:W3CDTF">2013-06-05T21:28:22Z</dcterms:created>
  <dcterms:modified xsi:type="dcterms:W3CDTF">2024-05-29T18:05:45Z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