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1318F91C-30FC-4BDA-BD58-E6B4C332EF4F}" xr6:coauthVersionLast="47" xr6:coauthVersionMax="47" xr10:uidLastSave="{00000000-0000-0000-0000-000000000000}"/>
  <bookViews>
    <workbookView xWindow="42540" yWindow="3045" windowWidth="22965" windowHeight="9960" tabRatio="880" activeTab="6" xr2:uid="{00000000-000D-0000-FFFF-FFFF00000000}"/>
  </bookViews>
  <sheets>
    <sheet name="Input" sheetId="1" r:id="rId1"/>
    <sheet name="A" sheetId="22" r:id="rId2"/>
    <sheet name="B" sheetId="2" r:id="rId3"/>
    <sheet name="C" sheetId="3" r:id="rId4"/>
    <sheet name="D pg 1" sheetId="5" r:id="rId5"/>
    <sheet name="D pg 2 " sheetId="15" r:id="rId6"/>
    <sheet name="Sch M" sheetId="21" r:id="rId7"/>
    <sheet name="Sch M 2.2B" sheetId="8" r:id="rId8"/>
    <sheet name="Macros" sheetId="16" state="veryHidden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\p">#REF!</definedName>
    <definedName name="Bank" localSheetId="1">[1]Input!#REF!</definedName>
    <definedName name="Bank" localSheetId="6">Input!#REF!</definedName>
    <definedName name="Bank">Input!#REF!</definedName>
    <definedName name="bdate">'[2]Oper Rev&amp;Exp by Accts C2.1A'!$A$4</definedName>
    <definedName name="case" localSheetId="1">[1]Input!$B$12</definedName>
    <definedName name="case">Input!$B$12</definedName>
    <definedName name="Commodity" localSheetId="1">[1]Input!$C$16</definedName>
    <definedName name="Commodity">Input!$C$16</definedName>
    <definedName name="company">'[2]Operating Income Summary C-1'!$A$1</definedName>
    <definedName name="CONAME" localSheetId="1">[1]B!$A$1</definedName>
    <definedName name="CONAME">B!$A$1</definedName>
    <definedName name="date">'[3]Operating Income Summary C-1'!$A$4</definedName>
    <definedName name="EGC">Input!$C$17</definedName>
    <definedName name="EGCDATE" localSheetId="1">[1]Input!$C$20</definedName>
    <definedName name="EGCDATE">Input!$C$20</definedName>
    <definedName name="fbdate">'[2]Operating Income Summary C-1'!$A$4</definedName>
    <definedName name="FDATE">'[2]Oper Rev&amp;Exp by Accts C2.1B'!$A$4</definedName>
    <definedName name="firmcom">Input!$C$18</definedName>
    <definedName name="firmdem">Input!$C$19</definedName>
    <definedName name="HEAD">Input!$A$1:$C$21</definedName>
    <definedName name="PAGE01">#REF!</definedName>
    <definedName name="PAGE1">#REF!</definedName>
    <definedName name="PAGE2">#REF!</definedName>
    <definedName name="PAGE3">#REF!</definedName>
    <definedName name="PAGE4">#REF!</definedName>
    <definedName name="PAGE5">'[4]B-2.3'!#REF!</definedName>
    <definedName name="PAGE6">'[4]B-2.3'!#REF!</definedName>
    <definedName name="PAGE7">#REF!</definedName>
    <definedName name="PAGE8">#REF!</definedName>
    <definedName name="_xlnm.Print_Area" localSheetId="1">A!$A$1:$J$60</definedName>
    <definedName name="_xlnm.Print_Area" localSheetId="2">B!$A$1:$J$341</definedName>
    <definedName name="_xlnm.Print_Area" localSheetId="3">'C'!$A$1:$J$458</definedName>
    <definedName name="_xlnm.Print_Area" localSheetId="4">'D pg 1'!$A$1:$J$57</definedName>
    <definedName name="_xlnm.Print_Area" localSheetId="5">'D pg 2 '!$A$1:$L$62</definedName>
    <definedName name="_xlnm.Print_Area" localSheetId="0">Input!$A$1:$O$73</definedName>
    <definedName name="_xlnm.Print_Area" localSheetId="6">'Sch M'!$A$1:$O$52</definedName>
    <definedName name="_xlnm.Print_Area" localSheetId="7">'Sch M 2.2B'!$A$1:$L$1178</definedName>
    <definedName name="Print_Area_MI">'[5]INDEX M'!$A$1:$N$41</definedName>
    <definedName name="SAS_GasCost" localSheetId="1">[1]Input!#REF!</definedName>
    <definedName name="SAS_GasCost" localSheetId="6">Input!#REF!</definedName>
    <definedName name="SAS_GasCost">Input!#REF!</definedName>
    <definedName name="TY" localSheetId="1">[1]B!#REF!</definedName>
    <definedName name="TY" localSheetId="6">B!#REF!</definedName>
    <definedName name="TY">B!#REF!</definedName>
    <definedName name="TYDESC" localSheetId="1">[1]B!$A$3</definedName>
    <definedName name="TYDESC">B!$A$3</definedName>
    <definedName name="wit">'[2]Operating Income Summary C-1'!$M$9</definedName>
    <definedName name="Witness" localSheetId="1">[1]Input!$B$14</definedName>
    <definedName name="Witness">Input!$B$14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71" i="8" l="1"/>
  <c r="G1171" i="8"/>
  <c r="H1171" i="8"/>
  <c r="I1171" i="8"/>
  <c r="J1171" i="8"/>
  <c r="K1171" i="8"/>
  <c r="F1171" i="8"/>
  <c r="A1162" i="8"/>
  <c r="C16" i="21" l="1"/>
  <c r="C24" i="21" l="1"/>
  <c r="D162" i="21" l="1"/>
  <c r="E162" i="21"/>
  <c r="F162" i="21"/>
  <c r="G162" i="21"/>
  <c r="H162" i="21"/>
  <c r="I162" i="21"/>
  <c r="D163" i="21"/>
  <c r="E163" i="21"/>
  <c r="F163" i="21"/>
  <c r="G163" i="21"/>
  <c r="H163" i="21"/>
  <c r="I163" i="21"/>
  <c r="C163" i="21"/>
  <c r="C162" i="21"/>
  <c r="C23" i="21"/>
  <c r="G20" i="21" l="1"/>
  <c r="G23" i="21" l="1"/>
  <c r="G18" i="21"/>
  <c r="G17" i="21"/>
  <c r="G16" i="21"/>
  <c r="F17" i="21"/>
  <c r="H23" i="21" l="1"/>
  <c r="F23" i="21"/>
  <c r="E23" i="21"/>
  <c r="D23" i="21"/>
  <c r="H20" i="21"/>
  <c r="F20" i="21"/>
  <c r="E20" i="21"/>
  <c r="D20" i="21"/>
  <c r="C20" i="21"/>
  <c r="H18" i="21"/>
  <c r="F18" i="21"/>
  <c r="E18" i="21"/>
  <c r="D18" i="21"/>
  <c r="C18" i="21"/>
  <c r="H17" i="21"/>
  <c r="E17" i="21"/>
  <c r="D17" i="21"/>
  <c r="C17" i="21"/>
  <c r="C126" i="21" l="1"/>
  <c r="D127" i="21" s="1"/>
  <c r="C151" i="21"/>
  <c r="I151" i="21"/>
  <c r="H151" i="21"/>
  <c r="G151" i="21"/>
  <c r="F151" i="21"/>
  <c r="E151" i="21"/>
  <c r="D151" i="21"/>
  <c r="I127" i="21"/>
  <c r="H127" i="21"/>
  <c r="F126" i="21"/>
  <c r="G127" i="21" s="1"/>
  <c r="E126" i="21"/>
  <c r="F127" i="21" s="1"/>
  <c r="D126" i="21"/>
  <c r="E127" i="21" s="1"/>
  <c r="H16" i="21"/>
  <c r="F16" i="21"/>
  <c r="E16" i="21"/>
  <c r="D16" i="21"/>
  <c r="H28" i="21"/>
  <c r="G28" i="21" l="1"/>
  <c r="F28" i="21"/>
  <c r="E28" i="21"/>
  <c r="D28" i="21"/>
  <c r="C28" i="21"/>
  <c r="H109" i="21" l="1"/>
  <c r="H108" i="21"/>
  <c r="H107" i="21"/>
  <c r="G109" i="21"/>
  <c r="G108" i="21"/>
  <c r="G107" i="21"/>
  <c r="F109" i="21"/>
  <c r="F108" i="21"/>
  <c r="F107" i="21"/>
  <c r="E109" i="21"/>
  <c r="E108" i="21"/>
  <c r="E107" i="21"/>
  <c r="D109" i="21"/>
  <c r="D108" i="21"/>
  <c r="D107" i="21"/>
  <c r="C109" i="21"/>
  <c r="C107" i="21"/>
  <c r="E115" i="21" l="1"/>
  <c r="H115" i="21"/>
  <c r="C115" i="21"/>
  <c r="D115" i="21"/>
  <c r="G115" i="21"/>
  <c r="F115" i="21"/>
  <c r="D99" i="21"/>
  <c r="E99" i="21"/>
  <c r="F99" i="21"/>
  <c r="G99" i="21"/>
  <c r="H99" i="21"/>
  <c r="C99" i="21"/>
  <c r="C89" i="21" l="1"/>
  <c r="D89" i="21"/>
  <c r="E89" i="21"/>
  <c r="F89" i="21"/>
  <c r="F24" i="21" s="1"/>
  <c r="G89" i="21"/>
  <c r="G24" i="21" s="1"/>
  <c r="H89" i="21"/>
  <c r="H24" i="21" s="1"/>
  <c r="G84" i="21"/>
  <c r="H84" i="21"/>
  <c r="C84" i="21"/>
  <c r="D82" i="21"/>
  <c r="E82" i="21"/>
  <c r="F82" i="21"/>
  <c r="G82" i="21"/>
  <c r="H82" i="21"/>
  <c r="C82" i="21"/>
  <c r="G69" i="21"/>
  <c r="H69" i="21"/>
  <c r="D69" i="21"/>
  <c r="E69" i="21"/>
  <c r="F69" i="21"/>
  <c r="C69" i="21"/>
  <c r="D84" i="21"/>
  <c r="E84" i="21"/>
  <c r="F84" i="21"/>
  <c r="H117" i="21" l="1"/>
  <c r="H119" i="21" s="1"/>
  <c r="H121" i="21" s="1"/>
  <c r="G117" i="21"/>
  <c r="G119" i="21" s="1"/>
  <c r="G121" i="21"/>
  <c r="F117" i="21"/>
  <c r="F119" i="21" s="1"/>
  <c r="E24" i="21"/>
  <c r="E117" i="21"/>
  <c r="E119" i="21" s="1"/>
  <c r="D24" i="21"/>
  <c r="D117" i="21"/>
  <c r="D119" i="21" s="1"/>
  <c r="C117" i="21"/>
  <c r="C119" i="21" s="1"/>
  <c r="C121" i="21" l="1"/>
  <c r="F121" i="21"/>
  <c r="E121" i="21"/>
  <c r="D121" i="21"/>
  <c r="H42" i="21"/>
  <c r="H37" i="21"/>
  <c r="H36" i="21"/>
  <c r="H35" i="21"/>
  <c r="H63" i="21"/>
  <c r="H61" i="21"/>
  <c r="G61" i="21"/>
  <c r="G42" i="21"/>
  <c r="G63" i="21"/>
  <c r="F42" i="21"/>
  <c r="F63" i="21"/>
  <c r="F61" i="21"/>
  <c r="E42" i="21"/>
  <c r="E63" i="21"/>
  <c r="E61" i="21"/>
  <c r="D42" i="21"/>
  <c r="D63" i="21"/>
  <c r="D61" i="21"/>
  <c r="C63" i="21"/>
  <c r="C61" i="21"/>
  <c r="O38" i="21"/>
  <c r="O19" i="21"/>
  <c r="D40" i="21"/>
  <c r="E40" i="21"/>
  <c r="F40" i="21"/>
  <c r="G40" i="21"/>
  <c r="C40" i="21"/>
  <c r="H21" i="21"/>
  <c r="H40" i="21" l="1"/>
  <c r="C42" i="21" l="1"/>
  <c r="F21" i="21" l="1"/>
  <c r="G21" i="21"/>
  <c r="G26" i="21" s="1"/>
  <c r="G57" i="21" s="1"/>
  <c r="E21" i="21" l="1"/>
  <c r="D21" i="21" l="1"/>
  <c r="C21" i="21" l="1"/>
  <c r="D17" i="22" l="1"/>
  <c r="J68" i="1" l="1"/>
  <c r="D119" i="3" l="1"/>
  <c r="G120" i="3"/>
  <c r="G119" i="3"/>
  <c r="D176" i="3"/>
  <c r="H325" i="2"/>
  <c r="H331" i="2" s="1"/>
  <c r="D348" i="2"/>
  <c r="D347" i="2"/>
  <c r="I197" i="2" l="1"/>
  <c r="H197" i="2"/>
  <c r="G197" i="2"/>
  <c r="F197" i="2"/>
  <c r="E197" i="2"/>
  <c r="D197" i="2"/>
  <c r="D317" i="2" s="1"/>
  <c r="I108" i="2"/>
  <c r="H108" i="2"/>
  <c r="G108" i="2"/>
  <c r="F108" i="2"/>
  <c r="E108" i="2"/>
  <c r="D108" i="2"/>
  <c r="I102" i="2"/>
  <c r="H102" i="2"/>
  <c r="G102" i="2"/>
  <c r="F102" i="2"/>
  <c r="E102" i="2"/>
  <c r="D102" i="2"/>
  <c r="D323" i="2"/>
  <c r="D147" i="2"/>
  <c r="D20" i="2"/>
  <c r="J67" i="1" l="1"/>
  <c r="L25" i="1" l="1"/>
  <c r="K37" i="1"/>
  <c r="H59" i="1"/>
  <c r="H57" i="1"/>
  <c r="H49" i="1"/>
  <c r="H53" i="1"/>
  <c r="H52" i="1"/>
  <c r="H51" i="1"/>
  <c r="H48" i="1"/>
  <c r="H47" i="1"/>
  <c r="D59" i="1"/>
  <c r="E59" i="1"/>
  <c r="D53" i="1"/>
  <c r="E53" i="1"/>
  <c r="F53" i="1"/>
  <c r="D52" i="1"/>
  <c r="E52" i="1"/>
  <c r="F52" i="1"/>
  <c r="D51" i="1"/>
  <c r="E51" i="1"/>
  <c r="D49" i="1"/>
  <c r="E49" i="1"/>
  <c r="F49" i="1"/>
  <c r="D48" i="1"/>
  <c r="E48" i="1"/>
  <c r="F48" i="1"/>
  <c r="C59" i="1"/>
  <c r="C57" i="1"/>
  <c r="C53" i="1"/>
  <c r="C52" i="1"/>
  <c r="C51" i="1"/>
  <c r="C50" i="1"/>
  <c r="C49" i="1"/>
  <c r="C48" i="1"/>
  <c r="C47" i="1"/>
  <c r="J37" i="1"/>
  <c r="H37" i="1"/>
  <c r="F37" i="1"/>
  <c r="E37" i="1"/>
  <c r="D37" i="1"/>
  <c r="C37" i="1"/>
  <c r="D142" i="3" l="1"/>
  <c r="J140" i="3"/>
  <c r="E920" i="8" l="1"/>
  <c r="C915" i="8"/>
  <c r="C920" i="8" s="1"/>
  <c r="E896" i="8"/>
  <c r="C891" i="8"/>
  <c r="C896" i="8" s="1"/>
  <c r="C64" i="21" l="1"/>
  <c r="E64" i="21" l="1"/>
  <c r="G64" i="21"/>
  <c r="F64" i="21"/>
  <c r="H64" i="21"/>
  <c r="D64" i="21"/>
  <c r="J197" i="2" l="1"/>
  <c r="F123" i="3" l="1"/>
  <c r="E123" i="3"/>
  <c r="J119" i="3"/>
  <c r="D123" i="3"/>
  <c r="D276" i="3" l="1"/>
  <c r="F891" i="8" s="1"/>
  <c r="E276" i="3"/>
  <c r="G891" i="8" s="1"/>
  <c r="G896" i="8" s="1"/>
  <c r="F276" i="3"/>
  <c r="H891" i="8" s="1"/>
  <c r="H896" i="8" s="1"/>
  <c r="G276" i="3"/>
  <c r="I891" i="8" s="1"/>
  <c r="I896" i="8" s="1"/>
  <c r="H276" i="3"/>
  <c r="J891" i="8" s="1"/>
  <c r="J896" i="8" s="1"/>
  <c r="I276" i="3"/>
  <c r="K891" i="8" s="1"/>
  <c r="K896" i="8" s="1"/>
  <c r="B276" i="3"/>
  <c r="B271" i="3"/>
  <c r="E272" i="3"/>
  <c r="F272" i="3"/>
  <c r="G272" i="3"/>
  <c r="H272" i="3"/>
  <c r="I272" i="3"/>
  <c r="D272" i="3"/>
  <c r="J271" i="3"/>
  <c r="E267" i="3"/>
  <c r="F267" i="3"/>
  <c r="G267" i="3"/>
  <c r="H267" i="3"/>
  <c r="I267" i="3"/>
  <c r="D267" i="3"/>
  <c r="D277" i="3" s="1"/>
  <c r="J266" i="3"/>
  <c r="J267" i="3" l="1"/>
  <c r="J276" i="3"/>
  <c r="F896" i="8"/>
  <c r="L891" i="8"/>
  <c r="E64" i="3"/>
  <c r="F64" i="3"/>
  <c r="G64" i="3"/>
  <c r="H64" i="3"/>
  <c r="I64" i="3"/>
  <c r="D64" i="3"/>
  <c r="E67" i="1" l="1"/>
  <c r="F67" i="1"/>
  <c r="G67" i="1"/>
  <c r="H67" i="1"/>
  <c r="I67" i="1"/>
  <c r="L67" i="1"/>
  <c r="M67" i="1"/>
  <c r="N67" i="1"/>
  <c r="O67" i="1"/>
  <c r="E68" i="1"/>
  <c r="G68" i="1"/>
  <c r="H68" i="1"/>
  <c r="I68" i="1"/>
  <c r="L68" i="1"/>
  <c r="L69" i="1" s="1"/>
  <c r="M68" i="1"/>
  <c r="N68" i="1"/>
  <c r="N69" i="1" s="1"/>
  <c r="O68" i="1"/>
  <c r="E69" i="1"/>
  <c r="H69" i="1" s="1"/>
  <c r="I69" i="1"/>
  <c r="J69" i="1"/>
  <c r="M69" i="1"/>
  <c r="O69" i="1"/>
  <c r="G69" i="1" l="1"/>
  <c r="C26" i="21"/>
  <c r="C57" i="21" s="1"/>
  <c r="D293" i="3" l="1"/>
  <c r="F915" i="8" s="1"/>
  <c r="E293" i="3"/>
  <c r="G915" i="8" s="1"/>
  <c r="G920" i="8" s="1"/>
  <c r="F293" i="3"/>
  <c r="G293" i="3"/>
  <c r="I915" i="8" s="1"/>
  <c r="I920" i="8" s="1"/>
  <c r="H293" i="3"/>
  <c r="J915" i="8" s="1"/>
  <c r="J920" i="8" s="1"/>
  <c r="I293" i="3"/>
  <c r="K915" i="8" s="1"/>
  <c r="K920" i="8" s="1"/>
  <c r="B293" i="3"/>
  <c r="D46" i="5"/>
  <c r="E46" i="5"/>
  <c r="F46" i="5"/>
  <c r="G46" i="5"/>
  <c r="H46" i="5"/>
  <c r="I46" i="5"/>
  <c r="J46" i="5"/>
  <c r="B46" i="5"/>
  <c r="B45" i="5"/>
  <c r="B44" i="5"/>
  <c r="E284" i="3"/>
  <c r="F284" i="3"/>
  <c r="G284" i="3"/>
  <c r="H284" i="3"/>
  <c r="I284" i="3"/>
  <c r="D284" i="3"/>
  <c r="J283" i="3"/>
  <c r="J293" i="3" l="1"/>
  <c r="H915" i="8"/>
  <c r="H920" i="8" s="1"/>
  <c r="F920" i="8"/>
  <c r="G59" i="3"/>
  <c r="H59" i="3"/>
  <c r="I59" i="3"/>
  <c r="L915" i="8" l="1"/>
  <c r="D153" i="2" l="1"/>
  <c r="D103" i="2" l="1"/>
  <c r="D105" i="2" s="1"/>
  <c r="J53" i="1" l="1"/>
  <c r="J52" i="1"/>
  <c r="J59" i="1"/>
  <c r="J51" i="1"/>
  <c r="J50" i="1"/>
  <c r="J49" i="1"/>
  <c r="J48" i="1"/>
  <c r="J47" i="1"/>
  <c r="A11" i="5" l="1"/>
  <c r="A9" i="5"/>
  <c r="A11" i="3"/>
  <c r="A9" i="3"/>
  <c r="E13" i="2"/>
  <c r="F13" i="2"/>
  <c r="G13" i="2"/>
  <c r="H13" i="2"/>
  <c r="I13" i="2"/>
  <c r="D13" i="2"/>
  <c r="A11" i="2"/>
  <c r="A9" i="2"/>
  <c r="A3" i="2"/>
  <c r="I44" i="5" l="1"/>
  <c r="D45" i="5"/>
  <c r="E45" i="5"/>
  <c r="F45" i="5"/>
  <c r="G45" i="5"/>
  <c r="H45" i="5"/>
  <c r="I45" i="5"/>
  <c r="E44" i="5"/>
  <c r="J44" i="5" s="1"/>
  <c r="F44" i="5"/>
  <c r="G44" i="5"/>
  <c r="H44" i="5"/>
  <c r="D44" i="5"/>
  <c r="D38" i="5"/>
  <c r="E38" i="5"/>
  <c r="F38" i="5"/>
  <c r="G38" i="5"/>
  <c r="H38" i="5"/>
  <c r="I38" i="5"/>
  <c r="D39" i="5"/>
  <c r="E39" i="5"/>
  <c r="F39" i="5"/>
  <c r="G39" i="5"/>
  <c r="H39" i="5"/>
  <c r="I39" i="5"/>
  <c r="D40" i="5"/>
  <c r="E40" i="5"/>
  <c r="F40" i="5"/>
  <c r="G40" i="5"/>
  <c r="H40" i="5"/>
  <c r="I40" i="5"/>
  <c r="E37" i="5"/>
  <c r="F37" i="5"/>
  <c r="F125" i="3" s="1"/>
  <c r="G37" i="5"/>
  <c r="H37" i="5"/>
  <c r="I37" i="5"/>
  <c r="D37" i="5"/>
  <c r="L34" i="15" l="1"/>
  <c r="L33" i="15"/>
  <c r="L32" i="15"/>
  <c r="L31" i="15"/>
  <c r="L29" i="15"/>
  <c r="E50" i="5" l="1"/>
  <c r="F50" i="5"/>
  <c r="F422" i="3" s="1"/>
  <c r="G50" i="5"/>
  <c r="G422" i="3" s="1"/>
  <c r="H50" i="5"/>
  <c r="I50" i="5"/>
  <c r="E51" i="5"/>
  <c r="E423" i="3" s="1"/>
  <c r="F51" i="5"/>
  <c r="F423" i="3" s="1"/>
  <c r="G51" i="5"/>
  <c r="G423" i="3" s="1"/>
  <c r="H51" i="5"/>
  <c r="H423" i="3" s="1"/>
  <c r="I51" i="5"/>
  <c r="I423" i="3" s="1"/>
  <c r="D51" i="5"/>
  <c r="D423" i="3" s="1"/>
  <c r="D50" i="5"/>
  <c r="D422" i="3" s="1"/>
  <c r="D125" i="3"/>
  <c r="E30" i="5"/>
  <c r="E105" i="3" s="1"/>
  <c r="F30" i="5"/>
  <c r="F105" i="3" s="1"/>
  <c r="G30" i="5"/>
  <c r="G105" i="3" s="1"/>
  <c r="H30" i="5"/>
  <c r="H105" i="3" s="1"/>
  <c r="I30" i="5"/>
  <c r="I105" i="3" s="1"/>
  <c r="E31" i="5"/>
  <c r="E106" i="3" s="1"/>
  <c r="F31" i="5"/>
  <c r="F106" i="3" s="1"/>
  <c r="G31" i="5"/>
  <c r="G106" i="3" s="1"/>
  <c r="H31" i="5"/>
  <c r="H106" i="3" s="1"/>
  <c r="I31" i="5"/>
  <c r="I106" i="3" s="1"/>
  <c r="E32" i="5"/>
  <c r="E107" i="3" s="1"/>
  <c r="F32" i="5"/>
  <c r="F107" i="3" s="1"/>
  <c r="G32" i="5"/>
  <c r="G107" i="3" s="1"/>
  <c r="H32" i="5"/>
  <c r="H107" i="3" s="1"/>
  <c r="I32" i="5"/>
  <c r="I107" i="3" s="1"/>
  <c r="E33" i="5"/>
  <c r="E108" i="3" s="1"/>
  <c r="F33" i="5"/>
  <c r="F108" i="3" s="1"/>
  <c r="G33" i="5"/>
  <c r="G108" i="3" s="1"/>
  <c r="H33" i="5"/>
  <c r="H108" i="3" s="1"/>
  <c r="I33" i="5"/>
  <c r="I108" i="3" s="1"/>
  <c r="D31" i="5"/>
  <c r="D106" i="3" s="1"/>
  <c r="D32" i="5"/>
  <c r="D107" i="3" s="1"/>
  <c r="D33" i="5"/>
  <c r="D108" i="3" s="1"/>
  <c r="D30" i="5"/>
  <c r="D105" i="3" s="1"/>
  <c r="D111" i="3" s="1"/>
  <c r="I52" i="5" l="1"/>
  <c r="E52" i="5"/>
  <c r="H52" i="5"/>
  <c r="I422" i="3"/>
  <c r="F52" i="5"/>
  <c r="E422" i="3"/>
  <c r="H422" i="3"/>
  <c r="D52" i="5"/>
  <c r="G52" i="5"/>
  <c r="D467" i="3"/>
  <c r="D350" i="2"/>
  <c r="A1114" i="8" l="1"/>
  <c r="A1115" i="8"/>
  <c r="A1117" i="8"/>
  <c r="L1121" i="8"/>
  <c r="A1122" i="8"/>
  <c r="A1123" i="8"/>
  <c r="L1123" i="8"/>
  <c r="F1129" i="8"/>
  <c r="G1129" i="8"/>
  <c r="H1129" i="8"/>
  <c r="I1129" i="8"/>
  <c r="J1129" i="8"/>
  <c r="K1129" i="8"/>
  <c r="G348" i="8"/>
  <c r="H348" i="8"/>
  <c r="I348" i="8"/>
  <c r="J348" i="8"/>
  <c r="K348" i="8"/>
  <c r="F348" i="8"/>
  <c r="A303" i="8"/>
  <c r="A152" i="8"/>
  <c r="C331" i="8" l="1"/>
  <c r="B331" i="8"/>
  <c r="C324" i="8"/>
  <c r="B324" i="8"/>
  <c r="C317" i="8"/>
  <c r="B317" i="8"/>
  <c r="C310" i="8"/>
  <c r="B310" i="8"/>
  <c r="C303" i="8"/>
  <c r="B303" i="8"/>
  <c r="C272" i="8"/>
  <c r="B272" i="8"/>
  <c r="C265" i="8"/>
  <c r="B265" i="8"/>
  <c r="C258" i="8"/>
  <c r="B258" i="8"/>
  <c r="C251" i="8"/>
  <c r="B251" i="8"/>
  <c r="C244" i="8"/>
  <c r="B244" i="8"/>
  <c r="C237" i="8"/>
  <c r="B237" i="8"/>
  <c r="C230" i="8"/>
  <c r="B230" i="8"/>
  <c r="C223" i="8"/>
  <c r="B223" i="8"/>
  <c r="C216" i="8"/>
  <c r="B216" i="8"/>
  <c r="C187" i="8" l="1"/>
  <c r="B187" i="8"/>
  <c r="A716" i="8"/>
  <c r="A718" i="8" s="1"/>
  <c r="A719" i="8" s="1"/>
  <c r="C180" i="8"/>
  <c r="C714" i="8" s="1"/>
  <c r="B180" i="8"/>
  <c r="B714" i="8" s="1"/>
  <c r="C173" i="8"/>
  <c r="B173" i="8"/>
  <c r="C166" i="8"/>
  <c r="B166" i="8"/>
  <c r="C159" i="8"/>
  <c r="B159" i="8"/>
  <c r="C152" i="8"/>
  <c r="B152" i="8"/>
  <c r="C123" i="8"/>
  <c r="B123" i="8"/>
  <c r="C116" i="8"/>
  <c r="B116" i="8"/>
  <c r="C109" i="8"/>
  <c r="B109" i="8"/>
  <c r="C102" i="8"/>
  <c r="B102" i="8"/>
  <c r="C95" i="8"/>
  <c r="B95" i="8"/>
  <c r="C88" i="8"/>
  <c r="B88" i="8"/>
  <c r="C81" i="8"/>
  <c r="B81" i="8"/>
  <c r="C74" i="8"/>
  <c r="B74" i="8"/>
  <c r="C67" i="8"/>
  <c r="B67" i="8"/>
  <c r="B373" i="8" s="1"/>
  <c r="A721" i="8" l="1"/>
  <c r="A722" i="8" s="1"/>
  <c r="A723" i="8" s="1"/>
  <c r="A725" i="8" s="1"/>
  <c r="A726" i="8" s="1"/>
  <c r="A727" i="8" s="1"/>
  <c r="D161" i="2"/>
  <c r="E161" i="2"/>
  <c r="F161" i="2"/>
  <c r="G161" i="2"/>
  <c r="H161" i="2"/>
  <c r="I161" i="2"/>
  <c r="E159" i="2"/>
  <c r="F159" i="2"/>
  <c r="G159" i="2"/>
  <c r="H159" i="2"/>
  <c r="I159" i="2"/>
  <c r="D159" i="2"/>
  <c r="D155" i="2"/>
  <c r="E155" i="2"/>
  <c r="F155" i="2"/>
  <c r="G155" i="2"/>
  <c r="H155" i="2"/>
  <c r="I155" i="2"/>
  <c r="A730" i="8" l="1"/>
  <c r="A732" i="8" s="1"/>
  <c r="A734" i="8" s="1"/>
  <c r="A736" i="8" s="1"/>
  <c r="A737" i="8" s="1"/>
  <c r="A740" i="8" s="1"/>
  <c r="K1052" i="8"/>
  <c r="J1052" i="8"/>
  <c r="I1052" i="8"/>
  <c r="H1052" i="8"/>
  <c r="G1052" i="8"/>
  <c r="F1052" i="8"/>
  <c r="K971" i="8"/>
  <c r="J971" i="8"/>
  <c r="I971" i="8"/>
  <c r="H971" i="8"/>
  <c r="G971" i="8"/>
  <c r="F971" i="8"/>
  <c r="K878" i="8"/>
  <c r="J878" i="8"/>
  <c r="I878" i="8"/>
  <c r="H878" i="8"/>
  <c r="G878" i="8"/>
  <c r="F878" i="8"/>
  <c r="K783" i="8"/>
  <c r="J783" i="8"/>
  <c r="I783" i="8"/>
  <c r="H783" i="8"/>
  <c r="G783" i="8"/>
  <c r="F783" i="8"/>
  <c r="K711" i="8"/>
  <c r="J711" i="8"/>
  <c r="I711" i="8"/>
  <c r="H711" i="8"/>
  <c r="G711" i="8"/>
  <c r="F711" i="8"/>
  <c r="K623" i="8"/>
  <c r="J623" i="8"/>
  <c r="I623" i="8"/>
  <c r="H623" i="8"/>
  <c r="G623" i="8"/>
  <c r="F623" i="8"/>
  <c r="K532" i="8"/>
  <c r="J532" i="8"/>
  <c r="I532" i="8"/>
  <c r="H532" i="8"/>
  <c r="G532" i="8"/>
  <c r="F532" i="8"/>
  <c r="K447" i="8"/>
  <c r="J447" i="8"/>
  <c r="I447" i="8"/>
  <c r="H447" i="8"/>
  <c r="G447" i="8"/>
  <c r="F447" i="8"/>
  <c r="K369" i="8"/>
  <c r="J369" i="8"/>
  <c r="I369" i="8"/>
  <c r="H369" i="8"/>
  <c r="G369" i="8"/>
  <c r="F369" i="8"/>
  <c r="K297" i="8"/>
  <c r="J297" i="8"/>
  <c r="I297" i="8"/>
  <c r="H297" i="8"/>
  <c r="G297" i="8"/>
  <c r="F297" i="8"/>
  <c r="K211" i="8"/>
  <c r="J211" i="8"/>
  <c r="I211" i="8"/>
  <c r="H211" i="8"/>
  <c r="G211" i="8"/>
  <c r="F211" i="8"/>
  <c r="K147" i="8"/>
  <c r="J147" i="8"/>
  <c r="I147" i="8"/>
  <c r="H147" i="8"/>
  <c r="G147" i="8"/>
  <c r="F147" i="8"/>
  <c r="K62" i="8"/>
  <c r="J62" i="8"/>
  <c r="I62" i="8"/>
  <c r="H62" i="8"/>
  <c r="G62" i="8"/>
  <c r="F62" i="8"/>
  <c r="K14" i="8"/>
  <c r="J14" i="8"/>
  <c r="I14" i="8"/>
  <c r="H14" i="8"/>
  <c r="G14" i="8"/>
  <c r="F14" i="8"/>
  <c r="N12" i="21"/>
  <c r="M12" i="21"/>
  <c r="L12" i="21"/>
  <c r="K12" i="21"/>
  <c r="J12" i="21"/>
  <c r="I12" i="21"/>
  <c r="K9" i="15"/>
  <c r="J9" i="15"/>
  <c r="I9" i="15"/>
  <c r="H9" i="15"/>
  <c r="G9" i="15"/>
  <c r="F9" i="15"/>
  <c r="I13" i="5"/>
  <c r="H13" i="5"/>
  <c r="G13" i="5"/>
  <c r="F13" i="5"/>
  <c r="E13" i="5"/>
  <c r="D13" i="5"/>
  <c r="I413" i="3"/>
  <c r="H413" i="3"/>
  <c r="G413" i="3"/>
  <c r="F413" i="3"/>
  <c r="E413" i="3"/>
  <c r="D413" i="3"/>
  <c r="I350" i="3"/>
  <c r="H350" i="3"/>
  <c r="G350" i="3"/>
  <c r="F350" i="3"/>
  <c r="E350" i="3"/>
  <c r="D350" i="3"/>
  <c r="I259" i="3"/>
  <c r="H259" i="3"/>
  <c r="G259" i="3"/>
  <c r="F259" i="3"/>
  <c r="E259" i="3"/>
  <c r="D259" i="3"/>
  <c r="I170" i="3"/>
  <c r="H170" i="3"/>
  <c r="G170" i="3"/>
  <c r="F170" i="3"/>
  <c r="E170" i="3"/>
  <c r="D170" i="3"/>
  <c r="I93" i="3"/>
  <c r="H93" i="3"/>
  <c r="G93" i="3"/>
  <c r="F93" i="3"/>
  <c r="E93" i="3"/>
  <c r="D93" i="3"/>
  <c r="I13" i="3"/>
  <c r="H13" i="3"/>
  <c r="G13" i="3"/>
  <c r="F13" i="3"/>
  <c r="E13" i="3"/>
  <c r="D13" i="3"/>
  <c r="I305" i="2"/>
  <c r="H305" i="2"/>
  <c r="G305" i="2"/>
  <c r="F305" i="2"/>
  <c r="E305" i="2"/>
  <c r="D305" i="2"/>
  <c r="I255" i="2"/>
  <c r="H255" i="2"/>
  <c r="G255" i="2"/>
  <c r="F255" i="2"/>
  <c r="E255" i="2"/>
  <c r="D255" i="2"/>
  <c r="I187" i="2"/>
  <c r="H187" i="2"/>
  <c r="G187" i="2"/>
  <c r="F187" i="2"/>
  <c r="E187" i="2"/>
  <c r="D187" i="2"/>
  <c r="I141" i="2"/>
  <c r="H141" i="2"/>
  <c r="G141" i="2"/>
  <c r="F141" i="2"/>
  <c r="E141" i="2"/>
  <c r="D141" i="2"/>
  <c r="I79" i="2"/>
  <c r="H79" i="2"/>
  <c r="G79" i="2"/>
  <c r="F79" i="2"/>
  <c r="E79" i="2"/>
  <c r="D79" i="2"/>
  <c r="N59" i="1"/>
  <c r="K59" i="1"/>
  <c r="N54" i="1"/>
  <c r="N53" i="1"/>
  <c r="K53" i="1"/>
  <c r="E980" i="8"/>
  <c r="E992" i="8"/>
  <c r="E991" i="8"/>
  <c r="E990" i="8"/>
  <c r="E989" i="8"/>
  <c r="N52" i="1"/>
  <c r="K52" i="1"/>
  <c r="N51" i="1"/>
  <c r="K51" i="1"/>
  <c r="E910" i="8"/>
  <c r="E919" i="8"/>
  <c r="E918" i="8"/>
  <c r="N50" i="1"/>
  <c r="K50" i="1"/>
  <c r="N49" i="1"/>
  <c r="K49" i="1"/>
  <c r="N48" i="1"/>
  <c r="K48" i="1"/>
  <c r="E815" i="8"/>
  <c r="E827" i="8"/>
  <c r="E826" i="8"/>
  <c r="E825" i="8"/>
  <c r="E824" i="8"/>
  <c r="N47" i="1"/>
  <c r="M47" i="1"/>
  <c r="L47" i="1"/>
  <c r="K47" i="1"/>
  <c r="E792" i="8"/>
  <c r="E795" i="8"/>
  <c r="O43" i="1"/>
  <c r="N43" i="1"/>
  <c r="O42" i="1"/>
  <c r="N42" i="1"/>
  <c r="O37" i="1"/>
  <c r="N37" i="1"/>
  <c r="E677" i="8"/>
  <c r="E675" i="8"/>
  <c r="E850" i="8"/>
  <c r="O36" i="1"/>
  <c r="N36" i="1"/>
  <c r="N31" i="1"/>
  <c r="N30" i="1"/>
  <c r="N29" i="1"/>
  <c r="N28" i="1"/>
  <c r="A1045" i="8"/>
  <c r="A964" i="8"/>
  <c r="A871" i="8"/>
  <c r="A776" i="8"/>
  <c r="A704" i="8"/>
  <c r="A616" i="8"/>
  <c r="A525" i="8"/>
  <c r="A440" i="8"/>
  <c r="A362" i="8"/>
  <c r="A290" i="8"/>
  <c r="A205" i="8"/>
  <c r="A141" i="8"/>
  <c r="D286" i="3"/>
  <c r="E286" i="3"/>
  <c r="E291" i="3" s="1"/>
  <c r="G913" i="8" s="1"/>
  <c r="F286" i="3"/>
  <c r="F291" i="3" s="1"/>
  <c r="G286" i="3"/>
  <c r="H286" i="3"/>
  <c r="H291" i="3" s="1"/>
  <c r="J913" i="8" s="1"/>
  <c r="I286" i="3"/>
  <c r="I291" i="3" s="1"/>
  <c r="D287" i="3"/>
  <c r="D292" i="3" s="1"/>
  <c r="F287" i="3"/>
  <c r="F292" i="3" s="1"/>
  <c r="G287" i="3"/>
  <c r="G292" i="3" s="1"/>
  <c r="I914" i="8" s="1"/>
  <c r="H287" i="3"/>
  <c r="I287" i="3"/>
  <c r="I292" i="3" s="1"/>
  <c r="K914" i="8" s="1"/>
  <c r="I153" i="2"/>
  <c r="D220" i="3"/>
  <c r="E220" i="3"/>
  <c r="F220" i="3"/>
  <c r="G220" i="3"/>
  <c r="H220" i="3"/>
  <c r="I220" i="3"/>
  <c r="D221" i="3"/>
  <c r="F819" i="8" s="1"/>
  <c r="E221" i="3"/>
  <c r="G819" i="8" s="1"/>
  <c r="F221" i="3"/>
  <c r="G221" i="3"/>
  <c r="H221" i="3"/>
  <c r="I221" i="3"/>
  <c r="D222" i="3"/>
  <c r="E222" i="3"/>
  <c r="F222" i="3"/>
  <c r="H820" i="8" s="1"/>
  <c r="G222" i="3"/>
  <c r="H222" i="3"/>
  <c r="I222" i="3"/>
  <c r="B38" i="5"/>
  <c r="B39" i="5"/>
  <c r="B40" i="5"/>
  <c r="B37" i="5"/>
  <c r="B31" i="5"/>
  <c r="B32" i="5"/>
  <c r="B33" i="5"/>
  <c r="B30" i="5"/>
  <c r="H23" i="5"/>
  <c r="H25" i="5" s="1"/>
  <c r="I23" i="5"/>
  <c r="I25" i="5" s="1"/>
  <c r="F216" i="2"/>
  <c r="F218" i="2" s="1"/>
  <c r="G216" i="2"/>
  <c r="H216" i="2"/>
  <c r="H218" i="2" s="1"/>
  <c r="I216" i="2"/>
  <c r="E222" i="2"/>
  <c r="E224" i="2" s="1"/>
  <c r="F222" i="2"/>
  <c r="F224" i="2" s="1"/>
  <c r="H932" i="8" s="1"/>
  <c r="G222" i="2"/>
  <c r="G224" i="2" s="1"/>
  <c r="H222" i="2"/>
  <c r="H224" i="2" s="1"/>
  <c r="J932" i="8" s="1"/>
  <c r="I222" i="2"/>
  <c r="I224" i="2" s="1"/>
  <c r="H109" i="2"/>
  <c r="H160" i="2" s="1"/>
  <c r="I109" i="2"/>
  <c r="I160" i="2" s="1"/>
  <c r="D154" i="2"/>
  <c r="E103" i="2"/>
  <c r="E154" i="2" s="1"/>
  <c r="F103" i="2"/>
  <c r="F154" i="2" s="1"/>
  <c r="G103" i="2"/>
  <c r="G154" i="2" s="1"/>
  <c r="H103" i="2"/>
  <c r="H154" i="2" s="1"/>
  <c r="I103" i="2"/>
  <c r="I154" i="2" s="1"/>
  <c r="A19" i="5"/>
  <c r="A20" i="5" s="1"/>
  <c r="A21" i="5" s="1"/>
  <c r="A22" i="5" s="1"/>
  <c r="A23" i="5" s="1"/>
  <c r="A25" i="5" s="1"/>
  <c r="A27" i="5" s="1"/>
  <c r="A29" i="5" s="1"/>
  <c r="A30" i="5" s="1"/>
  <c r="A31" i="5" s="1"/>
  <c r="A32" i="5" s="1"/>
  <c r="A33" i="5" s="1"/>
  <c r="A34" i="5" s="1"/>
  <c r="A36" i="5" s="1"/>
  <c r="A37" i="5" s="1"/>
  <c r="A38" i="5" s="1"/>
  <c r="A39" i="5" s="1"/>
  <c r="A40" i="5" s="1"/>
  <c r="A41" i="5" s="1"/>
  <c r="A43" i="5" s="1"/>
  <c r="A44" i="5" s="1"/>
  <c r="A45" i="5" s="1"/>
  <c r="D426" i="3"/>
  <c r="E426" i="3"/>
  <c r="F426" i="3"/>
  <c r="G426" i="3"/>
  <c r="H426" i="3"/>
  <c r="I426" i="3"/>
  <c r="D427" i="3"/>
  <c r="E427" i="3"/>
  <c r="F427" i="3"/>
  <c r="G427" i="3"/>
  <c r="H427" i="3"/>
  <c r="I427" i="3"/>
  <c r="B427" i="3"/>
  <c r="B426" i="3"/>
  <c r="B423" i="3"/>
  <c r="B422" i="3"/>
  <c r="D397" i="3"/>
  <c r="E397" i="3"/>
  <c r="F397" i="3"/>
  <c r="G397" i="3"/>
  <c r="I1141" i="8" s="1"/>
  <c r="H397" i="3"/>
  <c r="I397" i="3"/>
  <c r="D398" i="3"/>
  <c r="E398" i="3"/>
  <c r="F398" i="3"/>
  <c r="H1142" i="8" s="1"/>
  <c r="G398" i="3"/>
  <c r="H398" i="3"/>
  <c r="I398" i="3"/>
  <c r="B394" i="3"/>
  <c r="B398" i="3" s="1"/>
  <c r="B393" i="3"/>
  <c r="B397" i="3" s="1"/>
  <c r="D383" i="3"/>
  <c r="F1098" i="8" s="1"/>
  <c r="E383" i="3"/>
  <c r="F383" i="3"/>
  <c r="G383" i="3"/>
  <c r="I1098" i="8" s="1"/>
  <c r="H383" i="3"/>
  <c r="I383" i="3"/>
  <c r="D384" i="3"/>
  <c r="E384" i="3"/>
  <c r="F384" i="3"/>
  <c r="G384" i="3"/>
  <c r="H384" i="3"/>
  <c r="I384" i="3"/>
  <c r="B380" i="3"/>
  <c r="B384" i="3" s="1"/>
  <c r="B379" i="3"/>
  <c r="B383" i="3" s="1"/>
  <c r="B331" i="3"/>
  <c r="B332" i="3"/>
  <c r="B333" i="3"/>
  <c r="B330" i="3"/>
  <c r="B325" i="3"/>
  <c r="B326" i="3"/>
  <c r="B327" i="3"/>
  <c r="B324" i="3"/>
  <c r="B311" i="3"/>
  <c r="B312" i="3"/>
  <c r="B313" i="3"/>
  <c r="B310" i="3"/>
  <c r="B305" i="3"/>
  <c r="B306" i="3"/>
  <c r="B307" i="3"/>
  <c r="B304" i="3"/>
  <c r="B292" i="3"/>
  <c r="B291" i="3"/>
  <c r="D274" i="3"/>
  <c r="E274" i="3"/>
  <c r="F274" i="3"/>
  <c r="G274" i="3"/>
  <c r="I889" i="8" s="1"/>
  <c r="H274" i="3"/>
  <c r="I274" i="3"/>
  <c r="D275" i="3"/>
  <c r="F890" i="8" s="1"/>
  <c r="E275" i="3"/>
  <c r="F275" i="3"/>
  <c r="H890" i="8" s="1"/>
  <c r="G275" i="3"/>
  <c r="H275" i="3"/>
  <c r="I275" i="3"/>
  <c r="B275" i="3"/>
  <c r="B274" i="3"/>
  <c r="B270" i="3"/>
  <c r="B269" i="3"/>
  <c r="D240" i="3"/>
  <c r="E240" i="3"/>
  <c r="F240" i="3"/>
  <c r="G240" i="3"/>
  <c r="H240" i="3"/>
  <c r="J844" i="8" s="1"/>
  <c r="I240" i="3"/>
  <c r="D241" i="3"/>
  <c r="F845" i="8" s="1"/>
  <c r="E241" i="3"/>
  <c r="F241" i="3"/>
  <c r="G241" i="3"/>
  <c r="H241" i="3"/>
  <c r="I241" i="3"/>
  <c r="D242" i="3"/>
  <c r="E242" i="3"/>
  <c r="F242" i="3"/>
  <c r="H846" i="8" s="1"/>
  <c r="G242" i="3"/>
  <c r="H242" i="3"/>
  <c r="I242" i="3"/>
  <c r="D243" i="3"/>
  <c r="E243" i="3"/>
  <c r="G847" i="8" s="1"/>
  <c r="F243" i="3"/>
  <c r="G243" i="3"/>
  <c r="H243" i="3"/>
  <c r="I243" i="3"/>
  <c r="B241" i="3"/>
  <c r="B242" i="3"/>
  <c r="B243" i="3"/>
  <c r="B240" i="3"/>
  <c r="B235" i="3"/>
  <c r="B236" i="3"/>
  <c r="B237" i="3"/>
  <c r="B234" i="3"/>
  <c r="B221" i="3"/>
  <c r="B222" i="3"/>
  <c r="B223" i="3"/>
  <c r="B220" i="3"/>
  <c r="B215" i="3"/>
  <c r="B216" i="3"/>
  <c r="B217" i="3"/>
  <c r="B214" i="3"/>
  <c r="D148" i="3"/>
  <c r="E148" i="3"/>
  <c r="F148" i="3"/>
  <c r="H722" i="8" s="1"/>
  <c r="G148" i="3"/>
  <c r="I722" i="8" s="1"/>
  <c r="H148" i="3"/>
  <c r="I148" i="3"/>
  <c r="D149" i="3"/>
  <c r="E149" i="3"/>
  <c r="G723" i="8" s="1"/>
  <c r="F149" i="3"/>
  <c r="G149" i="3"/>
  <c r="I723" i="8" s="1"/>
  <c r="H149" i="3"/>
  <c r="I149" i="3"/>
  <c r="B145" i="3"/>
  <c r="B149" i="3" s="1"/>
  <c r="B144" i="3"/>
  <c r="B148" i="3" s="1"/>
  <c r="B126" i="3"/>
  <c r="B132" i="3" s="1"/>
  <c r="B127" i="3"/>
  <c r="B133" i="3" s="1"/>
  <c r="B128" i="3"/>
  <c r="B134" i="3" s="1"/>
  <c r="B125" i="3"/>
  <c r="B131" i="3" s="1"/>
  <c r="B106" i="3"/>
  <c r="B112" i="3" s="1"/>
  <c r="B107" i="3"/>
  <c r="B113" i="3" s="1"/>
  <c r="B108" i="3"/>
  <c r="B114" i="3" s="1"/>
  <c r="B105" i="3"/>
  <c r="B111" i="3" s="1"/>
  <c r="B68" i="3"/>
  <c r="B72" i="3" s="1"/>
  <c r="B67" i="3"/>
  <c r="B71" i="3" s="1"/>
  <c r="D71" i="3"/>
  <c r="E71" i="3"/>
  <c r="F71" i="3"/>
  <c r="G71" i="3"/>
  <c r="I576" i="8" s="1"/>
  <c r="H71" i="3"/>
  <c r="I71" i="3"/>
  <c r="D72" i="3"/>
  <c r="F577" i="8" s="1"/>
  <c r="E72" i="3"/>
  <c r="F72" i="3"/>
  <c r="G72" i="3"/>
  <c r="H72" i="3"/>
  <c r="I72" i="3"/>
  <c r="A17" i="22"/>
  <c r="A18" i="22" s="1"/>
  <c r="A19" i="22" s="1"/>
  <c r="A21" i="22" s="1"/>
  <c r="A23" i="22" s="1"/>
  <c r="A24" i="22" s="1"/>
  <c r="A25" i="22" s="1"/>
  <c r="A27" i="22" s="1"/>
  <c r="A29" i="22" s="1"/>
  <c r="A30" i="22" s="1"/>
  <c r="A31" i="22" s="1"/>
  <c r="A33" i="22" s="1"/>
  <c r="A35" i="22" s="1"/>
  <c r="A36" i="22" s="1"/>
  <c r="A37" i="22" s="1"/>
  <c r="A39" i="22" s="1"/>
  <c r="A41" i="22" s="1"/>
  <c r="A42" i="22" s="1"/>
  <c r="A43" i="22" s="1"/>
  <c r="A45" i="22" s="1"/>
  <c r="A47" i="22" s="1"/>
  <c r="A48" i="22" s="1"/>
  <c r="A49" i="22" s="1"/>
  <c r="A51" i="22" s="1"/>
  <c r="A53" i="22" s="1"/>
  <c r="A54" i="22" s="1"/>
  <c r="A55" i="22" s="1"/>
  <c r="A57" i="22" s="1"/>
  <c r="I317" i="2"/>
  <c r="G200" i="2"/>
  <c r="F200" i="2"/>
  <c r="E317" i="2"/>
  <c r="H153" i="2"/>
  <c r="G153" i="2"/>
  <c r="F153" i="2"/>
  <c r="E153" i="2"/>
  <c r="I330" i="3"/>
  <c r="I331" i="3"/>
  <c r="K984" i="8" s="1"/>
  <c r="I333" i="3"/>
  <c r="K986" i="8" s="1"/>
  <c r="I311" i="3"/>
  <c r="I312" i="3"/>
  <c r="I313" i="3"/>
  <c r="I126" i="3"/>
  <c r="I127" i="3"/>
  <c r="I128" i="3"/>
  <c r="I125" i="3"/>
  <c r="D222" i="2"/>
  <c r="D224" i="2" s="1"/>
  <c r="G23" i="5"/>
  <c r="G25" i="5" s="1"/>
  <c r="F109" i="2"/>
  <c r="F160" i="2" s="1"/>
  <c r="E216" i="2"/>
  <c r="E324" i="2" s="1"/>
  <c r="D216" i="2"/>
  <c r="D218" i="2" s="1"/>
  <c r="F909" i="8" s="1"/>
  <c r="F245" i="8" s="1"/>
  <c r="D330" i="3"/>
  <c r="G330" i="3"/>
  <c r="H330" i="3"/>
  <c r="E331" i="3"/>
  <c r="G984" i="8" s="1"/>
  <c r="F331" i="3"/>
  <c r="D332" i="3"/>
  <c r="F985" i="8" s="1"/>
  <c r="E332" i="3"/>
  <c r="G985" i="8" s="1"/>
  <c r="F332" i="3"/>
  <c r="G332" i="3"/>
  <c r="H332" i="3"/>
  <c r="D333" i="3"/>
  <c r="E333" i="3"/>
  <c r="F333" i="3"/>
  <c r="G333" i="3"/>
  <c r="I986" i="8" s="1"/>
  <c r="H333" i="3"/>
  <c r="J986" i="8" s="1"/>
  <c r="L59" i="15"/>
  <c r="J45" i="5" s="1"/>
  <c r="L58" i="15"/>
  <c r="L56" i="15"/>
  <c r="J270" i="3"/>
  <c r="J269" i="3"/>
  <c r="I69" i="3"/>
  <c r="I176" i="3"/>
  <c r="I54" i="3"/>
  <c r="I49" i="3"/>
  <c r="I44" i="3"/>
  <c r="I39" i="3"/>
  <c r="K474" i="8" s="1"/>
  <c r="I34" i="3"/>
  <c r="I29" i="3"/>
  <c r="K421" i="8" s="1"/>
  <c r="I24" i="3"/>
  <c r="I54" i="22" s="1"/>
  <c r="I311" i="2"/>
  <c r="I312" i="2"/>
  <c r="I313" i="2"/>
  <c r="I319" i="2"/>
  <c r="I323" i="2"/>
  <c r="I325" i="2"/>
  <c r="I274" i="2"/>
  <c r="I280" i="2"/>
  <c r="I286" i="2"/>
  <c r="I292" i="2"/>
  <c r="I230" i="2"/>
  <c r="I236" i="2"/>
  <c r="I262" i="2"/>
  <c r="I268" i="2"/>
  <c r="I194" i="2"/>
  <c r="K791" i="8" s="1"/>
  <c r="I206" i="2"/>
  <c r="I212" i="2"/>
  <c r="K885" i="8" s="1"/>
  <c r="K238" i="8" s="1"/>
  <c r="I147" i="2"/>
  <c r="I149" i="2"/>
  <c r="I173" i="2" s="1"/>
  <c r="I165" i="2"/>
  <c r="I166" i="2"/>
  <c r="I167" i="2"/>
  <c r="I117" i="2"/>
  <c r="I123" i="2"/>
  <c r="K747" i="8" s="1"/>
  <c r="K188" i="8" s="1"/>
  <c r="I99" i="2"/>
  <c r="I50" i="2"/>
  <c r="K487" i="8" s="1"/>
  <c r="K103" i="8" s="1"/>
  <c r="I56" i="2"/>
  <c r="K503" i="8" s="1"/>
  <c r="K110" i="8" s="1"/>
  <c r="I62" i="2"/>
  <c r="I87" i="2"/>
  <c r="I93" i="2"/>
  <c r="I26" i="2"/>
  <c r="I32" i="2"/>
  <c r="I38" i="2"/>
  <c r="I44" i="2"/>
  <c r="K471" i="8" s="1"/>
  <c r="K96" i="8" s="1"/>
  <c r="I20" i="2"/>
  <c r="L1044" i="8"/>
  <c r="L963" i="8"/>
  <c r="L870" i="8"/>
  <c r="L775" i="8"/>
  <c r="L703" i="8"/>
  <c r="L615" i="8"/>
  <c r="L524" i="8"/>
  <c r="L439" i="8"/>
  <c r="L361" i="8"/>
  <c r="L8" i="8"/>
  <c r="L289" i="8"/>
  <c r="L204" i="8"/>
  <c r="L140" i="8"/>
  <c r="K335" i="8"/>
  <c r="K269" i="8"/>
  <c r="K276" i="8"/>
  <c r="K307" i="8"/>
  <c r="K314" i="8"/>
  <c r="K321" i="8"/>
  <c r="K328" i="8"/>
  <c r="K220" i="8"/>
  <c r="K227" i="8"/>
  <c r="K234" i="8"/>
  <c r="K241" i="8"/>
  <c r="K248" i="8"/>
  <c r="K255" i="8"/>
  <c r="K262" i="8"/>
  <c r="K120" i="8"/>
  <c r="K127" i="8"/>
  <c r="K156" i="8"/>
  <c r="K163" i="8"/>
  <c r="K92" i="8"/>
  <c r="K99" i="8"/>
  <c r="K106" i="8"/>
  <c r="K113" i="8"/>
  <c r="L1173" i="8"/>
  <c r="K1164" i="8"/>
  <c r="K1163" i="8"/>
  <c r="L1151" i="8"/>
  <c r="L1108" i="8"/>
  <c r="K1080" i="8"/>
  <c r="K312" i="8" s="1"/>
  <c r="L1085" i="8"/>
  <c r="L1068" i="8"/>
  <c r="L1031" i="8"/>
  <c r="L1014" i="8"/>
  <c r="L997" i="8"/>
  <c r="L950" i="8"/>
  <c r="L924" i="8"/>
  <c r="L901" i="8"/>
  <c r="L858" i="8"/>
  <c r="L832" i="8"/>
  <c r="L799" i="8"/>
  <c r="L601" i="8"/>
  <c r="L585" i="8"/>
  <c r="L563" i="8"/>
  <c r="L547" i="8"/>
  <c r="L510" i="8"/>
  <c r="L494" i="8"/>
  <c r="L478" i="8"/>
  <c r="L462" i="8"/>
  <c r="K34" i="8"/>
  <c r="K33" i="8"/>
  <c r="K32" i="8"/>
  <c r="K31" i="8"/>
  <c r="K30" i="8"/>
  <c r="L344" i="8"/>
  <c r="L343" i="8"/>
  <c r="L342" i="8"/>
  <c r="L53" i="15"/>
  <c r="L52" i="15"/>
  <c r="L50" i="15"/>
  <c r="L45" i="15"/>
  <c r="L44" i="15"/>
  <c r="L43" i="15"/>
  <c r="L42" i="15"/>
  <c r="L40" i="15"/>
  <c r="L26" i="15"/>
  <c r="L25" i="15"/>
  <c r="L24" i="15"/>
  <c r="L23" i="15"/>
  <c r="L21" i="15"/>
  <c r="L18" i="15"/>
  <c r="L17" i="15"/>
  <c r="L15" i="15"/>
  <c r="J33" i="5"/>
  <c r="I114" i="3" s="1"/>
  <c r="K638" i="8" s="1"/>
  <c r="J32" i="5"/>
  <c r="I113" i="3" s="1"/>
  <c r="K637" i="8" s="1"/>
  <c r="J31" i="5"/>
  <c r="J30" i="5"/>
  <c r="I111" i="3" s="1"/>
  <c r="I34" i="5"/>
  <c r="J19" i="5"/>
  <c r="I434" i="3"/>
  <c r="I433" i="3"/>
  <c r="J423" i="3"/>
  <c r="J422" i="3"/>
  <c r="J419" i="3"/>
  <c r="J418" i="3"/>
  <c r="I424" i="3"/>
  <c r="I420" i="3"/>
  <c r="J394" i="3"/>
  <c r="J393" i="3"/>
  <c r="J390" i="3"/>
  <c r="J389" i="3"/>
  <c r="I395" i="3"/>
  <c r="I391" i="3"/>
  <c r="J380" i="3"/>
  <c r="J379" i="3"/>
  <c r="J376" i="3"/>
  <c r="J375" i="3"/>
  <c r="I381" i="3"/>
  <c r="I377" i="3"/>
  <c r="J370" i="3"/>
  <c r="J369" i="3"/>
  <c r="J365" i="3"/>
  <c r="J364" i="3"/>
  <c r="J360" i="3"/>
  <c r="J359" i="3"/>
  <c r="I371" i="3"/>
  <c r="I366" i="3"/>
  <c r="I361" i="3"/>
  <c r="J355" i="3"/>
  <c r="J354" i="3"/>
  <c r="I356" i="3"/>
  <c r="J321" i="3"/>
  <c r="J319" i="3"/>
  <c r="J320" i="3"/>
  <c r="J318" i="3"/>
  <c r="I322" i="3"/>
  <c r="J301" i="3"/>
  <c r="J299" i="3"/>
  <c r="J300" i="3"/>
  <c r="J298" i="3"/>
  <c r="I302" i="3"/>
  <c r="J282" i="3"/>
  <c r="J281" i="3"/>
  <c r="J265" i="3"/>
  <c r="J264" i="3"/>
  <c r="J237" i="3"/>
  <c r="J236" i="3"/>
  <c r="J235" i="3"/>
  <c r="J234" i="3"/>
  <c r="J231" i="3"/>
  <c r="J229" i="3"/>
  <c r="J230" i="3"/>
  <c r="J228" i="3"/>
  <c r="I238" i="3"/>
  <c r="I232" i="3"/>
  <c r="J217" i="3"/>
  <c r="J216" i="3"/>
  <c r="J215" i="3"/>
  <c r="J214" i="3"/>
  <c r="I218" i="3"/>
  <c r="I223" i="3" s="1"/>
  <c r="I212" i="3"/>
  <c r="I204" i="3"/>
  <c r="I192" i="3"/>
  <c r="I191" i="3"/>
  <c r="I155" i="3"/>
  <c r="K750" i="8" s="1"/>
  <c r="J145" i="3"/>
  <c r="J144" i="3"/>
  <c r="I146" i="3"/>
  <c r="I142" i="3"/>
  <c r="I103" i="3"/>
  <c r="I181" i="3" s="1"/>
  <c r="I78" i="3"/>
  <c r="J211" i="3"/>
  <c r="J209" i="3"/>
  <c r="J210" i="3"/>
  <c r="J208" i="3"/>
  <c r="J203" i="3"/>
  <c r="J202" i="3"/>
  <c r="C463" i="3" s="1"/>
  <c r="E463" i="3" s="1"/>
  <c r="J154" i="3"/>
  <c r="J153" i="3"/>
  <c r="J141" i="3"/>
  <c r="J139" i="3"/>
  <c r="J102" i="3"/>
  <c r="J100" i="3"/>
  <c r="J101" i="3"/>
  <c r="J99" i="3"/>
  <c r="J77" i="3"/>
  <c r="J76" i="3"/>
  <c r="J68" i="3"/>
  <c r="J67" i="3"/>
  <c r="J64" i="3"/>
  <c r="J63" i="3"/>
  <c r="J58" i="3"/>
  <c r="J57" i="3"/>
  <c r="J53" i="3"/>
  <c r="J52" i="3"/>
  <c r="J48" i="3"/>
  <c r="J47" i="3"/>
  <c r="J43" i="3"/>
  <c r="J42" i="3"/>
  <c r="J38" i="3"/>
  <c r="J37" i="3"/>
  <c r="J33" i="3"/>
  <c r="J32" i="3"/>
  <c r="J28" i="3"/>
  <c r="J27" i="3"/>
  <c r="J23" i="3"/>
  <c r="J22" i="3"/>
  <c r="J18" i="3"/>
  <c r="J17" i="3"/>
  <c r="J291" i="2"/>
  <c r="J290" i="2"/>
  <c r="J289" i="2"/>
  <c r="J285" i="2"/>
  <c r="J284" i="2"/>
  <c r="J283" i="2"/>
  <c r="J279" i="2"/>
  <c r="J278" i="2"/>
  <c r="J277" i="2"/>
  <c r="J273" i="2"/>
  <c r="J272" i="2"/>
  <c r="J271" i="2"/>
  <c r="J267" i="2"/>
  <c r="J266" i="2"/>
  <c r="J265" i="2"/>
  <c r="J261" i="2"/>
  <c r="J260" i="2"/>
  <c r="J259" i="2"/>
  <c r="J235" i="2"/>
  <c r="J234" i="2"/>
  <c r="J233" i="2"/>
  <c r="J229" i="2"/>
  <c r="J228" i="2"/>
  <c r="J227" i="2"/>
  <c r="J223" i="2"/>
  <c r="J221" i="2"/>
  <c r="J217" i="2"/>
  <c r="J215" i="2"/>
  <c r="J211" i="2"/>
  <c r="J209" i="2"/>
  <c r="J205" i="2"/>
  <c r="J204" i="2"/>
  <c r="J203" i="2"/>
  <c r="C348" i="2" s="1"/>
  <c r="J199" i="2"/>
  <c r="J198" i="2"/>
  <c r="J193" i="2"/>
  <c r="J192" i="2"/>
  <c r="J191" i="2"/>
  <c r="C346" i="2" s="1"/>
  <c r="E346" i="2" s="1"/>
  <c r="J122" i="2"/>
  <c r="J121" i="2"/>
  <c r="J120" i="2"/>
  <c r="J116" i="2"/>
  <c r="J115" i="2"/>
  <c r="J114" i="2"/>
  <c r="J110" i="2"/>
  <c r="J104" i="2"/>
  <c r="J98" i="2"/>
  <c r="J97" i="2"/>
  <c r="J96" i="2"/>
  <c r="J92" i="2"/>
  <c r="J91" i="2"/>
  <c r="J90" i="2"/>
  <c r="J86" i="2"/>
  <c r="J85" i="2"/>
  <c r="J84" i="2"/>
  <c r="J61" i="2"/>
  <c r="J60" i="2"/>
  <c r="J59" i="2"/>
  <c r="J55" i="2"/>
  <c r="J54" i="2"/>
  <c r="J53" i="2"/>
  <c r="J49" i="2"/>
  <c r="J48" i="2"/>
  <c r="J47" i="2"/>
  <c r="J43" i="2"/>
  <c r="J42" i="2"/>
  <c r="J41" i="2"/>
  <c r="J37" i="2"/>
  <c r="J36" i="2"/>
  <c r="J35" i="2"/>
  <c r="J31" i="2"/>
  <c r="J30" i="2"/>
  <c r="J29" i="2"/>
  <c r="J25" i="2"/>
  <c r="J24" i="2"/>
  <c r="J23" i="2"/>
  <c r="J19" i="2"/>
  <c r="J17" i="2"/>
  <c r="L5" i="15"/>
  <c r="J406" i="3"/>
  <c r="J344" i="3"/>
  <c r="J252" i="3"/>
  <c r="J163" i="3"/>
  <c r="J86" i="3"/>
  <c r="J301" i="2"/>
  <c r="J250" i="2"/>
  <c r="J183" i="2"/>
  <c r="J136" i="2"/>
  <c r="J74" i="2"/>
  <c r="C44" i="21"/>
  <c r="C65" i="21" s="1"/>
  <c r="D44" i="21"/>
  <c r="D65" i="21" s="1"/>
  <c r="E44" i="21"/>
  <c r="E65" i="21" s="1"/>
  <c r="F44" i="21"/>
  <c r="F65" i="21" s="1"/>
  <c r="G44" i="21"/>
  <c r="G65" i="21" s="1"/>
  <c r="A767" i="8"/>
  <c r="A694" i="8"/>
  <c r="C30" i="21"/>
  <c r="D26" i="21"/>
  <c r="D57" i="21" s="1"/>
  <c r="F26" i="21"/>
  <c r="F57" i="21" s="1"/>
  <c r="J32" i="8"/>
  <c r="I32" i="8"/>
  <c r="H32" i="8"/>
  <c r="G32" i="8"/>
  <c r="F32" i="8"/>
  <c r="A16" i="21"/>
  <c r="A17" i="21" s="1"/>
  <c r="A18" i="21" s="1"/>
  <c r="A19" i="21" s="1"/>
  <c r="A20" i="21" s="1"/>
  <c r="A21" i="21" s="1"/>
  <c r="O9" i="21"/>
  <c r="A2" i="21"/>
  <c r="A1" i="21"/>
  <c r="D310" i="3"/>
  <c r="E310" i="3"/>
  <c r="G310" i="3"/>
  <c r="H310" i="3"/>
  <c r="J936" i="8" s="1"/>
  <c r="D311" i="3"/>
  <c r="F937" i="8" s="1"/>
  <c r="E311" i="3"/>
  <c r="G937" i="8" s="1"/>
  <c r="F311" i="3"/>
  <c r="G311" i="3"/>
  <c r="H311" i="3"/>
  <c r="D312" i="3"/>
  <c r="E312" i="3"/>
  <c r="F312" i="3"/>
  <c r="H312" i="3"/>
  <c r="E313" i="3"/>
  <c r="G939" i="8" s="1"/>
  <c r="F313" i="3"/>
  <c r="G313" i="3"/>
  <c r="E125" i="3"/>
  <c r="G125" i="3"/>
  <c r="H125" i="3"/>
  <c r="D126" i="3"/>
  <c r="E126" i="3"/>
  <c r="F126" i="3"/>
  <c r="G126" i="3"/>
  <c r="H126" i="3"/>
  <c r="D127" i="3"/>
  <c r="E127" i="3"/>
  <c r="F127" i="3"/>
  <c r="G127" i="3"/>
  <c r="H127" i="3"/>
  <c r="D128" i="3"/>
  <c r="E128" i="3"/>
  <c r="F128" i="3"/>
  <c r="G128" i="3"/>
  <c r="H128" i="3"/>
  <c r="J108" i="2"/>
  <c r="E323" i="2"/>
  <c r="F323" i="2"/>
  <c r="G323" i="2"/>
  <c r="H323" i="2"/>
  <c r="D325" i="2"/>
  <c r="E325" i="2"/>
  <c r="F325" i="2"/>
  <c r="G325" i="2"/>
  <c r="A353" i="8"/>
  <c r="A352" i="8"/>
  <c r="A281" i="8"/>
  <c r="A280" i="8"/>
  <c r="A1113" i="8" s="1"/>
  <c r="A196" i="8"/>
  <c r="A195" i="8"/>
  <c r="A304" i="8"/>
  <c r="A305" i="8" s="1"/>
  <c r="A306" i="8" s="1"/>
  <c r="A307" i="8" s="1"/>
  <c r="A308" i="8" s="1"/>
  <c r="A310" i="8" s="1"/>
  <c r="A311" i="8" s="1"/>
  <c r="A312" i="8" s="1"/>
  <c r="A313" i="8" s="1"/>
  <c r="A314" i="8" s="1"/>
  <c r="A315" i="8" s="1"/>
  <c r="A317" i="8" s="1"/>
  <c r="A318" i="8" s="1"/>
  <c r="A319" i="8" s="1"/>
  <c r="A320" i="8" s="1"/>
  <c r="A321" i="8" s="1"/>
  <c r="A322" i="8" s="1"/>
  <c r="A324" i="8" s="1"/>
  <c r="A325" i="8" s="1"/>
  <c r="A326" i="8" s="1"/>
  <c r="A327" i="8" s="1"/>
  <c r="A328" i="8" s="1"/>
  <c r="A329" i="8" s="1"/>
  <c r="A331" i="8" s="1"/>
  <c r="A332" i="8" s="1"/>
  <c r="A333" i="8" s="1"/>
  <c r="A334" i="8" s="1"/>
  <c r="A335" i="8" s="1"/>
  <c r="A336" i="8" s="1"/>
  <c r="A338" i="8" s="1"/>
  <c r="A340" i="8" s="1"/>
  <c r="A342" i="8" s="1"/>
  <c r="A343" i="8" s="1"/>
  <c r="A344" i="8" s="1"/>
  <c r="A345" i="8" s="1"/>
  <c r="A346" i="8" s="1"/>
  <c r="A348" i="8" s="1"/>
  <c r="A350" i="8" s="1"/>
  <c r="A153" i="8"/>
  <c r="A154" i="8" s="1"/>
  <c r="A155" i="8" s="1"/>
  <c r="A156" i="8" s="1"/>
  <c r="A157" i="8" s="1"/>
  <c r="A159" i="8" s="1"/>
  <c r="A160" i="8" s="1"/>
  <c r="A161" i="8" s="1"/>
  <c r="A162" i="8" s="1"/>
  <c r="A163" i="8" s="1"/>
  <c r="A164" i="8" s="1"/>
  <c r="A166" i="8" s="1"/>
  <c r="A167" i="8" s="1"/>
  <c r="A168" i="8" s="1"/>
  <c r="A169" i="8" s="1"/>
  <c r="A170" i="8" s="1"/>
  <c r="A171" i="8" s="1"/>
  <c r="A173" i="8" s="1"/>
  <c r="A174" i="8" s="1"/>
  <c r="A175" i="8" s="1"/>
  <c r="A176" i="8" s="1"/>
  <c r="A177" i="8" s="1"/>
  <c r="A178" i="8" s="1"/>
  <c r="A180" i="8" s="1"/>
  <c r="A181" i="8" s="1"/>
  <c r="A182" i="8" s="1"/>
  <c r="A183" i="8" s="1"/>
  <c r="A184" i="8" s="1"/>
  <c r="A185" i="8" s="1"/>
  <c r="A187" i="8" s="1"/>
  <c r="A188" i="8" s="1"/>
  <c r="A189" i="8" s="1"/>
  <c r="A190" i="8" s="1"/>
  <c r="A191" i="8" s="1"/>
  <c r="A192" i="8" s="1"/>
  <c r="L10" i="8"/>
  <c r="A10" i="8"/>
  <c r="A4" i="8"/>
  <c r="A2" i="8"/>
  <c r="A1" i="8"/>
  <c r="A137" i="2"/>
  <c r="A131" i="2"/>
  <c r="L705" i="8"/>
  <c r="A705" i="8"/>
  <c r="A699" i="8"/>
  <c r="A697" i="8"/>
  <c r="A696" i="8"/>
  <c r="A166" i="3"/>
  <c r="A160" i="3"/>
  <c r="A158" i="3"/>
  <c r="D319" i="2"/>
  <c r="E319" i="2"/>
  <c r="F319" i="2"/>
  <c r="G319" i="2"/>
  <c r="H319" i="2"/>
  <c r="D311" i="2"/>
  <c r="E311" i="2"/>
  <c r="F311" i="2"/>
  <c r="G311" i="2"/>
  <c r="H311" i="2"/>
  <c r="D312" i="2"/>
  <c r="E312" i="2"/>
  <c r="F312" i="2"/>
  <c r="G312" i="2"/>
  <c r="H312" i="2"/>
  <c r="D313" i="2"/>
  <c r="E313" i="2"/>
  <c r="F313" i="2"/>
  <c r="G313" i="2"/>
  <c r="H313" i="2"/>
  <c r="A308" i="2"/>
  <c r="A310" i="2" s="1"/>
  <c r="A311" i="2" s="1"/>
  <c r="A312" i="2" s="1"/>
  <c r="A313" i="2" s="1"/>
  <c r="A314" i="2" s="1"/>
  <c r="A316" i="2" s="1"/>
  <c r="A317" i="2" s="1"/>
  <c r="A318" i="2" s="1"/>
  <c r="A319" i="2" s="1"/>
  <c r="A320" i="2" s="1"/>
  <c r="A322" i="2" s="1"/>
  <c r="A323" i="2" s="1"/>
  <c r="A324" i="2" s="1"/>
  <c r="A325" i="2" s="1"/>
  <c r="A326" i="2" s="1"/>
  <c r="A328" i="2" s="1"/>
  <c r="A329" i="2" s="1"/>
  <c r="A330" i="2" s="1"/>
  <c r="A331" i="2" s="1"/>
  <c r="A332" i="2" s="1"/>
  <c r="A335" i="2" s="1"/>
  <c r="A336" i="2" s="1"/>
  <c r="A337" i="2" s="1"/>
  <c r="A338" i="2" s="1"/>
  <c r="A339" i="2" s="1"/>
  <c r="A302" i="2"/>
  <c r="A297" i="2"/>
  <c r="H292" i="2"/>
  <c r="G292" i="2"/>
  <c r="F292" i="2"/>
  <c r="E292" i="2"/>
  <c r="G1159" i="8" s="1"/>
  <c r="G332" i="8" s="1"/>
  <c r="D292" i="2"/>
  <c r="H286" i="2"/>
  <c r="G286" i="2"/>
  <c r="F286" i="2"/>
  <c r="E286" i="2"/>
  <c r="G1137" i="8" s="1"/>
  <c r="G325" i="8" s="1"/>
  <c r="D286" i="2"/>
  <c r="F1137" i="8" s="1"/>
  <c r="F325" i="8" s="1"/>
  <c r="H280" i="2"/>
  <c r="G280" i="2"/>
  <c r="I1094" i="8" s="1"/>
  <c r="F280" i="2"/>
  <c r="H1094" i="8" s="1"/>
  <c r="H318" i="8" s="1"/>
  <c r="E280" i="2"/>
  <c r="D280" i="2"/>
  <c r="H274" i="2"/>
  <c r="G274" i="2"/>
  <c r="F274" i="2"/>
  <c r="E274" i="2"/>
  <c r="D274" i="2"/>
  <c r="H268" i="2"/>
  <c r="G268" i="2"/>
  <c r="F268" i="2"/>
  <c r="E268" i="2"/>
  <c r="D268" i="2"/>
  <c r="H262" i="2"/>
  <c r="G262" i="2"/>
  <c r="I1023" i="8" s="1"/>
  <c r="I273" i="8" s="1"/>
  <c r="F262" i="2"/>
  <c r="E262" i="2"/>
  <c r="D262" i="2"/>
  <c r="H236" i="2"/>
  <c r="J1006" i="8" s="1"/>
  <c r="G236" i="2"/>
  <c r="D236" i="2"/>
  <c r="F1006" i="8" s="1"/>
  <c r="F236" i="2"/>
  <c r="E236" i="2"/>
  <c r="A251" i="2"/>
  <c r="A245" i="2"/>
  <c r="H206" i="2"/>
  <c r="G206" i="2"/>
  <c r="I840" i="8" s="1"/>
  <c r="I231" i="8" s="1"/>
  <c r="F206" i="2"/>
  <c r="E206" i="2"/>
  <c r="D206" i="2"/>
  <c r="H194" i="2"/>
  <c r="G194" i="2"/>
  <c r="I791" i="8" s="1"/>
  <c r="F194" i="2"/>
  <c r="E194" i="2"/>
  <c r="D194" i="2"/>
  <c r="A190" i="2"/>
  <c r="A191" i="2" s="1"/>
  <c r="A192" i="2" s="1"/>
  <c r="A193" i="2" s="1"/>
  <c r="A194" i="2" s="1"/>
  <c r="A196" i="2" s="1"/>
  <c r="A197" i="2" s="1"/>
  <c r="A198" i="2" s="1"/>
  <c r="A199" i="2" s="1"/>
  <c r="A200" i="2" s="1"/>
  <c r="A202" i="2" s="1"/>
  <c r="A203" i="2" s="1"/>
  <c r="A204" i="2" s="1"/>
  <c r="A205" i="2" s="1"/>
  <c r="A206" i="2" s="1"/>
  <c r="A208" i="2" s="1"/>
  <c r="A209" i="2" s="1"/>
  <c r="A210" i="2" s="1"/>
  <c r="A211" i="2" s="1"/>
  <c r="A212" i="2" s="1"/>
  <c r="A214" i="2" s="1"/>
  <c r="A215" i="2" s="1"/>
  <c r="A216" i="2" s="1"/>
  <c r="A217" i="2" s="1"/>
  <c r="A218" i="2" s="1"/>
  <c r="A220" i="2" s="1"/>
  <c r="A221" i="2" s="1"/>
  <c r="A222" i="2" s="1"/>
  <c r="A223" i="2" s="1"/>
  <c r="A224" i="2" s="1"/>
  <c r="A226" i="2" s="1"/>
  <c r="A227" i="2" s="1"/>
  <c r="A228" i="2" s="1"/>
  <c r="A229" i="2" s="1"/>
  <c r="A230" i="2" s="1"/>
  <c r="A232" i="2" s="1"/>
  <c r="A233" i="2" s="1"/>
  <c r="A234" i="2" s="1"/>
  <c r="A235" i="2" s="1"/>
  <c r="A236" i="2" s="1"/>
  <c r="A184" i="2"/>
  <c r="A179" i="2"/>
  <c r="D166" i="2"/>
  <c r="E166" i="2"/>
  <c r="F166" i="2"/>
  <c r="G166" i="2"/>
  <c r="H166" i="2"/>
  <c r="D167" i="2"/>
  <c r="E167" i="2"/>
  <c r="F167" i="2"/>
  <c r="G167" i="2"/>
  <c r="H167" i="2"/>
  <c r="D165" i="2"/>
  <c r="E165" i="2"/>
  <c r="F165" i="2"/>
  <c r="G165" i="2"/>
  <c r="H165" i="2"/>
  <c r="D149" i="2"/>
  <c r="E149" i="2"/>
  <c r="F149" i="2"/>
  <c r="G149" i="2"/>
  <c r="G173" i="2" s="1"/>
  <c r="H149" i="2"/>
  <c r="H173" i="2" s="1"/>
  <c r="D171" i="2"/>
  <c r="E147" i="2"/>
  <c r="F147" i="2"/>
  <c r="G147" i="2"/>
  <c r="H147" i="2"/>
  <c r="A69" i="2"/>
  <c r="H123" i="2"/>
  <c r="G123" i="2"/>
  <c r="F123" i="2"/>
  <c r="E123" i="2"/>
  <c r="D123" i="2"/>
  <c r="F747" i="8" s="1"/>
  <c r="F188" i="8" s="1"/>
  <c r="H117" i="2"/>
  <c r="G117" i="2"/>
  <c r="F117" i="2"/>
  <c r="H718" i="8" s="1"/>
  <c r="H181" i="8" s="1"/>
  <c r="E117" i="2"/>
  <c r="D117" i="2"/>
  <c r="H99" i="2"/>
  <c r="G99" i="2"/>
  <c r="F99" i="2"/>
  <c r="E99" i="2"/>
  <c r="G594" i="8" s="1"/>
  <c r="G160" i="8" s="1"/>
  <c r="D99" i="2"/>
  <c r="H93" i="2"/>
  <c r="G93" i="2"/>
  <c r="F93" i="2"/>
  <c r="E93" i="2"/>
  <c r="D93" i="2"/>
  <c r="H87" i="2"/>
  <c r="G87" i="2"/>
  <c r="F87" i="2"/>
  <c r="E87" i="2"/>
  <c r="D87" i="2"/>
  <c r="H62" i="2"/>
  <c r="G62" i="2"/>
  <c r="I540" i="8" s="1"/>
  <c r="I117" i="8" s="1"/>
  <c r="F62" i="2"/>
  <c r="H540" i="8" s="1"/>
  <c r="H117" i="8" s="1"/>
  <c r="E62" i="2"/>
  <c r="D62" i="2"/>
  <c r="H56" i="2"/>
  <c r="G56" i="2"/>
  <c r="F56" i="2"/>
  <c r="E56" i="2"/>
  <c r="D56" i="2"/>
  <c r="A75" i="2"/>
  <c r="H50" i="2"/>
  <c r="G50" i="2"/>
  <c r="F50" i="2"/>
  <c r="E50" i="2"/>
  <c r="D50" i="2"/>
  <c r="H44" i="2"/>
  <c r="J471" i="8" s="1"/>
  <c r="J96" i="8" s="1"/>
  <c r="G44" i="2"/>
  <c r="F44" i="2"/>
  <c r="H471" i="8" s="1"/>
  <c r="H96" i="8" s="1"/>
  <c r="E44" i="2"/>
  <c r="G471" i="8" s="1"/>
  <c r="G96" i="8" s="1"/>
  <c r="D44" i="2"/>
  <c r="H38" i="2"/>
  <c r="G38" i="2"/>
  <c r="F38" i="2"/>
  <c r="E38" i="2"/>
  <c r="G455" i="8" s="1"/>
  <c r="G89" i="8" s="1"/>
  <c r="D38" i="2"/>
  <c r="H32" i="2"/>
  <c r="G32" i="2"/>
  <c r="F32" i="2"/>
  <c r="H418" i="8" s="1"/>
  <c r="E32" i="2"/>
  <c r="D32" i="2"/>
  <c r="H26" i="2"/>
  <c r="G26" i="2"/>
  <c r="D26" i="2"/>
  <c r="F26" i="2"/>
  <c r="H402" i="8" s="1"/>
  <c r="H75" i="8" s="1"/>
  <c r="E26" i="2"/>
  <c r="D148" i="2"/>
  <c r="E148" i="2"/>
  <c r="F148" i="2"/>
  <c r="G148" i="2"/>
  <c r="H148" i="2"/>
  <c r="A17" i="2"/>
  <c r="A18" i="2" s="1"/>
  <c r="A19" i="2" s="1"/>
  <c r="A20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4" i="2" s="1"/>
  <c r="A35" i="2" s="1"/>
  <c r="A36" i="2" s="1"/>
  <c r="A37" i="2" s="1"/>
  <c r="A38" i="2" s="1"/>
  <c r="A40" i="2" s="1"/>
  <c r="A41" i="2" s="1"/>
  <c r="A42" i="2" s="1"/>
  <c r="A43" i="2" s="1"/>
  <c r="A44" i="2" s="1"/>
  <c r="A46" i="2" s="1"/>
  <c r="A47" i="2" s="1"/>
  <c r="A48" i="2" s="1"/>
  <c r="A49" i="2" s="1"/>
  <c r="A50" i="2" s="1"/>
  <c r="A52" i="2" s="1"/>
  <c r="A53" i="2" s="1"/>
  <c r="A54" i="2" s="1"/>
  <c r="A55" i="2" s="1"/>
  <c r="A56" i="2" s="1"/>
  <c r="A58" i="2" s="1"/>
  <c r="A59" i="2" s="1"/>
  <c r="A60" i="2" s="1"/>
  <c r="A61" i="2" s="1"/>
  <c r="A62" i="2" s="1"/>
  <c r="F1163" i="8"/>
  <c r="G1163" i="8"/>
  <c r="H1163" i="8"/>
  <c r="I1163" i="8"/>
  <c r="J1163" i="8"/>
  <c r="F1164" i="8"/>
  <c r="G1164" i="8"/>
  <c r="H1164" i="8"/>
  <c r="I1164" i="8"/>
  <c r="J1164" i="8"/>
  <c r="F1080" i="8"/>
  <c r="F312" i="8" s="1"/>
  <c r="G1080" i="8"/>
  <c r="G312" i="8" s="1"/>
  <c r="H1080" i="8"/>
  <c r="H312" i="8" s="1"/>
  <c r="I1080" i="8"/>
  <c r="I312" i="8" s="1"/>
  <c r="J1080" i="8"/>
  <c r="J312" i="8" s="1"/>
  <c r="D433" i="3"/>
  <c r="E433" i="3"/>
  <c r="F433" i="3"/>
  <c r="G433" i="3"/>
  <c r="H433" i="3"/>
  <c r="D434" i="3"/>
  <c r="E434" i="3"/>
  <c r="F434" i="3"/>
  <c r="G434" i="3"/>
  <c r="H434" i="3"/>
  <c r="D191" i="3"/>
  <c r="E191" i="3"/>
  <c r="F191" i="3"/>
  <c r="G191" i="3"/>
  <c r="H191" i="3"/>
  <c r="D192" i="3"/>
  <c r="E192" i="3"/>
  <c r="F192" i="3"/>
  <c r="G192" i="3"/>
  <c r="H192" i="3"/>
  <c r="H424" i="3"/>
  <c r="G424" i="3"/>
  <c r="F424" i="3"/>
  <c r="E424" i="3"/>
  <c r="D424" i="3"/>
  <c r="D420" i="3"/>
  <c r="E420" i="3"/>
  <c r="F420" i="3"/>
  <c r="G420" i="3"/>
  <c r="H420" i="3"/>
  <c r="H395" i="3"/>
  <c r="G395" i="3"/>
  <c r="F395" i="3"/>
  <c r="E395" i="3"/>
  <c r="D395" i="3"/>
  <c r="D391" i="3"/>
  <c r="E391" i="3"/>
  <c r="F391" i="3"/>
  <c r="G391" i="3"/>
  <c r="H391" i="3"/>
  <c r="H381" i="3"/>
  <c r="G381" i="3"/>
  <c r="F381" i="3"/>
  <c r="E381" i="3"/>
  <c r="D381" i="3"/>
  <c r="D377" i="3"/>
  <c r="E377" i="3"/>
  <c r="F377" i="3"/>
  <c r="G377" i="3"/>
  <c r="H377" i="3"/>
  <c r="D322" i="3"/>
  <c r="E322" i="3"/>
  <c r="F322" i="3"/>
  <c r="G322" i="3"/>
  <c r="H322" i="3"/>
  <c r="D302" i="3"/>
  <c r="E302" i="3"/>
  <c r="F302" i="3"/>
  <c r="G302" i="3"/>
  <c r="H302" i="3"/>
  <c r="A263" i="3"/>
  <c r="A264" i="3" s="1"/>
  <c r="A265" i="3" s="1"/>
  <c r="H238" i="3"/>
  <c r="G238" i="3"/>
  <c r="F238" i="3"/>
  <c r="E238" i="3"/>
  <c r="D238" i="3"/>
  <c r="D232" i="3"/>
  <c r="E232" i="3"/>
  <c r="F232" i="3"/>
  <c r="G232" i="3"/>
  <c r="H232" i="3"/>
  <c r="H218" i="3"/>
  <c r="G218" i="3"/>
  <c r="G223" i="3" s="1"/>
  <c r="I821" i="8" s="1"/>
  <c r="F218" i="3"/>
  <c r="F223" i="3" s="1"/>
  <c r="H821" i="8" s="1"/>
  <c r="E218" i="3"/>
  <c r="E223" i="3" s="1"/>
  <c r="D218" i="3"/>
  <c r="D212" i="3"/>
  <c r="E212" i="3"/>
  <c r="F212" i="3"/>
  <c r="G212" i="3"/>
  <c r="H212" i="3"/>
  <c r="H146" i="3"/>
  <c r="G146" i="3"/>
  <c r="F146" i="3"/>
  <c r="E146" i="3"/>
  <c r="D146" i="3"/>
  <c r="E142" i="3"/>
  <c r="F142" i="3"/>
  <c r="G142" i="3"/>
  <c r="H142" i="3"/>
  <c r="D69" i="3"/>
  <c r="D177" i="3" s="1"/>
  <c r="E69" i="3"/>
  <c r="E177" i="3" s="1"/>
  <c r="F69" i="3"/>
  <c r="F177" i="3" s="1"/>
  <c r="G69" i="3"/>
  <c r="G177" i="3" s="1"/>
  <c r="H69" i="3"/>
  <c r="H177" i="3" s="1"/>
  <c r="E176" i="3"/>
  <c r="F176" i="3"/>
  <c r="H176" i="3"/>
  <c r="C1164" i="8"/>
  <c r="C1168" i="8" s="1"/>
  <c r="C1163" i="8"/>
  <c r="C1167" i="8" s="1"/>
  <c r="C1142" i="8"/>
  <c r="C1146" i="8" s="1"/>
  <c r="C1141" i="8"/>
  <c r="C1145" i="8" s="1"/>
  <c r="C1099" i="8"/>
  <c r="C1103" i="8" s="1"/>
  <c r="C1098" i="8"/>
  <c r="C1102" i="8" s="1"/>
  <c r="C984" i="8"/>
  <c r="C990" i="8" s="1"/>
  <c r="C985" i="8"/>
  <c r="C991" i="8" s="1"/>
  <c r="C986" i="8"/>
  <c r="C992" i="8" s="1"/>
  <c r="C983" i="8"/>
  <c r="C989" i="8" s="1"/>
  <c r="C937" i="8"/>
  <c r="C943" i="8" s="1"/>
  <c r="C938" i="8"/>
  <c r="C944" i="8" s="1"/>
  <c r="C939" i="8"/>
  <c r="C945" i="8" s="1"/>
  <c r="C936" i="8"/>
  <c r="C942" i="8" s="1"/>
  <c r="C914" i="8"/>
  <c r="C919" i="8" s="1"/>
  <c r="C913" i="8"/>
  <c r="C918" i="8" s="1"/>
  <c r="C890" i="8"/>
  <c r="C895" i="8" s="1"/>
  <c r="C889" i="8"/>
  <c r="C894" i="8" s="1"/>
  <c r="C845" i="8"/>
  <c r="C851" i="8" s="1"/>
  <c r="C846" i="8"/>
  <c r="C852" i="8" s="1"/>
  <c r="C847" i="8"/>
  <c r="C853" i="8" s="1"/>
  <c r="C844" i="8"/>
  <c r="C850" i="8" s="1"/>
  <c r="C819" i="8"/>
  <c r="C825" i="8" s="1"/>
  <c r="C820" i="8"/>
  <c r="C826" i="8" s="1"/>
  <c r="C821" i="8"/>
  <c r="C827" i="8" s="1"/>
  <c r="C818" i="8"/>
  <c r="C824" i="8" s="1"/>
  <c r="C669" i="8"/>
  <c r="C675" i="8" s="1"/>
  <c r="C670" i="8"/>
  <c r="C676" i="8" s="1"/>
  <c r="C671" i="8"/>
  <c r="C677" i="8" s="1"/>
  <c r="C668" i="8"/>
  <c r="C674" i="8" s="1"/>
  <c r="C636" i="8"/>
  <c r="C642" i="8" s="1"/>
  <c r="C637" i="8"/>
  <c r="C643" i="8" s="1"/>
  <c r="C638" i="8"/>
  <c r="C644" i="8" s="1"/>
  <c r="C635" i="8"/>
  <c r="C641" i="8" s="1"/>
  <c r="C577" i="8"/>
  <c r="C581" i="8" s="1"/>
  <c r="C576" i="8"/>
  <c r="C580" i="8" s="1"/>
  <c r="E727" i="8"/>
  <c r="E726" i="8"/>
  <c r="C723" i="8"/>
  <c r="C727" i="8" s="1"/>
  <c r="C722" i="8"/>
  <c r="C726" i="8" s="1"/>
  <c r="E719" i="8"/>
  <c r="A1046" i="8"/>
  <c r="A965" i="8"/>
  <c r="A872" i="8"/>
  <c r="A777" i="8"/>
  <c r="A617" i="8"/>
  <c r="A526" i="8"/>
  <c r="A441" i="8"/>
  <c r="A363" i="8"/>
  <c r="A291" i="8"/>
  <c r="A206" i="8"/>
  <c r="A142" i="8"/>
  <c r="A409" i="3"/>
  <c r="A403" i="3"/>
  <c r="A401" i="3"/>
  <c r="H371" i="3"/>
  <c r="G371" i="3"/>
  <c r="F371" i="3"/>
  <c r="E371" i="3"/>
  <c r="D371" i="3"/>
  <c r="E366" i="3"/>
  <c r="F366" i="3"/>
  <c r="H1063" i="8" s="1"/>
  <c r="H305" i="8" s="1"/>
  <c r="G366" i="3"/>
  <c r="H366" i="3"/>
  <c r="D361" i="3"/>
  <c r="F1026" i="8" s="1"/>
  <c r="F274" i="8" s="1"/>
  <c r="E361" i="3"/>
  <c r="F361" i="3"/>
  <c r="G361" i="3"/>
  <c r="H356" i="3"/>
  <c r="J1009" i="8" s="1"/>
  <c r="G356" i="3"/>
  <c r="D356" i="3"/>
  <c r="F356" i="3"/>
  <c r="E356" i="3"/>
  <c r="A347" i="3"/>
  <c r="A341" i="3"/>
  <c r="A339" i="3"/>
  <c r="A255" i="3"/>
  <c r="A89" i="3"/>
  <c r="A249" i="3"/>
  <c r="A247" i="3"/>
  <c r="H204" i="3"/>
  <c r="H155" i="3"/>
  <c r="J750" i="8" s="1"/>
  <c r="A175" i="3"/>
  <c r="A176" i="3" s="1"/>
  <c r="A177" i="3" s="1"/>
  <c r="A178" i="3" s="1"/>
  <c r="A180" i="3" s="1"/>
  <c r="A181" i="3" s="1"/>
  <c r="A182" i="3" s="1"/>
  <c r="A183" i="3" s="1"/>
  <c r="A185" i="3" s="1"/>
  <c r="A186" i="3" s="1"/>
  <c r="A187" i="3" s="1"/>
  <c r="A188" i="3" s="1"/>
  <c r="A190" i="3" s="1"/>
  <c r="A191" i="3" s="1"/>
  <c r="A192" i="3" s="1"/>
  <c r="A193" i="3" s="1"/>
  <c r="A195" i="3" s="1"/>
  <c r="A196" i="3" s="1"/>
  <c r="A197" i="3" s="1"/>
  <c r="A198" i="3" s="1"/>
  <c r="A201" i="3" s="1"/>
  <c r="A202" i="3" s="1"/>
  <c r="A203" i="3" s="1"/>
  <c r="A204" i="3" s="1"/>
  <c r="A206" i="3" s="1"/>
  <c r="A207" i="3" s="1"/>
  <c r="A208" i="3" s="1"/>
  <c r="A209" i="3" s="1"/>
  <c r="A210" i="3" s="1"/>
  <c r="A211" i="3" s="1"/>
  <c r="A213" i="3" s="1"/>
  <c r="A214" i="3" s="1"/>
  <c r="A215" i="3" s="1"/>
  <c r="A216" i="3" s="1"/>
  <c r="A217" i="3" s="1"/>
  <c r="A219" i="3" s="1"/>
  <c r="A220" i="3" s="1"/>
  <c r="A221" i="3" s="1"/>
  <c r="A222" i="3" s="1"/>
  <c r="A223" i="3" s="1"/>
  <c r="A224" i="3" s="1"/>
  <c r="A226" i="3" s="1"/>
  <c r="A227" i="3" s="1"/>
  <c r="A228" i="3" s="1"/>
  <c r="A229" i="3" s="1"/>
  <c r="A230" i="3" s="1"/>
  <c r="A231" i="3" s="1"/>
  <c r="A233" i="3" s="1"/>
  <c r="A234" i="3" s="1"/>
  <c r="A235" i="3" s="1"/>
  <c r="A236" i="3" s="1"/>
  <c r="A237" i="3" s="1"/>
  <c r="A239" i="3" s="1"/>
  <c r="A240" i="3" s="1"/>
  <c r="A241" i="3" s="1"/>
  <c r="A242" i="3" s="1"/>
  <c r="A243" i="3" s="1"/>
  <c r="A244" i="3" s="1"/>
  <c r="D112" i="3"/>
  <c r="E112" i="3"/>
  <c r="G636" i="8" s="1"/>
  <c r="F112" i="3"/>
  <c r="G112" i="3"/>
  <c r="D78" i="3"/>
  <c r="E78" i="3"/>
  <c r="F78" i="3"/>
  <c r="G78" i="3"/>
  <c r="H78" i="3"/>
  <c r="D59" i="3"/>
  <c r="E59" i="3"/>
  <c r="F59" i="3"/>
  <c r="I559" i="8"/>
  <c r="I125" i="8" s="1"/>
  <c r="D54" i="3"/>
  <c r="E54" i="3"/>
  <c r="F54" i="3"/>
  <c r="G54" i="3"/>
  <c r="H54" i="3"/>
  <c r="D49" i="3"/>
  <c r="F49" i="3"/>
  <c r="H506" i="8" s="1"/>
  <c r="G49" i="3"/>
  <c r="H49" i="3"/>
  <c r="D44" i="3"/>
  <c r="E44" i="3"/>
  <c r="F44" i="3"/>
  <c r="H490" i="8" s="1"/>
  <c r="H44" i="3"/>
  <c r="J490" i="8" s="1"/>
  <c r="A83" i="3"/>
  <c r="A81" i="3"/>
  <c r="E39" i="3"/>
  <c r="F39" i="3"/>
  <c r="H474" i="8" s="1"/>
  <c r="G39" i="3"/>
  <c r="H39" i="3"/>
  <c r="E34" i="3"/>
  <c r="F34" i="3"/>
  <c r="E29" i="3"/>
  <c r="G29" i="3"/>
  <c r="H29" i="3"/>
  <c r="E24" i="3"/>
  <c r="F24" i="3"/>
  <c r="F54" i="22" s="1"/>
  <c r="G24" i="3"/>
  <c r="G54" i="22" s="1"/>
  <c r="A17" i="3"/>
  <c r="A18" i="3" s="1"/>
  <c r="A19" i="3" s="1"/>
  <c r="A21" i="3" s="1"/>
  <c r="A22" i="3" s="1"/>
  <c r="A23" i="3" s="1"/>
  <c r="A24" i="3" s="1"/>
  <c r="A26" i="3" s="1"/>
  <c r="A27" i="3" s="1"/>
  <c r="A28" i="3" s="1"/>
  <c r="A29" i="3" s="1"/>
  <c r="A31" i="3" s="1"/>
  <c r="A32" i="3" s="1"/>
  <c r="A33" i="3" s="1"/>
  <c r="A34" i="3" s="1"/>
  <c r="A36" i="3" s="1"/>
  <c r="A37" i="3" s="1"/>
  <c r="A38" i="3" s="1"/>
  <c r="A39" i="3" s="1"/>
  <c r="A41" i="3" s="1"/>
  <c r="A42" i="3" s="1"/>
  <c r="A43" i="3" s="1"/>
  <c r="A44" i="3" s="1"/>
  <c r="A46" i="3" s="1"/>
  <c r="A47" i="3" s="1"/>
  <c r="A48" i="3" s="1"/>
  <c r="A49" i="3" s="1"/>
  <c r="A51" i="3" s="1"/>
  <c r="A52" i="3" s="1"/>
  <c r="A53" i="3" s="1"/>
  <c r="A54" i="3" s="1"/>
  <c r="A56" i="3" s="1"/>
  <c r="A57" i="3" s="1"/>
  <c r="A58" i="3" s="1"/>
  <c r="A59" i="3" s="1"/>
  <c r="A61" i="3" s="1"/>
  <c r="A62" i="3" s="1"/>
  <c r="A63" i="3" s="1"/>
  <c r="A64" i="3" s="1"/>
  <c r="A66" i="3" s="1"/>
  <c r="A67" i="3" s="1"/>
  <c r="A68" i="3" s="1"/>
  <c r="A70" i="3" s="1"/>
  <c r="A71" i="3" s="1"/>
  <c r="A72" i="3" s="1"/>
  <c r="A73" i="3" s="1"/>
  <c r="A75" i="3" s="1"/>
  <c r="A76" i="3" s="1"/>
  <c r="A77" i="3" s="1"/>
  <c r="A78" i="3" s="1"/>
  <c r="F30" i="8"/>
  <c r="G30" i="8"/>
  <c r="H30" i="8"/>
  <c r="I30" i="8"/>
  <c r="J30" i="8"/>
  <c r="F31" i="8"/>
  <c r="G31" i="8"/>
  <c r="H31" i="8"/>
  <c r="I31" i="8"/>
  <c r="J31" i="8"/>
  <c r="F33" i="8"/>
  <c r="G33" i="8"/>
  <c r="H33" i="8"/>
  <c r="I33" i="8"/>
  <c r="J33" i="8"/>
  <c r="F34" i="8"/>
  <c r="G34" i="8"/>
  <c r="H34" i="8"/>
  <c r="I34" i="8"/>
  <c r="J34" i="8"/>
  <c r="A19" i="8"/>
  <c r="A20" i="8" s="1"/>
  <c r="A21" i="8" s="1"/>
  <c r="A22" i="8" s="1"/>
  <c r="A24" i="8" s="1"/>
  <c r="A26" i="8" s="1"/>
  <c r="A23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F335" i="8"/>
  <c r="G335" i="8"/>
  <c r="H335" i="8"/>
  <c r="I335" i="8"/>
  <c r="J335" i="8"/>
  <c r="F328" i="8"/>
  <c r="G328" i="8"/>
  <c r="H328" i="8"/>
  <c r="I328" i="8"/>
  <c r="J328" i="8"/>
  <c r="F321" i="8"/>
  <c r="G321" i="8"/>
  <c r="H321" i="8"/>
  <c r="I321" i="8"/>
  <c r="J321" i="8"/>
  <c r="F314" i="8"/>
  <c r="G314" i="8"/>
  <c r="H314" i="8"/>
  <c r="I314" i="8"/>
  <c r="J314" i="8"/>
  <c r="F307" i="8"/>
  <c r="G307" i="8"/>
  <c r="H307" i="8"/>
  <c r="I307" i="8"/>
  <c r="J307" i="8"/>
  <c r="F276" i="8"/>
  <c r="G276" i="8"/>
  <c r="H276" i="8"/>
  <c r="I276" i="8"/>
  <c r="J276" i="8"/>
  <c r="F269" i="8"/>
  <c r="G269" i="8"/>
  <c r="H269" i="8"/>
  <c r="I269" i="8"/>
  <c r="J269" i="8"/>
  <c r="F262" i="8"/>
  <c r="G262" i="8"/>
  <c r="H262" i="8"/>
  <c r="I262" i="8"/>
  <c r="J262" i="8"/>
  <c r="F255" i="8"/>
  <c r="G255" i="8"/>
  <c r="H255" i="8"/>
  <c r="I255" i="8"/>
  <c r="J255" i="8"/>
  <c r="F248" i="8"/>
  <c r="G248" i="8"/>
  <c r="H248" i="8"/>
  <c r="I248" i="8"/>
  <c r="J248" i="8"/>
  <c r="F241" i="8"/>
  <c r="G241" i="8"/>
  <c r="H241" i="8"/>
  <c r="I241" i="8"/>
  <c r="J241" i="8"/>
  <c r="F234" i="8"/>
  <c r="G234" i="8"/>
  <c r="H234" i="8"/>
  <c r="I234" i="8"/>
  <c r="J234" i="8"/>
  <c r="F227" i="8"/>
  <c r="G227" i="8"/>
  <c r="H227" i="8"/>
  <c r="I227" i="8"/>
  <c r="J227" i="8"/>
  <c r="F220" i="8"/>
  <c r="G220" i="8"/>
  <c r="H220" i="8"/>
  <c r="I220" i="8"/>
  <c r="J220" i="8"/>
  <c r="A216" i="8"/>
  <c r="A217" i="8" s="1"/>
  <c r="A218" i="8" s="1"/>
  <c r="A219" i="8" s="1"/>
  <c r="A220" i="8" s="1"/>
  <c r="A221" i="8" s="1"/>
  <c r="A223" i="8" s="1"/>
  <c r="A224" i="8" s="1"/>
  <c r="A225" i="8" s="1"/>
  <c r="A226" i="8" s="1"/>
  <c r="A227" i="8" s="1"/>
  <c r="A228" i="8" s="1"/>
  <c r="A230" i="8" s="1"/>
  <c r="A231" i="8" s="1"/>
  <c r="A232" i="8" s="1"/>
  <c r="A233" i="8" s="1"/>
  <c r="A234" i="8" s="1"/>
  <c r="A235" i="8" s="1"/>
  <c r="A237" i="8" s="1"/>
  <c r="A238" i="8" s="1"/>
  <c r="A239" i="8" s="1"/>
  <c r="A240" i="8" s="1"/>
  <c r="A241" i="8" s="1"/>
  <c r="A242" i="8" s="1"/>
  <c r="A244" i="8" s="1"/>
  <c r="A245" i="8" s="1"/>
  <c r="A246" i="8" s="1"/>
  <c r="A247" i="8" s="1"/>
  <c r="A248" i="8" s="1"/>
  <c r="A249" i="8" s="1"/>
  <c r="A251" i="8" s="1"/>
  <c r="A252" i="8" s="1"/>
  <c r="A253" i="8" s="1"/>
  <c r="A254" i="8" s="1"/>
  <c r="A255" i="8" s="1"/>
  <c r="A256" i="8" s="1"/>
  <c r="A258" i="8" s="1"/>
  <c r="A259" i="8" s="1"/>
  <c r="A260" i="8" s="1"/>
  <c r="A261" i="8" s="1"/>
  <c r="A262" i="8" s="1"/>
  <c r="A263" i="8" s="1"/>
  <c r="A265" i="8" s="1"/>
  <c r="A266" i="8" s="1"/>
  <c r="A267" i="8" s="1"/>
  <c r="A268" i="8" s="1"/>
  <c r="A269" i="8" s="1"/>
  <c r="A270" i="8" s="1"/>
  <c r="A272" i="8" s="1"/>
  <c r="A273" i="8" s="1"/>
  <c r="A274" i="8" s="1"/>
  <c r="A275" i="8" s="1"/>
  <c r="A276" i="8" s="1"/>
  <c r="A277" i="8" s="1"/>
  <c r="L206" i="8"/>
  <c r="A200" i="8"/>
  <c r="A198" i="8"/>
  <c r="A197" i="8"/>
  <c r="F163" i="8"/>
  <c r="G163" i="8"/>
  <c r="H163" i="8"/>
  <c r="I163" i="8"/>
  <c r="J163" i="8"/>
  <c r="F156" i="8"/>
  <c r="G156" i="8"/>
  <c r="H156" i="8"/>
  <c r="I156" i="8"/>
  <c r="J156" i="8"/>
  <c r="F127" i="8"/>
  <c r="G127" i="8"/>
  <c r="H127" i="8"/>
  <c r="I127" i="8"/>
  <c r="J127" i="8"/>
  <c r="L142" i="8"/>
  <c r="A136" i="8"/>
  <c r="A134" i="8"/>
  <c r="A133" i="8"/>
  <c r="F120" i="8"/>
  <c r="G120" i="8"/>
  <c r="H120" i="8"/>
  <c r="I120" i="8"/>
  <c r="J120" i="8"/>
  <c r="F113" i="8"/>
  <c r="G113" i="8"/>
  <c r="H113" i="8"/>
  <c r="I113" i="8"/>
  <c r="J113" i="8"/>
  <c r="F106" i="8"/>
  <c r="G106" i="8"/>
  <c r="H106" i="8"/>
  <c r="I106" i="8"/>
  <c r="J106" i="8"/>
  <c r="F99" i="8"/>
  <c r="G99" i="8"/>
  <c r="H99" i="8"/>
  <c r="I99" i="8"/>
  <c r="J99" i="8"/>
  <c r="F92" i="8"/>
  <c r="G92" i="8"/>
  <c r="H92" i="8"/>
  <c r="I92" i="8"/>
  <c r="J92" i="8"/>
  <c r="A375" i="8"/>
  <c r="A377" i="8" s="1"/>
  <c r="A378" i="8" s="1"/>
  <c r="E632" i="8"/>
  <c r="E641" i="8"/>
  <c r="E642" i="8"/>
  <c r="E643" i="8"/>
  <c r="E644" i="8"/>
  <c r="E748" i="8"/>
  <c r="E751" i="8"/>
  <c r="E886" i="8"/>
  <c r="E894" i="8"/>
  <c r="E895" i="8"/>
  <c r="E1138" i="8"/>
  <c r="E1145" i="8"/>
  <c r="E1146" i="8"/>
  <c r="E378" i="8"/>
  <c r="E381" i="8"/>
  <c r="E933" i="8"/>
  <c r="E942" i="8"/>
  <c r="E943" i="8"/>
  <c r="E944" i="8"/>
  <c r="E945" i="8"/>
  <c r="E1007" i="8"/>
  <c r="E1010" i="8"/>
  <c r="B1056" i="8"/>
  <c r="B1133" i="8"/>
  <c r="A14" i="15"/>
  <c r="A15" i="15" s="1"/>
  <c r="A17" i="15" s="1"/>
  <c r="A18" i="15" s="1"/>
  <c r="A20" i="15" s="1"/>
  <c r="E472" i="8"/>
  <c r="E475" i="8"/>
  <c r="E557" i="8"/>
  <c r="E560" i="8"/>
  <c r="E1024" i="8"/>
  <c r="E1027" i="8"/>
  <c r="E1061" i="8"/>
  <c r="E1064" i="8"/>
  <c r="E1078" i="8"/>
  <c r="E1081" i="8"/>
  <c r="E1095" i="8"/>
  <c r="E1102" i="8"/>
  <c r="E1103" i="8"/>
  <c r="E1160" i="8"/>
  <c r="E1167" i="8"/>
  <c r="E1168" i="8"/>
  <c r="A977" i="8"/>
  <c r="A979" i="8" s="1"/>
  <c r="A980" i="8" s="1"/>
  <c r="A982" i="8" s="1"/>
  <c r="A883" i="8"/>
  <c r="A885" i="8" s="1"/>
  <c r="A886" i="8" s="1"/>
  <c r="A888" i="8" s="1"/>
  <c r="A789" i="8"/>
  <c r="A791" i="8" s="1"/>
  <c r="A792" i="8" s="1"/>
  <c r="A67" i="8"/>
  <c r="A68" i="8" s="1"/>
  <c r="A69" i="8" s="1"/>
  <c r="A70" i="8" s="1"/>
  <c r="A71" i="8" s="1"/>
  <c r="A72" i="8" s="1"/>
  <c r="A74" i="8" s="1"/>
  <c r="A75" i="8" s="1"/>
  <c r="A76" i="8" s="1"/>
  <c r="A77" i="8" s="1"/>
  <c r="A78" i="8" s="1"/>
  <c r="A79" i="8" s="1"/>
  <c r="A81" i="8" s="1"/>
  <c r="A82" i="8" s="1"/>
  <c r="A83" i="8" s="1"/>
  <c r="A84" i="8" s="1"/>
  <c r="A85" i="8" s="1"/>
  <c r="A86" i="8" s="1"/>
  <c r="A88" i="8" s="1"/>
  <c r="A89" i="8" s="1"/>
  <c r="A90" i="8" s="1"/>
  <c r="A91" i="8" s="1"/>
  <c r="A92" i="8" s="1"/>
  <c r="A93" i="8" s="1"/>
  <c r="A95" i="8" s="1"/>
  <c r="A96" i="8" s="1"/>
  <c r="A97" i="8" s="1"/>
  <c r="A98" i="8" s="1"/>
  <c r="A99" i="8" s="1"/>
  <c r="A100" i="8" s="1"/>
  <c r="A102" i="8" s="1"/>
  <c r="A103" i="8" s="1"/>
  <c r="A104" i="8" s="1"/>
  <c r="A105" i="8" s="1"/>
  <c r="A106" i="8" s="1"/>
  <c r="A107" i="8" s="1"/>
  <c r="A109" i="8" s="1"/>
  <c r="A110" i="8" s="1"/>
  <c r="A111" i="8" s="1"/>
  <c r="A112" i="8" s="1"/>
  <c r="A113" i="8" s="1"/>
  <c r="A114" i="8" s="1"/>
  <c r="A116" i="8" s="1"/>
  <c r="A117" i="8" s="1"/>
  <c r="A118" i="8" s="1"/>
  <c r="A119" i="8" s="1"/>
  <c r="A120" i="8" s="1"/>
  <c r="A121" i="8" s="1"/>
  <c r="A123" i="8" s="1"/>
  <c r="A124" i="8" s="1"/>
  <c r="A125" i="8" s="1"/>
  <c r="A126" i="8" s="1"/>
  <c r="A127" i="8" s="1"/>
  <c r="A128" i="8" s="1"/>
  <c r="A629" i="8"/>
  <c r="A631" i="8" s="1"/>
  <c r="A632" i="8" s="1"/>
  <c r="A1135" i="8"/>
  <c r="A1137" i="8" s="1"/>
  <c r="A1138" i="8" s="1"/>
  <c r="A1140" i="8" s="1"/>
  <c r="A1058" i="8"/>
  <c r="A1060" i="8" s="1"/>
  <c r="A1061" i="8" s="1"/>
  <c r="E507" i="8"/>
  <c r="E491" i="8"/>
  <c r="E459" i="8"/>
  <c r="A1" i="3"/>
  <c r="A3" i="3"/>
  <c r="A1" i="5"/>
  <c r="A3" i="5"/>
  <c r="A1" i="15"/>
  <c r="A3" i="15"/>
  <c r="AC92" i="1"/>
  <c r="B590" i="8"/>
  <c r="B499" i="8"/>
  <c r="B483" i="8"/>
  <c r="E598" i="8"/>
  <c r="E595" i="8"/>
  <c r="E581" i="8"/>
  <c r="E580" i="8"/>
  <c r="E573" i="8"/>
  <c r="E544" i="8"/>
  <c r="E541" i="8"/>
  <c r="E504" i="8"/>
  <c r="E488" i="8"/>
  <c r="E456" i="8"/>
  <c r="E419" i="8"/>
  <c r="E403" i="8"/>
  <c r="A1040" i="8"/>
  <c r="L1046" i="8"/>
  <c r="A1038" i="8"/>
  <c r="A1037" i="8"/>
  <c r="A959" i="8"/>
  <c r="L965" i="8"/>
  <c r="A957" i="8"/>
  <c r="A956" i="8"/>
  <c r="A866" i="8"/>
  <c r="L872" i="8"/>
  <c r="A864" i="8"/>
  <c r="A863" i="8"/>
  <c r="A771" i="8"/>
  <c r="L777" i="8"/>
  <c r="A769" i="8"/>
  <c r="A768" i="8"/>
  <c r="A745" i="8"/>
  <c r="A747" i="8" s="1"/>
  <c r="A748" i="8" s="1"/>
  <c r="A611" i="8"/>
  <c r="L617" i="8"/>
  <c r="A609" i="8"/>
  <c r="A608" i="8"/>
  <c r="A538" i="8"/>
  <c r="A540" i="8" s="1"/>
  <c r="A541" i="8" s="1"/>
  <c r="A543" i="8" s="1"/>
  <c r="A544" i="8" s="1"/>
  <c r="A545" i="8" s="1"/>
  <c r="A547" i="8" s="1"/>
  <c r="A549" i="8" s="1"/>
  <c r="A552" i="8" s="1"/>
  <c r="A554" i="8" s="1"/>
  <c r="A556" i="8" s="1"/>
  <c r="A557" i="8" s="1"/>
  <c r="A559" i="8" s="1"/>
  <c r="A560" i="8" s="1"/>
  <c r="A561" i="8" s="1"/>
  <c r="A563" i="8" s="1"/>
  <c r="A565" i="8" s="1"/>
  <c r="A568" i="8" s="1"/>
  <c r="A570" i="8" s="1"/>
  <c r="A572" i="8" s="1"/>
  <c r="A573" i="8" s="1"/>
  <c r="A575" i="8" s="1"/>
  <c r="A576" i="8" s="1"/>
  <c r="A577" i="8" s="1"/>
  <c r="A579" i="8" s="1"/>
  <c r="A580" i="8" s="1"/>
  <c r="A581" i="8" s="1"/>
  <c r="A583" i="8" s="1"/>
  <c r="A585" i="8" s="1"/>
  <c r="A587" i="8" s="1"/>
  <c r="A590" i="8" s="1"/>
  <c r="A592" i="8" s="1"/>
  <c r="A594" i="8" s="1"/>
  <c r="A595" i="8" s="1"/>
  <c r="A597" i="8" s="1"/>
  <c r="A598" i="8" s="1"/>
  <c r="A599" i="8" s="1"/>
  <c r="A601" i="8" s="1"/>
  <c r="A603" i="8" s="1"/>
  <c r="A520" i="8"/>
  <c r="L526" i="8"/>
  <c r="A518" i="8"/>
  <c r="A517" i="8"/>
  <c r="A453" i="8"/>
  <c r="A455" i="8" s="1"/>
  <c r="A456" i="8" s="1"/>
  <c r="A458" i="8" s="1"/>
  <c r="A459" i="8" s="1"/>
  <c r="A460" i="8" s="1"/>
  <c r="A435" i="8"/>
  <c r="L441" i="8"/>
  <c r="A433" i="8"/>
  <c r="A432" i="8"/>
  <c r="A357" i="8"/>
  <c r="L363" i="8"/>
  <c r="A355" i="8"/>
  <c r="A354" i="8"/>
  <c r="A285" i="8"/>
  <c r="L291" i="8"/>
  <c r="A283" i="8"/>
  <c r="A282" i="8"/>
  <c r="L57" i="8"/>
  <c r="A49" i="8"/>
  <c r="A48" i="8"/>
  <c r="A51" i="8"/>
  <c r="E114" i="3"/>
  <c r="H113" i="3"/>
  <c r="D113" i="3"/>
  <c r="H114" i="3"/>
  <c r="D114" i="3"/>
  <c r="G113" i="3"/>
  <c r="G114" i="3"/>
  <c r="I638" i="8" s="1"/>
  <c r="F114" i="3"/>
  <c r="H638" i="8" s="1"/>
  <c r="F34" i="5"/>
  <c r="E111" i="3"/>
  <c r="E34" i="5"/>
  <c r="H111" i="3"/>
  <c r="H34" i="5"/>
  <c r="D34" i="5"/>
  <c r="G34" i="5"/>
  <c r="D103" i="3"/>
  <c r="D181" i="3" s="1"/>
  <c r="E103" i="3"/>
  <c r="E181" i="3" s="1"/>
  <c r="F103" i="3"/>
  <c r="F181" i="3" s="1"/>
  <c r="G103" i="3"/>
  <c r="G181" i="3" s="1"/>
  <c r="H103" i="3"/>
  <c r="H181" i="3" s="1"/>
  <c r="H230" i="2"/>
  <c r="J979" i="8" s="1"/>
  <c r="J259" i="8" s="1"/>
  <c r="D366" i="3"/>
  <c r="F1063" i="8" s="1"/>
  <c r="E49" i="3"/>
  <c r="H24" i="3"/>
  <c r="E204" i="3"/>
  <c r="G794" i="8" s="1"/>
  <c r="H361" i="3"/>
  <c r="J1026" i="8" s="1"/>
  <c r="J274" i="8" s="1"/>
  <c r="H34" i="3"/>
  <c r="J458" i="8" s="1"/>
  <c r="F155" i="3"/>
  <c r="H750" i="8" s="1"/>
  <c r="D204" i="3"/>
  <c r="G34" i="3"/>
  <c r="F29" i="3"/>
  <c r="D29" i="3"/>
  <c r="D48" i="22" s="1"/>
  <c r="G155" i="3"/>
  <c r="G44" i="3"/>
  <c r="I490" i="8" s="1"/>
  <c r="D34" i="3"/>
  <c r="D230" i="2"/>
  <c r="G230" i="2"/>
  <c r="I979" i="8" s="1"/>
  <c r="F230" i="2"/>
  <c r="E230" i="2"/>
  <c r="G204" i="3"/>
  <c r="D155" i="3"/>
  <c r="F204" i="3"/>
  <c r="E155" i="3"/>
  <c r="H20" i="2"/>
  <c r="D39" i="3"/>
  <c r="D24" i="3"/>
  <c r="D54" i="22" s="1"/>
  <c r="F20" i="2"/>
  <c r="J18" i="2"/>
  <c r="F19" i="3"/>
  <c r="F18" i="22" s="1"/>
  <c r="D19" i="3"/>
  <c r="E19" i="3"/>
  <c r="G380" i="8" s="1"/>
  <c r="G19" i="3"/>
  <c r="I148" i="2"/>
  <c r="H44" i="21"/>
  <c r="H65" i="21" s="1"/>
  <c r="H26" i="21"/>
  <c r="H57" i="21" s="1"/>
  <c r="I19" i="3"/>
  <c r="H19" i="3"/>
  <c r="H18" i="22" s="1"/>
  <c r="G20" i="2"/>
  <c r="E20" i="2"/>
  <c r="A98" i="3"/>
  <c r="A99" i="3" s="1"/>
  <c r="A100" i="3" s="1"/>
  <c r="A101" i="3" s="1"/>
  <c r="A102" i="3" s="1"/>
  <c r="A104" i="3" s="1"/>
  <c r="A105" i="3" s="1"/>
  <c r="A106" i="3" s="1"/>
  <c r="A107" i="3" s="1"/>
  <c r="A108" i="3" s="1"/>
  <c r="A110" i="3" s="1"/>
  <c r="A111" i="3" s="1"/>
  <c r="A112" i="3" s="1"/>
  <c r="A113" i="3" s="1"/>
  <c r="A114" i="3" s="1"/>
  <c r="A115" i="3" s="1"/>
  <c r="A117" i="3" s="1"/>
  <c r="A118" i="3" s="1"/>
  <c r="A119" i="3" s="1"/>
  <c r="A120" i="3" s="1"/>
  <c r="A121" i="3" s="1"/>
  <c r="A122" i="3" s="1"/>
  <c r="A124" i="3" s="1"/>
  <c r="A125" i="3" s="1"/>
  <c r="A126" i="3" s="1"/>
  <c r="A127" i="3" s="1"/>
  <c r="A128" i="3" s="1"/>
  <c r="A130" i="3" s="1"/>
  <c r="A131" i="3" s="1"/>
  <c r="A132" i="3" s="1"/>
  <c r="A133" i="3" s="1"/>
  <c r="A134" i="3" s="1"/>
  <c r="A135" i="3" s="1"/>
  <c r="A137" i="3" s="1"/>
  <c r="A138" i="3" s="1"/>
  <c r="A139" i="3" s="1"/>
  <c r="A259" i="2"/>
  <c r="A260" i="2" s="1"/>
  <c r="A261" i="2" s="1"/>
  <c r="A262" i="2" s="1"/>
  <c r="A264" i="2" s="1"/>
  <c r="A265" i="2" s="1"/>
  <c r="A266" i="2" s="1"/>
  <c r="A267" i="2" s="1"/>
  <c r="A268" i="2" s="1"/>
  <c r="A270" i="2" s="1"/>
  <c r="A271" i="2" s="1"/>
  <c r="A272" i="2" s="1"/>
  <c r="A273" i="2" s="1"/>
  <c r="A274" i="2" s="1"/>
  <c r="A276" i="2" s="1"/>
  <c r="A277" i="2" s="1"/>
  <c r="A278" i="2" s="1"/>
  <c r="A279" i="2" s="1"/>
  <c r="A280" i="2" s="1"/>
  <c r="A282" i="2" s="1"/>
  <c r="A283" i="2" s="1"/>
  <c r="A284" i="2" s="1"/>
  <c r="A285" i="2" s="1"/>
  <c r="A286" i="2" s="1"/>
  <c r="A288" i="2" s="1"/>
  <c r="A289" i="2" s="1"/>
  <c r="A290" i="2" s="1"/>
  <c r="A291" i="2" s="1"/>
  <c r="A292" i="2" s="1"/>
  <c r="A84" i="2"/>
  <c r="A85" i="2" s="1"/>
  <c r="A86" i="2" s="1"/>
  <c r="A87" i="2" s="1"/>
  <c r="A89" i="2" s="1"/>
  <c r="A90" i="2" s="1"/>
  <c r="A91" i="2" s="1"/>
  <c r="A92" i="2" s="1"/>
  <c r="A93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7" i="2" s="1"/>
  <c r="A108" i="2" s="1"/>
  <c r="A109" i="2" s="1"/>
  <c r="A110" i="2" s="1"/>
  <c r="A111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46" i="2"/>
  <c r="A147" i="2" s="1"/>
  <c r="A148" i="2" s="1"/>
  <c r="A149" i="2" s="1"/>
  <c r="A150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063" i="8" l="1"/>
  <c r="A1064" i="8" s="1"/>
  <c r="A1066" i="8" s="1"/>
  <c r="A1068" i="8" s="1"/>
  <c r="A1070" i="8" s="1"/>
  <c r="A1073" i="8" s="1"/>
  <c r="A1075" i="8" s="1"/>
  <c r="A1077" i="8" s="1"/>
  <c r="A1078" i="8" s="1"/>
  <c r="A23" i="21"/>
  <c r="A24" i="21" s="1"/>
  <c r="A26" i="21" s="1"/>
  <c r="A28" i="21" s="1"/>
  <c r="A30" i="21" s="1"/>
  <c r="A33" i="21" s="1"/>
  <c r="A35" i="21" s="1"/>
  <c r="A36" i="21" s="1"/>
  <c r="A37" i="21" s="1"/>
  <c r="A38" i="21" s="1"/>
  <c r="A39" i="21" s="1"/>
  <c r="A40" i="21" s="1"/>
  <c r="A1141" i="8"/>
  <c r="A1142" i="8" s="1"/>
  <c r="A1144" i="8" s="1"/>
  <c r="A1145" i="8" s="1"/>
  <c r="A1146" i="8" s="1"/>
  <c r="A1149" i="8" s="1"/>
  <c r="F266" i="8"/>
  <c r="J266" i="8"/>
  <c r="A983" i="8"/>
  <c r="A984" i="8" s="1"/>
  <c r="A985" i="8" s="1"/>
  <c r="A986" i="8" s="1"/>
  <c r="A988" i="8" s="1"/>
  <c r="A989" i="8" s="1"/>
  <c r="A990" i="8" s="1"/>
  <c r="A991" i="8" s="1"/>
  <c r="A992" i="8" s="1"/>
  <c r="A889" i="8"/>
  <c r="A890" i="8" s="1"/>
  <c r="A891" i="8" s="1"/>
  <c r="A893" i="8" s="1"/>
  <c r="A894" i="8" s="1"/>
  <c r="A895" i="8" s="1"/>
  <c r="A794" i="8"/>
  <c r="A795" i="8" s="1"/>
  <c r="A750" i="8"/>
  <c r="A751" i="8" s="1"/>
  <c r="A634" i="8"/>
  <c r="A635" i="8" s="1"/>
  <c r="A636" i="8" s="1"/>
  <c r="A637" i="8" s="1"/>
  <c r="A638" i="8" s="1"/>
  <c r="A640" i="8" s="1"/>
  <c r="A641" i="8" s="1"/>
  <c r="A642" i="8" s="1"/>
  <c r="A643" i="8" s="1"/>
  <c r="A644" i="8" s="1"/>
  <c r="A380" i="8"/>
  <c r="A381" i="8" s="1"/>
  <c r="C349" i="2"/>
  <c r="E349" i="2" s="1"/>
  <c r="H171" i="2"/>
  <c r="F173" i="2"/>
  <c r="A49" i="5"/>
  <c r="A50" i="5" s="1"/>
  <c r="A51" i="5" s="1"/>
  <c r="A46" i="5"/>
  <c r="A47" i="5" s="1"/>
  <c r="A143" i="3"/>
  <c r="A144" i="3" s="1"/>
  <c r="A145" i="3" s="1"/>
  <c r="A147" i="3" s="1"/>
  <c r="A148" i="3" s="1"/>
  <c r="A149" i="3" s="1"/>
  <c r="A150" i="3" s="1"/>
  <c r="A140" i="3"/>
  <c r="A141" i="3" s="1"/>
  <c r="A266" i="3"/>
  <c r="A268" i="3" s="1"/>
  <c r="A269" i="3" s="1"/>
  <c r="A270" i="3" s="1"/>
  <c r="A271" i="3" s="1"/>
  <c r="A273" i="3" s="1"/>
  <c r="A274" i="3" s="1"/>
  <c r="A275" i="3" s="1"/>
  <c r="E173" i="2"/>
  <c r="D173" i="2"/>
  <c r="J59" i="3"/>
  <c r="E171" i="2"/>
  <c r="C345" i="2"/>
  <c r="E345" i="2" s="1"/>
  <c r="F171" i="2"/>
  <c r="I171" i="2"/>
  <c r="G171" i="2"/>
  <c r="J267" i="8"/>
  <c r="D30" i="21"/>
  <c r="H111" i="8"/>
  <c r="I104" i="8"/>
  <c r="J104" i="8"/>
  <c r="H104" i="8"/>
  <c r="H97" i="8"/>
  <c r="K97" i="8"/>
  <c r="A462" i="8"/>
  <c r="A464" i="8" s="1"/>
  <c r="A467" i="8" s="1"/>
  <c r="A469" i="8" s="1"/>
  <c r="A471" i="8" s="1"/>
  <c r="A472" i="8" s="1"/>
  <c r="A474" i="8" s="1"/>
  <c r="A475" i="8" s="1"/>
  <c r="A476" i="8" s="1"/>
  <c r="J90" i="8"/>
  <c r="H30" i="21"/>
  <c r="F30" i="21"/>
  <c r="I217" i="8"/>
  <c r="I805" i="8"/>
  <c r="K217" i="8"/>
  <c r="K805" i="8"/>
  <c r="H189" i="8"/>
  <c r="K39" i="21" s="1"/>
  <c r="G69" i="8"/>
  <c r="G381" i="8"/>
  <c r="A52" i="5"/>
  <c r="A54" i="5" s="1"/>
  <c r="A21" i="15"/>
  <c r="A23" i="15" s="1"/>
  <c r="A24" i="15" s="1"/>
  <c r="A25" i="15" s="1"/>
  <c r="A26" i="15" s="1"/>
  <c r="A28" i="15" s="1"/>
  <c r="A29" i="15" s="1"/>
  <c r="A31" i="15" s="1"/>
  <c r="A32" i="15" s="1"/>
  <c r="A33" i="15" s="1"/>
  <c r="A34" i="15" s="1"/>
  <c r="E26" i="21"/>
  <c r="E57" i="21" s="1"/>
  <c r="P465" i="3"/>
  <c r="A430" i="8"/>
  <c r="L31" i="8"/>
  <c r="L241" i="8"/>
  <c r="L127" i="8"/>
  <c r="L255" i="8"/>
  <c r="L106" i="8"/>
  <c r="L32" i="8"/>
  <c r="A766" i="8"/>
  <c r="L269" i="8"/>
  <c r="L156" i="8"/>
  <c r="L335" i="8"/>
  <c r="L113" i="8"/>
  <c r="L163" i="8"/>
  <c r="L30" i="8"/>
  <c r="L314" i="8"/>
  <c r="L92" i="8"/>
  <c r="L99" i="8"/>
  <c r="L346" i="8"/>
  <c r="L120" i="8"/>
  <c r="L234" i="8"/>
  <c r="L248" i="8"/>
  <c r="L276" i="8"/>
  <c r="L307" i="8"/>
  <c r="L321" i="8"/>
  <c r="L328" i="8"/>
  <c r="A862" i="8"/>
  <c r="A693" i="8"/>
  <c r="L34" i="8"/>
  <c r="L33" i="8"/>
  <c r="L345" i="8"/>
  <c r="G795" i="8"/>
  <c r="L220" i="8"/>
  <c r="L227" i="8"/>
  <c r="L262" i="8"/>
  <c r="A1178" i="8"/>
  <c r="G727" i="8"/>
  <c r="D109" i="2"/>
  <c r="D160" i="2" s="1"/>
  <c r="J20" i="5"/>
  <c r="G47" i="5"/>
  <c r="F41" i="5"/>
  <c r="G109" i="2"/>
  <c r="G160" i="2" s="1"/>
  <c r="J34" i="5"/>
  <c r="D41" i="5"/>
  <c r="E109" i="2"/>
  <c r="E111" i="2" s="1"/>
  <c r="G664" i="8" s="1"/>
  <c r="E47" i="5"/>
  <c r="J51" i="5"/>
  <c r="J22" i="5"/>
  <c r="J40" i="5"/>
  <c r="E287" i="3"/>
  <c r="E292" i="3" s="1"/>
  <c r="G914" i="8" s="1"/>
  <c r="G916" i="8" s="1"/>
  <c r="F47" i="5"/>
  <c r="H47" i="5"/>
  <c r="I47" i="5"/>
  <c r="E41" i="5"/>
  <c r="J50" i="5"/>
  <c r="J52" i="5" s="1"/>
  <c r="H331" i="3"/>
  <c r="J984" i="8" s="1"/>
  <c r="J990" i="8" s="1"/>
  <c r="J37" i="5"/>
  <c r="J39" i="5"/>
  <c r="J38" i="5"/>
  <c r="G41" i="5"/>
  <c r="E23" i="5"/>
  <c r="E25" i="5" s="1"/>
  <c r="G212" i="2"/>
  <c r="E212" i="2"/>
  <c r="G885" i="8" s="1"/>
  <c r="G886" i="8" s="1"/>
  <c r="D23" i="5"/>
  <c r="D25" i="5" s="1"/>
  <c r="F212" i="2"/>
  <c r="H885" i="8" s="1"/>
  <c r="I41" i="5"/>
  <c r="D47" i="5"/>
  <c r="F23" i="5"/>
  <c r="F25" i="5" s="1"/>
  <c r="H41" i="5"/>
  <c r="J21" i="5"/>
  <c r="A515" i="8"/>
  <c r="A954" i="8"/>
  <c r="A606" i="8"/>
  <c r="A1036" i="8"/>
  <c r="A152" i="3"/>
  <c r="A153" i="3" s="1"/>
  <c r="A154" i="3" s="1"/>
  <c r="A155" i="3" s="1"/>
  <c r="I133" i="3"/>
  <c r="I847" i="8"/>
  <c r="E54" i="22"/>
  <c r="G405" i="8"/>
  <c r="G76" i="8" s="1"/>
  <c r="I985" i="8"/>
  <c r="I991" i="8" s="1"/>
  <c r="K576" i="8"/>
  <c r="K580" i="8" s="1"/>
  <c r="F986" i="8"/>
  <c r="F992" i="8" s="1"/>
  <c r="F723" i="8"/>
  <c r="F727" i="8" s="1"/>
  <c r="F844" i="8"/>
  <c r="F850" i="8" s="1"/>
  <c r="H577" i="8"/>
  <c r="H581" i="8" s="1"/>
  <c r="H938" i="8"/>
  <c r="H944" i="8" s="1"/>
  <c r="F636" i="8"/>
  <c r="F642" i="8" s="1"/>
  <c r="G18" i="22"/>
  <c r="J889" i="8"/>
  <c r="H636" i="8"/>
  <c r="H642" i="8" s="1"/>
  <c r="K635" i="8"/>
  <c r="K641" i="8" s="1"/>
  <c r="G109" i="3"/>
  <c r="H244" i="3"/>
  <c r="F277" i="3"/>
  <c r="J543" i="8"/>
  <c r="J118" i="8" s="1"/>
  <c r="E224" i="3"/>
  <c r="G218" i="8"/>
  <c r="K937" i="8"/>
  <c r="K943" i="8" s="1"/>
  <c r="J722" i="8"/>
  <c r="H576" i="8"/>
  <c r="G986" i="8"/>
  <c r="G992" i="8" s="1"/>
  <c r="F224" i="3"/>
  <c r="F405" i="8"/>
  <c r="I794" i="8"/>
  <c r="F818" i="8"/>
  <c r="F824" i="8" s="1"/>
  <c r="H794" i="8"/>
  <c r="I123" i="3"/>
  <c r="I186" i="3" s="1"/>
  <c r="I196" i="3" s="1"/>
  <c r="G577" i="8"/>
  <c r="G581" i="8" s="1"/>
  <c r="H844" i="8"/>
  <c r="H850" i="8" s="1"/>
  <c r="G133" i="3"/>
  <c r="I670" i="8" s="1"/>
  <c r="H939" i="8"/>
  <c r="H945" i="8" s="1"/>
  <c r="I983" i="8"/>
  <c r="I989" i="8" s="1"/>
  <c r="E131" i="3"/>
  <c r="G668" i="8" s="1"/>
  <c r="I636" i="8"/>
  <c r="I642" i="8" s="1"/>
  <c r="F73" i="3"/>
  <c r="E18" i="22"/>
  <c r="K847" i="8"/>
  <c r="J846" i="8"/>
  <c r="F42" i="22"/>
  <c r="G490" i="8"/>
  <c r="J597" i="8"/>
  <c r="J161" i="8" s="1"/>
  <c r="I1026" i="8"/>
  <c r="I274" i="8" s="1"/>
  <c r="J818" i="8"/>
  <c r="J824" i="8" s="1"/>
  <c r="D150" i="3"/>
  <c r="D36" i="22" s="1"/>
  <c r="I380" i="8"/>
  <c r="J820" i="8"/>
  <c r="J826" i="8" s="1"/>
  <c r="F150" i="3"/>
  <c r="F36" i="22" s="1"/>
  <c r="E150" i="3"/>
  <c r="E36" i="22" s="1"/>
  <c r="J380" i="8"/>
  <c r="E73" i="3"/>
  <c r="G421" i="8"/>
  <c r="G422" i="8" s="1"/>
  <c r="H178" i="3"/>
  <c r="G1141" i="8"/>
  <c r="G1145" i="8" s="1"/>
  <c r="H73" i="3"/>
  <c r="J1099" i="8"/>
  <c r="J1103" i="8" s="1"/>
  <c r="I1009" i="8"/>
  <c r="G638" i="8"/>
  <c r="G644" i="8" s="1"/>
  <c r="I1063" i="8"/>
  <c r="I305" i="8" s="1"/>
  <c r="F983" i="8"/>
  <c r="F989" i="8" s="1"/>
  <c r="G576" i="8"/>
  <c r="G580" i="8" s="1"/>
  <c r="K846" i="8"/>
  <c r="H380" i="8"/>
  <c r="K405" i="8"/>
  <c r="K76" i="8" s="1"/>
  <c r="J723" i="8"/>
  <c r="G543" i="8"/>
  <c r="I1099" i="8"/>
  <c r="I1103" i="8" s="1"/>
  <c r="I506" i="8"/>
  <c r="H277" i="3"/>
  <c r="G438" i="3"/>
  <c r="J191" i="3"/>
  <c r="K794" i="8"/>
  <c r="I73" i="3"/>
  <c r="H985" i="8"/>
  <c r="H991" i="8" s="1"/>
  <c r="I845" i="8"/>
  <c r="H224" i="3"/>
  <c r="D224" i="3"/>
  <c r="D132" i="3"/>
  <c r="E134" i="3"/>
  <c r="G671" i="8" s="1"/>
  <c r="G677" i="8" s="1"/>
  <c r="H42" i="22"/>
  <c r="J474" i="8"/>
  <c r="I846" i="8"/>
  <c r="D73" i="3"/>
  <c r="H1165" i="8"/>
  <c r="H333" i="8" s="1"/>
  <c r="D134" i="3"/>
  <c r="F671" i="8" s="1"/>
  <c r="F677" i="8" s="1"/>
  <c r="I193" i="3"/>
  <c r="I443" i="3"/>
  <c r="I428" i="3"/>
  <c r="H132" i="3"/>
  <c r="J669" i="8" s="1"/>
  <c r="J675" i="8" s="1"/>
  <c r="E328" i="3"/>
  <c r="E334" i="3" s="1"/>
  <c r="J635" i="8"/>
  <c r="J641" i="8" s="1"/>
  <c r="K821" i="8"/>
  <c r="K827" i="8" s="1"/>
  <c r="K1063" i="8"/>
  <c r="K305" i="8" s="1"/>
  <c r="K559" i="8"/>
  <c r="K125" i="8" s="1"/>
  <c r="K1142" i="8"/>
  <c r="I458" i="8"/>
  <c r="K1098" i="8"/>
  <c r="K1102" i="8" s="1"/>
  <c r="I819" i="8"/>
  <c r="I825" i="8" s="1"/>
  <c r="E330" i="3"/>
  <c r="G983" i="8" s="1"/>
  <c r="G989" i="8" s="1"/>
  <c r="K1009" i="8"/>
  <c r="F421" i="8"/>
  <c r="J29" i="3"/>
  <c r="I474" i="8"/>
  <c r="G559" i="8"/>
  <c r="G125" i="8" s="1"/>
  <c r="F597" i="8"/>
  <c r="F161" i="8" s="1"/>
  <c r="H847" i="8"/>
  <c r="G846" i="8"/>
  <c r="J845" i="8"/>
  <c r="I844" i="8"/>
  <c r="J890" i="8"/>
  <c r="K1099" i="8"/>
  <c r="K1103" i="8" s="1"/>
  <c r="K983" i="8"/>
  <c r="K989" i="8" s="1"/>
  <c r="H1098" i="8"/>
  <c r="H1102" i="8" s="1"/>
  <c r="G820" i="8"/>
  <c r="G826" i="8" s="1"/>
  <c r="J819" i="8"/>
  <c r="J825" i="8" s="1"/>
  <c r="J983" i="8"/>
  <c r="J989" i="8" s="1"/>
  <c r="G224" i="3"/>
  <c r="H914" i="8"/>
  <c r="H919" i="8" s="1"/>
  <c r="I131" i="3"/>
  <c r="J937" i="8"/>
  <c r="J943" i="8" s="1"/>
  <c r="G938" i="8"/>
  <c r="G944" i="8" s="1"/>
  <c r="I289" i="3"/>
  <c r="I294" i="3" s="1"/>
  <c r="D178" i="3"/>
  <c r="F794" i="8"/>
  <c r="F820" i="8"/>
  <c r="F826" i="8" s="1"/>
  <c r="J637" i="8"/>
  <c r="J643" i="8" s="1"/>
  <c r="G458" i="8"/>
  <c r="F490" i="8"/>
  <c r="H543" i="8"/>
  <c r="I224" i="3"/>
  <c r="I277" i="3"/>
  <c r="K1026" i="8"/>
  <c r="K274" i="8" s="1"/>
  <c r="K543" i="8"/>
  <c r="K118" i="8" s="1"/>
  <c r="F846" i="8"/>
  <c r="I890" i="8"/>
  <c r="I892" i="8" s="1"/>
  <c r="E178" i="3"/>
  <c r="H150" i="3"/>
  <c r="H36" i="22" s="1"/>
  <c r="G150" i="3"/>
  <c r="G36" i="22" s="1"/>
  <c r="G385" i="3"/>
  <c r="H438" i="3"/>
  <c r="F385" i="3"/>
  <c r="E385" i="3"/>
  <c r="H399" i="3"/>
  <c r="G399" i="3"/>
  <c r="F428" i="3"/>
  <c r="E428" i="3"/>
  <c r="D131" i="3"/>
  <c r="I244" i="3"/>
  <c r="I435" i="3"/>
  <c r="D133" i="3"/>
  <c r="F134" i="3"/>
  <c r="H671" i="8" s="1"/>
  <c r="H677" i="8" s="1"/>
  <c r="G134" i="3"/>
  <c r="H134" i="3"/>
  <c r="F132" i="3"/>
  <c r="I129" i="3"/>
  <c r="I187" i="3" s="1"/>
  <c r="K380" i="8"/>
  <c r="I18" i="22"/>
  <c r="K1167" i="8"/>
  <c r="K1165" i="8"/>
  <c r="K333" i="8" s="1"/>
  <c r="I48" i="22"/>
  <c r="K506" i="8"/>
  <c r="J324" i="3"/>
  <c r="H723" i="8"/>
  <c r="H724" i="8" s="1"/>
  <c r="K722" i="8"/>
  <c r="J847" i="8"/>
  <c r="H845" i="8"/>
  <c r="K844" i="8"/>
  <c r="K850" i="8" s="1"/>
  <c r="K889" i="8"/>
  <c r="H889" i="8"/>
  <c r="H892" i="8" s="1"/>
  <c r="J274" i="3"/>
  <c r="F1099" i="8"/>
  <c r="F1100" i="8" s="1"/>
  <c r="F319" i="8" s="1"/>
  <c r="J384" i="3"/>
  <c r="J383" i="3"/>
  <c r="H1141" i="8"/>
  <c r="H1145" i="8" s="1"/>
  <c r="K818" i="8"/>
  <c r="K824" i="8" s="1"/>
  <c r="J302" i="3"/>
  <c r="H129" i="3"/>
  <c r="H187" i="3" s="1"/>
  <c r="F310" i="3"/>
  <c r="F308" i="3"/>
  <c r="F314" i="3" s="1"/>
  <c r="H937" i="8"/>
  <c r="H943" i="8" s="1"/>
  <c r="K83" i="8"/>
  <c r="K422" i="8"/>
  <c r="K939" i="8"/>
  <c r="K945" i="8" s="1"/>
  <c r="J576" i="8"/>
  <c r="J580" i="8" s="1"/>
  <c r="J149" i="3"/>
  <c r="G722" i="8"/>
  <c r="G724" i="8" s="1"/>
  <c r="J242" i="3"/>
  <c r="F847" i="8"/>
  <c r="J243" i="3"/>
  <c r="G844" i="8"/>
  <c r="G850" i="8" s="1"/>
  <c r="J275" i="3"/>
  <c r="D129" i="3"/>
  <c r="D187" i="3" s="1"/>
  <c r="J938" i="8"/>
  <c r="J944" i="8" s="1"/>
  <c r="F936" i="8"/>
  <c r="F942" i="8" s="1"/>
  <c r="D186" i="3"/>
  <c r="G818" i="8"/>
  <c r="G824" i="8" s="1"/>
  <c r="E113" i="3"/>
  <c r="E109" i="3"/>
  <c r="E182" i="3" s="1"/>
  <c r="G474" i="8"/>
  <c r="H1009" i="8"/>
  <c r="F1009" i="8"/>
  <c r="K938" i="8"/>
  <c r="K944" i="8" s="1"/>
  <c r="J426" i="3"/>
  <c r="J221" i="3"/>
  <c r="E48" i="22"/>
  <c r="F543" i="8"/>
  <c r="F118" i="8" s="1"/>
  <c r="J1063" i="8"/>
  <c r="J305" i="8" s="1"/>
  <c r="H984" i="8"/>
  <c r="H990" i="8" s="1"/>
  <c r="J424" i="3"/>
  <c r="H193" i="3"/>
  <c r="D193" i="3"/>
  <c r="F435" i="3"/>
  <c r="I1165" i="8"/>
  <c r="I333" i="8" s="1"/>
  <c r="E133" i="3"/>
  <c r="G670" i="8" s="1"/>
  <c r="F129" i="3"/>
  <c r="F187" i="3" s="1"/>
  <c r="F131" i="3"/>
  <c r="I937" i="8"/>
  <c r="I943" i="8" s="1"/>
  <c r="I936" i="8"/>
  <c r="I942" i="8" s="1"/>
  <c r="G1098" i="8"/>
  <c r="G1102" i="8" s="1"/>
  <c r="J1142" i="8"/>
  <c r="J1146" i="8" s="1"/>
  <c r="F1142" i="8"/>
  <c r="H818" i="8"/>
  <c r="F178" i="3"/>
  <c r="F289" i="3"/>
  <c r="F294" i="3" s="1"/>
  <c r="J122" i="3"/>
  <c r="G131" i="3"/>
  <c r="K845" i="8"/>
  <c r="G890" i="8"/>
  <c r="G895" i="8" s="1"/>
  <c r="J506" i="8"/>
  <c r="K819" i="8"/>
  <c r="K825" i="8" s="1"/>
  <c r="K1141" i="8"/>
  <c r="K1145" i="8" s="1"/>
  <c r="K723" i="8"/>
  <c r="K727" i="8" s="1"/>
  <c r="G889" i="8"/>
  <c r="J559" i="8"/>
  <c r="J125" i="8" s="1"/>
  <c r="F559" i="8"/>
  <c r="F125" i="8" s="1"/>
  <c r="E443" i="3"/>
  <c r="F244" i="3"/>
  <c r="F722" i="8"/>
  <c r="J212" i="3"/>
  <c r="G244" i="3"/>
  <c r="D244" i="3"/>
  <c r="F443" i="3"/>
  <c r="H443" i="3"/>
  <c r="D385" i="3"/>
  <c r="F438" i="3"/>
  <c r="H428" i="3"/>
  <c r="F1165" i="8"/>
  <c r="F333" i="8" s="1"/>
  <c r="J307" i="3"/>
  <c r="J371" i="3"/>
  <c r="I385" i="3"/>
  <c r="I134" i="3"/>
  <c r="I724" i="8"/>
  <c r="J427" i="3"/>
  <c r="J204" i="3"/>
  <c r="F458" i="8"/>
  <c r="F111" i="3"/>
  <c r="F109" i="3"/>
  <c r="F182" i="3" s="1"/>
  <c r="H48" i="22"/>
  <c r="J421" i="8"/>
  <c r="H458" i="8"/>
  <c r="F506" i="8"/>
  <c r="J49" i="3"/>
  <c r="E277" i="3"/>
  <c r="J125" i="3"/>
  <c r="G1142" i="8"/>
  <c r="J1141" i="8"/>
  <c r="F1141" i="8"/>
  <c r="F1145" i="8" s="1"/>
  <c r="K820" i="8"/>
  <c r="J220" i="3"/>
  <c r="E186" i="3"/>
  <c r="J985" i="8"/>
  <c r="J991" i="8" s="1"/>
  <c r="I818" i="8"/>
  <c r="I824" i="8" s="1"/>
  <c r="J103" i="3"/>
  <c r="J181" i="3" s="1"/>
  <c r="J794" i="8"/>
  <c r="H597" i="8"/>
  <c r="H161" i="8" s="1"/>
  <c r="F48" i="22"/>
  <c r="D109" i="3"/>
  <c r="F113" i="3"/>
  <c r="J107" i="3"/>
  <c r="J113" i="3" s="1"/>
  <c r="I405" i="8"/>
  <c r="I421" i="8"/>
  <c r="G48" i="22"/>
  <c r="I543" i="8"/>
  <c r="I118" i="8" s="1"/>
  <c r="H559" i="8"/>
  <c r="H125" i="8" s="1"/>
  <c r="G597" i="8"/>
  <c r="G161" i="8" s="1"/>
  <c r="H1026" i="8"/>
  <c r="H274" i="8" s="1"/>
  <c r="G1063" i="8"/>
  <c r="J142" i="3"/>
  <c r="H313" i="3"/>
  <c r="H308" i="3"/>
  <c r="H314" i="3" s="1"/>
  <c r="F938" i="8"/>
  <c r="F944" i="8" s="1"/>
  <c r="H292" i="3"/>
  <c r="H289" i="3"/>
  <c r="H294" i="3" s="1"/>
  <c r="F914" i="8"/>
  <c r="F919" i="8" s="1"/>
  <c r="J69" i="3"/>
  <c r="I177" i="3"/>
  <c r="I178" i="3" s="1"/>
  <c r="K577" i="8"/>
  <c r="H913" i="8"/>
  <c r="F474" i="8"/>
  <c r="J39" i="3"/>
  <c r="K458" i="8"/>
  <c r="H123" i="3"/>
  <c r="H186" i="3" s="1"/>
  <c r="H131" i="3"/>
  <c r="J668" i="8" s="1"/>
  <c r="J120" i="3"/>
  <c r="I132" i="3"/>
  <c r="H986" i="8"/>
  <c r="H992" i="8" s="1"/>
  <c r="J34" i="3"/>
  <c r="E308" i="3"/>
  <c r="E439" i="3" s="1"/>
  <c r="L312" i="8"/>
  <c r="D42" i="22"/>
  <c r="F750" i="8"/>
  <c r="G42" i="22"/>
  <c r="I750" i="8"/>
  <c r="J356" i="3"/>
  <c r="J238" i="3"/>
  <c r="G277" i="3"/>
  <c r="I1142" i="8"/>
  <c r="I1143" i="8" s="1"/>
  <c r="J398" i="3"/>
  <c r="H819" i="8"/>
  <c r="H825" i="8" s="1"/>
  <c r="J322" i="3"/>
  <c r="J222" i="3"/>
  <c r="E244" i="3"/>
  <c r="J397" i="3"/>
  <c r="J1098" i="8"/>
  <c r="F1081" i="8"/>
  <c r="I597" i="8"/>
  <c r="I161" i="8" s="1"/>
  <c r="I150" i="3"/>
  <c r="I36" i="22" s="1"/>
  <c r="F133" i="3"/>
  <c r="H670" i="8" s="1"/>
  <c r="J121" i="3"/>
  <c r="H133" i="3"/>
  <c r="J241" i="3"/>
  <c r="J240" i="3"/>
  <c r="J366" i="3"/>
  <c r="G821" i="8"/>
  <c r="G827" i="8" s="1"/>
  <c r="K890" i="8"/>
  <c r="G1099" i="8"/>
  <c r="G443" i="3"/>
  <c r="G428" i="3"/>
  <c r="E193" i="3"/>
  <c r="G435" i="3"/>
  <c r="H385" i="3"/>
  <c r="D443" i="3"/>
  <c r="G193" i="3"/>
  <c r="F193" i="3"/>
  <c r="E435" i="3"/>
  <c r="H435" i="3"/>
  <c r="D435" i="3"/>
  <c r="G1165" i="8"/>
  <c r="G333" i="8" s="1"/>
  <c r="I399" i="3"/>
  <c r="I939" i="8"/>
  <c r="I945" i="8" s="1"/>
  <c r="J405" i="8"/>
  <c r="H54" i="22"/>
  <c r="K475" i="8"/>
  <c r="J272" i="3"/>
  <c r="J189" i="8"/>
  <c r="M39" i="21" s="1"/>
  <c r="J381" i="3"/>
  <c r="E399" i="3"/>
  <c r="E438" i="3"/>
  <c r="J420" i="3"/>
  <c r="D291" i="3"/>
  <c r="D289" i="3"/>
  <c r="J577" i="8"/>
  <c r="J286" i="3"/>
  <c r="G635" i="8"/>
  <c r="J361" i="3"/>
  <c r="D428" i="3"/>
  <c r="I637" i="8"/>
  <c r="I643" i="8" s="1"/>
  <c r="F637" i="8"/>
  <c r="F643" i="8" s="1"/>
  <c r="K643" i="8"/>
  <c r="J24" i="3"/>
  <c r="H405" i="8"/>
  <c r="H76" i="8" s="1"/>
  <c r="H112" i="3"/>
  <c r="H109" i="3"/>
  <c r="H182" i="3" s="1"/>
  <c r="J106" i="3"/>
  <c r="J112" i="3" s="1"/>
  <c r="G1009" i="8"/>
  <c r="G1026" i="8"/>
  <c r="G274" i="8" s="1"/>
  <c r="G176" i="3"/>
  <c r="J176" i="3" s="1"/>
  <c r="G73" i="3"/>
  <c r="J65" i="3"/>
  <c r="C462" i="3" s="1"/>
  <c r="E462" i="3" s="1"/>
  <c r="J146" i="3"/>
  <c r="D223" i="3"/>
  <c r="H223" i="3"/>
  <c r="J377" i="3"/>
  <c r="D399" i="3"/>
  <c r="D438" i="3"/>
  <c r="J391" i="3"/>
  <c r="J192" i="3"/>
  <c r="J434" i="3"/>
  <c r="J433" i="3"/>
  <c r="L1163" i="8"/>
  <c r="J128" i="3"/>
  <c r="J127" i="3"/>
  <c r="G132" i="3"/>
  <c r="G129" i="3"/>
  <c r="G187" i="3" s="1"/>
  <c r="E129" i="3"/>
  <c r="E187" i="3" s="1"/>
  <c r="E132" i="3"/>
  <c r="J126" i="3"/>
  <c r="D313" i="3"/>
  <c r="D308" i="3"/>
  <c r="D314" i="3" s="1"/>
  <c r="G312" i="3"/>
  <c r="G308" i="3"/>
  <c r="G439" i="3" s="1"/>
  <c r="J306" i="3"/>
  <c r="J305" i="3"/>
  <c r="G936" i="8"/>
  <c r="G942" i="8" s="1"/>
  <c r="G291" i="3"/>
  <c r="G289" i="3"/>
  <c r="K597" i="8"/>
  <c r="K161" i="8" s="1"/>
  <c r="J78" i="3"/>
  <c r="I42" i="22"/>
  <c r="K490" i="8"/>
  <c r="J44" i="3"/>
  <c r="G123" i="3"/>
  <c r="G186" i="3" s="1"/>
  <c r="J333" i="3"/>
  <c r="J327" i="3"/>
  <c r="G331" i="3"/>
  <c r="G328" i="3"/>
  <c r="G334" i="3" s="1"/>
  <c r="D331" i="3"/>
  <c r="D328" i="3"/>
  <c r="D334" i="3" s="1"/>
  <c r="F330" i="3"/>
  <c r="F328" i="3"/>
  <c r="I310" i="3"/>
  <c r="I308" i="3"/>
  <c r="I314" i="3" s="1"/>
  <c r="J71" i="3"/>
  <c r="I577" i="8"/>
  <c r="J395" i="3"/>
  <c r="F399" i="3"/>
  <c r="L1164" i="8"/>
  <c r="I332" i="3"/>
  <c r="I328" i="3"/>
  <c r="I334" i="3" s="1"/>
  <c r="F576" i="8"/>
  <c r="F578" i="8" s="1"/>
  <c r="F154" i="8" s="1"/>
  <c r="F889" i="8"/>
  <c r="F892" i="8" s="1"/>
  <c r="K913" i="8"/>
  <c r="K916" i="8" s="1"/>
  <c r="J326" i="3"/>
  <c r="J148" i="3"/>
  <c r="I438" i="3"/>
  <c r="J72" i="3"/>
  <c r="L1080" i="8"/>
  <c r="J232" i="3"/>
  <c r="J218" i="3"/>
  <c r="J284" i="3"/>
  <c r="F380" i="8"/>
  <c r="F391" i="8" s="1"/>
  <c r="D18" i="22"/>
  <c r="I112" i="3"/>
  <c r="I109" i="3"/>
  <c r="I182" i="3" s="1"/>
  <c r="G845" i="8"/>
  <c r="I820" i="8"/>
  <c r="I826" i="8" s="1"/>
  <c r="G825" i="8"/>
  <c r="G1167" i="8"/>
  <c r="H1099" i="8"/>
  <c r="H1103" i="8" s="1"/>
  <c r="I727" i="8"/>
  <c r="J155" i="2"/>
  <c r="J159" i="2"/>
  <c r="J161" i="2"/>
  <c r="K1094" i="8"/>
  <c r="K318" i="8" s="1"/>
  <c r="J1137" i="8"/>
  <c r="J325" i="8" s="1"/>
  <c r="F540" i="8"/>
  <c r="F117" i="8" s="1"/>
  <c r="H324" i="2"/>
  <c r="F572" i="8"/>
  <c r="F153" i="8" s="1"/>
  <c r="J572" i="8"/>
  <c r="J153" i="8" s="1"/>
  <c r="K840" i="8"/>
  <c r="K231" i="8" s="1"/>
  <c r="K402" i="8"/>
  <c r="K75" i="8" s="1"/>
  <c r="J487" i="8"/>
  <c r="J103" i="8" s="1"/>
  <c r="F317" i="2"/>
  <c r="E218" i="2"/>
  <c r="G909" i="8" s="1"/>
  <c r="F111" i="2"/>
  <c r="F1159" i="8"/>
  <c r="F332" i="8" s="1"/>
  <c r="H111" i="2"/>
  <c r="J664" i="8" s="1"/>
  <c r="J174" i="8" s="1"/>
  <c r="F331" i="2"/>
  <c r="G418" i="8"/>
  <c r="G82" i="8" s="1"/>
  <c r="I487" i="8"/>
  <c r="I103" i="8" s="1"/>
  <c r="G556" i="8"/>
  <c r="G124" i="8" s="1"/>
  <c r="H503" i="8"/>
  <c r="H110" i="8" s="1"/>
  <c r="H791" i="8"/>
  <c r="J87" i="2"/>
  <c r="J268" i="2"/>
  <c r="K1023" i="8"/>
  <c r="K273" i="8" s="1"/>
  <c r="I331" i="2"/>
  <c r="K572" i="8"/>
  <c r="K153" i="8" s="1"/>
  <c r="I718" i="8"/>
  <c r="I181" i="8" s="1"/>
  <c r="H150" i="2"/>
  <c r="J222" i="2"/>
  <c r="J224" i="2" s="1"/>
  <c r="J840" i="8"/>
  <c r="J231" i="8" s="1"/>
  <c r="I747" i="8"/>
  <c r="I188" i="8" s="1"/>
  <c r="E150" i="2"/>
  <c r="F168" i="2"/>
  <c r="G317" i="2"/>
  <c r="G329" i="2" s="1"/>
  <c r="H172" i="2"/>
  <c r="H174" i="2" s="1"/>
  <c r="J38" i="2"/>
  <c r="J194" i="2"/>
  <c r="J286" i="2"/>
  <c r="F487" i="8"/>
  <c r="F103" i="8" s="1"/>
  <c r="I1060" i="8"/>
  <c r="I304" i="8" s="1"/>
  <c r="G840" i="8"/>
  <c r="G231" i="8" s="1"/>
  <c r="I572" i="8"/>
  <c r="I153" i="8" s="1"/>
  <c r="I1159" i="8"/>
  <c r="I332" i="8" s="1"/>
  <c r="J44" i="2"/>
  <c r="J1159" i="8"/>
  <c r="J332" i="8" s="1"/>
  <c r="D150" i="2"/>
  <c r="G168" i="2"/>
  <c r="D324" i="2"/>
  <c r="D326" i="2" s="1"/>
  <c r="E105" i="2"/>
  <c r="G631" i="8" s="1"/>
  <c r="G167" i="8" s="1"/>
  <c r="F1077" i="8"/>
  <c r="F1078" i="8" s="1"/>
  <c r="G314" i="2"/>
  <c r="J93" i="2"/>
  <c r="J274" i="2"/>
  <c r="K979" i="8"/>
  <c r="K259" i="8" s="1"/>
  <c r="I932" i="8"/>
  <c r="I471" i="8"/>
  <c r="I96" i="8" s="1"/>
  <c r="F556" i="8"/>
  <c r="J594" i="8"/>
  <c r="J160" i="8" s="1"/>
  <c r="F1060" i="8"/>
  <c r="K1137" i="8"/>
  <c r="K325" i="8" s="1"/>
  <c r="I329" i="2"/>
  <c r="I162" i="2"/>
  <c r="G487" i="8"/>
  <c r="G103" i="8" s="1"/>
  <c r="J556" i="8"/>
  <c r="J124" i="8" s="1"/>
  <c r="I318" i="2"/>
  <c r="I320" i="2" s="1"/>
  <c r="J747" i="8"/>
  <c r="J188" i="8" s="1"/>
  <c r="E156" i="2"/>
  <c r="I402" i="8"/>
  <c r="J1060" i="8"/>
  <c r="E200" i="2"/>
  <c r="J402" i="8"/>
  <c r="J75" i="8" s="1"/>
  <c r="F418" i="8"/>
  <c r="F82" i="8" s="1"/>
  <c r="I455" i="8"/>
  <c r="H572" i="8"/>
  <c r="H153" i="8" s="1"/>
  <c r="H1006" i="8"/>
  <c r="K455" i="8"/>
  <c r="K718" i="8"/>
  <c r="K181" i="8" s="1"/>
  <c r="J216" i="2"/>
  <c r="J218" i="2" s="1"/>
  <c r="J418" i="8"/>
  <c r="J82" i="8" s="1"/>
  <c r="G718" i="8"/>
  <c r="G150" i="2"/>
  <c r="H168" i="2"/>
  <c r="J166" i="2"/>
  <c r="H162" i="2"/>
  <c r="J26" i="2"/>
  <c r="J50" i="2"/>
  <c r="J117" i="2"/>
  <c r="J123" i="2"/>
  <c r="J230" i="2"/>
  <c r="K556" i="8"/>
  <c r="D329" i="2"/>
  <c r="D200" i="2"/>
  <c r="F814" i="8" s="1"/>
  <c r="F224" i="8" s="1"/>
  <c r="H200" i="2"/>
  <c r="H317" i="2"/>
  <c r="H329" i="2" s="1"/>
  <c r="D156" i="2"/>
  <c r="F150" i="2"/>
  <c r="E168" i="2"/>
  <c r="E326" i="2"/>
  <c r="K377" i="8"/>
  <c r="I168" i="2"/>
  <c r="F105" i="2"/>
  <c r="H631" i="8" s="1"/>
  <c r="J32" i="2"/>
  <c r="J56" i="2"/>
  <c r="J62" i="2"/>
  <c r="J99" i="2"/>
  <c r="J206" i="2"/>
  <c r="J236" i="2"/>
  <c r="J262" i="2"/>
  <c r="J280" i="2"/>
  <c r="J292" i="2"/>
  <c r="I150" i="2"/>
  <c r="H105" i="2"/>
  <c r="J631" i="8" s="1"/>
  <c r="J167" i="8" s="1"/>
  <c r="G156" i="2"/>
  <c r="K932" i="8"/>
  <c r="K252" i="8" s="1"/>
  <c r="F932" i="8"/>
  <c r="H594" i="8"/>
  <c r="H160" i="8" s="1"/>
  <c r="J147" i="2"/>
  <c r="I1077" i="8"/>
  <c r="I311" i="8" s="1"/>
  <c r="I1137" i="8"/>
  <c r="E314" i="2"/>
  <c r="J312" i="2"/>
  <c r="G331" i="2"/>
  <c r="I156" i="2"/>
  <c r="J455" i="8"/>
  <c r="F402" i="8"/>
  <c r="F75" i="8" s="1"/>
  <c r="K1006" i="8"/>
  <c r="H909" i="8"/>
  <c r="F162" i="2"/>
  <c r="H814" i="8"/>
  <c r="H815" i="8" s="1"/>
  <c r="J165" i="2"/>
  <c r="G1023" i="8"/>
  <c r="G273" i="8" s="1"/>
  <c r="F840" i="8"/>
  <c r="F231" i="8" s="1"/>
  <c r="F455" i="8"/>
  <c r="F89" i="8" s="1"/>
  <c r="F314" i="2"/>
  <c r="G791" i="8"/>
  <c r="F503" i="8"/>
  <c r="F110" i="8" s="1"/>
  <c r="J167" i="2"/>
  <c r="H156" i="2"/>
  <c r="K540" i="8"/>
  <c r="K117" i="8" s="1"/>
  <c r="K594" i="8"/>
  <c r="K160" i="8" s="1"/>
  <c r="K1077" i="8"/>
  <c r="I218" i="2"/>
  <c r="I324" i="2"/>
  <c r="I326" i="2" s="1"/>
  <c r="J102" i="2"/>
  <c r="J153" i="2" s="1"/>
  <c r="G572" i="8"/>
  <c r="G573" i="8" s="1"/>
  <c r="J103" i="2"/>
  <c r="J154" i="2" s="1"/>
  <c r="I111" i="2"/>
  <c r="J325" i="2"/>
  <c r="F324" i="2"/>
  <c r="H1137" i="8"/>
  <c r="H325" i="8" s="1"/>
  <c r="G402" i="8"/>
  <c r="G75" i="8" s="1"/>
  <c r="F471" i="8"/>
  <c r="F96" i="8" s="1"/>
  <c r="J718" i="8"/>
  <c r="H318" i="2"/>
  <c r="H212" i="2"/>
  <c r="J885" i="8" s="1"/>
  <c r="G1077" i="8"/>
  <c r="G1094" i="8"/>
  <c r="J1094" i="8"/>
  <c r="J1095" i="8" s="1"/>
  <c r="D331" i="2"/>
  <c r="J377" i="8"/>
  <c r="J392" i="8" s="1"/>
  <c r="F1023" i="8"/>
  <c r="F273" i="8" s="1"/>
  <c r="J1023" i="8"/>
  <c r="G1060" i="8"/>
  <c r="H1159" i="8"/>
  <c r="H1160" i="8" s="1"/>
  <c r="E329" i="2"/>
  <c r="G218" i="2"/>
  <c r="G324" i="2"/>
  <c r="G326" i="2" s="1"/>
  <c r="J20" i="2"/>
  <c r="F594" i="8"/>
  <c r="K1060" i="8"/>
  <c r="D168" i="2"/>
  <c r="E331" i="2"/>
  <c r="F377" i="8"/>
  <c r="J909" i="8"/>
  <c r="G503" i="8"/>
  <c r="J503" i="8"/>
  <c r="I594" i="8"/>
  <c r="F718" i="8"/>
  <c r="H747" i="8"/>
  <c r="H188" i="8" s="1"/>
  <c r="F791" i="8"/>
  <c r="J791" i="8"/>
  <c r="I814" i="8"/>
  <c r="D212" i="2"/>
  <c r="D318" i="2"/>
  <c r="H1023" i="8"/>
  <c r="H1024" i="8" s="1"/>
  <c r="H1060" i="8"/>
  <c r="H304" i="8" s="1"/>
  <c r="H1077" i="8"/>
  <c r="H311" i="8" s="1"/>
  <c r="G540" i="8"/>
  <c r="G117" i="8" s="1"/>
  <c r="J313" i="2"/>
  <c r="H314" i="2"/>
  <c r="D314" i="2"/>
  <c r="J319" i="2"/>
  <c r="I377" i="8"/>
  <c r="G932" i="8"/>
  <c r="G933" i="8" s="1"/>
  <c r="F979" i="8"/>
  <c r="H487" i="8"/>
  <c r="H488" i="8" s="1"/>
  <c r="J311" i="2"/>
  <c r="H377" i="8"/>
  <c r="J323" i="2"/>
  <c r="G377" i="8"/>
  <c r="G979" i="8"/>
  <c r="H455" i="8"/>
  <c r="G1006" i="8"/>
  <c r="F1094" i="8"/>
  <c r="F318" i="8" s="1"/>
  <c r="I172" i="2"/>
  <c r="J1077" i="8"/>
  <c r="J1078" i="8" s="1"/>
  <c r="I503" i="8"/>
  <c r="I110" i="8" s="1"/>
  <c r="H556" i="8"/>
  <c r="H124" i="8" s="1"/>
  <c r="G747" i="8"/>
  <c r="H840" i="8"/>
  <c r="H231" i="8" s="1"/>
  <c r="I1006" i="8"/>
  <c r="J540" i="8"/>
  <c r="J117" i="8" s="1"/>
  <c r="H1095" i="8"/>
  <c r="H719" i="8"/>
  <c r="I418" i="8"/>
  <c r="I556" i="8"/>
  <c r="I124" i="8" s="1"/>
  <c r="K418" i="8"/>
  <c r="K82" i="8" s="1"/>
  <c r="I105" i="2"/>
  <c r="I200" i="2"/>
  <c r="G105" i="2"/>
  <c r="F581" i="8"/>
  <c r="B660" i="8"/>
  <c r="B451" i="8"/>
  <c r="H475" i="8"/>
  <c r="F895" i="8"/>
  <c r="G456" i="8"/>
  <c r="B536" i="8"/>
  <c r="G918" i="8"/>
  <c r="B1073" i="8"/>
  <c r="B787" i="8"/>
  <c r="I491" i="8"/>
  <c r="K1081" i="8"/>
  <c r="F1138" i="8"/>
  <c r="H933" i="8"/>
  <c r="H491" i="8"/>
  <c r="G472" i="8"/>
  <c r="H541" i="8"/>
  <c r="K488" i="8"/>
  <c r="B552" i="8"/>
  <c r="B928" i="8"/>
  <c r="J491" i="8"/>
  <c r="G1081" i="8"/>
  <c r="F1007" i="8"/>
  <c r="H403" i="8"/>
  <c r="H1168" i="8"/>
  <c r="C881" i="8"/>
  <c r="J980" i="8"/>
  <c r="I1168" i="8"/>
  <c r="G1138" i="8"/>
  <c r="H1146" i="8"/>
  <c r="K992" i="8"/>
  <c r="I560" i="8"/>
  <c r="B810" i="8"/>
  <c r="B975" i="8"/>
  <c r="J751" i="8"/>
  <c r="K751" i="8"/>
  <c r="J918" i="8"/>
  <c r="F748" i="8"/>
  <c r="I726" i="8"/>
  <c r="J760" i="8"/>
  <c r="J761" i="8" s="1"/>
  <c r="K804" i="8"/>
  <c r="I804" i="8"/>
  <c r="I992" i="8"/>
  <c r="I644" i="8"/>
  <c r="I580" i="8"/>
  <c r="K1168" i="8"/>
  <c r="G1168" i="8"/>
  <c r="I919" i="8"/>
  <c r="J992" i="8"/>
  <c r="G1160" i="8"/>
  <c r="E841" i="8"/>
  <c r="I841" i="8" s="1"/>
  <c r="E665" i="8"/>
  <c r="C1073" i="8"/>
  <c r="C451" i="8"/>
  <c r="B398" i="8"/>
  <c r="G945" i="8"/>
  <c r="E674" i="8"/>
  <c r="C590" i="8"/>
  <c r="I1081" i="8"/>
  <c r="H1081" i="8"/>
  <c r="I1024" i="8"/>
  <c r="H472" i="8"/>
  <c r="K472" i="8"/>
  <c r="J472" i="8"/>
  <c r="B836" i="8"/>
  <c r="G943" i="8"/>
  <c r="F1102" i="8"/>
  <c r="I1102" i="8"/>
  <c r="C627" i="8"/>
  <c r="J850" i="8"/>
  <c r="J1007" i="8"/>
  <c r="I894" i="8"/>
  <c r="E852" i="8"/>
  <c r="E676" i="8"/>
  <c r="H827" i="8"/>
  <c r="K919" i="8"/>
  <c r="B414" i="8"/>
  <c r="F1168" i="8"/>
  <c r="B743" i="8"/>
  <c r="B467" i="8"/>
  <c r="J1027" i="8"/>
  <c r="K504" i="8"/>
  <c r="C499" i="8"/>
  <c r="B627" i="8"/>
  <c r="B881" i="8"/>
  <c r="H726" i="8"/>
  <c r="F1167" i="8"/>
  <c r="I541" i="8"/>
  <c r="I1167" i="8"/>
  <c r="G595" i="8"/>
  <c r="J1167" i="8"/>
  <c r="C1090" i="8"/>
  <c r="F1027" i="8"/>
  <c r="I827" i="8"/>
  <c r="C373" i="8"/>
  <c r="E851" i="8"/>
  <c r="B568" i="8"/>
  <c r="B905" i="8"/>
  <c r="E853" i="8"/>
  <c r="G853" i="8" s="1"/>
  <c r="G991" i="8"/>
  <c r="F991" i="8"/>
  <c r="F825" i="8"/>
  <c r="F910" i="8"/>
  <c r="K990" i="8"/>
  <c r="H826" i="8"/>
  <c r="H1064" i="8"/>
  <c r="J1010" i="8"/>
  <c r="K792" i="8"/>
  <c r="I792" i="8"/>
  <c r="G990" i="8"/>
  <c r="H1167" i="8"/>
  <c r="J1081" i="8"/>
  <c r="H895" i="8"/>
  <c r="H507" i="8"/>
  <c r="G642" i="8"/>
  <c r="K760" i="8"/>
  <c r="K761" i="8" s="1"/>
  <c r="H760" i="8"/>
  <c r="H761" i="8" s="1"/>
  <c r="J459" i="8"/>
  <c r="H751" i="8"/>
  <c r="K644" i="8"/>
  <c r="H644" i="8"/>
  <c r="I318" i="8"/>
  <c r="I1095" i="8"/>
  <c r="J933" i="8"/>
  <c r="J252" i="8"/>
  <c r="B1155" i="8"/>
  <c r="J942" i="8"/>
  <c r="H252" i="8"/>
  <c r="I259" i="8"/>
  <c r="I980" i="8"/>
  <c r="G391" i="8"/>
  <c r="C414" i="8"/>
  <c r="J19" i="3"/>
  <c r="K748" i="8"/>
  <c r="K886" i="8"/>
  <c r="F943" i="8"/>
  <c r="F638" i="8"/>
  <c r="F644" i="8" s="1"/>
  <c r="F1064" i="8"/>
  <c r="F305" i="8"/>
  <c r="K189" i="8"/>
  <c r="N39" i="21" s="1"/>
  <c r="I1145" i="8"/>
  <c r="E42" i="22"/>
  <c r="G750" i="8"/>
  <c r="J148" i="2"/>
  <c r="J54" i="3"/>
  <c r="J155" i="3"/>
  <c r="H82" i="8"/>
  <c r="H419" i="8"/>
  <c r="G111" i="3"/>
  <c r="J105" i="3"/>
  <c r="J111" i="3" s="1"/>
  <c r="J108" i="3"/>
  <c r="J114" i="3" s="1"/>
  <c r="J638" i="8"/>
  <c r="H979" i="8"/>
  <c r="H421" i="8"/>
  <c r="G506" i="8"/>
  <c r="J1168" i="8"/>
  <c r="J1165" i="8"/>
  <c r="J333" i="8" s="1"/>
  <c r="J149" i="2"/>
  <c r="I314" i="2"/>
  <c r="K1159" i="8"/>
  <c r="F1083" i="8" l="1"/>
  <c r="J1083" i="8"/>
  <c r="A1080" i="8"/>
  <c r="A1081" i="8" s="1"/>
  <c r="A1083" i="8" s="1"/>
  <c r="A1085" i="8" s="1"/>
  <c r="A1087" i="8" s="1"/>
  <c r="A1090" i="8" s="1"/>
  <c r="A1092" i="8" s="1"/>
  <c r="A1094" i="8" s="1"/>
  <c r="A1095" i="8" s="1"/>
  <c r="K753" i="8"/>
  <c r="K190" i="8" s="1"/>
  <c r="J1012" i="8"/>
  <c r="J268" i="8" s="1"/>
  <c r="A995" i="8"/>
  <c r="A997" i="8" s="1"/>
  <c r="A999" i="8" s="1"/>
  <c r="A1002" i="8" s="1"/>
  <c r="A1004" i="8" s="1"/>
  <c r="A1006" i="8" s="1"/>
  <c r="A1007" i="8" s="1"/>
  <c r="A797" i="8"/>
  <c r="A799" i="8" s="1"/>
  <c r="A801" i="8" s="1"/>
  <c r="A803" i="8" s="1"/>
  <c r="A804" i="8" s="1"/>
  <c r="A805" i="8" s="1"/>
  <c r="A806" i="8" s="1"/>
  <c r="A808" i="8" s="1"/>
  <c r="A810" i="8" s="1"/>
  <c r="A812" i="8" s="1"/>
  <c r="A814" i="8" s="1"/>
  <c r="A815" i="8" s="1"/>
  <c r="A753" i="8"/>
  <c r="A755" i="8" s="1"/>
  <c r="A757" i="8" s="1"/>
  <c r="A759" i="8" s="1"/>
  <c r="A760" i="8" s="1"/>
  <c r="A761" i="8" s="1"/>
  <c r="A763" i="8" s="1"/>
  <c r="A647" i="8"/>
  <c r="A649" i="8" s="1"/>
  <c r="A651" i="8" s="1"/>
  <c r="A653" i="8" s="1"/>
  <c r="A654" i="8" s="1"/>
  <c r="A655" i="8" s="1"/>
  <c r="A657" i="8" s="1"/>
  <c r="A660" i="8" s="1"/>
  <c r="A662" i="8" s="1"/>
  <c r="A664" i="8" s="1"/>
  <c r="A665" i="8" s="1"/>
  <c r="F392" i="8"/>
  <c r="F390" i="8"/>
  <c r="F804" i="8"/>
  <c r="F805" i="8"/>
  <c r="A383" i="8"/>
  <c r="A385" i="8" s="1"/>
  <c r="A387" i="8" s="1"/>
  <c r="A389" i="8" s="1"/>
  <c r="A390" i="8" s="1"/>
  <c r="A391" i="8" s="1"/>
  <c r="A392" i="8" s="1"/>
  <c r="A393" i="8" s="1"/>
  <c r="A395" i="8" s="1"/>
  <c r="A398" i="8" s="1"/>
  <c r="A400" i="8" s="1"/>
  <c r="A402" i="8" s="1"/>
  <c r="A403" i="8" s="1"/>
  <c r="A405" i="8" s="1"/>
  <c r="A406" i="8" s="1"/>
  <c r="A407" i="8" s="1"/>
  <c r="A409" i="8" s="1"/>
  <c r="A411" i="8" s="1"/>
  <c r="A414" i="8" s="1"/>
  <c r="A416" i="8" s="1"/>
  <c r="A418" i="8" s="1"/>
  <c r="A419" i="8" s="1"/>
  <c r="A421" i="8" s="1"/>
  <c r="A422" i="8" s="1"/>
  <c r="A423" i="8" s="1"/>
  <c r="A425" i="8" s="1"/>
  <c r="A427" i="8" s="1"/>
  <c r="F425" i="8"/>
  <c r="F422" i="8"/>
  <c r="A42" i="21"/>
  <c r="A44" i="21" s="1"/>
  <c r="A1151" i="8"/>
  <c r="A1153" i="8" s="1"/>
  <c r="A1155" i="8" s="1"/>
  <c r="A1157" i="8" s="1"/>
  <c r="A1159" i="8" s="1"/>
  <c r="A1160" i="8" s="1"/>
  <c r="A1163" i="8" s="1"/>
  <c r="A1164" i="8" s="1"/>
  <c r="A1166" i="8" s="1"/>
  <c r="A1167" i="8" s="1"/>
  <c r="A1168" i="8" s="1"/>
  <c r="A1171" i="8" s="1"/>
  <c r="A1173" i="8" s="1"/>
  <c r="A1175" i="8" s="1"/>
  <c r="H476" i="8"/>
  <c r="H480" i="8" s="1"/>
  <c r="H100" i="8" s="1"/>
  <c r="H492" i="8"/>
  <c r="H496" i="8" s="1"/>
  <c r="H107" i="8" s="1"/>
  <c r="K476" i="8"/>
  <c r="K98" i="8" s="1"/>
  <c r="J173" i="2"/>
  <c r="J171" i="2"/>
  <c r="A276" i="3"/>
  <c r="A277" i="3" s="1"/>
  <c r="A279" i="3" s="1"/>
  <c r="A280" i="3" s="1"/>
  <c r="A281" i="3" s="1"/>
  <c r="A282" i="3" s="1"/>
  <c r="A283" i="3" s="1"/>
  <c r="A285" i="3" s="1"/>
  <c r="A286" i="3" s="1"/>
  <c r="A287" i="3" s="1"/>
  <c r="A288" i="3" s="1"/>
  <c r="A290" i="3" s="1"/>
  <c r="A291" i="3" s="1"/>
  <c r="A292" i="3" s="1"/>
  <c r="I174" i="2"/>
  <c r="C466" i="3"/>
  <c r="E466" i="3" s="1"/>
  <c r="J123" i="3"/>
  <c r="H54" i="5"/>
  <c r="I267" i="8"/>
  <c r="H267" i="8"/>
  <c r="E30" i="21"/>
  <c r="A478" i="8"/>
  <c r="A480" i="8" s="1"/>
  <c r="A483" i="8" s="1"/>
  <c r="A485" i="8" s="1"/>
  <c r="A487" i="8" s="1"/>
  <c r="A488" i="8" s="1"/>
  <c r="A490" i="8" s="1"/>
  <c r="A491" i="8" s="1"/>
  <c r="A492" i="8" s="1"/>
  <c r="G1010" i="8"/>
  <c r="K267" i="8"/>
  <c r="F111" i="8"/>
  <c r="I111" i="8"/>
  <c r="K111" i="8"/>
  <c r="J111" i="8"/>
  <c r="G104" i="8"/>
  <c r="L920" i="8"/>
  <c r="K104" i="8"/>
  <c r="F491" i="8"/>
  <c r="F97" i="8"/>
  <c r="G97" i="8"/>
  <c r="I97" i="8"/>
  <c r="J97" i="8"/>
  <c r="A896" i="8"/>
  <c r="A899" i="8" s="1"/>
  <c r="H459" i="8"/>
  <c r="I90" i="8"/>
  <c r="F459" i="8"/>
  <c r="G90" i="8"/>
  <c r="K90" i="8"/>
  <c r="H916" i="8"/>
  <c r="L896" i="8"/>
  <c r="G892" i="8"/>
  <c r="K894" i="8"/>
  <c r="K892" i="8"/>
  <c r="J894" i="8"/>
  <c r="J892" i="8"/>
  <c r="F381" i="8"/>
  <c r="G30" i="21"/>
  <c r="H390" i="8"/>
  <c r="H392" i="8"/>
  <c r="K392" i="8"/>
  <c r="G68" i="8"/>
  <c r="G392" i="8"/>
  <c r="G805" i="8"/>
  <c r="H217" i="8"/>
  <c r="H805" i="8"/>
  <c r="I390" i="8"/>
  <c r="I392" i="8"/>
  <c r="J217" i="8"/>
  <c r="J805" i="8"/>
  <c r="F792" i="8"/>
  <c r="F90" i="8"/>
  <c r="F76" i="8"/>
  <c r="F406" i="8"/>
  <c r="F189" i="8"/>
  <c r="I39" i="21" s="1"/>
  <c r="E54" i="5"/>
  <c r="J47" i="5"/>
  <c r="J200" i="2"/>
  <c r="E348" i="2"/>
  <c r="C347" i="2"/>
  <c r="E347" i="2" s="1"/>
  <c r="I326" i="8"/>
  <c r="K246" i="8"/>
  <c r="G246" i="8"/>
  <c r="H239" i="8"/>
  <c r="I239" i="8"/>
  <c r="F239" i="8"/>
  <c r="I218" i="8"/>
  <c r="K218" i="8"/>
  <c r="F218" i="8"/>
  <c r="H218" i="8"/>
  <c r="I189" i="8"/>
  <c r="L39" i="21" s="1"/>
  <c r="H737" i="8"/>
  <c r="H738" i="8" s="1"/>
  <c r="I182" i="8"/>
  <c r="J381" i="8"/>
  <c r="F69" i="8"/>
  <c r="H381" i="8"/>
  <c r="I69" i="8"/>
  <c r="I381" i="8"/>
  <c r="K69" i="8"/>
  <c r="K381" i="8"/>
  <c r="F378" i="8"/>
  <c r="I54" i="5"/>
  <c r="A37" i="15"/>
  <c r="A39" i="15" s="1"/>
  <c r="A40" i="15" s="1"/>
  <c r="A42" i="15" s="1"/>
  <c r="A43" i="15" s="1"/>
  <c r="A44" i="15" s="1"/>
  <c r="A45" i="15" s="1"/>
  <c r="A47" i="15" s="1"/>
  <c r="A49" i="15" s="1"/>
  <c r="A50" i="15" s="1"/>
  <c r="A52" i="15" s="1"/>
  <c r="A53" i="15" s="1"/>
  <c r="A55" i="15" s="1"/>
  <c r="A56" i="15" s="1"/>
  <c r="A58" i="15" s="1"/>
  <c r="A59" i="15" s="1"/>
  <c r="G54" i="5"/>
  <c r="D54" i="5"/>
  <c r="F54" i="5"/>
  <c r="C465" i="3"/>
  <c r="E465" i="3" s="1"/>
  <c r="L348" i="8"/>
  <c r="L846" i="8"/>
  <c r="L844" i="8"/>
  <c r="H578" i="8"/>
  <c r="H154" i="8" s="1"/>
  <c r="L576" i="8"/>
  <c r="L490" i="8"/>
  <c r="L471" i="8"/>
  <c r="L402" i="8"/>
  <c r="L474" i="8"/>
  <c r="L458" i="8"/>
  <c r="L418" i="8"/>
  <c r="L380" i="8"/>
  <c r="L405" i="8"/>
  <c r="L96" i="8"/>
  <c r="G406" i="8"/>
  <c r="L161" i="8"/>
  <c r="I391" i="8"/>
  <c r="I851" i="8"/>
  <c r="D111" i="2"/>
  <c r="F664" i="8" s="1"/>
  <c r="J287" i="3"/>
  <c r="E160" i="2"/>
  <c r="E172" i="2" s="1"/>
  <c r="E174" i="2" s="1"/>
  <c r="E289" i="3"/>
  <c r="E294" i="3" s="1"/>
  <c r="J23" i="5"/>
  <c r="J109" i="2"/>
  <c r="J111" i="2" s="1"/>
  <c r="G238" i="8"/>
  <c r="G111" i="2"/>
  <c r="I664" i="8" s="1"/>
  <c r="I665" i="8" s="1"/>
  <c r="H328" i="3"/>
  <c r="H444" i="3" s="1"/>
  <c r="J325" i="3"/>
  <c r="E318" i="2"/>
  <c r="E320" i="2" s="1"/>
  <c r="J41" i="5"/>
  <c r="J210" i="2"/>
  <c r="J212" i="2" s="1"/>
  <c r="F318" i="2"/>
  <c r="F320" i="2" s="1"/>
  <c r="G318" i="2"/>
  <c r="G320" i="2" s="1"/>
  <c r="J25" i="5"/>
  <c r="K670" i="8"/>
  <c r="K676" i="8" s="1"/>
  <c r="D115" i="3"/>
  <c r="D24" i="22" s="1"/>
  <c r="D182" i="3"/>
  <c r="D183" i="3" s="1"/>
  <c r="F186" i="3"/>
  <c r="F188" i="3" s="1"/>
  <c r="G115" i="3"/>
  <c r="G24" i="22" s="1"/>
  <c r="G182" i="3"/>
  <c r="G183" i="3" s="1"/>
  <c r="H448" i="3"/>
  <c r="F724" i="8"/>
  <c r="I795" i="8"/>
  <c r="I797" i="8" s="1"/>
  <c r="J544" i="8"/>
  <c r="G491" i="8"/>
  <c r="K1010" i="8"/>
  <c r="H668" i="8"/>
  <c r="H674" i="8" s="1"/>
  <c r="I671" i="8"/>
  <c r="I677" i="8" s="1"/>
  <c r="H1010" i="8"/>
  <c r="F448" i="3"/>
  <c r="G448" i="3"/>
  <c r="I1100" i="8"/>
  <c r="I319" i="8" s="1"/>
  <c r="K406" i="8"/>
  <c r="H669" i="8"/>
  <c r="H675" i="8" s="1"/>
  <c r="J726" i="8"/>
  <c r="J475" i="8"/>
  <c r="J476" i="8" s="1"/>
  <c r="F104" i="8"/>
  <c r="K1027" i="8"/>
  <c r="J724" i="8"/>
  <c r="I475" i="8"/>
  <c r="I806" i="8"/>
  <c r="H580" i="8"/>
  <c r="H582" i="8" s="1"/>
  <c r="J507" i="8"/>
  <c r="K1143" i="8"/>
  <c r="I439" i="3"/>
  <c r="I440" i="3" s="1"/>
  <c r="F560" i="8"/>
  <c r="J1064" i="8"/>
  <c r="K806" i="8"/>
  <c r="H795" i="8"/>
  <c r="K795" i="8"/>
  <c r="K797" i="8" s="1"/>
  <c r="I544" i="8"/>
  <c r="I545" i="8" s="1"/>
  <c r="I668" i="8"/>
  <c r="I674" i="8" s="1"/>
  <c r="G987" i="8"/>
  <c r="H848" i="8"/>
  <c r="F670" i="8"/>
  <c r="F676" i="8" s="1"/>
  <c r="I135" i="3"/>
  <c r="I30" i="22" s="1"/>
  <c r="K1100" i="8"/>
  <c r="K319" i="8" s="1"/>
  <c r="I848" i="8"/>
  <c r="J598" i="8"/>
  <c r="K1146" i="8"/>
  <c r="K1147" i="8" s="1"/>
  <c r="J727" i="8"/>
  <c r="J1100" i="8"/>
  <c r="J319" i="8" s="1"/>
  <c r="G637" i="8"/>
  <c r="G643" i="8" s="1"/>
  <c r="K560" i="8"/>
  <c r="H894" i="8"/>
  <c r="H897" i="8" s="1"/>
  <c r="J578" i="8"/>
  <c r="J154" i="8" s="1"/>
  <c r="J428" i="3"/>
  <c r="J671" i="8"/>
  <c r="J677" i="8" s="1"/>
  <c r="F598" i="8"/>
  <c r="F507" i="8"/>
  <c r="K544" i="8"/>
  <c r="H439" i="3"/>
  <c r="H440" i="3" s="1"/>
  <c r="G1143" i="8"/>
  <c r="G1146" i="8"/>
  <c r="G1147" i="8" s="1"/>
  <c r="G1149" i="8" s="1"/>
  <c r="K671" i="8"/>
  <c r="K677" i="8" s="1"/>
  <c r="F1143" i="8"/>
  <c r="J895" i="8"/>
  <c r="G118" i="8"/>
  <c r="G544" i="8"/>
  <c r="F760" i="8"/>
  <c r="F761" i="8" s="1"/>
  <c r="J313" i="3"/>
  <c r="E196" i="3"/>
  <c r="E135" i="3"/>
  <c r="E30" i="22" s="1"/>
  <c r="F267" i="8"/>
  <c r="F1010" i="8"/>
  <c r="F1012" i="8" s="1"/>
  <c r="E183" i="3"/>
  <c r="E115" i="3"/>
  <c r="E24" i="22" s="1"/>
  <c r="H118" i="8"/>
  <c r="H544" i="8"/>
  <c r="H545" i="8" s="1"/>
  <c r="G83" i="8"/>
  <c r="K724" i="8"/>
  <c r="K726" i="8"/>
  <c r="K728" i="8" s="1"/>
  <c r="I507" i="8"/>
  <c r="F475" i="8"/>
  <c r="I598" i="8"/>
  <c r="K1064" i="8"/>
  <c r="H135" i="3"/>
  <c r="H30" i="22" s="1"/>
  <c r="J73" i="3"/>
  <c r="H188" i="3"/>
  <c r="G475" i="8"/>
  <c r="G476" i="8" s="1"/>
  <c r="K1169" i="8"/>
  <c r="I1027" i="8"/>
  <c r="I1029" i="8" s="1"/>
  <c r="F668" i="8"/>
  <c r="F674" i="8" s="1"/>
  <c r="F848" i="8"/>
  <c r="H822" i="8"/>
  <c r="G578" i="8"/>
  <c r="G154" i="8" s="1"/>
  <c r="I760" i="8"/>
  <c r="I761" i="8" s="1"/>
  <c r="G459" i="8"/>
  <c r="G460" i="8" s="1"/>
  <c r="J581" i="8"/>
  <c r="J582" i="8" s="1"/>
  <c r="G560" i="8"/>
  <c r="I448" i="3"/>
  <c r="I454" i="3" s="1"/>
  <c r="J132" i="3"/>
  <c r="J391" i="8"/>
  <c r="J69" i="8"/>
  <c r="I850" i="8"/>
  <c r="L850" i="8" s="1"/>
  <c r="F1103" i="8"/>
  <c r="F1104" i="8" s="1"/>
  <c r="G848" i="8"/>
  <c r="J150" i="3"/>
  <c r="H1143" i="8"/>
  <c r="I444" i="3"/>
  <c r="I445" i="3" s="1"/>
  <c r="I1064" i="8"/>
  <c r="I751" i="8"/>
  <c r="I1146" i="8"/>
  <c r="I1147" i="8" s="1"/>
  <c r="F669" i="8"/>
  <c r="F675" i="8" s="1"/>
  <c r="H391" i="8"/>
  <c r="H69" i="8"/>
  <c r="K391" i="8"/>
  <c r="I1010" i="8"/>
  <c r="G852" i="8"/>
  <c r="G598" i="8"/>
  <c r="G599" i="8" s="1"/>
  <c r="F795" i="8"/>
  <c r="I895" i="8"/>
  <c r="I897" i="8" s="1"/>
  <c r="G940" i="8"/>
  <c r="H197" i="3"/>
  <c r="J987" i="8"/>
  <c r="J848" i="8"/>
  <c r="F83" i="8"/>
  <c r="H115" i="3"/>
  <c r="H24" i="22" s="1"/>
  <c r="H560" i="8"/>
  <c r="I459" i="8"/>
  <c r="J399" i="3"/>
  <c r="J224" i="3"/>
  <c r="I188" i="3"/>
  <c r="F135" i="3"/>
  <c r="F30" i="22" s="1"/>
  <c r="K668" i="8"/>
  <c r="K674" i="8" s="1"/>
  <c r="D135" i="3"/>
  <c r="D30" i="22" s="1"/>
  <c r="J131" i="3"/>
  <c r="K507" i="8"/>
  <c r="K508" i="8" s="1"/>
  <c r="J851" i="8"/>
  <c r="F726" i="8"/>
  <c r="F728" i="8" s="1"/>
  <c r="G894" i="8"/>
  <c r="G897" i="8" s="1"/>
  <c r="G899" i="8" s="1"/>
  <c r="H598" i="8"/>
  <c r="I737" i="8"/>
  <c r="I738" i="8" s="1"/>
  <c r="L819" i="8"/>
  <c r="G822" i="8"/>
  <c r="J54" i="22"/>
  <c r="L845" i="8"/>
  <c r="F751" i="8"/>
  <c r="F753" i="8" s="1"/>
  <c r="G188" i="3"/>
  <c r="J177" i="3"/>
  <c r="G182" i="8"/>
  <c r="G737" i="8"/>
  <c r="G738" i="8" s="1"/>
  <c r="H824" i="8"/>
  <c r="H828" i="8" s="1"/>
  <c r="H830" i="8" s="1"/>
  <c r="H834" i="8" s="1"/>
  <c r="F1146" i="8"/>
  <c r="F1147" i="8" s="1"/>
  <c r="F1149" i="8" s="1"/>
  <c r="H90" i="8"/>
  <c r="H182" i="8"/>
  <c r="K848" i="8"/>
  <c r="K459" i="8"/>
  <c r="J1102" i="8"/>
  <c r="J1104" i="8" s="1"/>
  <c r="J1106" i="8" s="1"/>
  <c r="H676" i="8"/>
  <c r="F544" i="8"/>
  <c r="J18" i="22"/>
  <c r="G726" i="8"/>
  <c r="G728" i="8" s="1"/>
  <c r="K895" i="8"/>
  <c r="J244" i="3"/>
  <c r="L1142" i="8"/>
  <c r="G1100" i="8"/>
  <c r="G319" i="8" s="1"/>
  <c r="H936" i="8"/>
  <c r="J560" i="8"/>
  <c r="H727" i="8"/>
  <c r="H728" i="8" s="1"/>
  <c r="H730" i="8" s="1"/>
  <c r="F439" i="3"/>
  <c r="F440" i="3" s="1"/>
  <c r="F334" i="3"/>
  <c r="J193" i="3"/>
  <c r="L818" i="8"/>
  <c r="K826" i="8"/>
  <c r="K828" i="8" s="1"/>
  <c r="K822" i="8"/>
  <c r="J1143" i="8"/>
  <c r="L1141" i="8"/>
  <c r="J1145" i="8"/>
  <c r="L1145" i="8" s="1"/>
  <c r="I578" i="8"/>
  <c r="I154" i="8" s="1"/>
  <c r="I581" i="8"/>
  <c r="I582" i="8" s="1"/>
  <c r="J291" i="3"/>
  <c r="L889" i="8"/>
  <c r="D294" i="3"/>
  <c r="E440" i="3"/>
  <c r="E448" i="3"/>
  <c r="L1063" i="8"/>
  <c r="L1098" i="8"/>
  <c r="G305" i="8"/>
  <c r="L305" i="8" s="1"/>
  <c r="G1064" i="8"/>
  <c r="I406" i="8"/>
  <c r="I76" i="8"/>
  <c r="L847" i="8"/>
  <c r="J914" i="8"/>
  <c r="J292" i="3"/>
  <c r="F894" i="8"/>
  <c r="F897" i="8" s="1"/>
  <c r="G178" i="3"/>
  <c r="J178" i="3" s="1"/>
  <c r="G196" i="3"/>
  <c r="H918" i="8"/>
  <c r="H921" i="8" s="1"/>
  <c r="K578" i="8"/>
  <c r="K154" i="8" s="1"/>
  <c r="K581" i="8"/>
  <c r="K582" i="8" s="1"/>
  <c r="F115" i="3"/>
  <c r="F24" i="22" s="1"/>
  <c r="J670" i="8"/>
  <c r="K669" i="8"/>
  <c r="J795" i="8"/>
  <c r="J218" i="8"/>
  <c r="J83" i="8"/>
  <c r="J422" i="8"/>
  <c r="H635" i="8"/>
  <c r="L794" i="8"/>
  <c r="J308" i="3"/>
  <c r="H1027" i="8"/>
  <c r="H1029" i="8" s="1"/>
  <c r="I728" i="8"/>
  <c r="L820" i="8"/>
  <c r="J435" i="3"/>
  <c r="L723" i="8"/>
  <c r="E314" i="3"/>
  <c r="J277" i="3"/>
  <c r="G1103" i="8"/>
  <c r="G1104" i="8" s="1"/>
  <c r="J443" i="3"/>
  <c r="J385" i="3"/>
  <c r="J939" i="8"/>
  <c r="I422" i="8"/>
  <c r="I83" i="8"/>
  <c r="H637" i="8"/>
  <c r="H643" i="8" s="1"/>
  <c r="F635" i="8"/>
  <c r="F641" i="8" s="1"/>
  <c r="F645" i="8" s="1"/>
  <c r="K636" i="8"/>
  <c r="L274" i="8"/>
  <c r="L1026" i="8"/>
  <c r="I938" i="8"/>
  <c r="F821" i="8"/>
  <c r="F444" i="3"/>
  <c r="J133" i="3"/>
  <c r="K598" i="8"/>
  <c r="G1169" i="8"/>
  <c r="I984" i="8"/>
  <c r="L577" i="8"/>
  <c r="J312" i="3"/>
  <c r="I913" i="8"/>
  <c r="I916" i="8" s="1"/>
  <c r="D448" i="3"/>
  <c r="D444" i="3"/>
  <c r="G1027" i="8"/>
  <c r="H1100" i="8"/>
  <c r="H319" i="8" s="1"/>
  <c r="L1099" i="8"/>
  <c r="I115" i="3"/>
  <c r="I24" i="22" s="1"/>
  <c r="L722" i="8"/>
  <c r="K985" i="8"/>
  <c r="K936" i="8"/>
  <c r="F984" i="8"/>
  <c r="J331" i="3"/>
  <c r="J332" i="3"/>
  <c r="G294" i="3"/>
  <c r="G444" i="3"/>
  <c r="G445" i="3" s="1"/>
  <c r="J311" i="3"/>
  <c r="G314" i="3"/>
  <c r="D439" i="3"/>
  <c r="D440" i="3" s="1"/>
  <c r="G267" i="8"/>
  <c r="L1009" i="8"/>
  <c r="J636" i="8"/>
  <c r="J642" i="8" s="1"/>
  <c r="J406" i="8"/>
  <c r="J76" i="8"/>
  <c r="H406" i="8"/>
  <c r="H407" i="8" s="1"/>
  <c r="G919" i="8"/>
  <c r="G921" i="8" s="1"/>
  <c r="H983" i="8"/>
  <c r="I669" i="8"/>
  <c r="I675" i="8" s="1"/>
  <c r="J134" i="3"/>
  <c r="G135" i="3"/>
  <c r="G30" i="22" s="1"/>
  <c r="I822" i="8"/>
  <c r="J330" i="3"/>
  <c r="L890" i="8"/>
  <c r="J129" i="3"/>
  <c r="J187" i="3" s="1"/>
  <c r="J438" i="3"/>
  <c r="F580" i="8"/>
  <c r="F582" i="8" s="1"/>
  <c r="G641" i="8"/>
  <c r="K491" i="8"/>
  <c r="K492" i="8" s="1"/>
  <c r="K918" i="8"/>
  <c r="K921" i="8" s="1"/>
  <c r="J310" i="3"/>
  <c r="F939" i="8"/>
  <c r="G669" i="8"/>
  <c r="G675" i="8" s="1"/>
  <c r="J821" i="8"/>
  <c r="J223" i="3"/>
  <c r="F913" i="8"/>
  <c r="F916" i="8" s="1"/>
  <c r="L597" i="8"/>
  <c r="G440" i="3"/>
  <c r="H326" i="2"/>
  <c r="K1095" i="8"/>
  <c r="J36" i="22"/>
  <c r="J573" i="8"/>
  <c r="J1138" i="8"/>
  <c r="F338" i="2"/>
  <c r="F541" i="8"/>
  <c r="I338" i="2"/>
  <c r="F573" i="8"/>
  <c r="K403" i="8"/>
  <c r="H664" i="8"/>
  <c r="H174" i="8" s="1"/>
  <c r="G419" i="8"/>
  <c r="G423" i="8" s="1"/>
  <c r="H792" i="8"/>
  <c r="H804" i="8"/>
  <c r="E338" i="2"/>
  <c r="J488" i="8"/>
  <c r="J492" i="8" s="1"/>
  <c r="F1160" i="8"/>
  <c r="F329" i="2"/>
  <c r="F336" i="2" s="1"/>
  <c r="E336" i="2"/>
  <c r="I488" i="8"/>
  <c r="I492" i="8" s="1"/>
  <c r="I419" i="8"/>
  <c r="J156" i="2"/>
  <c r="I719" i="8"/>
  <c r="F1024" i="8"/>
  <c r="F1029" i="8" s="1"/>
  <c r="I336" i="2"/>
  <c r="G153" i="8"/>
  <c r="L153" i="8" s="1"/>
  <c r="K719" i="8"/>
  <c r="G557" i="8"/>
  <c r="I748" i="8"/>
  <c r="H632" i="8"/>
  <c r="H167" i="8"/>
  <c r="J804" i="8"/>
  <c r="I573" i="8"/>
  <c r="K573" i="8"/>
  <c r="K1024" i="8"/>
  <c r="K1029" i="8" s="1"/>
  <c r="F326" i="2"/>
  <c r="H504" i="8"/>
  <c r="H508" i="8" s="1"/>
  <c r="G336" i="2"/>
  <c r="J1160" i="8"/>
  <c r="H1138" i="8"/>
  <c r="H595" i="8"/>
  <c r="F403" i="8"/>
  <c r="I378" i="8"/>
  <c r="I1061" i="8"/>
  <c r="F456" i="8"/>
  <c r="H336" i="2"/>
  <c r="I1160" i="8"/>
  <c r="J181" i="8"/>
  <c r="J632" i="8"/>
  <c r="J792" i="8"/>
  <c r="F472" i="8"/>
  <c r="G1024" i="8"/>
  <c r="H1078" i="8"/>
  <c r="H1083" i="8" s="1"/>
  <c r="F504" i="8"/>
  <c r="F488" i="8"/>
  <c r="J317" i="2"/>
  <c r="G252" i="8"/>
  <c r="K595" i="8"/>
  <c r="G632" i="8"/>
  <c r="J403" i="8"/>
  <c r="K980" i="8"/>
  <c r="J748" i="8"/>
  <c r="J753" i="8" s="1"/>
  <c r="K1007" i="8"/>
  <c r="H557" i="8"/>
  <c r="K541" i="8"/>
  <c r="F311" i="8"/>
  <c r="F124" i="8"/>
  <c r="F557" i="8"/>
  <c r="H573" i="8"/>
  <c r="I1078" i="8"/>
  <c r="I1083" i="8" s="1"/>
  <c r="J419" i="8"/>
  <c r="J378" i="8"/>
  <c r="G311" i="8"/>
  <c r="G1078" i="8"/>
  <c r="G1083" i="8" s="1"/>
  <c r="F252" i="8"/>
  <c r="F933" i="8"/>
  <c r="K124" i="8"/>
  <c r="K557" i="8"/>
  <c r="I89" i="8"/>
  <c r="I456" i="8"/>
  <c r="J304" i="8"/>
  <c r="J1061" i="8"/>
  <c r="I252" i="8"/>
  <c r="I933" i="8"/>
  <c r="G403" i="8"/>
  <c r="J557" i="8"/>
  <c r="J719" i="8"/>
  <c r="G488" i="8"/>
  <c r="H89" i="8"/>
  <c r="H456" i="8"/>
  <c r="H273" i="8"/>
  <c r="I160" i="8"/>
  <c r="I595" i="8"/>
  <c r="J110" i="8"/>
  <c r="J504" i="8"/>
  <c r="L747" i="8"/>
  <c r="K933" i="8"/>
  <c r="F181" i="8"/>
  <c r="J318" i="8"/>
  <c r="F419" i="8"/>
  <c r="I75" i="8"/>
  <c r="L75" i="8" s="1"/>
  <c r="I403" i="8"/>
  <c r="H886" i="8"/>
  <c r="F304" i="8"/>
  <c r="F1061" i="8"/>
  <c r="F1066" i="8" s="1"/>
  <c r="I472" i="8"/>
  <c r="I224" i="8"/>
  <c r="J814" i="8"/>
  <c r="G181" i="8"/>
  <c r="G719" i="8"/>
  <c r="K89" i="8"/>
  <c r="K456" i="8"/>
  <c r="J595" i="8"/>
  <c r="H266" i="8"/>
  <c r="H1007" i="8"/>
  <c r="I815" i="8"/>
  <c r="G188" i="8"/>
  <c r="G748" i="8"/>
  <c r="H238" i="8"/>
  <c r="F160" i="8"/>
  <c r="F595" i="8"/>
  <c r="K311" i="8"/>
  <c r="I325" i="8"/>
  <c r="I1138" i="8"/>
  <c r="K266" i="8"/>
  <c r="F719" i="8"/>
  <c r="L572" i="8"/>
  <c r="K1138" i="8"/>
  <c r="F631" i="8"/>
  <c r="F632" i="8" s="1"/>
  <c r="G814" i="8"/>
  <c r="K68" i="8"/>
  <c r="K390" i="8"/>
  <c r="J150" i="2"/>
  <c r="L540" i="8"/>
  <c r="K378" i="8"/>
  <c r="J168" i="2"/>
  <c r="G259" i="8"/>
  <c r="G980" i="8"/>
  <c r="G390" i="8"/>
  <c r="G378" i="8"/>
  <c r="G383" i="8" s="1"/>
  <c r="H332" i="8"/>
  <c r="H68" i="8"/>
  <c r="I82" i="8"/>
  <c r="L82" i="8" s="1"/>
  <c r="L1077" i="8"/>
  <c r="K1078" i="8"/>
  <c r="K1083" i="8" s="1"/>
  <c r="H338" i="2"/>
  <c r="G266" i="8"/>
  <c r="G1007" i="8"/>
  <c r="J324" i="2"/>
  <c r="J326" i="2" s="1"/>
  <c r="F259" i="8"/>
  <c r="J331" i="2"/>
  <c r="G110" i="8"/>
  <c r="G504" i="8"/>
  <c r="L503" i="8"/>
  <c r="G318" i="8"/>
  <c r="G1095" i="8"/>
  <c r="J886" i="8"/>
  <c r="J238" i="8"/>
  <c r="L455" i="8"/>
  <c r="K304" i="8"/>
  <c r="K1061" i="8"/>
  <c r="K1066" i="8" s="1"/>
  <c r="G304" i="8"/>
  <c r="G1061" i="8"/>
  <c r="G1066" i="8" s="1"/>
  <c r="J89" i="8"/>
  <c r="J456" i="8"/>
  <c r="J460" i="8" s="1"/>
  <c r="G174" i="8"/>
  <c r="I266" i="8"/>
  <c r="J311" i="8"/>
  <c r="F156" i="2"/>
  <c r="F172" i="2"/>
  <c r="F174" i="2" s="1"/>
  <c r="K664" i="8"/>
  <c r="K665" i="8" s="1"/>
  <c r="K909" i="8"/>
  <c r="L718" i="8"/>
  <c r="G217" i="8"/>
  <c r="G792" i="8"/>
  <c r="G797" i="8" s="1"/>
  <c r="H224" i="8"/>
  <c r="H245" i="8"/>
  <c r="I330" i="2"/>
  <c r="I332" i="2" s="1"/>
  <c r="L1137" i="8"/>
  <c r="L377" i="8"/>
  <c r="H910" i="8"/>
  <c r="G804" i="8"/>
  <c r="I1007" i="8"/>
  <c r="I1012" i="8" s="1"/>
  <c r="G245" i="8"/>
  <c r="G910" i="8"/>
  <c r="G338" i="2"/>
  <c r="I909" i="8"/>
  <c r="J273" i="8"/>
  <c r="J1024" i="8"/>
  <c r="J1029" i="8" s="1"/>
  <c r="J68" i="8"/>
  <c r="J390" i="8"/>
  <c r="H103" i="8"/>
  <c r="L103" i="8" s="1"/>
  <c r="L487" i="8"/>
  <c r="L932" i="8"/>
  <c r="H320" i="2"/>
  <c r="H330" i="2"/>
  <c r="H337" i="2" s="1"/>
  <c r="J105" i="2"/>
  <c r="D338" i="2"/>
  <c r="J245" i="8"/>
  <c r="L1060" i="8"/>
  <c r="J910" i="8"/>
  <c r="I631" i="8"/>
  <c r="L1023" i="8"/>
  <c r="L556" i="8"/>
  <c r="I885" i="8"/>
  <c r="F68" i="8"/>
  <c r="F217" i="8"/>
  <c r="D336" i="2"/>
  <c r="I68" i="8"/>
  <c r="L1094" i="8"/>
  <c r="K419" i="8"/>
  <c r="K423" i="8" s="1"/>
  <c r="I557" i="8"/>
  <c r="I561" i="8" s="1"/>
  <c r="I504" i="8"/>
  <c r="F815" i="8"/>
  <c r="H748" i="8"/>
  <c r="H753" i="8" s="1"/>
  <c r="J541" i="8"/>
  <c r="H1061" i="8"/>
  <c r="H1066" i="8" s="1"/>
  <c r="K814" i="8"/>
  <c r="L791" i="8"/>
  <c r="D330" i="2"/>
  <c r="D320" i="2"/>
  <c r="L594" i="8"/>
  <c r="F980" i="8"/>
  <c r="L1006" i="8"/>
  <c r="G541" i="8"/>
  <c r="F1095" i="8"/>
  <c r="F1106" i="8" s="1"/>
  <c r="H378" i="8"/>
  <c r="K631" i="8"/>
  <c r="G162" i="2"/>
  <c r="G172" i="2"/>
  <c r="G174" i="2" s="1"/>
  <c r="J314" i="2"/>
  <c r="L840" i="8"/>
  <c r="F885" i="8"/>
  <c r="H851" i="8"/>
  <c r="F851" i="8"/>
  <c r="G851" i="8"/>
  <c r="K851" i="8"/>
  <c r="G582" i="8"/>
  <c r="G583" i="8" s="1"/>
  <c r="H1147" i="8"/>
  <c r="C568" i="8"/>
  <c r="K852" i="8"/>
  <c r="J852" i="8"/>
  <c r="H1104" i="8"/>
  <c r="H1106" i="8" s="1"/>
  <c r="G665" i="8"/>
  <c r="I1169" i="8"/>
  <c r="H1169" i="8"/>
  <c r="C1019" i="8"/>
  <c r="G946" i="8"/>
  <c r="G948" i="8" s="1"/>
  <c r="G841" i="8"/>
  <c r="F852" i="8"/>
  <c r="I852" i="8"/>
  <c r="F841" i="8"/>
  <c r="B1019" i="8"/>
  <c r="C905" i="8"/>
  <c r="C1002" i="8"/>
  <c r="H841" i="8"/>
  <c r="C743" i="8"/>
  <c r="J841" i="8"/>
  <c r="H852" i="8"/>
  <c r="C467" i="8"/>
  <c r="C787" i="8"/>
  <c r="C552" i="8"/>
  <c r="C975" i="8"/>
  <c r="J665" i="8"/>
  <c r="G676" i="8"/>
  <c r="C1133" i="8"/>
  <c r="C398" i="8"/>
  <c r="J674" i="8"/>
  <c r="K841" i="8"/>
  <c r="I676" i="8"/>
  <c r="F1169" i="8"/>
  <c r="I1104" i="8"/>
  <c r="I1106" i="8" s="1"/>
  <c r="C483" i="8"/>
  <c r="F853" i="8"/>
  <c r="B1090" i="8"/>
  <c r="C1155" i="8"/>
  <c r="C660" i="8"/>
  <c r="I853" i="8"/>
  <c r="K853" i="8"/>
  <c r="J853" i="8"/>
  <c r="C928" i="8"/>
  <c r="C810" i="8"/>
  <c r="H853" i="8"/>
  <c r="B1002" i="8"/>
  <c r="C1056" i="8"/>
  <c r="I828" i="8"/>
  <c r="G993" i="8"/>
  <c r="C836" i="8"/>
  <c r="C536" i="8"/>
  <c r="L1081" i="8"/>
  <c r="G828" i="8"/>
  <c r="L1167" i="8"/>
  <c r="L825" i="8"/>
  <c r="J644" i="8"/>
  <c r="K332" i="8"/>
  <c r="K1160" i="8"/>
  <c r="L1159" i="8"/>
  <c r="H83" i="8"/>
  <c r="H422" i="8"/>
  <c r="H423" i="8" s="1"/>
  <c r="I635" i="8"/>
  <c r="L543" i="8"/>
  <c r="G760" i="8"/>
  <c r="G761" i="8" s="1"/>
  <c r="G751" i="8"/>
  <c r="G189" i="8"/>
  <c r="J39" i="21" s="1"/>
  <c r="D162" i="2"/>
  <c r="D172" i="2"/>
  <c r="D174" i="2" s="1"/>
  <c r="L1165" i="8"/>
  <c r="J1169" i="8"/>
  <c r="L1168" i="8"/>
  <c r="J48" i="22"/>
  <c r="G674" i="8"/>
  <c r="L117" i="8"/>
  <c r="L333" i="8"/>
  <c r="J993" i="8"/>
  <c r="J995" i="8" s="1"/>
  <c r="H980" i="8"/>
  <c r="H259" i="8"/>
  <c r="J42" i="22"/>
  <c r="L559" i="8"/>
  <c r="L125" i="8"/>
  <c r="D196" i="3"/>
  <c r="D188" i="3"/>
  <c r="L421" i="8"/>
  <c r="G507" i="8"/>
  <c r="G111" i="8"/>
  <c r="L506" i="8"/>
  <c r="H183" i="3"/>
  <c r="H196" i="3"/>
  <c r="L750" i="8"/>
  <c r="K1104" i="8"/>
  <c r="J109" i="3"/>
  <c r="L979" i="8"/>
  <c r="K1149" i="8" l="1"/>
  <c r="H1149" i="8"/>
  <c r="I1149" i="8"/>
  <c r="I1153" i="8" s="1"/>
  <c r="I329" i="8" s="1"/>
  <c r="K383" i="8"/>
  <c r="K1012" i="8"/>
  <c r="G1106" i="8"/>
  <c r="G1110" i="8" s="1"/>
  <c r="G322" i="8" s="1"/>
  <c r="K1106" i="8"/>
  <c r="A1097" i="8"/>
  <c r="A1098" i="8" s="1"/>
  <c r="A1099" i="8" s="1"/>
  <c r="A1101" i="8" s="1"/>
  <c r="A1102" i="8" s="1"/>
  <c r="A1103" i="8" s="1"/>
  <c r="A1106" i="8" s="1"/>
  <c r="A1108" i="8" s="1"/>
  <c r="A1110" i="8" s="1"/>
  <c r="G923" i="8"/>
  <c r="G926" i="8" s="1"/>
  <c r="G249" i="8" s="1"/>
  <c r="I1066" i="8"/>
  <c r="H923" i="8"/>
  <c r="H797" i="8"/>
  <c r="H801" i="8" s="1"/>
  <c r="H899" i="8"/>
  <c r="H903" i="8" s="1"/>
  <c r="H242" i="8" s="1"/>
  <c r="L1083" i="8"/>
  <c r="J1066" i="8"/>
  <c r="G1012" i="8"/>
  <c r="G1016" i="8" s="1"/>
  <c r="G270" i="8" s="1"/>
  <c r="G1029" i="8"/>
  <c r="G1033" i="8" s="1"/>
  <c r="G277" i="8" s="1"/>
  <c r="H1012" i="8"/>
  <c r="H268" i="8" s="1"/>
  <c r="A1009" i="8"/>
  <c r="A1010" i="8" s="1"/>
  <c r="A1012" i="8" s="1"/>
  <c r="A1014" i="8" s="1"/>
  <c r="A1016" i="8" s="1"/>
  <c r="A1019" i="8" s="1"/>
  <c r="A1021" i="8" s="1"/>
  <c r="A1023" i="8" s="1"/>
  <c r="A1024" i="8" s="1"/>
  <c r="I753" i="8"/>
  <c r="I190" i="8" s="1"/>
  <c r="G995" i="8"/>
  <c r="F647" i="8"/>
  <c r="I383" i="8"/>
  <c r="K730" i="8"/>
  <c r="J797" i="8"/>
  <c r="J801" i="8" s="1"/>
  <c r="I830" i="8"/>
  <c r="I1016" i="8"/>
  <c r="I270" i="8" s="1"/>
  <c r="G753" i="8"/>
  <c r="F797" i="8"/>
  <c r="F730" i="8"/>
  <c r="H383" i="8"/>
  <c r="G730" i="8"/>
  <c r="I730" i="8"/>
  <c r="I183" i="8" s="1"/>
  <c r="J383" i="8"/>
  <c r="F806" i="8"/>
  <c r="F383" i="8"/>
  <c r="K268" i="8"/>
  <c r="O39" i="21"/>
  <c r="F190" i="8"/>
  <c r="F320" i="8"/>
  <c r="G492" i="8"/>
  <c r="G496" i="8" s="1"/>
  <c r="G107" i="8" s="1"/>
  <c r="A901" i="8"/>
  <c r="A903" i="8" s="1"/>
  <c r="A905" i="8" s="1"/>
  <c r="A907" i="8" s="1"/>
  <c r="A909" i="8" s="1"/>
  <c r="A910" i="8" s="1"/>
  <c r="A912" i="8" s="1"/>
  <c r="F508" i="8"/>
  <c r="F112" i="8" s="1"/>
  <c r="F476" i="8"/>
  <c r="F480" i="8" s="1"/>
  <c r="F100" i="8" s="1"/>
  <c r="A817" i="8"/>
  <c r="A818" i="8" s="1"/>
  <c r="A819" i="8" s="1"/>
  <c r="A820" i="8" s="1"/>
  <c r="A821" i="8" s="1"/>
  <c r="A823" i="8" s="1"/>
  <c r="A824" i="8" s="1"/>
  <c r="A825" i="8" s="1"/>
  <c r="A826" i="8" s="1"/>
  <c r="A827" i="8" s="1"/>
  <c r="A830" i="8" s="1"/>
  <c r="J407" i="8"/>
  <c r="J77" i="8" s="1"/>
  <c r="I219" i="8"/>
  <c r="K219" i="8"/>
  <c r="H460" i="8"/>
  <c r="H91" i="8" s="1"/>
  <c r="A667" i="8"/>
  <c r="A668" i="8" s="1"/>
  <c r="A669" i="8" s="1"/>
  <c r="A670" i="8" s="1"/>
  <c r="A671" i="8" s="1"/>
  <c r="A673" i="8" s="1"/>
  <c r="A674" i="8" s="1"/>
  <c r="A675" i="8" s="1"/>
  <c r="A676" i="8" s="1"/>
  <c r="A677" i="8" s="1"/>
  <c r="J508" i="8"/>
  <c r="J112" i="8" s="1"/>
  <c r="I508" i="8"/>
  <c r="I112" i="8" s="1"/>
  <c r="G508" i="8"/>
  <c r="F460" i="8"/>
  <c r="F464" i="8" s="1"/>
  <c r="F492" i="8"/>
  <c r="F105" i="8" s="1"/>
  <c r="K313" i="8"/>
  <c r="K460" i="8"/>
  <c r="K91" i="8" s="1"/>
  <c r="I476" i="8"/>
  <c r="I480" i="8" s="1"/>
  <c r="I100" i="8" s="1"/>
  <c r="F393" i="8"/>
  <c r="I460" i="8"/>
  <c r="I91" i="8" s="1"/>
  <c r="M174" i="2"/>
  <c r="N332" i="2"/>
  <c r="H190" i="8"/>
  <c r="G801" i="8"/>
  <c r="F583" i="8"/>
  <c r="F155" i="8" s="1"/>
  <c r="J190" i="8"/>
  <c r="L761" i="8"/>
  <c r="A494" i="8"/>
  <c r="A496" i="8" s="1"/>
  <c r="A499" i="8" s="1"/>
  <c r="A501" i="8" s="1"/>
  <c r="A503" i="8" s="1"/>
  <c r="A504" i="8" s="1"/>
  <c r="A506" i="8" s="1"/>
  <c r="A507" i="8" s="1"/>
  <c r="A508" i="8" s="1"/>
  <c r="K496" i="8"/>
  <c r="K107" i="8" s="1"/>
  <c r="G98" i="8"/>
  <c r="J98" i="8"/>
  <c r="L97" i="8"/>
  <c r="H112" i="8"/>
  <c r="K112" i="8"/>
  <c r="L104" i="8"/>
  <c r="L892" i="8"/>
  <c r="J897" i="8"/>
  <c r="J899" i="8" s="1"/>
  <c r="L914" i="8"/>
  <c r="J916" i="8"/>
  <c r="K897" i="8"/>
  <c r="K899" i="8" s="1"/>
  <c r="G806" i="8"/>
  <c r="L90" i="8"/>
  <c r="J186" i="3"/>
  <c r="C464" i="3"/>
  <c r="E464" i="3" s="1"/>
  <c r="E467" i="3" s="1"/>
  <c r="F599" i="8"/>
  <c r="F162" i="8" s="1"/>
  <c r="A293" i="3"/>
  <c r="A294" i="3" s="1"/>
  <c r="A296" i="3" s="1"/>
  <c r="A297" i="3" s="1"/>
  <c r="A298" i="3" s="1"/>
  <c r="A299" i="3" s="1"/>
  <c r="A300" i="3" s="1"/>
  <c r="A301" i="3" s="1"/>
  <c r="A303" i="3" s="1"/>
  <c r="A304" i="3" s="1"/>
  <c r="A305" i="3" s="1"/>
  <c r="A306" i="3" s="1"/>
  <c r="A307" i="3" s="1"/>
  <c r="A309" i="3" s="1"/>
  <c r="A310" i="3" s="1"/>
  <c r="A311" i="3" s="1"/>
  <c r="A312" i="3" s="1"/>
  <c r="A313" i="3" s="1"/>
  <c r="A314" i="3" s="1"/>
  <c r="A316" i="3" s="1"/>
  <c r="A317" i="3" s="1"/>
  <c r="A318" i="3" s="1"/>
  <c r="A319" i="3" s="1"/>
  <c r="A320" i="3" s="1"/>
  <c r="A321" i="3" s="1"/>
  <c r="A323" i="3" s="1"/>
  <c r="A324" i="3" s="1"/>
  <c r="A325" i="3" s="1"/>
  <c r="A326" i="3" s="1"/>
  <c r="A327" i="3" s="1"/>
  <c r="A329" i="3" s="1"/>
  <c r="A330" i="3" s="1"/>
  <c r="A331" i="3" s="1"/>
  <c r="A332" i="3" s="1"/>
  <c r="A333" i="3" s="1"/>
  <c r="A334" i="3" s="1"/>
  <c r="A354" i="3" s="1"/>
  <c r="A355" i="3" s="1"/>
  <c r="A356" i="3" s="1"/>
  <c r="A358" i="3" s="1"/>
  <c r="A359" i="3" s="1"/>
  <c r="A360" i="3" s="1"/>
  <c r="A361" i="3" s="1"/>
  <c r="A363" i="3" s="1"/>
  <c r="A364" i="3" s="1"/>
  <c r="A365" i="3" s="1"/>
  <c r="A366" i="3" s="1"/>
  <c r="A368" i="3" s="1"/>
  <c r="A369" i="3" s="1"/>
  <c r="A370" i="3" s="1"/>
  <c r="A371" i="3" s="1"/>
  <c r="A373" i="3" s="1"/>
  <c r="A374" i="3" s="1"/>
  <c r="A375" i="3" s="1"/>
  <c r="A376" i="3" s="1"/>
  <c r="A378" i="3" s="1"/>
  <c r="A379" i="3" s="1"/>
  <c r="A380" i="3" s="1"/>
  <c r="A382" i="3" s="1"/>
  <c r="A383" i="3" s="1"/>
  <c r="A384" i="3" s="1"/>
  <c r="A385" i="3" s="1"/>
  <c r="A387" i="3" s="1"/>
  <c r="A388" i="3" s="1"/>
  <c r="A389" i="3" s="1"/>
  <c r="A390" i="3" s="1"/>
  <c r="A392" i="3" s="1"/>
  <c r="A393" i="3" s="1"/>
  <c r="A394" i="3" s="1"/>
  <c r="A396" i="3" s="1"/>
  <c r="A397" i="3" s="1"/>
  <c r="A398" i="3" s="1"/>
  <c r="A399" i="3" s="1"/>
  <c r="A417" i="3" s="1"/>
  <c r="A418" i="3" s="1"/>
  <c r="A419" i="3" s="1"/>
  <c r="A421" i="3" s="1"/>
  <c r="A422" i="3" s="1"/>
  <c r="A423" i="3" s="1"/>
  <c r="A425" i="3" s="1"/>
  <c r="A426" i="3" s="1"/>
  <c r="A427" i="3" s="1"/>
  <c r="A428" i="3" s="1"/>
  <c r="A430" i="3" s="1"/>
  <c r="A432" i="3" s="1"/>
  <c r="A433" i="3" s="1"/>
  <c r="A434" i="3" s="1"/>
  <c r="A435" i="3" s="1"/>
  <c r="A437" i="3" s="1"/>
  <c r="A438" i="3" s="1"/>
  <c r="A439" i="3" s="1"/>
  <c r="A440" i="3" s="1"/>
  <c r="A442" i="3" s="1"/>
  <c r="A443" i="3" s="1"/>
  <c r="A444" i="3" s="1"/>
  <c r="A445" i="3" s="1"/>
  <c r="A447" i="3" s="1"/>
  <c r="A448" i="3" s="1"/>
  <c r="A449" i="3" s="1"/>
  <c r="A450" i="3" s="1"/>
  <c r="A453" i="3" s="1"/>
  <c r="A454" i="3" s="1"/>
  <c r="A455" i="3" s="1"/>
  <c r="A456" i="3" s="1"/>
  <c r="G545" i="8"/>
  <c r="G119" i="8" s="1"/>
  <c r="K407" i="8"/>
  <c r="F334" i="8"/>
  <c r="E350" i="2"/>
  <c r="C350" i="2"/>
  <c r="G306" i="8"/>
  <c r="F1033" i="8"/>
  <c r="F277" i="8" s="1"/>
  <c r="H1070" i="8"/>
  <c r="H308" i="8" s="1"/>
  <c r="J1110" i="8"/>
  <c r="J322" i="8" s="1"/>
  <c r="H275" i="8"/>
  <c r="H334" i="8"/>
  <c r="J599" i="8"/>
  <c r="J603" i="8" s="1"/>
  <c r="J164" i="8" s="1"/>
  <c r="I407" i="8"/>
  <c r="I77" i="8" s="1"/>
  <c r="F306" i="8"/>
  <c r="K599" i="8"/>
  <c r="K162" i="8" s="1"/>
  <c r="H561" i="8"/>
  <c r="H565" i="8" s="1"/>
  <c r="H128" i="8" s="1"/>
  <c r="J583" i="8"/>
  <c r="J587" i="8" s="1"/>
  <c r="J157" i="8" s="1"/>
  <c r="H599" i="8"/>
  <c r="H603" i="8" s="1"/>
  <c r="H164" i="8" s="1"/>
  <c r="I599" i="8"/>
  <c r="I162" i="8" s="1"/>
  <c r="J561" i="8"/>
  <c r="J565" i="8" s="1"/>
  <c r="J128" i="8" s="1"/>
  <c r="F561" i="8"/>
  <c r="F565" i="8" s="1"/>
  <c r="F128" i="8" s="1"/>
  <c r="I583" i="8"/>
  <c r="I155" i="8" s="1"/>
  <c r="I423" i="8"/>
  <c r="I84" i="8" s="1"/>
  <c r="H313" i="8"/>
  <c r="J423" i="8"/>
  <c r="F407" i="8"/>
  <c r="F77" i="8" s="1"/>
  <c r="F545" i="8"/>
  <c r="F119" i="8" s="1"/>
  <c r="F423" i="8"/>
  <c r="F84" i="8" s="1"/>
  <c r="J1070" i="8"/>
  <c r="J308" i="8" s="1"/>
  <c r="I1087" i="8"/>
  <c r="I315" i="8" s="1"/>
  <c r="I1070" i="8"/>
  <c r="I308" i="8" s="1"/>
  <c r="G313" i="8"/>
  <c r="H583" i="8"/>
  <c r="H587" i="8" s="1"/>
  <c r="H157" i="8" s="1"/>
  <c r="K583" i="8"/>
  <c r="K587" i="8" s="1"/>
  <c r="K157" i="8" s="1"/>
  <c r="G561" i="8"/>
  <c r="G126" i="8" s="1"/>
  <c r="G407" i="8"/>
  <c r="G77" i="8" s="1"/>
  <c r="K561" i="8"/>
  <c r="K565" i="8" s="1"/>
  <c r="K128" i="8" s="1"/>
  <c r="K1070" i="8"/>
  <c r="K308" i="8" s="1"/>
  <c r="I1175" i="8"/>
  <c r="I336" i="8" s="1"/>
  <c r="K320" i="8"/>
  <c r="J545" i="8"/>
  <c r="J549" i="8" s="1"/>
  <c r="J121" i="8" s="1"/>
  <c r="K545" i="8"/>
  <c r="K549" i="8" s="1"/>
  <c r="K121" i="8" s="1"/>
  <c r="K275" i="8"/>
  <c r="F326" i="8"/>
  <c r="J326" i="8"/>
  <c r="K326" i="8"/>
  <c r="G326" i="8"/>
  <c r="H326" i="8"/>
  <c r="G260" i="8"/>
  <c r="J260" i="8"/>
  <c r="G253" i="8"/>
  <c r="H246" i="8"/>
  <c r="I246" i="8"/>
  <c r="K239" i="8"/>
  <c r="J239" i="8"/>
  <c r="G239" i="8"/>
  <c r="J232" i="8"/>
  <c r="K232" i="8"/>
  <c r="F232" i="8"/>
  <c r="H232" i="8"/>
  <c r="G232" i="8"/>
  <c r="I232" i="8"/>
  <c r="I225" i="8"/>
  <c r="K225" i="8"/>
  <c r="H225" i="8"/>
  <c r="G225" i="8"/>
  <c r="J806" i="8"/>
  <c r="J737" i="8"/>
  <c r="J738" i="8" s="1"/>
  <c r="K182" i="8"/>
  <c r="F182" i="8"/>
  <c r="L381" i="8"/>
  <c r="J1087" i="8"/>
  <c r="J315" i="8" s="1"/>
  <c r="J105" i="8"/>
  <c r="I275" i="8"/>
  <c r="G334" i="8"/>
  <c r="I496" i="8"/>
  <c r="I107" i="8" s="1"/>
  <c r="I126" i="8"/>
  <c r="G162" i="8"/>
  <c r="F268" i="8"/>
  <c r="I119" i="8"/>
  <c r="H1110" i="8"/>
  <c r="H322" i="8" s="1"/>
  <c r="N35" i="21"/>
  <c r="J54" i="5"/>
  <c r="J289" i="3"/>
  <c r="F330" i="2"/>
  <c r="F337" i="2" s="1"/>
  <c r="F339" i="2" s="1"/>
  <c r="L894" i="8"/>
  <c r="L848" i="8"/>
  <c r="L826" i="8"/>
  <c r="L824" i="8"/>
  <c r="L795" i="8"/>
  <c r="L643" i="8"/>
  <c r="L726" i="8"/>
  <c r="L727" i="8"/>
  <c r="L724" i="8"/>
  <c r="L669" i="8"/>
  <c r="L670" i="8"/>
  <c r="L581" i="8"/>
  <c r="L472" i="8"/>
  <c r="L637" i="8"/>
  <c r="L598" i="8"/>
  <c r="L578" i="8"/>
  <c r="L557" i="8"/>
  <c r="L504" i="8"/>
  <c r="L488" i="8"/>
  <c r="L475" i="8"/>
  <c r="L491" i="8"/>
  <c r="L459" i="8"/>
  <c r="L456" i="8"/>
  <c r="L422" i="8"/>
  <c r="L419" i="8"/>
  <c r="L406" i="8"/>
  <c r="L118" i="8"/>
  <c r="L403" i="8"/>
  <c r="L378" i="8"/>
  <c r="L390" i="8"/>
  <c r="L154" i="8"/>
  <c r="L69" i="8"/>
  <c r="L160" i="8"/>
  <c r="L76" i="8"/>
  <c r="I393" i="8"/>
  <c r="L89" i="8"/>
  <c r="L110" i="8"/>
  <c r="L68" i="8"/>
  <c r="E162" i="2"/>
  <c r="E330" i="2"/>
  <c r="E337" i="2" s="1"/>
  <c r="E339" i="2" s="1"/>
  <c r="J160" i="2"/>
  <c r="J162" i="2" s="1"/>
  <c r="G330" i="2"/>
  <c r="G332" i="2" s="1"/>
  <c r="H334" i="3"/>
  <c r="J334" i="3" s="1"/>
  <c r="J328" i="3"/>
  <c r="E444" i="3"/>
  <c r="E445" i="3" s="1"/>
  <c r="J318" i="2"/>
  <c r="J320" i="2" s="1"/>
  <c r="F196" i="3"/>
  <c r="F454" i="3" s="1"/>
  <c r="J115" i="3"/>
  <c r="J182" i="3"/>
  <c r="G454" i="3"/>
  <c r="F737" i="8"/>
  <c r="F738" i="8" s="1"/>
  <c r="H672" i="8"/>
  <c r="H806" i="8"/>
  <c r="I449" i="3"/>
  <c r="I450" i="3" s="1"/>
  <c r="J728" i="8"/>
  <c r="J730" i="8" s="1"/>
  <c r="G197" i="3"/>
  <c r="G198" i="3" s="1"/>
  <c r="K480" i="8"/>
  <c r="K100" i="8" s="1"/>
  <c r="J182" i="8"/>
  <c r="I35" i="21"/>
  <c r="H678" i="8"/>
  <c r="H393" i="8"/>
  <c r="I672" i="8"/>
  <c r="G645" i="8"/>
  <c r="G647" i="8" s="1"/>
  <c r="H449" i="3"/>
  <c r="H455" i="3" s="1"/>
  <c r="L35" i="21"/>
  <c r="G639" i="8"/>
  <c r="J672" i="8"/>
  <c r="J676" i="8"/>
  <c r="J678" i="8" s="1"/>
  <c r="J680" i="8" s="1"/>
  <c r="E197" i="3"/>
  <c r="M35" i="21"/>
  <c r="E454" i="3"/>
  <c r="L668" i="8"/>
  <c r="L1010" i="8"/>
  <c r="L1146" i="8"/>
  <c r="H549" i="8"/>
  <c r="H121" i="8" s="1"/>
  <c r="H119" i="8"/>
  <c r="E188" i="3"/>
  <c r="J188" i="3" s="1"/>
  <c r="J639" i="8"/>
  <c r="G854" i="8"/>
  <c r="G856" i="8" s="1"/>
  <c r="K393" i="8"/>
  <c r="K737" i="8"/>
  <c r="K738" i="8" s="1"/>
  <c r="L938" i="8"/>
  <c r="L1143" i="8"/>
  <c r="K35" i="21"/>
  <c r="L895" i="8"/>
  <c r="G449" i="3"/>
  <c r="G450" i="3" s="1"/>
  <c r="F672" i="8"/>
  <c r="L805" i="8"/>
  <c r="J854" i="8"/>
  <c r="J856" i="8" s="1"/>
  <c r="L939" i="8"/>
  <c r="D197" i="3"/>
  <c r="D198" i="3" s="1"/>
  <c r="L1064" i="8"/>
  <c r="J1147" i="8"/>
  <c r="J1149" i="8" s="1"/>
  <c r="L1102" i="8"/>
  <c r="H445" i="3"/>
  <c r="F678" i="8"/>
  <c r="L913" i="8"/>
  <c r="L218" i="8"/>
  <c r="H940" i="8"/>
  <c r="H942" i="8"/>
  <c r="H946" i="8" s="1"/>
  <c r="H948" i="8" s="1"/>
  <c r="L1103" i="8"/>
  <c r="J314" i="3"/>
  <c r="L1027" i="8"/>
  <c r="K854" i="8"/>
  <c r="K856" i="8" s="1"/>
  <c r="J135" i="3"/>
  <c r="F639" i="8"/>
  <c r="G672" i="8"/>
  <c r="J439" i="3"/>
  <c r="J294" i="3"/>
  <c r="J448" i="3"/>
  <c r="K672" i="8"/>
  <c r="K675" i="8"/>
  <c r="K678" i="8" s="1"/>
  <c r="K680" i="8" s="1"/>
  <c r="H639" i="8"/>
  <c r="H641" i="8"/>
  <c r="H645" i="8" s="1"/>
  <c r="H647" i="8" s="1"/>
  <c r="J919" i="8"/>
  <c r="J921" i="8" s="1"/>
  <c r="J923" i="8" s="1"/>
  <c r="L671" i="8"/>
  <c r="J24" i="22"/>
  <c r="J645" i="8"/>
  <c r="J647" i="8" s="1"/>
  <c r="L319" i="8"/>
  <c r="L267" i="8"/>
  <c r="J940" i="8"/>
  <c r="J945" i="8"/>
  <c r="J946" i="8" s="1"/>
  <c r="J948" i="8" s="1"/>
  <c r="F197" i="3"/>
  <c r="F183" i="3"/>
  <c r="K639" i="8"/>
  <c r="K642" i="8"/>
  <c r="I918" i="8"/>
  <c r="I921" i="8" s="1"/>
  <c r="L580" i="8"/>
  <c r="L851" i="8"/>
  <c r="J827" i="8"/>
  <c r="J828" i="8" s="1"/>
  <c r="J822" i="8"/>
  <c r="F945" i="8"/>
  <c r="F946" i="8" s="1"/>
  <c r="F948" i="8" s="1"/>
  <c r="F940" i="8"/>
  <c r="L636" i="8"/>
  <c r="F987" i="8"/>
  <c r="L984" i="8"/>
  <c r="F990" i="8"/>
  <c r="F445" i="3"/>
  <c r="F449" i="3"/>
  <c r="F918" i="8"/>
  <c r="F921" i="8" s="1"/>
  <c r="F923" i="8" s="1"/>
  <c r="L985" i="8"/>
  <c r="K991" i="8"/>
  <c r="K993" i="8" s="1"/>
  <c r="K995" i="8" s="1"/>
  <c r="K987" i="8"/>
  <c r="D449" i="3"/>
  <c r="D445" i="3"/>
  <c r="I940" i="8"/>
  <c r="I944" i="8"/>
  <c r="I946" i="8" s="1"/>
  <c r="I948" i="8" s="1"/>
  <c r="H987" i="8"/>
  <c r="L983" i="8"/>
  <c r="H989" i="8"/>
  <c r="L937" i="8"/>
  <c r="L943" i="8"/>
  <c r="L986" i="8"/>
  <c r="I987" i="8"/>
  <c r="I990" i="8"/>
  <c r="I993" i="8" s="1"/>
  <c r="I995" i="8" s="1"/>
  <c r="L1100" i="8"/>
  <c r="K940" i="8"/>
  <c r="K942" i="8"/>
  <c r="K946" i="8" s="1"/>
  <c r="K948" i="8" s="1"/>
  <c r="L821" i="8"/>
  <c r="L936" i="8"/>
  <c r="I183" i="3"/>
  <c r="I197" i="3"/>
  <c r="I198" i="3" s="1"/>
  <c r="F822" i="8"/>
  <c r="F827" i="8"/>
  <c r="F828" i="8" s="1"/>
  <c r="F830" i="8" s="1"/>
  <c r="J338" i="2"/>
  <c r="J329" i="2"/>
  <c r="G84" i="8"/>
  <c r="H665" i="8"/>
  <c r="H512" i="8"/>
  <c r="H114" i="8" s="1"/>
  <c r="I337" i="2"/>
  <c r="I339" i="2" s="1"/>
  <c r="H339" i="2"/>
  <c r="J336" i="2"/>
  <c r="L231" i="8"/>
  <c r="J393" i="8"/>
  <c r="L885" i="8"/>
  <c r="I549" i="8"/>
  <c r="I121" i="8" s="1"/>
  <c r="L188" i="8"/>
  <c r="L318" i="8"/>
  <c r="L1024" i="8"/>
  <c r="F1087" i="8"/>
  <c r="F315" i="8" s="1"/>
  <c r="F313" i="8"/>
  <c r="L181" i="8"/>
  <c r="L266" i="8"/>
  <c r="L909" i="8"/>
  <c r="L1138" i="8"/>
  <c r="L217" i="8"/>
  <c r="L273" i="8"/>
  <c r="L748" i="8"/>
  <c r="L595" i="8"/>
  <c r="L325" i="8"/>
  <c r="L304" i="8"/>
  <c r="L804" i="8"/>
  <c r="H320" i="8"/>
  <c r="J464" i="8"/>
  <c r="J93" i="8" s="1"/>
  <c r="J224" i="8"/>
  <c r="J815" i="8"/>
  <c r="L814" i="8"/>
  <c r="L1061" i="8"/>
  <c r="L124" i="8"/>
  <c r="L332" i="8"/>
  <c r="L311" i="8"/>
  <c r="L1007" i="8"/>
  <c r="G224" i="8"/>
  <c r="G815" i="8"/>
  <c r="G830" i="8" s="1"/>
  <c r="F167" i="8"/>
  <c r="L719" i="8"/>
  <c r="I245" i="8"/>
  <c r="I910" i="8"/>
  <c r="L541" i="8"/>
  <c r="L1078" i="8"/>
  <c r="L573" i="8"/>
  <c r="G393" i="8"/>
  <c r="L1160" i="8"/>
  <c r="K174" i="8"/>
  <c r="L631" i="8"/>
  <c r="L792" i="8"/>
  <c r="G1175" i="8"/>
  <c r="G336" i="8" s="1"/>
  <c r="L252" i="8"/>
  <c r="L933" i="8"/>
  <c r="K245" i="8"/>
  <c r="K910" i="8"/>
  <c r="K923" i="8" s="1"/>
  <c r="H332" i="2"/>
  <c r="F238" i="8"/>
  <c r="F886" i="8"/>
  <c r="F899" i="8" s="1"/>
  <c r="K167" i="8"/>
  <c r="K632" i="8"/>
  <c r="I238" i="8"/>
  <c r="I886" i="8"/>
  <c r="I899" i="8" s="1"/>
  <c r="I167" i="8"/>
  <c r="I632" i="8"/>
  <c r="L259" i="8"/>
  <c r="L1095" i="8"/>
  <c r="I174" i="8"/>
  <c r="K224" i="8"/>
  <c r="K815" i="8"/>
  <c r="K830" i="8" s="1"/>
  <c r="D332" i="2"/>
  <c r="H98" i="8"/>
  <c r="L751" i="8"/>
  <c r="H105" i="8"/>
  <c r="L841" i="8"/>
  <c r="J1016" i="8"/>
  <c r="J270" i="8" s="1"/>
  <c r="L582" i="8"/>
  <c r="L852" i="8"/>
  <c r="F854" i="8"/>
  <c r="F856" i="8" s="1"/>
  <c r="I678" i="8"/>
  <c r="I680" i="8" s="1"/>
  <c r="H84" i="8"/>
  <c r="G678" i="8"/>
  <c r="G680" i="8" s="1"/>
  <c r="L760" i="8"/>
  <c r="H854" i="8"/>
  <c r="H856" i="8" s="1"/>
  <c r="I854" i="8"/>
  <c r="I856" i="8" s="1"/>
  <c r="I320" i="8"/>
  <c r="I1110" i="8"/>
  <c r="I322" i="8" s="1"/>
  <c r="J313" i="8"/>
  <c r="L853" i="8"/>
  <c r="L674" i="8"/>
  <c r="J172" i="2"/>
  <c r="J174" i="2" s="1"/>
  <c r="N174" i="2" s="1"/>
  <c r="L392" i="8"/>
  <c r="D454" i="3"/>
  <c r="L638" i="8"/>
  <c r="L544" i="8"/>
  <c r="L189" i="8"/>
  <c r="L560" i="8"/>
  <c r="L1104" i="8"/>
  <c r="H77" i="8"/>
  <c r="L83" i="8"/>
  <c r="D337" i="2"/>
  <c r="D339" i="2" s="1"/>
  <c r="J35" i="21"/>
  <c r="L111" i="8"/>
  <c r="L391" i="8"/>
  <c r="F174" i="8"/>
  <c r="F665" i="8"/>
  <c r="L1169" i="8"/>
  <c r="I641" i="8"/>
  <c r="I639" i="8"/>
  <c r="L635" i="8"/>
  <c r="H454" i="3"/>
  <c r="H198" i="3"/>
  <c r="L507" i="8"/>
  <c r="G587" i="8"/>
  <c r="G157" i="8" s="1"/>
  <c r="G155" i="8"/>
  <c r="J30" i="22"/>
  <c r="L980" i="8"/>
  <c r="L677" i="8"/>
  <c r="L664" i="8"/>
  <c r="L1149" i="8" l="1"/>
  <c r="I923" i="8"/>
  <c r="L1066" i="8"/>
  <c r="L1106" i="8"/>
  <c r="L1029" i="8"/>
  <c r="L1012" i="8"/>
  <c r="J830" i="8"/>
  <c r="L830" i="8" s="1"/>
  <c r="A1026" i="8"/>
  <c r="A1027" i="8" s="1"/>
  <c r="A1029" i="8" s="1"/>
  <c r="A1031" i="8" s="1"/>
  <c r="A1033" i="8" s="1"/>
  <c r="L753" i="8"/>
  <c r="L948" i="8"/>
  <c r="L797" i="8"/>
  <c r="L923" i="8"/>
  <c r="G190" i="8"/>
  <c r="L190" i="8" s="1"/>
  <c r="L899" i="8"/>
  <c r="L856" i="8"/>
  <c r="F801" i="8"/>
  <c r="F808" i="8" s="1"/>
  <c r="F221" i="8" s="1"/>
  <c r="F27" i="8" s="1"/>
  <c r="L383" i="8"/>
  <c r="L730" i="8"/>
  <c r="H680" i="8"/>
  <c r="F680" i="8"/>
  <c r="A680" i="8"/>
  <c r="A682" i="8" s="1"/>
  <c r="A684" i="8" s="1"/>
  <c r="A686" i="8" s="1"/>
  <c r="A687" i="8" s="1"/>
  <c r="A688" i="8" s="1"/>
  <c r="A690" i="8" s="1"/>
  <c r="O82" i="8"/>
  <c r="J327" i="8"/>
  <c r="K926" i="8"/>
  <c r="K249" i="8" s="1"/>
  <c r="F860" i="8"/>
  <c r="F235" i="8" s="1"/>
  <c r="K860" i="8"/>
  <c r="K235" i="8" s="1"/>
  <c r="J903" i="8"/>
  <c r="J242" i="8" s="1"/>
  <c r="J233" i="8"/>
  <c r="A913" i="8"/>
  <c r="A914" i="8" s="1"/>
  <c r="A915" i="8" s="1"/>
  <c r="A917" i="8" s="1"/>
  <c r="A918" i="8" s="1"/>
  <c r="A919" i="8" s="1"/>
  <c r="A920" i="8" s="1"/>
  <c r="K240" i="8"/>
  <c r="I240" i="8"/>
  <c r="I233" i="8"/>
  <c r="G226" i="8"/>
  <c r="A832" i="8"/>
  <c r="A834" i="8" s="1"/>
  <c r="A836" i="8" s="1"/>
  <c r="A838" i="8" s="1"/>
  <c r="A840" i="8" s="1"/>
  <c r="A841" i="8" s="1"/>
  <c r="F91" i="8"/>
  <c r="M450" i="3"/>
  <c r="G219" i="8"/>
  <c r="G464" i="8"/>
  <c r="G93" i="8" s="1"/>
  <c r="G91" i="8"/>
  <c r="G70" i="8"/>
  <c r="L738" i="8"/>
  <c r="M198" i="3"/>
  <c r="K327" i="8"/>
  <c r="K105" i="8"/>
  <c r="F496" i="8"/>
  <c r="F107" i="8" s="1"/>
  <c r="G254" i="8"/>
  <c r="A510" i="8"/>
  <c r="A512" i="8" s="1"/>
  <c r="H1153" i="8"/>
  <c r="H329" i="8" s="1"/>
  <c r="J999" i="8"/>
  <c r="J263" i="8" s="1"/>
  <c r="G1153" i="8"/>
  <c r="G329" i="8" s="1"/>
  <c r="H226" i="8"/>
  <c r="G261" i="8"/>
  <c r="H926" i="8"/>
  <c r="H249" i="8" s="1"/>
  <c r="G240" i="8"/>
  <c r="K183" i="8"/>
  <c r="I226" i="8"/>
  <c r="K512" i="8"/>
  <c r="K114" i="8" s="1"/>
  <c r="J480" i="8"/>
  <c r="J100" i="8" s="1"/>
  <c r="L897" i="8"/>
  <c r="G808" i="8"/>
  <c r="G221" i="8" s="1"/>
  <c r="G27" i="8" s="1"/>
  <c r="L326" i="8"/>
  <c r="K260" i="8"/>
  <c r="I260" i="8"/>
  <c r="H260" i="8"/>
  <c r="F260" i="8"/>
  <c r="J253" i="8"/>
  <c r="I253" i="8"/>
  <c r="K253" i="8"/>
  <c r="H253" i="8"/>
  <c r="F253" i="8"/>
  <c r="J246" i="8"/>
  <c r="F246" i="8"/>
  <c r="L239" i="8"/>
  <c r="I801" i="8"/>
  <c r="I808" i="8" s="1"/>
  <c r="I221" i="8" s="1"/>
  <c r="I27" i="8" s="1"/>
  <c r="K801" i="8"/>
  <c r="K808" i="8" s="1"/>
  <c r="K221" i="8" s="1"/>
  <c r="K27" i="8" s="1"/>
  <c r="J42" i="21"/>
  <c r="L232" i="8"/>
  <c r="J808" i="8"/>
  <c r="J221" i="8" s="1"/>
  <c r="J27" i="8" s="1"/>
  <c r="F225" i="8"/>
  <c r="J225" i="8"/>
  <c r="H175" i="8"/>
  <c r="K37" i="21" s="1"/>
  <c r="J687" i="8"/>
  <c r="J688" i="8" s="1"/>
  <c r="G175" i="8"/>
  <c r="J37" i="21" s="1"/>
  <c r="I175" i="8"/>
  <c r="L37" i="21" s="1"/>
  <c r="J168" i="8"/>
  <c r="M36" i="21" s="1"/>
  <c r="G654" i="8"/>
  <c r="G655" i="8" s="1"/>
  <c r="I565" i="8"/>
  <c r="I128" i="8" s="1"/>
  <c r="F70" i="8"/>
  <c r="I105" i="8"/>
  <c r="H183" i="8"/>
  <c r="F1016" i="8"/>
  <c r="F270" i="8" s="1"/>
  <c r="I1033" i="8"/>
  <c r="I277" i="8" s="1"/>
  <c r="L423" i="8"/>
  <c r="G603" i="8"/>
  <c r="G164" i="8" s="1"/>
  <c r="K84" i="8"/>
  <c r="J496" i="8"/>
  <c r="J107" i="8" s="1"/>
  <c r="H464" i="8"/>
  <c r="H93" i="8" s="1"/>
  <c r="G480" i="8"/>
  <c r="G100" i="8" s="1"/>
  <c r="L460" i="8"/>
  <c r="C467" i="3"/>
  <c r="F332" i="2"/>
  <c r="E449" i="3"/>
  <c r="E450" i="3" s="1"/>
  <c r="L1147" i="8"/>
  <c r="L806" i="8"/>
  <c r="L737" i="8"/>
  <c r="L728" i="8"/>
  <c r="L672" i="8"/>
  <c r="L675" i="8"/>
  <c r="L676" i="8"/>
  <c r="L599" i="8"/>
  <c r="L508" i="8"/>
  <c r="L492" i="8"/>
  <c r="L476" i="8"/>
  <c r="G168" i="8"/>
  <c r="J36" i="21" s="1"/>
  <c r="L393" i="8"/>
  <c r="L407" i="8"/>
  <c r="I70" i="8"/>
  <c r="J444" i="3"/>
  <c r="J330" i="2"/>
  <c r="J332" i="2" s="1"/>
  <c r="O332" i="2" s="1"/>
  <c r="G337" i="2"/>
  <c r="G339" i="2" s="1"/>
  <c r="E332" i="2"/>
  <c r="J196" i="3"/>
  <c r="F198" i="3"/>
  <c r="K603" i="8"/>
  <c r="K164" i="8" s="1"/>
  <c r="J119" i="8"/>
  <c r="K1016" i="8"/>
  <c r="K270" i="8" s="1"/>
  <c r="G105" i="8"/>
  <c r="F93" i="8"/>
  <c r="F603" i="8"/>
  <c r="F164" i="8" s="1"/>
  <c r="H687" i="8"/>
  <c r="H688" i="8" s="1"/>
  <c r="H808" i="8"/>
  <c r="H221" i="8" s="1"/>
  <c r="H27" i="8" s="1"/>
  <c r="I464" i="8"/>
  <c r="I93" i="8" s="1"/>
  <c r="F512" i="8"/>
  <c r="F114" i="8" s="1"/>
  <c r="K77" i="8"/>
  <c r="L77" i="8" s="1"/>
  <c r="K126" i="8"/>
  <c r="I687" i="8"/>
  <c r="I688" i="8" s="1"/>
  <c r="I512" i="8"/>
  <c r="I114" i="8" s="1"/>
  <c r="O84" i="8"/>
  <c r="I98" i="8"/>
  <c r="J162" i="8"/>
  <c r="K119" i="8"/>
  <c r="I455" i="3"/>
  <c r="I456" i="3" s="1"/>
  <c r="F587" i="8"/>
  <c r="F157" i="8" s="1"/>
  <c r="G549" i="8"/>
  <c r="G121" i="8" s="1"/>
  <c r="J654" i="8"/>
  <c r="J655" i="8" s="1"/>
  <c r="J126" i="8"/>
  <c r="J155" i="8"/>
  <c r="F126" i="8"/>
  <c r="K464" i="8"/>
  <c r="K93" i="8" s="1"/>
  <c r="K70" i="8"/>
  <c r="H162" i="8"/>
  <c r="J512" i="8"/>
  <c r="J114" i="8" s="1"/>
  <c r="H450" i="3"/>
  <c r="H456" i="3"/>
  <c r="E198" i="3"/>
  <c r="F98" i="8"/>
  <c r="H1033" i="8"/>
  <c r="H277" i="8" s="1"/>
  <c r="G565" i="8"/>
  <c r="G128" i="8" s="1"/>
  <c r="J175" i="8"/>
  <c r="M37" i="21" s="1"/>
  <c r="D455" i="3"/>
  <c r="D456" i="3" s="1"/>
  <c r="I603" i="8"/>
  <c r="I164" i="8" s="1"/>
  <c r="L918" i="8"/>
  <c r="J183" i="3"/>
  <c r="F687" i="8"/>
  <c r="F688" i="8" s="1"/>
  <c r="F175" i="8"/>
  <c r="I37" i="21" s="1"/>
  <c r="G455" i="3"/>
  <c r="G456" i="3" s="1"/>
  <c r="H126" i="8"/>
  <c r="L944" i="8"/>
  <c r="H155" i="8"/>
  <c r="G687" i="8"/>
  <c r="G688" i="8" s="1"/>
  <c r="K155" i="8"/>
  <c r="J197" i="3"/>
  <c r="F549" i="8"/>
  <c r="F121" i="8" s="1"/>
  <c r="J440" i="3"/>
  <c r="L639" i="8"/>
  <c r="L182" i="8"/>
  <c r="J445" i="3"/>
  <c r="F654" i="8"/>
  <c r="F655" i="8" s="1"/>
  <c r="F168" i="8"/>
  <c r="I36" i="21" s="1"/>
  <c r="H168" i="8"/>
  <c r="K36" i="21" s="1"/>
  <c r="H654" i="8"/>
  <c r="H655" i="8" s="1"/>
  <c r="K687" i="8"/>
  <c r="K688" i="8" s="1"/>
  <c r="K175" i="8"/>
  <c r="N37" i="21" s="1"/>
  <c r="L919" i="8"/>
  <c r="L945" i="8"/>
  <c r="J84" i="8"/>
  <c r="L989" i="8"/>
  <c r="H993" i="8"/>
  <c r="H995" i="8" s="1"/>
  <c r="L940" i="8"/>
  <c r="L987" i="8"/>
  <c r="L827" i="8"/>
  <c r="L642" i="8"/>
  <c r="K645" i="8"/>
  <c r="K647" i="8" s="1"/>
  <c r="L916" i="8"/>
  <c r="L942" i="8"/>
  <c r="D450" i="3"/>
  <c r="K654" i="8"/>
  <c r="K655" i="8" s="1"/>
  <c r="K168" i="8"/>
  <c r="N36" i="21" s="1"/>
  <c r="L992" i="8"/>
  <c r="L991" i="8"/>
  <c r="F450" i="3"/>
  <c r="F455" i="3"/>
  <c r="F456" i="3" s="1"/>
  <c r="F993" i="8"/>
  <c r="F995" i="8" s="1"/>
  <c r="L990" i="8"/>
  <c r="L822" i="8"/>
  <c r="K1110" i="8"/>
  <c r="K322" i="8" s="1"/>
  <c r="I334" i="8"/>
  <c r="I306" i="8"/>
  <c r="F275" i="8"/>
  <c r="H1016" i="8"/>
  <c r="H270" i="8" s="1"/>
  <c r="J219" i="8"/>
  <c r="G275" i="8"/>
  <c r="H219" i="8"/>
  <c r="F1175" i="8"/>
  <c r="F336" i="8" s="1"/>
  <c r="I268" i="8"/>
  <c r="J70" i="8"/>
  <c r="G247" i="8"/>
  <c r="H1087" i="8"/>
  <c r="H315" i="8" s="1"/>
  <c r="G268" i="8"/>
  <c r="K1033" i="8"/>
  <c r="K277" i="8" s="1"/>
  <c r="I587" i="8"/>
  <c r="I157" i="8" s="1"/>
  <c r="G1070" i="8"/>
  <c r="G308" i="8" s="1"/>
  <c r="H306" i="8"/>
  <c r="F219" i="8"/>
  <c r="J320" i="8"/>
  <c r="F1070" i="8"/>
  <c r="F308" i="8" s="1"/>
  <c r="I313" i="8"/>
  <c r="K1087" i="8"/>
  <c r="K315" i="8" s="1"/>
  <c r="L238" i="8"/>
  <c r="J306" i="8"/>
  <c r="K306" i="8"/>
  <c r="G1087" i="8"/>
  <c r="G315" i="8" s="1"/>
  <c r="L583" i="8"/>
  <c r="F1110" i="8"/>
  <c r="F322" i="8" s="1"/>
  <c r="I327" i="8"/>
  <c r="J91" i="8"/>
  <c r="J275" i="8"/>
  <c r="G183" i="8"/>
  <c r="H1175" i="8"/>
  <c r="H336" i="8" s="1"/>
  <c r="J1033" i="8"/>
  <c r="J277" i="8" s="1"/>
  <c r="L245" i="8"/>
  <c r="H70" i="8"/>
  <c r="L815" i="8"/>
  <c r="G320" i="8"/>
  <c r="L224" i="8"/>
  <c r="L886" i="8"/>
  <c r="L174" i="8"/>
  <c r="L167" i="8"/>
  <c r="L910" i="8"/>
  <c r="L632" i="8"/>
  <c r="H240" i="8"/>
  <c r="L854" i="8"/>
  <c r="J454" i="3"/>
  <c r="I645" i="8"/>
  <c r="I647" i="8" s="1"/>
  <c r="L641" i="8"/>
  <c r="L545" i="8"/>
  <c r="L644" i="8"/>
  <c r="L665" i="8"/>
  <c r="G112" i="8"/>
  <c r="G512" i="8"/>
  <c r="G114" i="8" s="1"/>
  <c r="I168" i="8"/>
  <c r="L36" i="21" s="1"/>
  <c r="I654" i="8"/>
  <c r="I655" i="8" s="1"/>
  <c r="J1175" i="8"/>
  <c r="J334" i="8"/>
  <c r="O35" i="21"/>
  <c r="K334" i="8"/>
  <c r="K1175" i="8"/>
  <c r="K336" i="8" s="1"/>
  <c r="L561" i="8"/>
  <c r="L678" i="8"/>
  <c r="L995" i="8" l="1"/>
  <c r="A923" i="8"/>
  <c r="A924" i="8" s="1"/>
  <c r="A926" i="8" s="1"/>
  <c r="A928" i="8" s="1"/>
  <c r="A930" i="8" s="1"/>
  <c r="A932" i="8" s="1"/>
  <c r="A933" i="8" s="1"/>
  <c r="L40" i="21"/>
  <c r="L680" i="8"/>
  <c r="L647" i="8"/>
  <c r="I40" i="21"/>
  <c r="J40" i="21"/>
  <c r="J44" i="21" s="1"/>
  <c r="N40" i="21"/>
  <c r="M40" i="21"/>
  <c r="K40" i="21"/>
  <c r="H999" i="8"/>
  <c r="H263" i="8" s="1"/>
  <c r="F261" i="8"/>
  <c r="A843" i="8"/>
  <c r="A844" i="8" s="1"/>
  <c r="A845" i="8" s="1"/>
  <c r="A846" i="8" s="1"/>
  <c r="A847" i="8" s="1"/>
  <c r="A849" i="8" s="1"/>
  <c r="A850" i="8" s="1"/>
  <c r="A851" i="8" s="1"/>
  <c r="A852" i="8" s="1"/>
  <c r="A853" i="8" s="1"/>
  <c r="A856" i="8" s="1"/>
  <c r="I169" i="8"/>
  <c r="K169" i="8"/>
  <c r="G169" i="8"/>
  <c r="J176" i="8"/>
  <c r="G176" i="8"/>
  <c r="F176" i="8"/>
  <c r="K176" i="8"/>
  <c r="H169" i="8"/>
  <c r="J169" i="8"/>
  <c r="H176" i="8"/>
  <c r="F169" i="8"/>
  <c r="I176" i="8"/>
  <c r="G860" i="8"/>
  <c r="G235" i="8" s="1"/>
  <c r="G233" i="8"/>
  <c r="L655" i="8"/>
  <c r="K1153" i="8"/>
  <c r="K329" i="8" s="1"/>
  <c r="G952" i="8"/>
  <c r="G256" i="8" s="1"/>
  <c r="H952" i="8"/>
  <c r="H256" i="8" s="1"/>
  <c r="K999" i="8"/>
  <c r="K263" i="8" s="1"/>
  <c r="K29" i="8" s="1"/>
  <c r="L107" i="8"/>
  <c r="J261" i="8"/>
  <c r="G327" i="8"/>
  <c r="H247" i="8"/>
  <c r="I254" i="8"/>
  <c r="J952" i="8"/>
  <c r="J256" i="8" s="1"/>
  <c r="K952" i="8"/>
  <c r="K256" i="8" s="1"/>
  <c r="H327" i="8"/>
  <c r="G999" i="8"/>
  <c r="G263" i="8" s="1"/>
  <c r="I999" i="8"/>
  <c r="I263" i="8" s="1"/>
  <c r="F254" i="8"/>
  <c r="H228" i="8"/>
  <c r="J834" i="8"/>
  <c r="J228" i="8" s="1"/>
  <c r="J247" i="8"/>
  <c r="I834" i="8"/>
  <c r="I228" i="8" s="1"/>
  <c r="L91" i="8"/>
  <c r="J240" i="8"/>
  <c r="O68" i="8"/>
  <c r="E455" i="3"/>
  <c r="E456" i="3" s="1"/>
  <c r="J456" i="3" s="1"/>
  <c r="J1153" i="8"/>
  <c r="J329" i="8" s="1"/>
  <c r="L42" i="21"/>
  <c r="L260" i="8"/>
  <c r="N42" i="21"/>
  <c r="F1153" i="8"/>
  <c r="F329" i="8" s="1"/>
  <c r="F327" i="8"/>
  <c r="L253" i="8"/>
  <c r="K42" i="21"/>
  <c r="M42" i="21"/>
  <c r="I42" i="21"/>
  <c r="L246" i="8"/>
  <c r="G903" i="8"/>
  <c r="G242" i="8" s="1"/>
  <c r="L225" i="8"/>
  <c r="F183" i="8"/>
  <c r="L84" i="8"/>
  <c r="L496" i="8"/>
  <c r="L105" i="8"/>
  <c r="K233" i="8"/>
  <c r="O74" i="8"/>
  <c r="J860" i="8"/>
  <c r="J235" i="8" s="1"/>
  <c r="J183" i="8"/>
  <c r="I860" i="8"/>
  <c r="I235" i="8" s="1"/>
  <c r="L480" i="8"/>
  <c r="J449" i="3"/>
  <c r="L801" i="8"/>
  <c r="L603" i="8"/>
  <c r="L464" i="8"/>
  <c r="L98" i="8"/>
  <c r="L162" i="8"/>
  <c r="L119" i="8"/>
  <c r="L219" i="8"/>
  <c r="L126" i="8"/>
  <c r="L275" i="8"/>
  <c r="L175" i="8"/>
  <c r="L164" i="8"/>
  <c r="L93" i="8"/>
  <c r="L70" i="8"/>
  <c r="J337" i="2"/>
  <c r="J339" i="2" s="1"/>
  <c r="J198" i="3"/>
  <c r="N198" i="3" s="1"/>
  <c r="O37" i="21"/>
  <c r="K903" i="8"/>
  <c r="K242" i="8" s="1"/>
  <c r="L687" i="8"/>
  <c r="L688" i="8" s="1"/>
  <c r="J450" i="3"/>
  <c r="N450" i="3" s="1"/>
  <c r="L921" i="8"/>
  <c r="L168" i="8"/>
  <c r="L828" i="8"/>
  <c r="L946" i="8"/>
  <c r="L993" i="8"/>
  <c r="L155" i="8"/>
  <c r="L268" i="8"/>
  <c r="L315" i="8"/>
  <c r="L270" i="8"/>
  <c r="L313" i="8"/>
  <c r="L1110" i="8"/>
  <c r="L1070" i="8"/>
  <c r="L1087" i="8"/>
  <c r="L308" i="8"/>
  <c r="L1016" i="8"/>
  <c r="L322" i="8"/>
  <c r="L320" i="8"/>
  <c r="L306" i="8"/>
  <c r="L1033" i="8"/>
  <c r="I903" i="8"/>
  <c r="I242" i="8" s="1"/>
  <c r="L277" i="8"/>
  <c r="K247" i="8"/>
  <c r="G834" i="8"/>
  <c r="G228" i="8" s="1"/>
  <c r="F903" i="8"/>
  <c r="F242" i="8" s="1"/>
  <c r="F240" i="8"/>
  <c r="F233" i="8"/>
  <c r="K834" i="8"/>
  <c r="K228" i="8" s="1"/>
  <c r="K226" i="8"/>
  <c r="H860" i="8"/>
  <c r="H235" i="8" s="1"/>
  <c r="H233" i="8"/>
  <c r="L334" i="8"/>
  <c r="L114" i="8"/>
  <c r="P466" i="3"/>
  <c r="P467" i="3" s="1"/>
  <c r="L587" i="8"/>
  <c r="L112" i="8"/>
  <c r="L100" i="8"/>
  <c r="L565" i="8"/>
  <c r="L157" i="8"/>
  <c r="O36" i="21"/>
  <c r="L512" i="8"/>
  <c r="L645" i="8"/>
  <c r="I247" i="8"/>
  <c r="I926" i="8"/>
  <c r="L121" i="8"/>
  <c r="L549" i="8"/>
  <c r="J336" i="8"/>
  <c r="L1175" i="8"/>
  <c r="L654" i="8"/>
  <c r="P462" i="3"/>
  <c r="P463" i="3" s="1"/>
  <c r="A935" i="8" l="1"/>
  <c r="A936" i="8" s="1"/>
  <c r="A937" i="8" s="1"/>
  <c r="A938" i="8" s="1"/>
  <c r="A939" i="8" s="1"/>
  <c r="A941" i="8" s="1"/>
  <c r="A942" i="8" s="1"/>
  <c r="A943" i="8" s="1"/>
  <c r="A944" i="8" s="1"/>
  <c r="A945" i="8" s="1"/>
  <c r="G29" i="8"/>
  <c r="H28" i="8"/>
  <c r="K28" i="8"/>
  <c r="G28" i="8"/>
  <c r="J28" i="8"/>
  <c r="H29" i="8"/>
  <c r="O40" i="21"/>
  <c r="A858" i="8"/>
  <c r="A860" i="8" s="1"/>
  <c r="H254" i="8"/>
  <c r="F952" i="8"/>
  <c r="F256" i="8" s="1"/>
  <c r="K261" i="8"/>
  <c r="I261" i="8"/>
  <c r="J254" i="8"/>
  <c r="L327" i="8"/>
  <c r="K254" i="8"/>
  <c r="I952" i="8"/>
  <c r="I256" i="8" s="1"/>
  <c r="I28" i="8" s="1"/>
  <c r="L176" i="8"/>
  <c r="J226" i="8"/>
  <c r="L240" i="8"/>
  <c r="F926" i="8"/>
  <c r="F249" i="8" s="1"/>
  <c r="N44" i="21"/>
  <c r="J455" i="3"/>
  <c r="L329" i="8"/>
  <c r="L44" i="21"/>
  <c r="L1153" i="8"/>
  <c r="F247" i="8"/>
  <c r="L247" i="8" s="1"/>
  <c r="K44" i="21"/>
  <c r="O42" i="21"/>
  <c r="I44" i="21"/>
  <c r="M44" i="21"/>
  <c r="F226" i="8"/>
  <c r="L183" i="8"/>
  <c r="F834" i="8"/>
  <c r="F228" i="8" s="1"/>
  <c r="F999" i="8"/>
  <c r="F263" i="8" s="1"/>
  <c r="L235" i="8"/>
  <c r="H261" i="8"/>
  <c r="O75" i="8"/>
  <c r="O69" i="8"/>
  <c r="J926" i="8"/>
  <c r="J249" i="8" s="1"/>
  <c r="M23" i="21" s="1"/>
  <c r="O83" i="8"/>
  <c r="L808" i="8"/>
  <c r="N23" i="21"/>
  <c r="L903" i="8"/>
  <c r="L242" i="8"/>
  <c r="J23" i="21"/>
  <c r="K23" i="21"/>
  <c r="L860" i="8"/>
  <c r="L233" i="8"/>
  <c r="L336" i="8"/>
  <c r="I249" i="8"/>
  <c r="I29" i="8" s="1"/>
  <c r="L128" i="8"/>
  <c r="L221" i="8"/>
  <c r="N27" i="8" s="1"/>
  <c r="A948" i="8" l="1"/>
  <c r="A950" i="8" s="1"/>
  <c r="A952" i="8" s="1"/>
  <c r="F28" i="8"/>
  <c r="L28" i="8" s="1"/>
  <c r="J29" i="8"/>
  <c r="J35" i="8" s="1"/>
  <c r="F29" i="8"/>
  <c r="G35" i="8"/>
  <c r="L952" i="8"/>
  <c r="L254" i="8"/>
  <c r="L256" i="8"/>
  <c r="O44" i="21"/>
  <c r="P460" i="3" s="1"/>
  <c r="P464" i="3" s="1"/>
  <c r="L226" i="8"/>
  <c r="L228" i="8"/>
  <c r="L834" i="8"/>
  <c r="I23" i="21"/>
  <c r="L926" i="8"/>
  <c r="L261" i="8"/>
  <c r="L999" i="8"/>
  <c r="K35" i="8"/>
  <c r="H35" i="8"/>
  <c r="L169" i="8"/>
  <c r="L27" i="8"/>
  <c r="O27" i="8" s="1"/>
  <c r="L23" i="21"/>
  <c r="L249" i="8"/>
  <c r="F35" i="8" l="1"/>
  <c r="O70" i="8"/>
  <c r="N28" i="8"/>
  <c r="O28" i="8" s="1"/>
  <c r="O23" i="21"/>
  <c r="L29" i="8"/>
  <c r="L263" i="8"/>
  <c r="N29" i="8" s="1"/>
  <c r="I35" i="8"/>
  <c r="L35" i="8" s="1"/>
  <c r="O29" i="8" l="1"/>
  <c r="I24" i="21"/>
  <c r="K24" i="21" l="1"/>
  <c r="L24" i="21"/>
  <c r="M24" i="21"/>
  <c r="N24" i="21"/>
  <c r="J24" i="21"/>
  <c r="O24" i="21" l="1"/>
  <c r="D19" i="22" l="1"/>
  <c r="E17" i="22" l="1"/>
  <c r="E19" i="22" s="1"/>
  <c r="F17" i="22"/>
  <c r="G17" i="22"/>
  <c r="D23" i="22"/>
  <c r="H17" i="22"/>
  <c r="I17" i="22"/>
  <c r="F385" i="8"/>
  <c r="E23" i="22" l="1"/>
  <c r="G649" i="8" s="1"/>
  <c r="G385" i="8"/>
  <c r="G71" i="8" s="1"/>
  <c r="F71" i="8"/>
  <c r="F387" i="8"/>
  <c r="F395" i="8" s="1"/>
  <c r="H19" i="22"/>
  <c r="J385" i="8"/>
  <c r="H23" i="22"/>
  <c r="D29" i="22"/>
  <c r="D25" i="22"/>
  <c r="F649" i="8"/>
  <c r="G19" i="22"/>
  <c r="I385" i="8"/>
  <c r="G23" i="22"/>
  <c r="I23" i="22"/>
  <c r="K385" i="8"/>
  <c r="I19" i="22"/>
  <c r="H385" i="8"/>
  <c r="F19" i="22"/>
  <c r="F23" i="22"/>
  <c r="E25" i="22" l="1"/>
  <c r="E29" i="22"/>
  <c r="G682" i="8" s="1"/>
  <c r="G387" i="8"/>
  <c r="G395" i="8" s="1"/>
  <c r="G72" i="8" s="1"/>
  <c r="J649" i="8"/>
  <c r="H25" i="22"/>
  <c r="H29" i="22"/>
  <c r="J71" i="8"/>
  <c r="J387" i="8"/>
  <c r="J395" i="8" s="1"/>
  <c r="J72" i="8" s="1"/>
  <c r="F651" i="8"/>
  <c r="F657" i="8" s="1"/>
  <c r="F170" i="8"/>
  <c r="G29" i="22"/>
  <c r="I649" i="8"/>
  <c r="G25" i="22"/>
  <c r="I71" i="8"/>
  <c r="I387" i="8"/>
  <c r="I395" i="8" s="1"/>
  <c r="I72" i="8" s="1"/>
  <c r="G651" i="8"/>
  <c r="G170" i="8"/>
  <c r="H71" i="8"/>
  <c r="H387" i="8"/>
  <c r="H395" i="8" s="1"/>
  <c r="H72" i="8" s="1"/>
  <c r="K71" i="8"/>
  <c r="K387" i="8"/>
  <c r="K395" i="8" s="1"/>
  <c r="K72" i="8" s="1"/>
  <c r="K649" i="8"/>
  <c r="I29" i="22"/>
  <c r="I25" i="22"/>
  <c r="F682" i="8"/>
  <c r="D35" i="22"/>
  <c r="D31" i="22"/>
  <c r="L385" i="8"/>
  <c r="F29" i="22"/>
  <c r="F25" i="22"/>
  <c r="H649" i="8"/>
  <c r="H651" i="8" s="1"/>
  <c r="H657" i="8" s="1"/>
  <c r="J19" i="22"/>
  <c r="G657" i="8" l="1"/>
  <c r="G171" i="8" s="1"/>
  <c r="E31" i="22"/>
  <c r="E35" i="22"/>
  <c r="E41" i="22" s="1"/>
  <c r="J25" i="22"/>
  <c r="L71" i="8"/>
  <c r="L387" i="8"/>
  <c r="H170" i="8"/>
  <c r="H171" i="8"/>
  <c r="H35" i="22"/>
  <c r="H31" i="22"/>
  <c r="J682" i="8"/>
  <c r="I35" i="22"/>
  <c r="I31" i="22"/>
  <c r="K682" i="8"/>
  <c r="G684" i="8"/>
  <c r="G177" i="8"/>
  <c r="D37" i="22"/>
  <c r="D41" i="22"/>
  <c r="F732" i="8"/>
  <c r="G35" i="22"/>
  <c r="G31" i="22"/>
  <c r="I682" i="8"/>
  <c r="F31" i="22"/>
  <c r="F35" i="22"/>
  <c r="H682" i="8"/>
  <c r="K651" i="8"/>
  <c r="K170" i="8"/>
  <c r="L649" i="8"/>
  <c r="J170" i="8"/>
  <c r="J651" i="8"/>
  <c r="I170" i="8"/>
  <c r="I651" i="8"/>
  <c r="F684" i="8"/>
  <c r="F690" i="8" s="1"/>
  <c r="F177" i="8"/>
  <c r="F72" i="8"/>
  <c r="L395" i="8"/>
  <c r="E37" i="22" l="1"/>
  <c r="G732" i="8"/>
  <c r="G184" i="8" s="1"/>
  <c r="G690" i="8"/>
  <c r="G178" i="8" s="1"/>
  <c r="I657" i="8"/>
  <c r="I171" i="8" s="1"/>
  <c r="K657" i="8"/>
  <c r="K171" i="8" s="1"/>
  <c r="J657" i="8"/>
  <c r="J171" i="8" s="1"/>
  <c r="J31" i="22"/>
  <c r="L170" i="8"/>
  <c r="J684" i="8"/>
  <c r="J177" i="8"/>
  <c r="G734" i="8"/>
  <c r="G740" i="8" s="1"/>
  <c r="G185" i="8" s="1"/>
  <c r="I732" i="8"/>
  <c r="G41" i="22"/>
  <c r="G37" i="22"/>
  <c r="F171" i="8"/>
  <c r="D43" i="22"/>
  <c r="D47" i="22"/>
  <c r="F755" i="8"/>
  <c r="H684" i="8"/>
  <c r="H177" i="8"/>
  <c r="K177" i="8"/>
  <c r="K684" i="8"/>
  <c r="I37" i="22"/>
  <c r="I41" i="22"/>
  <c r="K732" i="8"/>
  <c r="I684" i="8"/>
  <c r="I177" i="8"/>
  <c r="J732" i="8"/>
  <c r="H41" i="22"/>
  <c r="H37" i="22"/>
  <c r="F184" i="8"/>
  <c r="F734" i="8"/>
  <c r="E47" i="22"/>
  <c r="E43" i="22"/>
  <c r="G755" i="8"/>
  <c r="L651" i="8"/>
  <c r="L72" i="8"/>
  <c r="L682" i="8"/>
  <c r="H732" i="8"/>
  <c r="F37" i="22"/>
  <c r="F41" i="22"/>
  <c r="L171" i="8" l="1"/>
  <c r="L657" i="8"/>
  <c r="K690" i="8"/>
  <c r="K178" i="8" s="1"/>
  <c r="J690" i="8"/>
  <c r="J178" i="8" s="1"/>
  <c r="H690" i="8"/>
  <c r="H178" i="8" s="1"/>
  <c r="I690" i="8"/>
  <c r="I178" i="8" s="1"/>
  <c r="J18" i="21"/>
  <c r="D53" i="22"/>
  <c r="J37" i="22"/>
  <c r="L177" i="8"/>
  <c r="L684" i="8"/>
  <c r="L690" i="8" s="1"/>
  <c r="F47" i="22"/>
  <c r="F43" i="22"/>
  <c r="H755" i="8"/>
  <c r="G43" i="22"/>
  <c r="G47" i="22"/>
  <c r="I755" i="8"/>
  <c r="H47" i="22"/>
  <c r="J755" i="8"/>
  <c r="H43" i="22"/>
  <c r="I734" i="8"/>
  <c r="I740" i="8" s="1"/>
  <c r="I185" i="8" s="1"/>
  <c r="I184" i="8"/>
  <c r="H184" i="8"/>
  <c r="H734" i="8"/>
  <c r="H740" i="8" s="1"/>
  <c r="H185" i="8" s="1"/>
  <c r="G191" i="8"/>
  <c r="G757" i="8"/>
  <c r="J734" i="8"/>
  <c r="J740" i="8" s="1"/>
  <c r="J185" i="8" s="1"/>
  <c r="J184" i="8"/>
  <c r="K755" i="8"/>
  <c r="I43" i="22"/>
  <c r="I47" i="22"/>
  <c r="F757" i="8"/>
  <c r="F763" i="8" s="1"/>
  <c r="F191" i="8"/>
  <c r="G22" i="8"/>
  <c r="D49" i="22"/>
  <c r="E53" i="22"/>
  <c r="E49" i="22"/>
  <c r="G425" i="8"/>
  <c r="G85" i="8" s="1"/>
  <c r="L732" i="8"/>
  <c r="F740" i="8"/>
  <c r="F178" i="8"/>
  <c r="K734" i="8"/>
  <c r="K740" i="8" s="1"/>
  <c r="K185" i="8" s="1"/>
  <c r="K184" i="8"/>
  <c r="G763" i="8" l="1"/>
  <c r="G192" i="8" s="1"/>
  <c r="I22" i="8"/>
  <c r="J22" i="8"/>
  <c r="N18" i="21"/>
  <c r="K18" i="21"/>
  <c r="M18" i="21"/>
  <c r="L18" i="21"/>
  <c r="L184" i="8"/>
  <c r="K22" i="8"/>
  <c r="J43" i="22"/>
  <c r="H22" i="8"/>
  <c r="F427" i="8"/>
  <c r="F85" i="8"/>
  <c r="H191" i="8"/>
  <c r="H757" i="8"/>
  <c r="H425" i="8"/>
  <c r="F49" i="22"/>
  <c r="F53" i="22"/>
  <c r="L734" i="8"/>
  <c r="J191" i="8"/>
  <c r="J757" i="8"/>
  <c r="F409" i="8"/>
  <c r="D55" i="22"/>
  <c r="I53" i="22"/>
  <c r="I49" i="22"/>
  <c r="K425" i="8"/>
  <c r="K191" i="8"/>
  <c r="K757" i="8"/>
  <c r="F185" i="8"/>
  <c r="L185" i="8" s="1"/>
  <c r="L740" i="8"/>
  <c r="G427" i="8"/>
  <c r="G86" i="8" s="1"/>
  <c r="G20" i="8" s="1"/>
  <c r="H53" i="22"/>
  <c r="H49" i="22"/>
  <c r="J425" i="8"/>
  <c r="I191" i="8"/>
  <c r="I757" i="8"/>
  <c r="L178" i="8"/>
  <c r="G409" i="8"/>
  <c r="G78" i="8" s="1"/>
  <c r="E55" i="22"/>
  <c r="E57" i="22" s="1"/>
  <c r="L755" i="8"/>
  <c r="G49" i="22"/>
  <c r="I425" i="8"/>
  <c r="G53" i="22"/>
  <c r="J20" i="21" l="1"/>
  <c r="G23" i="8"/>
  <c r="H763" i="8"/>
  <c r="H192" i="8" s="1"/>
  <c r="J763" i="8"/>
  <c r="J192" i="8" s="1"/>
  <c r="I763" i="8"/>
  <c r="I192" i="8" s="1"/>
  <c r="K763" i="8"/>
  <c r="K192" i="8" s="1"/>
  <c r="N22" i="8"/>
  <c r="L425" i="8"/>
  <c r="J49" i="22"/>
  <c r="L191" i="8"/>
  <c r="F22" i="8"/>
  <c r="L22" i="8" s="1"/>
  <c r="I18" i="21"/>
  <c r="O18" i="21" s="1"/>
  <c r="H55" i="22"/>
  <c r="H57" i="22" s="1"/>
  <c r="J409" i="8"/>
  <c r="F86" i="8"/>
  <c r="F20" i="8" s="1"/>
  <c r="F192" i="8"/>
  <c r="J16" i="21"/>
  <c r="K409" i="8"/>
  <c r="I55" i="22"/>
  <c r="I57" i="22" s="1"/>
  <c r="H409" i="8"/>
  <c r="F55" i="22"/>
  <c r="F57" i="22" s="1"/>
  <c r="I427" i="8"/>
  <c r="I86" i="8" s="1"/>
  <c r="I85" i="8"/>
  <c r="L757" i="8"/>
  <c r="G55" i="22"/>
  <c r="G57" i="22" s="1"/>
  <c r="I409" i="8"/>
  <c r="K427" i="8"/>
  <c r="K86" i="8" s="1"/>
  <c r="K85" i="8"/>
  <c r="D57" i="22"/>
  <c r="G411" i="8"/>
  <c r="G79" i="8" s="1"/>
  <c r="J427" i="8"/>
  <c r="J86" i="8" s="1"/>
  <c r="J85" i="8"/>
  <c r="F78" i="8"/>
  <c r="F411" i="8"/>
  <c r="H85" i="8"/>
  <c r="H427" i="8"/>
  <c r="H86" i="8" s="1"/>
  <c r="L763" i="8" l="1"/>
  <c r="J23" i="8"/>
  <c r="M20" i="21"/>
  <c r="N20" i="21"/>
  <c r="K23" i="8"/>
  <c r="L20" i="21"/>
  <c r="I23" i="8"/>
  <c r="K20" i="21"/>
  <c r="H23" i="8"/>
  <c r="O22" i="8"/>
  <c r="L85" i="8"/>
  <c r="J55" i="22"/>
  <c r="J57" i="22" s="1"/>
  <c r="J411" i="8"/>
  <c r="J79" i="8" s="1"/>
  <c r="J78" i="8"/>
  <c r="H20" i="8"/>
  <c r="K16" i="21"/>
  <c r="I20" i="21"/>
  <c r="F23" i="8"/>
  <c r="L192" i="8"/>
  <c r="N23" i="8" s="1"/>
  <c r="F79" i="8"/>
  <c r="K78" i="8"/>
  <c r="K411" i="8"/>
  <c r="K79" i="8" s="1"/>
  <c r="K20" i="8"/>
  <c r="N16" i="21"/>
  <c r="I28" i="21"/>
  <c r="M16" i="21"/>
  <c r="J20" i="8"/>
  <c r="J28" i="21"/>
  <c r="I411" i="8"/>
  <c r="I79" i="8" s="1"/>
  <c r="I78" i="8"/>
  <c r="I20" i="8"/>
  <c r="L16" i="21"/>
  <c r="J17" i="21"/>
  <c r="J21" i="21" s="1"/>
  <c r="G21" i="8"/>
  <c r="G24" i="8" s="1"/>
  <c r="G37" i="8" s="1"/>
  <c r="G338" i="8"/>
  <c r="G350" i="8" s="1"/>
  <c r="L427" i="8"/>
  <c r="L409" i="8"/>
  <c r="H411" i="8"/>
  <c r="H79" i="8" s="1"/>
  <c r="H78" i="8"/>
  <c r="L86" i="8"/>
  <c r="N20" i="8" s="1"/>
  <c r="I16" i="21"/>
  <c r="J26" i="21" l="1"/>
  <c r="J30" i="21" s="1"/>
  <c r="L23" i="8"/>
  <c r="O20" i="21"/>
  <c r="N28" i="21"/>
  <c r="L411" i="8"/>
  <c r="L28" i="21"/>
  <c r="I17" i="21"/>
  <c r="I21" i="21" s="1"/>
  <c r="F21" i="8"/>
  <c r="F24" i="8" s="1"/>
  <c r="L79" i="8"/>
  <c r="N21" i="8" s="1"/>
  <c r="F338" i="8"/>
  <c r="K21" i="8"/>
  <c r="K24" i="8" s="1"/>
  <c r="K37" i="8" s="1"/>
  <c r="N17" i="21"/>
  <c r="N21" i="21" s="1"/>
  <c r="K338" i="8"/>
  <c r="K350" i="8" s="1"/>
  <c r="O16" i="21"/>
  <c r="L20" i="8"/>
  <c r="O20" i="8" s="1"/>
  <c r="L78" i="8"/>
  <c r="O71" i="8" s="1"/>
  <c r="J21" i="8"/>
  <c r="J24" i="8" s="1"/>
  <c r="J37" i="8" s="1"/>
  <c r="M17" i="21"/>
  <c r="M21" i="21" s="1"/>
  <c r="J338" i="8"/>
  <c r="J350" i="8" s="1"/>
  <c r="I21" i="8"/>
  <c r="I24" i="8" s="1"/>
  <c r="I37" i="8" s="1"/>
  <c r="L17" i="21"/>
  <c r="L21" i="21" s="1"/>
  <c r="I338" i="8"/>
  <c r="I350" i="8" s="1"/>
  <c r="M28" i="21"/>
  <c r="K28" i="21"/>
  <c r="K17" i="21"/>
  <c r="K21" i="21" s="1"/>
  <c r="H21" i="8"/>
  <c r="H24" i="8" s="1"/>
  <c r="H37" i="8" s="1"/>
  <c r="H338" i="8"/>
  <c r="H350" i="8" s="1"/>
  <c r="N26" i="21" l="1"/>
  <c r="N30" i="21" s="1"/>
  <c r="K26" i="21"/>
  <c r="K30" i="21" s="1"/>
  <c r="L26" i="21"/>
  <c r="L30" i="21" s="1"/>
  <c r="M26" i="21"/>
  <c r="M30" i="21" s="1"/>
  <c r="O23" i="8"/>
  <c r="O72" i="8"/>
  <c r="O81" i="8" s="1"/>
  <c r="O28" i="21"/>
  <c r="L24" i="8"/>
  <c r="F37" i="8"/>
  <c r="L37" i="8" s="1"/>
  <c r="L338" i="8"/>
  <c r="F350" i="8"/>
  <c r="L21" i="8"/>
  <c r="O17" i="21"/>
  <c r="I26" i="21"/>
  <c r="O21" i="21" l="1"/>
  <c r="O21" i="8"/>
  <c r="O24" i="8" s="1"/>
  <c r="N24" i="8"/>
  <c r="O26" i="21"/>
  <c r="O30" i="21" s="1"/>
  <c r="I30" i="21"/>
  <c r="L35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Bell \ Melissa \ J</author>
    <author>Battig \ May \ L</author>
  </authors>
  <commentList>
    <comment ref="C24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Bell \ Melissa \ J:</t>
        </r>
        <r>
          <rPr>
            <sz val="9"/>
            <color indexed="81"/>
            <rFont val="Tahoma"/>
            <family val="2"/>
          </rPr>
          <t xml:space="preserve">
Add account 493, 487, 488</t>
        </r>
      </text>
    </comment>
    <comment ref="B28" authorId="1" shapeId="0" xr:uid="{09BE051E-7780-4627-BA15-D63F942A63F6}">
      <text>
        <r>
          <rPr>
            <b/>
            <sz val="9"/>
            <color indexed="81"/>
            <rFont val="Tahoma"/>
            <family val="2"/>
          </rPr>
          <t>Battig \ May \ L:</t>
        </r>
        <r>
          <rPr>
            <sz val="9"/>
            <color indexed="81"/>
            <rFont val="Tahoma"/>
            <family val="2"/>
          </rPr>
          <t xml:space="preserve">
Other Gas Supply - Operations line on IS_FERC report. Need to back out Acct 807 - not gas cost. Should tie to COS C2.2A Total Co Accts Activ tab </t>
        </r>
      </text>
    </comment>
    <comment ref="A69" authorId="1" shapeId="0" xr:uid="{1BD15E24-399D-428F-8A99-79A4D41CEC33}">
      <text>
        <r>
          <rPr>
            <b/>
            <sz val="9"/>
            <color indexed="81"/>
            <rFont val="Tahoma"/>
            <family val="2"/>
          </rPr>
          <t>Battig \ May \ L:</t>
        </r>
        <r>
          <rPr>
            <sz val="9"/>
            <color indexed="81"/>
            <rFont val="Tahoma"/>
            <family val="2"/>
          </rPr>
          <t xml:space="preserve">
Information provided by Linda Black</t>
        </r>
      </text>
    </comment>
  </commentList>
</comments>
</file>

<file path=xl/sharedStrings.xml><?xml version="1.0" encoding="utf-8"?>
<sst xmlns="http://schemas.openxmlformats.org/spreadsheetml/2006/main" count="2286" uniqueCount="474">
  <si>
    <t>Company:</t>
  </si>
  <si>
    <t>Project:</t>
  </si>
  <si>
    <t>Revenue Pricing</t>
  </si>
  <si>
    <t>Written By:</t>
  </si>
  <si>
    <t>M. P. Balmert</t>
  </si>
  <si>
    <t>Date Written:</t>
  </si>
  <si>
    <t xml:space="preserve">Revisions By: </t>
  </si>
  <si>
    <t>Language:</t>
  </si>
  <si>
    <t>File Name:</t>
  </si>
  <si>
    <t>Synopsis:</t>
  </si>
  <si>
    <t>Rate</t>
  </si>
  <si>
    <t>Line</t>
  </si>
  <si>
    <t>Schedule</t>
  </si>
  <si>
    <t>No.</t>
  </si>
  <si>
    <t>Description</t>
  </si>
  <si>
    <t>Total</t>
  </si>
  <si>
    <t>Tariff Sales Summary by Customer Class</t>
  </si>
  <si>
    <t>Total Residential Sales</t>
  </si>
  <si>
    <t>Total Commercial Sales</t>
  </si>
  <si>
    <t>Total Industrial Sales</t>
  </si>
  <si>
    <t>Total Tariff Sales</t>
  </si>
  <si>
    <t>Transportation Summary by Customer Class</t>
  </si>
  <si>
    <t>Total Commercial Transportation</t>
  </si>
  <si>
    <t>Total Industrial Transportation</t>
  </si>
  <si>
    <t>Total Transportation</t>
  </si>
  <si>
    <t>Total Company Throughput</t>
  </si>
  <si>
    <t>Mcf</t>
  </si>
  <si>
    <t>$/Mcf</t>
  </si>
  <si>
    <t>$</t>
  </si>
  <si>
    <t>[1]</t>
  </si>
  <si>
    <t>Bills</t>
  </si>
  <si>
    <t>Volumes</t>
  </si>
  <si>
    <t>Incremental</t>
  </si>
  <si>
    <t>(Mcf)</t>
  </si>
  <si>
    <t>Mo</t>
  </si>
  <si>
    <t>Service</t>
  </si>
  <si>
    <t>Began/</t>
  </si>
  <si>
    <t>Acct No.</t>
  </si>
  <si>
    <t>Terminated</t>
  </si>
  <si>
    <t>MS EXCEL ver. 8.0</t>
  </si>
  <si>
    <t>Total Residential Transportation</t>
  </si>
  <si>
    <t>Columbia Gas of Kentucky, Inc.</t>
  </si>
  <si>
    <t>11 February 2002</t>
  </si>
  <si>
    <t>None</t>
  </si>
  <si>
    <t>Schedule M</t>
  </si>
  <si>
    <t xml:space="preserve">Case No. </t>
  </si>
  <si>
    <t>(Gas Service)</t>
  </si>
  <si>
    <t>Code</t>
  </si>
  <si>
    <t>Class/</t>
  </si>
  <si>
    <t>(A)</t>
  </si>
  <si>
    <t>(B)</t>
  </si>
  <si>
    <t>(C)</t>
  </si>
  <si>
    <t>Most</t>
  </si>
  <si>
    <t>Current</t>
  </si>
  <si>
    <t>Rates</t>
  </si>
  <si>
    <t>(H)</t>
  </si>
  <si>
    <t>(I)</t>
  </si>
  <si>
    <t>(J)</t>
  </si>
  <si>
    <t>(K)</t>
  </si>
  <si>
    <t>(L)</t>
  </si>
  <si>
    <t>(M)</t>
  </si>
  <si>
    <t>(N)</t>
  </si>
  <si>
    <t>(O)</t>
  </si>
  <si>
    <t>Witness:</t>
  </si>
  <si>
    <t>Work Paper Reference No(s):</t>
  </si>
  <si>
    <t>Base Period</t>
  </si>
  <si>
    <t>Total Wholesale Sales</t>
  </si>
  <si>
    <t>Total  Wholesale Sales</t>
  </si>
  <si>
    <t>DS3</t>
  </si>
  <si>
    <t>GSO</t>
  </si>
  <si>
    <t>GSR</t>
  </si>
  <si>
    <t>General Service - Residential</t>
  </si>
  <si>
    <t>G1C</t>
  </si>
  <si>
    <t>LG&amp;E Commercial</t>
  </si>
  <si>
    <t>G1R</t>
  </si>
  <si>
    <t>LG&amp;E Residential</t>
  </si>
  <si>
    <t>IN3</t>
  </si>
  <si>
    <t>Inland Gas General Service - Residential</t>
  </si>
  <si>
    <t>Inland Gas General Service - Commercial</t>
  </si>
  <si>
    <t>IN4</t>
  </si>
  <si>
    <t>IN5</t>
  </si>
  <si>
    <t>LG2</t>
  </si>
  <si>
    <t xml:space="preserve">LG&amp;E Residential </t>
  </si>
  <si>
    <t>LG3</t>
  </si>
  <si>
    <t>LG4</t>
  </si>
  <si>
    <t>General Service - Commercial</t>
  </si>
  <si>
    <t>General Service - Industrial</t>
  </si>
  <si>
    <t>IUS</t>
  </si>
  <si>
    <t>Intrastate Utility Service - Wholesale</t>
  </si>
  <si>
    <t>Sales Service</t>
  </si>
  <si>
    <t>Transportation Service</t>
  </si>
  <si>
    <t>GTR</t>
  </si>
  <si>
    <t>GTO</t>
  </si>
  <si>
    <t>FX1</t>
  </si>
  <si>
    <t>FX2</t>
  </si>
  <si>
    <t>FX5</t>
  </si>
  <si>
    <t>SC3</t>
  </si>
  <si>
    <t>Other Gas Department Revenue</t>
  </si>
  <si>
    <t>Acct. 488 Miscellaneous Service Revenue</t>
  </si>
  <si>
    <t>Acct. 495 Non-Traditional Sales</t>
  </si>
  <si>
    <t>Acct. 495 Other Gas Revenues - Other</t>
  </si>
  <si>
    <t>Total Sales and Transportation</t>
  </si>
  <si>
    <t>Total Other Gas Department Revenue</t>
  </si>
  <si>
    <t>Total Gross Revenue</t>
  </si>
  <si>
    <t>RESIDENTIAL</t>
  </si>
  <si>
    <t>COMMERCIAL</t>
  </si>
  <si>
    <t>INDUSTRIAL</t>
  </si>
  <si>
    <t xml:space="preserve">Expected Gas Cost Firm Commodity Rate: </t>
  </si>
  <si>
    <t>WHOLESALE</t>
  </si>
  <si>
    <t xml:space="preserve">GTS Choice - Residential </t>
  </si>
  <si>
    <t>GTS Choice - Commercial</t>
  </si>
  <si>
    <t>GTS Choice - Industrial</t>
  </si>
  <si>
    <t>GTS Special Rate - Industrial</t>
  </si>
  <si>
    <t>GTS Main Line Service - Industrial</t>
  </si>
  <si>
    <t>GTS Flex Rate - Industrial</t>
  </si>
  <si>
    <t>GTS Flex Rate - Commercial</t>
  </si>
  <si>
    <t>and text are shown in black.  Instructions are highlighted in yellow.</t>
  </si>
  <si>
    <t>Input area:</t>
  </si>
  <si>
    <t>Rate Code</t>
  </si>
  <si>
    <t>Rate Schedule Name</t>
  </si>
  <si>
    <t>First Block</t>
  </si>
  <si>
    <t>Second Block</t>
  </si>
  <si>
    <t>Third Block</t>
  </si>
  <si>
    <t>Fourth Block</t>
  </si>
  <si>
    <t>Fifth Block</t>
  </si>
  <si>
    <t>Cust Chg.</t>
  </si>
  <si>
    <t>Current Rates</t>
  </si>
  <si>
    <t xml:space="preserve">Data entry areas are shown in the color blue.  Calculations </t>
  </si>
  <si>
    <t>FX7</t>
  </si>
  <si>
    <t>SAS</t>
  </si>
  <si>
    <t>GTS Special Agency Service</t>
  </si>
  <si>
    <t>EAP</t>
  </si>
  <si>
    <t>Gas Cost Revenue</t>
  </si>
  <si>
    <t>Admin chg</t>
  </si>
  <si>
    <t>DS</t>
  </si>
  <si>
    <t>GTS Delivery Service - Commercial</t>
  </si>
  <si>
    <t>GTS Delivery Service - Industrial</t>
  </si>
  <si>
    <t>GDS</t>
  </si>
  <si>
    <t>GTS Grandfathered Delivery Service - Commercial</t>
  </si>
  <si>
    <t>GTS Grandfathered Delivery Service - Industrial</t>
  </si>
  <si>
    <t>Test Year Volumes</t>
  </si>
  <si>
    <t>DS-Ind</t>
  </si>
  <si>
    <t>Additional Volumes (First 50 Mcf)</t>
  </si>
  <si>
    <t>Additional Volumes (Next 350 Mcf)</t>
  </si>
  <si>
    <t>Additional Volumes (Next 600 Mcf)</t>
  </si>
  <si>
    <t>Additional Volumes (Over 1,000 Mcf)</t>
  </si>
  <si>
    <t>Gas Cost Adjustment Rate:</t>
  </si>
  <si>
    <t xml:space="preserve">Gas Cost Adjustment Firm Commodity Rate: </t>
  </si>
  <si>
    <t xml:space="preserve">Gas Cost Adjustment Firm Demand Rate: </t>
  </si>
  <si>
    <t>Gas Cost Adjustment Date:</t>
  </si>
  <si>
    <t>Uncoll</t>
  </si>
  <si>
    <t>Acct. 487 Forfeited Discounts</t>
  </si>
  <si>
    <t>Reference</t>
  </si>
  <si>
    <t>EECP</t>
  </si>
  <si>
    <t>6 Mos Actual / 6 Mos Forecasted</t>
  </si>
  <si>
    <t>Number of Bills</t>
  </si>
  <si>
    <t>Riders:</t>
  </si>
  <si>
    <t>Volumes (Mcf)</t>
  </si>
  <si>
    <t>Adjustment to Test Year Bills and Mcf</t>
  </si>
  <si>
    <t>Adjustment to Bills and Mcf Generated By Industrial Customers</t>
  </si>
  <si>
    <t>Revenues At Present and Proposed Rates</t>
  </si>
  <si>
    <t>Customer Bills</t>
  </si>
  <si>
    <t>Revenue Less Gas Cost</t>
  </si>
  <si>
    <t>Total Revenue</t>
  </si>
  <si>
    <t>Revenue Excluding Riders</t>
  </si>
  <si>
    <t>Commodity Charge</t>
  </si>
  <si>
    <t>Gas Cost Revenue [2]</t>
  </si>
  <si>
    <t>Volumes (Mcf) [1]</t>
  </si>
  <si>
    <t xml:space="preserve">  Customer Charge</t>
  </si>
  <si>
    <t xml:space="preserve">  Commodity Charge</t>
  </si>
  <si>
    <t xml:space="preserve">  Energy Efficiency Conservation Program</t>
  </si>
  <si>
    <t xml:space="preserve">  Gas Cost Uncollectible Charge</t>
  </si>
  <si>
    <t xml:space="preserve">  EAP Recovery</t>
  </si>
  <si>
    <t xml:space="preserve">  Total Riders</t>
  </si>
  <si>
    <t>Volumes (Mcf)[1]</t>
  </si>
  <si>
    <t xml:space="preserve">    Bills</t>
  </si>
  <si>
    <t xml:space="preserve">    Volumes</t>
  </si>
  <si>
    <t xml:space="preserve">    Revenue Less Gas Cost</t>
  </si>
  <si>
    <t xml:space="preserve">    Gas Cost</t>
  </si>
  <si>
    <t xml:space="preserve">    Total Revenue</t>
  </si>
  <si>
    <r>
      <t>Data:</t>
    </r>
    <r>
      <rPr>
        <b/>
        <u/>
        <sz val="12"/>
        <rFont val="Arial"/>
        <family val="2"/>
      </rPr>
      <t xml:space="preserve"> X</t>
    </r>
    <r>
      <rPr>
        <b/>
        <sz val="12"/>
        <rFont val="Arial"/>
        <family val="2"/>
      </rPr>
      <t xml:space="preserve"> Base Period _ Forecasted Period</t>
    </r>
  </si>
  <si>
    <r>
      <t xml:space="preserve">Type of Filing: </t>
    </r>
    <r>
      <rPr>
        <b/>
        <u/>
        <sz val="12"/>
        <rFont val="Arial"/>
        <family val="2"/>
      </rPr>
      <t>X</t>
    </r>
    <r>
      <rPr>
        <b/>
        <sz val="12"/>
        <rFont val="Arial"/>
        <family val="2"/>
      </rPr>
      <t xml:space="preserve"> Original _ Update _ Revised</t>
    </r>
  </si>
  <si>
    <t>FERC</t>
  </si>
  <si>
    <t>Acct</t>
  </si>
  <si>
    <t>Operating Revenue</t>
  </si>
  <si>
    <t>Sales of Gas</t>
  </si>
  <si>
    <t>Total Operating Revenue</t>
  </si>
  <si>
    <t xml:space="preserve">    Residential Sales Revenue</t>
  </si>
  <si>
    <t xml:space="preserve">    Commercial Sales Revenue</t>
  </si>
  <si>
    <t xml:space="preserve">    Industrial Sales Revenue</t>
  </si>
  <si>
    <t xml:space="preserve">    Total Sales of Gas</t>
  </si>
  <si>
    <t xml:space="preserve">    Public Utilities</t>
  </si>
  <si>
    <t xml:space="preserve">    Transportation Revenue - Residential</t>
  </si>
  <si>
    <t xml:space="preserve">    Transportation Revenue - Commercial</t>
  </si>
  <si>
    <t xml:space="preserve">    Transportation Revenue - Industrial</t>
  </si>
  <si>
    <t xml:space="preserve">    Forfeited Discounts</t>
  </si>
  <si>
    <t xml:space="preserve">    Miscellaneous Service Revenue</t>
  </si>
  <si>
    <t xml:space="preserve">    Non-Traditional Sales</t>
  </si>
  <si>
    <t xml:space="preserve">    Other Gas Revenues - Other</t>
  </si>
  <si>
    <t>Rate Schedule GSR - Residential</t>
  </si>
  <si>
    <t>Rate Schedule G1C - Commercial</t>
  </si>
  <si>
    <t>Rate Schedule G1R - Residential</t>
  </si>
  <si>
    <t xml:space="preserve">  Industrial Adjustment</t>
  </si>
  <si>
    <t>Rate Schedule IN3 - Residential</t>
  </si>
  <si>
    <t>Rate Schedule IN3 - Commercial</t>
  </si>
  <si>
    <t>Rate Schedule IN4 - Residential</t>
  </si>
  <si>
    <t>Rate Schedule IN5 - Residential</t>
  </si>
  <si>
    <t>Rate Schedule LG2 - Residential</t>
  </si>
  <si>
    <t>Rate Schedule LG2 - Commercial</t>
  </si>
  <si>
    <t>Rate Schedule LG3 - Residential</t>
  </si>
  <si>
    <t xml:space="preserve">    First 2 Mcf</t>
  </si>
  <si>
    <t xml:space="preserve">    Over 2 Mcf</t>
  </si>
  <si>
    <t>Rate Schedule LG4 - Residential</t>
  </si>
  <si>
    <t>Rate Schedule GSO - Commercial</t>
  </si>
  <si>
    <t xml:space="preserve">    First 50 Mcf</t>
  </si>
  <si>
    <t xml:space="preserve">    Next 350 Mcf</t>
  </si>
  <si>
    <t xml:space="preserve">    Next 600 Mcf</t>
  </si>
  <si>
    <t xml:space="preserve">    Over 1,000 Mcf</t>
  </si>
  <si>
    <t xml:space="preserve">  Adjusted Bills</t>
  </si>
  <si>
    <t>Rate Schedule DS - Commercial</t>
  </si>
  <si>
    <t>Rate Schedule GDS - Industrial</t>
  </si>
  <si>
    <t>Rate Schedule DS - Industrial</t>
  </si>
  <si>
    <t xml:space="preserve">  Adjusted Volumes</t>
  </si>
  <si>
    <t>Rate Schedule GSO - Industrial</t>
  </si>
  <si>
    <t>Rate Schedule IUS - Wholesale</t>
  </si>
  <si>
    <t>Rate Schedule GTR - Residential</t>
  </si>
  <si>
    <t>Rate Schedule GTO - Commercial</t>
  </si>
  <si>
    <t>Rate Schedule GTO - Industrial</t>
  </si>
  <si>
    <t xml:space="preserve">    First 30,000 Mcf</t>
  </si>
  <si>
    <t xml:space="preserve">    Over 30,000 Mcf</t>
  </si>
  <si>
    <t>Rate Schedule GDS - Commercial</t>
  </si>
  <si>
    <t>Rate Schedule DS3 - Industrial</t>
  </si>
  <si>
    <t>Rate Schedule FX1 - Commercial</t>
  </si>
  <si>
    <t>Rate Schedule FX2 - Commercial</t>
  </si>
  <si>
    <t>Rate Schedule FX5 - Industrial</t>
  </si>
  <si>
    <t>Rate Schedule FX7 - Industrial</t>
  </si>
  <si>
    <t xml:space="preserve">    First 25,000 Mcf</t>
  </si>
  <si>
    <t xml:space="preserve">    Over 25,000 Mcf</t>
  </si>
  <si>
    <t>Rate Schedule SAS - Commercial</t>
  </si>
  <si>
    <t>Rate Schedule SC3 - Industrial</t>
  </si>
  <si>
    <t xml:space="preserve">    First 150,000 Mcf</t>
  </si>
  <si>
    <t xml:space="preserve">    Over 150,000 Mcf</t>
  </si>
  <si>
    <t xml:space="preserve">IS </t>
  </si>
  <si>
    <t>Rate Schedule IS - Industrial</t>
  </si>
  <si>
    <t>Other Operating Revenue</t>
  </si>
  <si>
    <t xml:space="preserve">    Total Other Operating Revenue</t>
  </si>
  <si>
    <t>[2]</t>
  </si>
  <si>
    <t>Total Adjusted Bills</t>
  </si>
  <si>
    <t>Total Adjusted Volumes</t>
  </si>
  <si>
    <t xml:space="preserve">  Bills</t>
  </si>
  <si>
    <t xml:space="preserve">  Finaled Bills</t>
  </si>
  <si>
    <t>Interruptible Service - Industrial</t>
  </si>
  <si>
    <t>GST</t>
  </si>
  <si>
    <t>General Service - Trans Fallback - Comm</t>
  </si>
  <si>
    <t>General Service - Trans Fallback - Ind</t>
  </si>
  <si>
    <t>IST</t>
  </si>
  <si>
    <t>Interruptible Service  - Fallback - Commercial</t>
  </si>
  <si>
    <t>Interruptible Service  - Fallback - Industrial</t>
  </si>
  <si>
    <t>Total Company Bills</t>
  </si>
  <si>
    <t>GSO-Ind</t>
  </si>
  <si>
    <t>DO NOT FILE - CHECK ONLY</t>
  </si>
  <si>
    <t>GCR</t>
  </si>
  <si>
    <t>Acct. 493 Rent From Gas Property</t>
  </si>
  <si>
    <t>Residential Sales</t>
  </si>
  <si>
    <t>Commercial Sales</t>
  </si>
  <si>
    <t>Industrial Sales</t>
  </si>
  <si>
    <t>Public Utilities</t>
  </si>
  <si>
    <t>Total Sales</t>
  </si>
  <si>
    <t>Transportation</t>
  </si>
  <si>
    <t>Total Operating Revenues</t>
  </si>
  <si>
    <t>Total Volumes</t>
  </si>
  <si>
    <t>(Act)</t>
  </si>
  <si>
    <t>Total Revenue (Excluding Gas Cost)</t>
  </si>
  <si>
    <t xml:space="preserve">    Rent from Gas Property</t>
  </si>
  <si>
    <t>Total Gas Revenue</t>
  </si>
  <si>
    <t>Rev</t>
  </si>
  <si>
    <t>Rider</t>
  </si>
  <si>
    <t>[2] See WPM-A for Gas Cost Recovery Rate.</t>
  </si>
  <si>
    <t>actual</t>
  </si>
  <si>
    <t>Page 1 of 3</t>
  </si>
  <si>
    <t>PB</t>
  </si>
  <si>
    <t>pf</t>
  </si>
  <si>
    <t>Workpaper WPM-A.1</t>
  </si>
  <si>
    <t>Workpaper WPM-B.1</t>
  </si>
  <si>
    <t>Workpaper WPM-C.1</t>
  </si>
  <si>
    <r>
      <t xml:space="preserve">Type of Filing: </t>
    </r>
    <r>
      <rPr>
        <b/>
        <u/>
        <sz val="10"/>
        <rFont val="Arial"/>
        <family val="2"/>
      </rPr>
      <t>X</t>
    </r>
    <r>
      <rPr>
        <b/>
        <sz val="10"/>
        <rFont val="Arial"/>
        <family val="2"/>
      </rPr>
      <t xml:space="preserve"> Original _ Update _ Revised</t>
    </r>
  </si>
  <si>
    <t>Vols</t>
  </si>
  <si>
    <t>CC</t>
  </si>
  <si>
    <t>Base</t>
  </si>
  <si>
    <t>Sheet 1 of 1</t>
  </si>
  <si>
    <t>Determination of Test Year Gas Cost Revenue</t>
  </si>
  <si>
    <t>Gas Cost Rate [1]</t>
  </si>
  <si>
    <t>Total Gas Cost Revenue</t>
  </si>
  <si>
    <r>
      <t>Data:</t>
    </r>
    <r>
      <rPr>
        <b/>
        <u/>
        <sz val="10"/>
        <rFont val="Arial"/>
        <family val="2"/>
      </rPr>
      <t xml:space="preserve"> _X_</t>
    </r>
    <r>
      <rPr>
        <b/>
        <sz val="10"/>
        <rFont val="Arial"/>
        <family val="2"/>
      </rPr>
      <t xml:space="preserve"> Base Period__Forecasted Period</t>
    </r>
  </si>
  <si>
    <t>Workpaper WPM-D.1</t>
  </si>
  <si>
    <t xml:space="preserve">  Volumes</t>
  </si>
  <si>
    <t xml:space="preserve">    Adjusted Volumes</t>
  </si>
  <si>
    <t>PB Sept thru Feb</t>
  </si>
  <si>
    <t>Schedule M-2.2B</t>
  </si>
  <si>
    <t>[1] Gas Cost Rate excludes Gas Cost Uncollectible Rider.</t>
  </si>
  <si>
    <t>(WPM-D)</t>
  </si>
  <si>
    <t>Large Com/Ind Customers</t>
  </si>
  <si>
    <t>Large Com/Ind Volumes</t>
  </si>
  <si>
    <t>[1] Transportation revenue includes unbilled revenue for six months of actual.</t>
  </si>
  <si>
    <t>[2] Other Revenue includes unbilled sales revenue for six months of actual.</t>
  </si>
  <si>
    <t>Work Paper Reference No(s): WPM-B.1, WPM-C.1, WPM-D.1</t>
  </si>
  <si>
    <t xml:space="preserve">Revenue by Customer Class </t>
  </si>
  <si>
    <t>GCA - uncollectible</t>
  </si>
  <si>
    <t>Volumetric Delivery Charge</t>
  </si>
  <si>
    <t>G1C - 1st 100</t>
  </si>
  <si>
    <t>G1C - Over 100</t>
  </si>
  <si>
    <t>Sheet 1 of 6</t>
  </si>
  <si>
    <t>Sheet 2 of 6</t>
  </si>
  <si>
    <t>Sheet 3 of 6</t>
  </si>
  <si>
    <t>Sheet 5 of 6</t>
  </si>
  <si>
    <t>Sheet 6 of 6</t>
  </si>
  <si>
    <t>Sheet 4 of 6</t>
  </si>
  <si>
    <t>6 Mos Forecasted</t>
  </si>
  <si>
    <t xml:space="preserve"> Test Year Revenues at Most Current Rates</t>
  </si>
  <si>
    <t>Test Year Revenues at Most Current Rates</t>
  </si>
  <si>
    <t>Page 1 of 15</t>
  </si>
  <si>
    <t>Page 2 of 15</t>
  </si>
  <si>
    <t>Page 3 of 15</t>
  </si>
  <si>
    <t>Page 4 of 15</t>
  </si>
  <si>
    <t>Page 5 of 15</t>
  </si>
  <si>
    <t>Page 7 of 15</t>
  </si>
  <si>
    <t>Page 11 of 15</t>
  </si>
  <si>
    <t>Page 15 of 15</t>
  </si>
  <si>
    <t>Page 6 of 15</t>
  </si>
  <si>
    <t>Page 8 of 15</t>
  </si>
  <si>
    <t>Page 9 of 15</t>
  </si>
  <si>
    <t>Page 10 of 15</t>
  </si>
  <si>
    <t>Page 12 of 15</t>
  </si>
  <si>
    <t>Page 13 of 15</t>
  </si>
  <si>
    <t>Page 14 of 15</t>
  </si>
  <si>
    <t>[2] See Schedule M-2.2B Pages 6 through 15 for detail.</t>
  </si>
  <si>
    <r>
      <t xml:space="preserve">Data: </t>
    </r>
    <r>
      <rPr>
        <b/>
        <u/>
        <sz val="11"/>
        <rFont val="Arial"/>
        <family val="2"/>
      </rPr>
      <t>X</t>
    </r>
    <r>
      <rPr>
        <b/>
        <sz val="11"/>
        <rFont val="Arial"/>
        <family val="2"/>
      </rPr>
      <t xml:space="preserve"> Base Period _ Forecasted Period</t>
    </r>
  </si>
  <si>
    <r>
      <t xml:space="preserve">Type of Filing: </t>
    </r>
    <r>
      <rPr>
        <b/>
        <u/>
        <sz val="11"/>
        <rFont val="Arial"/>
        <family val="2"/>
      </rPr>
      <t>X</t>
    </r>
    <r>
      <rPr>
        <b/>
        <sz val="11"/>
        <rFont val="Arial"/>
        <family val="2"/>
      </rPr>
      <t xml:space="preserve"> Original _ Update _ Revised</t>
    </r>
  </si>
  <si>
    <t>(Forecasted)</t>
  </si>
  <si>
    <t>Mcf by Customer Class [3]</t>
  </si>
  <si>
    <t>[3] Actual Mcf by Customer Class does not include unbilled Mcf.</t>
  </si>
  <si>
    <t>Residential Tariff DIS</t>
  </si>
  <si>
    <t>Residential Choice DIS</t>
  </si>
  <si>
    <t xml:space="preserve">C&amp;I Tariff </t>
  </si>
  <si>
    <t>C&amp;I Choice</t>
  </si>
  <si>
    <t>Per Above</t>
  </si>
  <si>
    <t>Per Rev. Summ.</t>
  </si>
  <si>
    <t>Diff</t>
  </si>
  <si>
    <t>Check - Do Not File</t>
  </si>
  <si>
    <t>(WPD)</t>
  </si>
  <si>
    <t>SC3-Ind</t>
  </si>
  <si>
    <t>First 150,000 Mcf</t>
  </si>
  <si>
    <t>Over 150,000 Mcf</t>
  </si>
  <si>
    <t xml:space="preserve">    Next 150,000 Mcf</t>
  </si>
  <si>
    <t>First 30,000 Mcf</t>
  </si>
  <si>
    <t>Over 30,000 Mcf</t>
  </si>
  <si>
    <t>New Customer</t>
  </si>
  <si>
    <t>Sheet 2 of 2</t>
  </si>
  <si>
    <t>Sheet 1 of 2</t>
  </si>
  <si>
    <t>GSO-Com</t>
  </si>
  <si>
    <t>EAP 11/01/20</t>
  </si>
  <si>
    <t>Tax Act Adj 11/27/19</t>
  </si>
  <si>
    <t xml:space="preserve">    Next 70,000 Mcf</t>
  </si>
  <si>
    <t xml:space="preserve">    Over 100,000 Mcf</t>
  </si>
  <si>
    <t>Check to Above</t>
  </si>
  <si>
    <t>Check to above</t>
  </si>
  <si>
    <t>Customer</t>
  </si>
  <si>
    <t xml:space="preserve"> all</t>
  </si>
  <si>
    <t>Check to income statement</t>
  </si>
  <si>
    <t>(IS-FERC)</t>
  </si>
  <si>
    <t>Check to Gas Revenue &amp; Statistics</t>
  </si>
  <si>
    <t>Sales</t>
  </si>
  <si>
    <t>Transportation unbilled</t>
  </si>
  <si>
    <t>Check s/b 0</t>
  </si>
  <si>
    <t>Sales unbilled (include OSS)</t>
  </si>
  <si>
    <t>Diff s/b 0</t>
  </si>
  <si>
    <t>Check</t>
  </si>
  <si>
    <t>Total Riders</t>
  </si>
  <si>
    <t>Aug-23</t>
  </si>
  <si>
    <t>Sep-23</t>
  </si>
  <si>
    <t>Oct-23</t>
  </si>
  <si>
    <t>Nov-23</t>
  </si>
  <si>
    <t>Dec-23</t>
  </si>
  <si>
    <t>Jan-24</t>
  </si>
  <si>
    <t>Feb-24</t>
  </si>
  <si>
    <t>Mar-24</t>
  </si>
  <si>
    <t>Apr-24</t>
  </si>
  <si>
    <t>May-24</t>
  </si>
  <si>
    <t>Jun-24</t>
  </si>
  <si>
    <t>Jul-24</t>
  </si>
  <si>
    <t>Aug-24</t>
  </si>
  <si>
    <t>For the 6 Months Ended August 31, 2024</t>
  </si>
  <si>
    <t>Customers who have been added between September 1, 2023 and August 31, 2024</t>
  </si>
  <si>
    <t>Customers who have become inactive between September 1, 2023 and August 31, 2024</t>
  </si>
  <si>
    <t>Customers who have significant usage change between September 1, 2023 and August 31, 2024</t>
  </si>
  <si>
    <t>X:\CKY\Rate Case Filings\Rate Case - 2024\Revenue\Sch M-Revenue and Rate Design (Base Period)</t>
  </si>
  <si>
    <t>February 29, 2024</t>
  </si>
  <si>
    <t>SMRP</t>
  </si>
  <si>
    <t>EECP 01/31/24</t>
  </si>
  <si>
    <t>R&amp;D 02/29/24</t>
  </si>
  <si>
    <t>Uncoll 02/29/24</t>
  </si>
  <si>
    <t>For the 12 Months Ended August 31, 2024</t>
  </si>
  <si>
    <t>Sept-23</t>
  </si>
  <si>
    <t>[1] Reflects forecasted volumes for March through August 2024.</t>
  </si>
  <si>
    <t>Other Sales</t>
  </si>
  <si>
    <t>Residential - DIS - Karen Gray (8A &amp; 8B)</t>
  </si>
  <si>
    <t>Residential - DIS - Karen Gray - Adj (8A &amp; 8B)</t>
  </si>
  <si>
    <t>Commercial - DIS - Karen Gray (8C &amp; 8D)</t>
  </si>
  <si>
    <t>Commercial - DIS - Karen Gray - Adj (8C &amp; 8D)</t>
  </si>
  <si>
    <t>Industrial - DIS - Karen Gray (8E &amp; 8F)</t>
  </si>
  <si>
    <t>Industrial - DIS - Karen Gray - Adj (8E &amp; 8F)</t>
  </si>
  <si>
    <t xml:space="preserve">Commercial - GAS - Karen Gray </t>
  </si>
  <si>
    <t xml:space="preserve">Industrial - GAS - Karen Gray </t>
  </si>
  <si>
    <t>Gas Transportation - Commercial - Other Charges Summary</t>
  </si>
  <si>
    <t>Gas Transportation - Industrial - Other Charges Summary</t>
  </si>
  <si>
    <t>Estimate (Kevin Johnson's file)</t>
  </si>
  <si>
    <t>Reversal of Estimate</t>
  </si>
  <si>
    <t>w/o estimate</t>
  </si>
  <si>
    <t>Total SMRP Billed Revenue</t>
  </si>
  <si>
    <t>Total Monthly SMRP Billed Revenue with estimate</t>
  </si>
  <si>
    <t>Monthly SMRP Revenue Adjustment</t>
  </si>
  <si>
    <t>Rev Req Adj 2023 made Feb 2024</t>
  </si>
  <si>
    <t>Total monthly SMRP Adjustment</t>
  </si>
  <si>
    <t xml:space="preserve">R&amp;D Rider (PGA 10) </t>
  </si>
  <si>
    <t>Residential DIS/GMB</t>
  </si>
  <si>
    <t>Commercial DIS/GMB</t>
  </si>
  <si>
    <t>Industrial DIS/GMB</t>
  </si>
  <si>
    <t>Wholesale (Sales for Resale - Gas)</t>
  </si>
  <si>
    <t>Commercial GTS</t>
  </si>
  <si>
    <t>Industrial GTS</t>
  </si>
  <si>
    <t>Total R&amp;D Rider</t>
  </si>
  <si>
    <t>Unbilled Res Sales</t>
  </si>
  <si>
    <t>Unbilled Com Sales</t>
  </si>
  <si>
    <t>Unbilled Ind Sales</t>
  </si>
  <si>
    <t>Gas Off System Sales</t>
  </si>
  <si>
    <t>487 Forfeited Discounts-Gas</t>
  </si>
  <si>
    <t>488 Misc Service Revenues-Gas</t>
  </si>
  <si>
    <t>493 Rent from Gas Property</t>
  </si>
  <si>
    <t>495 - Other Gas Revenue</t>
  </si>
  <si>
    <t>Less: 495 SMRP deferral</t>
  </si>
  <si>
    <t>Total Other Revenue</t>
  </si>
  <si>
    <t>[4] Excludes SMRP billed revenues for six months of actuals.</t>
  </si>
  <si>
    <t>Do not file below</t>
  </si>
  <si>
    <t>Transportation [1] [4]</t>
  </si>
  <si>
    <t>Industrial Sales [4]</t>
  </si>
  <si>
    <t>Commercial Sales [4]</t>
  </si>
  <si>
    <t>Residential Sales [4]</t>
  </si>
  <si>
    <t>Other Revenue [2] [5]</t>
  </si>
  <si>
    <t>[5] Excludes monthly adjustment for SMRP earned revenue recognition.</t>
  </si>
  <si>
    <t>Accounting Estimates Details</t>
  </si>
  <si>
    <t>Accounting Estimate</t>
  </si>
  <si>
    <t xml:space="preserve">TARIFF GMB - COMMERCIAL          </t>
  </si>
  <si>
    <t>8C</t>
  </si>
  <si>
    <t>8D</t>
  </si>
  <si>
    <t xml:space="preserve">TARIFF GMB - INDUSTRIAL    </t>
  </si>
  <si>
    <t xml:space="preserve">TARIFF GMB - WHOLESALE        </t>
  </si>
  <si>
    <t>8E</t>
  </si>
  <si>
    <t>8F</t>
  </si>
  <si>
    <t xml:space="preserve">TARIFF GMB - ELEC GEN           </t>
  </si>
  <si>
    <t xml:space="preserve">TRANSPORTATION - COMMERCIAL      </t>
  </si>
  <si>
    <t>8G</t>
  </si>
  <si>
    <t>8H</t>
  </si>
  <si>
    <t xml:space="preserve">TRANSPORTATION - INDUSTRIAL      </t>
  </si>
  <si>
    <t xml:space="preserve">CHOICE GMB - COMMERCIAL           </t>
  </si>
  <si>
    <t xml:space="preserve">CHOICE GMB - INDUSTRIAL           </t>
  </si>
  <si>
    <t>Public Utilities [4]</t>
  </si>
  <si>
    <t>Case No. 2024-00092</t>
  </si>
  <si>
    <t>Commercial GTS (SMRP piece to be excluded)</t>
  </si>
  <si>
    <t>Industrial GTS (SMRP piece to be excluded)</t>
  </si>
  <si>
    <t>Witness: J. C. Wozniak</t>
  </si>
  <si>
    <t>(D)</t>
  </si>
  <si>
    <t>(E)</t>
  </si>
  <si>
    <t>(F)</t>
  </si>
  <si>
    <t>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</si>
</sst>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#,##0.0_);\(#,##0.0\)"/>
    <numFmt numFmtId="166" formatCode="#,##0.000_);\(#,##0.000\)"/>
    <numFmt numFmtId="167" formatCode="#,##0.0000_);\(#,##0.0000\)"/>
    <numFmt numFmtId="168" formatCode="0.0000_);\(0.0000\)"/>
    <numFmt numFmtId="169" formatCode="#,##0.0"/>
    <numFmt numFmtId="170" formatCode="&quot;$&quot;#,##0"/>
    <numFmt numFmtId="171" formatCode="0.0"/>
    <numFmt numFmtId="172" formatCode="0.0000"/>
    <numFmt numFmtId="173" formatCode="#,##0.0000"/>
    <numFmt numFmtId="174" formatCode="&quot;$&quot;#,##0.00"/>
    <numFmt numFmtId="175" formatCode="[$-409]mmm\-yy;@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_(* #,##0.0_);_(* \(#,##0.0\);_(* &quot;-&quot;?_);_(@_)"/>
    <numFmt numFmtId="180" formatCode="_(&quot;$&quot;* #,##0_);_(&quot;$&quot;* \(#,##0\);_(&quot;$&quot;* &quot;-&quot;??_);_(@_)"/>
    <numFmt numFmtId="181" formatCode="_(* #,##0_);_(* \(#,##0\);_(* &quot;-&quot;?_);_(@_)"/>
  </numFmts>
  <fonts count="63" x14ac:knownFonts="1">
    <font>
      <sz val="8"/>
      <name val="Tms Rmn"/>
    </font>
    <font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sz val="12"/>
      <color indexed="20"/>
      <name val="Arial"/>
      <family val="2"/>
    </font>
    <font>
      <u/>
      <sz val="12"/>
      <color indexed="12"/>
      <name val="Arial"/>
      <family val="2"/>
    </font>
    <font>
      <u val="singleAccounting"/>
      <sz val="12"/>
      <name val="Arial"/>
      <family val="2"/>
    </font>
    <font>
      <i/>
      <sz val="12"/>
      <name val="Arial"/>
      <family val="2"/>
    </font>
    <font>
      <sz val="12"/>
      <color indexed="39"/>
      <name val="Arial"/>
      <family val="2"/>
    </font>
    <font>
      <u/>
      <sz val="12"/>
      <color indexed="39"/>
      <name val="Arial"/>
      <family val="2"/>
    </font>
    <font>
      <b/>
      <u/>
      <sz val="12"/>
      <color indexed="12"/>
      <name val="Arial"/>
      <family val="2"/>
    </font>
    <font>
      <b/>
      <u/>
      <sz val="12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FF"/>
      <name val="Arial"/>
      <family val="2"/>
    </font>
    <font>
      <u/>
      <sz val="12"/>
      <color rgb="FF0000FF"/>
      <name val="Arial"/>
      <family val="2"/>
    </font>
    <font>
      <b/>
      <sz val="12"/>
      <color rgb="FF0000FF"/>
      <name val="Arial"/>
      <family val="2"/>
    </font>
    <font>
      <u val="singleAccounting"/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u/>
      <sz val="12"/>
      <color rgb="FFFF0000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b/>
      <u/>
      <sz val="11"/>
      <name val="Arial"/>
      <family val="2"/>
    </font>
    <font>
      <sz val="11"/>
      <color rgb="FF0000FF"/>
      <name val="Arial"/>
      <family val="2"/>
    </font>
    <font>
      <u/>
      <sz val="11"/>
      <color rgb="FF0000FF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  <font>
      <u/>
      <sz val="11"/>
      <color indexed="3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u val="singleAccounting"/>
      <sz val="11"/>
      <color rgb="FF0000FF"/>
      <name val="Arial"/>
      <family val="2"/>
    </font>
    <font>
      <u val="singleAccounting"/>
      <sz val="1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rgb="FF0000FF"/>
      <name val="Calibri"/>
      <family val="2"/>
    </font>
    <font>
      <u/>
      <sz val="10"/>
      <name val="Calibri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8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2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67" fontId="1" fillId="0" borderId="0" xfId="0" applyNumberFormat="1" applyFont="1"/>
    <xf numFmtId="4" fontId="1" fillId="0" borderId="0" xfId="0" applyNumberFormat="1" applyFont="1"/>
    <xf numFmtId="37" fontId="1" fillId="0" borderId="0" xfId="0" applyNumberFormat="1" applyFont="1"/>
    <xf numFmtId="0" fontId="1" fillId="0" borderId="0" xfId="0" applyFont="1" applyProtection="1">
      <protection locked="0"/>
    </xf>
    <xf numFmtId="0" fontId="2" fillId="3" borderId="0" xfId="0" applyFont="1" applyFill="1" applyProtection="1">
      <protection locked="0"/>
    </xf>
    <xf numFmtId="0" fontId="2" fillId="3" borderId="0" xfId="0" quotePrefix="1" applyFont="1" applyFill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1" fillId="2" borderId="0" xfId="0" applyFont="1" applyFill="1"/>
    <xf numFmtId="167" fontId="1" fillId="2" borderId="0" xfId="0" applyNumberFormat="1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2" fillId="0" borderId="0" xfId="0" applyNumberFormat="1" applyFont="1" applyProtection="1">
      <protection locked="0"/>
    </xf>
    <xf numFmtId="172" fontId="1" fillId="0" borderId="0" xfId="0" applyNumberFormat="1" applyFont="1"/>
    <xf numFmtId="165" fontId="2" fillId="0" borderId="0" xfId="0" applyNumberFormat="1" applyFont="1"/>
    <xf numFmtId="165" fontId="8" fillId="0" borderId="0" xfId="0" applyNumberFormat="1" applyFont="1"/>
    <xf numFmtId="165" fontId="1" fillId="0" borderId="0" xfId="0" applyNumberFormat="1" applyFont="1"/>
    <xf numFmtId="165" fontId="9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165" fontId="8" fillId="0" borderId="0" xfId="0" applyNumberFormat="1" applyFont="1" applyProtection="1">
      <protection locked="0"/>
    </xf>
    <xf numFmtId="0" fontId="5" fillId="0" borderId="0" xfId="0" quotePrefix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/>
    <xf numFmtId="37" fontId="11" fillId="0" borderId="0" xfId="0" applyNumberFormat="1" applyFont="1"/>
    <xf numFmtId="165" fontId="11" fillId="0" borderId="0" xfId="0" applyNumberFormat="1" applyFont="1"/>
    <xf numFmtId="39" fontId="11" fillId="0" borderId="0" xfId="0" applyNumberFormat="1" applyFont="1"/>
    <xf numFmtId="169" fontId="11" fillId="0" borderId="0" xfId="0" applyNumberFormat="1" applyFont="1"/>
    <xf numFmtId="0" fontId="10" fillId="0" borderId="0" xfId="0" applyFont="1" applyAlignment="1">
      <alignment horizontal="right"/>
    </xf>
    <xf numFmtId="39" fontId="10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7" fontId="12" fillId="0" borderId="0" xfId="0" applyNumberFormat="1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2" fillId="0" borderId="0" xfId="0" quotePrefix="1" applyFont="1" applyAlignment="1">
      <alignment horizontal="center"/>
    </xf>
    <xf numFmtId="37" fontId="10" fillId="0" borderId="0" xfId="0" quotePrefix="1" applyNumberFormat="1" applyFont="1" applyAlignment="1">
      <alignment horizontal="center"/>
    </xf>
    <xf numFmtId="39" fontId="10" fillId="0" borderId="0" xfId="0" quotePrefix="1" applyNumberFormat="1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  <xf numFmtId="37" fontId="15" fillId="0" borderId="0" xfId="0" applyNumberFormat="1" applyFont="1"/>
    <xf numFmtId="0" fontId="11" fillId="0" borderId="0" xfId="0" quotePrefix="1" applyFont="1" applyAlignment="1">
      <alignment horizontal="left"/>
    </xf>
    <xf numFmtId="43" fontId="11" fillId="0" borderId="0" xfId="1" applyFont="1" applyBorder="1"/>
    <xf numFmtId="0" fontId="15" fillId="0" borderId="0" xfId="0" applyFont="1" applyAlignment="1">
      <alignment horizontal="left"/>
    </xf>
    <xf numFmtId="39" fontId="15" fillId="0" borderId="0" xfId="0" applyNumberFormat="1" applyFont="1"/>
    <xf numFmtId="2" fontId="11" fillId="0" borderId="0" xfId="1" applyNumberFormat="1" applyFont="1" applyBorder="1"/>
    <xf numFmtId="43" fontId="11" fillId="0" borderId="0" xfId="0" applyNumberFormat="1" applyFont="1"/>
    <xf numFmtId="172" fontId="11" fillId="0" borderId="0" xfId="1" applyNumberFormat="1" applyFont="1" applyBorder="1"/>
    <xf numFmtId="0" fontId="16" fillId="0" borderId="0" xfId="0" applyFont="1"/>
    <xf numFmtId="176" fontId="11" fillId="0" borderId="0" xfId="1" applyNumberFormat="1" applyFont="1" applyFill="1"/>
    <xf numFmtId="165" fontId="15" fillId="0" borderId="0" xfId="0" applyNumberFormat="1" applyFont="1"/>
    <xf numFmtId="165" fontId="27" fillId="0" borderId="0" xfId="0" applyNumberFormat="1" applyFont="1"/>
    <xf numFmtId="0" fontId="15" fillId="0" borderId="0" xfId="0" applyFont="1"/>
    <xf numFmtId="0" fontId="11" fillId="0" borderId="0" xfId="0" applyFont="1" applyAlignment="1">
      <alignment horizontal="center"/>
    </xf>
    <xf numFmtId="171" fontId="11" fillId="0" borderId="0" xfId="0" applyNumberFormat="1" applyFont="1" applyAlignment="1">
      <alignment horizontal="center"/>
    </xf>
    <xf numFmtId="0" fontId="14" fillId="0" borderId="0" xfId="0" applyFont="1" applyProtection="1">
      <protection locked="0"/>
    </xf>
    <xf numFmtId="165" fontId="14" fillId="0" borderId="0" xfId="0" applyNumberFormat="1" applyFont="1" applyProtection="1">
      <protection locked="0"/>
    </xf>
    <xf numFmtId="0" fontId="14" fillId="0" borderId="0" xfId="0" applyFont="1"/>
    <xf numFmtId="37" fontId="14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 horizontal="right"/>
      <protection locked="0"/>
    </xf>
    <xf numFmtId="165" fontId="12" fillId="0" borderId="0" xfId="0" applyNumberFormat="1" applyFont="1" applyAlignment="1">
      <alignment horizontal="center"/>
    </xf>
    <xf numFmtId="165" fontId="15" fillId="0" borderId="0" xfId="0" applyNumberFormat="1" applyFont="1" applyProtection="1">
      <protection locked="0"/>
    </xf>
    <xf numFmtId="0" fontId="10" fillId="0" borderId="0" xfId="0" applyFont="1" applyAlignment="1">
      <alignment horizontal="left"/>
    </xf>
    <xf numFmtId="49" fontId="29" fillId="0" borderId="0" xfId="0" applyNumberFormat="1" applyFont="1" applyAlignment="1">
      <alignment horizontal="left"/>
    </xf>
    <xf numFmtId="176" fontId="27" fillId="0" borderId="0" xfId="1" applyNumberFormat="1" applyFont="1" applyFill="1"/>
    <xf numFmtId="176" fontId="11" fillId="0" borderId="0" xfId="1" applyNumberFormat="1" applyFont="1" applyFill="1" applyBorder="1"/>
    <xf numFmtId="176" fontId="11" fillId="0" borderId="0" xfId="1" applyNumberFormat="1" applyFont="1" applyBorder="1"/>
    <xf numFmtId="0" fontId="11" fillId="0" borderId="0" xfId="0" quotePrefix="1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37" fontId="15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Protection="1">
      <protection locked="0"/>
    </xf>
    <xf numFmtId="0" fontId="14" fillId="0" borderId="0" xfId="0" quotePrefix="1" applyFont="1" applyProtection="1">
      <protection locked="0"/>
    </xf>
    <xf numFmtId="0" fontId="14" fillId="0" borderId="0" xfId="0" quotePrefix="1" applyFont="1" applyAlignment="1" applyProtection="1">
      <alignment horizontal="center"/>
      <protection locked="0"/>
    </xf>
    <xf numFmtId="165" fontId="10" fillId="0" borderId="0" xfId="0" applyNumberFormat="1" applyFont="1"/>
    <xf numFmtId="168" fontId="21" fillId="0" borderId="0" xfId="0" applyNumberFormat="1" applyFont="1"/>
    <xf numFmtId="37" fontId="20" fillId="0" borderId="0" xfId="0" applyNumberFormat="1" applyFont="1"/>
    <xf numFmtId="37" fontId="11" fillId="0" borderId="0" xfId="0" applyNumberFormat="1" applyFont="1" applyProtection="1">
      <protection locked="0"/>
    </xf>
    <xf numFmtId="0" fontId="19" fillId="0" borderId="0" xfId="0" applyFont="1"/>
    <xf numFmtId="165" fontId="21" fillId="0" borderId="0" xfId="0" applyNumberFormat="1" applyFont="1" applyProtection="1">
      <protection locked="0"/>
    </xf>
    <xf numFmtId="165" fontId="17" fillId="0" borderId="0" xfId="0" applyNumberFormat="1" applyFont="1" applyProtection="1">
      <protection locked="0"/>
    </xf>
    <xf numFmtId="0" fontId="10" fillId="0" borderId="3" xfId="0" applyFont="1" applyBorder="1"/>
    <xf numFmtId="0" fontId="11" fillId="0" borderId="3" xfId="0" applyFont="1" applyBorder="1"/>
    <xf numFmtId="0" fontId="11" fillId="0" borderId="5" xfId="0" applyFont="1" applyBorder="1"/>
    <xf numFmtId="0" fontId="11" fillId="0" borderId="2" xfId="0" applyFont="1" applyBorder="1"/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Protection="1">
      <protection locked="0"/>
    </xf>
    <xf numFmtId="0" fontId="11" fillId="0" borderId="8" xfId="0" applyFont="1" applyBorder="1" applyAlignment="1">
      <alignment horizontal="center"/>
    </xf>
    <xf numFmtId="0" fontId="11" fillId="0" borderId="4" xfId="0" applyFont="1" applyBorder="1"/>
    <xf numFmtId="0" fontId="11" fillId="0" borderId="1" xfId="0" quotePrefix="1" applyFont="1" applyBorder="1" applyAlignment="1">
      <alignment horizontal="center"/>
    </xf>
    <xf numFmtId="37" fontId="11" fillId="0" borderId="2" xfId="0" applyNumberFormat="1" applyFont="1" applyBorder="1"/>
    <xf numFmtId="177" fontId="11" fillId="0" borderId="0" xfId="1" applyNumberFormat="1" applyFont="1" applyFill="1" applyBorder="1"/>
    <xf numFmtId="177" fontId="11" fillId="0" borderId="0" xfId="1" applyNumberFormat="1" applyFont="1" applyBorder="1"/>
    <xf numFmtId="37" fontId="10" fillId="0" borderId="0" xfId="0" applyNumberFormat="1" applyFont="1"/>
    <xf numFmtId="0" fontId="11" fillId="0" borderId="8" xfId="0" applyFont="1" applyBorder="1"/>
    <xf numFmtId="37" fontId="11" fillId="0" borderId="3" xfId="0" applyNumberFormat="1" applyFont="1" applyBorder="1"/>
    <xf numFmtId="0" fontId="10" fillId="0" borderId="6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39" fontId="10" fillId="0" borderId="7" xfId="0" quotePrefix="1" applyNumberFormat="1" applyFont="1" applyBorder="1" applyAlignment="1">
      <alignment horizontal="center"/>
    </xf>
    <xf numFmtId="0" fontId="2" fillId="0" borderId="0" xfId="0" applyFont="1" applyProtection="1">
      <protection locked="0"/>
    </xf>
    <xf numFmtId="0" fontId="22" fillId="0" borderId="0" xfId="0" applyFont="1" applyProtection="1">
      <protection locked="0"/>
    </xf>
    <xf numFmtId="37" fontId="11" fillId="0" borderId="7" xfId="0" applyNumberFormat="1" applyFont="1" applyBorder="1"/>
    <xf numFmtId="37" fontId="27" fillId="0" borderId="0" xfId="0" applyNumberFormat="1" applyFont="1"/>
    <xf numFmtId="165" fontId="10" fillId="0" borderId="0" xfId="0" quotePrefix="1" applyNumberFormat="1" applyFont="1" applyAlignment="1">
      <alignment horizontal="center"/>
    </xf>
    <xf numFmtId="165" fontId="11" fillId="0" borderId="0" xfId="0" quotePrefix="1" applyNumberFormat="1" applyFont="1" applyAlignment="1">
      <alignment horizontal="right"/>
    </xf>
    <xf numFmtId="0" fontId="11" fillId="0" borderId="0" xfId="0" quotePrefix="1" applyFont="1" applyAlignment="1">
      <alignment horizontal="right"/>
    </xf>
    <xf numFmtId="43" fontId="11" fillId="0" borderId="0" xfId="0" quotePrefix="1" applyNumberFormat="1" applyFont="1" applyAlignment="1">
      <alignment horizontal="right"/>
    </xf>
    <xf numFmtId="37" fontId="14" fillId="0" borderId="0" xfId="0" applyNumberFormat="1" applyFont="1" applyAlignment="1" applyProtection="1">
      <alignment horizontal="center"/>
      <protection locked="0"/>
    </xf>
    <xf numFmtId="39" fontId="10" fillId="0" borderId="1" xfId="0" quotePrefix="1" applyNumberFormat="1" applyFont="1" applyBorder="1" applyAlignment="1">
      <alignment horizontal="center"/>
    </xf>
    <xf numFmtId="0" fontId="20" fillId="0" borderId="0" xfId="0" applyFont="1"/>
    <xf numFmtId="37" fontId="21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11" fillId="4" borderId="0" xfId="0" quotePrefix="1" applyFont="1" applyFill="1" applyAlignment="1">
      <alignment horizontal="center"/>
    </xf>
    <xf numFmtId="165" fontId="11" fillId="4" borderId="0" xfId="0" quotePrefix="1" applyNumberFormat="1" applyFont="1" applyFill="1" applyAlignment="1">
      <alignment horizontal="right"/>
    </xf>
    <xf numFmtId="179" fontId="11" fillId="4" borderId="0" xfId="0" quotePrefix="1" applyNumberFormat="1" applyFont="1" applyFill="1" applyAlignment="1">
      <alignment horizontal="right"/>
    </xf>
    <xf numFmtId="175" fontId="3" fillId="0" borderId="0" xfId="0" applyNumberFormat="1" applyFont="1" applyAlignment="1">
      <alignment horizontal="center"/>
    </xf>
    <xf numFmtId="0" fontId="31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43" fontId="1" fillId="0" borderId="0" xfId="1" applyFont="1" applyFill="1" applyBorder="1"/>
    <xf numFmtId="39" fontId="1" fillId="0" borderId="0" xfId="0" applyNumberFormat="1" applyFont="1" applyProtection="1"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2" fillId="0" borderId="0" xfId="0" applyNumberFormat="1" applyFont="1" applyAlignment="1">
      <alignment horizontal="left"/>
    </xf>
    <xf numFmtId="0" fontId="10" fillId="0" borderId="5" xfId="0" applyFont="1" applyBorder="1"/>
    <xf numFmtId="164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165" fontId="1" fillId="0" borderId="0" xfId="0" applyNumberFormat="1" applyFont="1" applyProtection="1">
      <protection locked="0"/>
    </xf>
    <xf numFmtId="172" fontId="1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37" fontId="7" fillId="0" borderId="0" xfId="0" applyNumberFormat="1" applyFont="1"/>
    <xf numFmtId="39" fontId="1" fillId="0" borderId="0" xfId="0" applyNumberFormat="1" applyFont="1"/>
    <xf numFmtId="165" fontId="5" fillId="0" borderId="0" xfId="0" applyNumberFormat="1" applyFont="1"/>
    <xf numFmtId="165" fontId="3" fillId="0" borderId="0" xfId="0" applyNumberFormat="1" applyFont="1" applyAlignment="1">
      <alignment horizontal="center"/>
    </xf>
    <xf numFmtId="167" fontId="2" fillId="0" borderId="0" xfId="0" applyNumberFormat="1" applyFont="1" applyProtection="1">
      <protection locked="0"/>
    </xf>
    <xf numFmtId="39" fontId="2" fillId="0" borderId="0" xfId="0" applyNumberFormat="1" applyFont="1" applyProtection="1">
      <protection locked="0"/>
    </xf>
    <xf numFmtId="166" fontId="2" fillId="0" borderId="0" xfId="0" applyNumberFormat="1" applyFont="1" applyProtection="1">
      <protection locked="0"/>
    </xf>
    <xf numFmtId="166" fontId="1" fillId="0" borderId="0" xfId="0" applyNumberFormat="1" applyFont="1"/>
    <xf numFmtId="165" fontId="7" fillId="0" borderId="0" xfId="0" applyNumberFormat="1" applyFont="1"/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37" fontId="2" fillId="0" borderId="0" xfId="0" applyNumberFormat="1" applyFont="1"/>
    <xf numFmtId="37" fontId="2" fillId="0" borderId="0" xfId="0" applyNumberFormat="1" applyFont="1" applyProtection="1">
      <protection locked="0"/>
    </xf>
    <xf numFmtId="169" fontId="1" fillId="0" borderId="0" xfId="0" applyNumberFormat="1" applyFont="1"/>
    <xf numFmtId="169" fontId="2" fillId="0" borderId="0" xfId="0" applyNumberFormat="1" applyFont="1"/>
    <xf numFmtId="170" fontId="1" fillId="0" borderId="0" xfId="1" applyNumberFormat="1" applyFont="1" applyFill="1" applyBorder="1"/>
    <xf numFmtId="170" fontId="1" fillId="0" borderId="0" xfId="0" applyNumberFormat="1" applyFont="1" applyProtection="1">
      <protection locked="0"/>
    </xf>
    <xf numFmtId="5" fontId="11" fillId="0" borderId="0" xfId="2" applyNumberFormat="1" applyFont="1"/>
    <xf numFmtId="37" fontId="11" fillId="0" borderId="0" xfId="1" applyNumberFormat="1" applyFont="1"/>
    <xf numFmtId="177" fontId="11" fillId="0" borderId="0" xfId="0" applyNumberFormat="1" applyFont="1"/>
    <xf numFmtId="172" fontId="6" fillId="3" borderId="0" xfId="0" applyNumberFormat="1" applyFont="1" applyFill="1"/>
    <xf numFmtId="0" fontId="1" fillId="0" borderId="0" xfId="0" applyFont="1" applyAlignment="1">
      <alignment horizontal="left"/>
    </xf>
    <xf numFmtId="0" fontId="29" fillId="0" borderId="0" xfId="0" applyFont="1"/>
    <xf numFmtId="172" fontId="35" fillId="3" borderId="0" xfId="0" applyNumberFormat="1" applyFont="1" applyFill="1"/>
    <xf numFmtId="0" fontId="6" fillId="3" borderId="0" xfId="0" quotePrefix="1" applyFont="1" applyFill="1"/>
    <xf numFmtId="0" fontId="6" fillId="3" borderId="0" xfId="0" applyFont="1" applyFill="1"/>
    <xf numFmtId="0" fontId="1" fillId="0" borderId="5" xfId="0" applyFont="1" applyBorder="1"/>
    <xf numFmtId="175" fontId="3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7" fontId="1" fillId="0" borderId="1" xfId="0" applyNumberFormat="1" applyFont="1" applyBorder="1"/>
    <xf numFmtId="172" fontId="1" fillId="0" borderId="0" xfId="0" applyNumberFormat="1" applyFont="1" applyAlignment="1">
      <alignment horizontal="right"/>
    </xf>
    <xf numFmtId="165" fontId="11" fillId="6" borderId="8" xfId="0" applyNumberFormat="1" applyFont="1" applyFill="1" applyBorder="1"/>
    <xf numFmtId="165" fontId="11" fillId="6" borderId="3" xfId="0" applyNumberFormat="1" applyFont="1" applyFill="1" applyBorder="1"/>
    <xf numFmtId="165" fontId="11" fillId="6" borderId="4" xfId="0" applyNumberFormat="1" applyFont="1" applyFill="1" applyBorder="1"/>
    <xf numFmtId="0" fontId="11" fillId="6" borderId="5" xfId="0" applyFont="1" applyFill="1" applyBorder="1"/>
    <xf numFmtId="0" fontId="11" fillId="6" borderId="0" xfId="0" applyFont="1" applyFill="1"/>
    <xf numFmtId="165" fontId="36" fillId="6" borderId="2" xfId="0" applyNumberFormat="1" applyFont="1" applyFill="1" applyBorder="1"/>
    <xf numFmtId="165" fontId="11" fillId="6" borderId="5" xfId="0" applyNumberFormat="1" applyFont="1" applyFill="1" applyBorder="1"/>
    <xf numFmtId="165" fontId="11" fillId="6" borderId="0" xfId="0" applyNumberFormat="1" applyFont="1" applyFill="1"/>
    <xf numFmtId="165" fontId="11" fillId="6" borderId="2" xfId="0" applyNumberFormat="1" applyFont="1" applyFill="1" applyBorder="1"/>
    <xf numFmtId="165" fontId="11" fillId="6" borderId="5" xfId="0" quotePrefix="1" applyNumberFormat="1" applyFont="1" applyFill="1" applyBorder="1" applyAlignment="1">
      <alignment horizontal="right"/>
    </xf>
    <xf numFmtId="165" fontId="11" fillId="6" borderId="0" xfId="0" quotePrefix="1" applyNumberFormat="1" applyFont="1" applyFill="1" applyAlignment="1">
      <alignment horizontal="right"/>
    </xf>
    <xf numFmtId="0" fontId="11" fillId="6" borderId="5" xfId="0" quotePrefix="1" applyFont="1" applyFill="1" applyBorder="1" applyAlignment="1">
      <alignment horizontal="right"/>
    </xf>
    <xf numFmtId="165" fontId="11" fillId="6" borderId="2" xfId="0" quotePrefix="1" applyNumberFormat="1" applyFont="1" applyFill="1" applyBorder="1" applyAlignment="1">
      <alignment horizontal="right"/>
    </xf>
    <xf numFmtId="0" fontId="11" fillId="6" borderId="5" xfId="0" quotePrefix="1" applyFont="1" applyFill="1" applyBorder="1"/>
    <xf numFmtId="0" fontId="11" fillId="6" borderId="6" xfId="0" quotePrefix="1" applyFont="1" applyFill="1" applyBorder="1" applyAlignment="1">
      <alignment horizontal="right"/>
    </xf>
    <xf numFmtId="0" fontId="11" fillId="6" borderId="1" xfId="0" applyFont="1" applyFill="1" applyBorder="1"/>
    <xf numFmtId="165" fontId="11" fillId="6" borderId="7" xfId="0" applyNumberFormat="1" applyFont="1" applyFill="1" applyBorder="1"/>
    <xf numFmtId="0" fontId="32" fillId="0" borderId="0" xfId="0" applyFont="1"/>
    <xf numFmtId="167" fontId="31" fillId="0" borderId="0" xfId="0" applyNumberFormat="1" applyFont="1" applyAlignment="1">
      <alignment horizontal="right"/>
    </xf>
    <xf numFmtId="176" fontId="31" fillId="0" borderId="0" xfId="1" applyNumberFormat="1" applyFont="1" applyFill="1" applyBorder="1"/>
    <xf numFmtId="167" fontId="1" fillId="0" borderId="0" xfId="0" applyNumberFormat="1" applyFont="1" applyAlignment="1">
      <alignment horizontal="right"/>
    </xf>
    <xf numFmtId="177" fontId="31" fillId="0" borderId="0" xfId="1" applyNumberFormat="1" applyFont="1" applyFill="1" applyBorder="1"/>
    <xf numFmtId="170" fontId="1" fillId="0" borderId="0" xfId="0" applyNumberFormat="1" applyFont="1"/>
    <xf numFmtId="170" fontId="1" fillId="0" borderId="0" xfId="2" applyNumberFormat="1" applyFont="1" applyFill="1" applyBorder="1" applyProtection="1">
      <protection locked="0"/>
    </xf>
    <xf numFmtId="176" fontId="38" fillId="0" borderId="0" xfId="1" applyNumberFormat="1" applyFont="1" applyFill="1" applyBorder="1"/>
    <xf numFmtId="177" fontId="11" fillId="0" borderId="2" xfId="1" applyNumberFormat="1" applyFont="1" applyFill="1" applyBorder="1"/>
    <xf numFmtId="0" fontId="11" fillId="0" borderId="1" xfId="0" quotePrefix="1" applyFont="1" applyBorder="1" applyAlignment="1">
      <alignment horizontal="left"/>
    </xf>
    <xf numFmtId="177" fontId="11" fillId="0" borderId="1" xfId="1" applyNumberFormat="1" applyFont="1" applyFill="1" applyBorder="1"/>
    <xf numFmtId="177" fontId="18" fillId="0" borderId="0" xfId="1" applyNumberFormat="1" applyFont="1" applyFill="1" applyBorder="1"/>
    <xf numFmtId="37" fontId="18" fillId="0" borderId="2" xfId="0" applyNumberFormat="1" applyFont="1" applyBorder="1"/>
    <xf numFmtId="177" fontId="18" fillId="0" borderId="2" xfId="1" applyNumberFormat="1" applyFont="1" applyFill="1" applyBorder="1"/>
    <xf numFmtId="37" fontId="15" fillId="0" borderId="2" xfId="0" applyNumberFormat="1" applyFont="1" applyBorder="1"/>
    <xf numFmtId="177" fontId="15" fillId="0" borderId="0" xfId="1" applyNumberFormat="1" applyFont="1" applyFill="1" applyBorder="1"/>
    <xf numFmtId="176" fontId="27" fillId="0" borderId="0" xfId="1" applyNumberFormat="1" applyFont="1" applyFill="1" applyBorder="1"/>
    <xf numFmtId="37" fontId="28" fillId="0" borderId="0" xfId="0" applyNumberFormat="1" applyFont="1"/>
    <xf numFmtId="177" fontId="11" fillId="6" borderId="7" xfId="0" applyNumberFormat="1" applyFont="1" applyFill="1" applyBorder="1"/>
    <xf numFmtId="0" fontId="10" fillId="0" borderId="0" xfId="0" quotePrefix="1" applyFont="1"/>
    <xf numFmtId="5" fontId="11" fillId="0" borderId="0" xfId="2" applyNumberFormat="1" applyFont="1" applyBorder="1"/>
    <xf numFmtId="0" fontId="40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49" fontId="41" fillId="0" borderId="9" xfId="0" applyNumberFormat="1" applyFont="1" applyBorder="1"/>
    <xf numFmtId="0" fontId="40" fillId="0" borderId="9" xfId="0" applyFont="1" applyBorder="1"/>
    <xf numFmtId="0" fontId="39" fillId="0" borderId="9" xfId="0" applyFont="1" applyBorder="1"/>
    <xf numFmtId="0" fontId="39" fillId="0" borderId="9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75" fontId="42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quotePrefix="1" applyFont="1" applyAlignment="1">
      <alignment horizontal="center"/>
    </xf>
    <xf numFmtId="0" fontId="40" fillId="0" borderId="0" xfId="0" quotePrefix="1" applyFont="1" applyAlignment="1">
      <alignment horizontal="left"/>
    </xf>
    <xf numFmtId="180" fontId="40" fillId="0" borderId="0" xfId="2" quotePrefix="1" applyNumberFormat="1" applyFont="1" applyFill="1" applyAlignment="1"/>
    <xf numFmtId="180" fontId="40" fillId="0" borderId="0" xfId="0" applyNumberFormat="1" applyFont="1" applyAlignment="1">
      <alignment horizontal="center"/>
    </xf>
    <xf numFmtId="177" fontId="40" fillId="0" borderId="0" xfId="0" applyNumberFormat="1" applyFont="1"/>
    <xf numFmtId="37" fontId="40" fillId="0" borderId="0" xfId="0" applyNumberFormat="1" applyFont="1"/>
    <xf numFmtId="37" fontId="45" fillId="0" borderId="0" xfId="0" applyNumberFormat="1" applyFont="1"/>
    <xf numFmtId="180" fontId="40" fillId="0" borderId="0" xfId="0" applyNumberFormat="1" applyFont="1"/>
    <xf numFmtId="177" fontId="40" fillId="0" borderId="0" xfId="0" applyNumberFormat="1" applyFont="1" applyAlignment="1">
      <alignment horizontal="center"/>
    </xf>
    <xf numFmtId="5" fontId="40" fillId="0" borderId="0" xfId="0" applyNumberFormat="1" applyFont="1"/>
    <xf numFmtId="3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right"/>
    </xf>
    <xf numFmtId="180" fontId="40" fillId="0" borderId="9" xfId="2" applyNumberFormat="1" applyFont="1" applyBorder="1"/>
    <xf numFmtId="37" fontId="40" fillId="0" borderId="0" xfId="0" quotePrefix="1" applyNumberFormat="1" applyFont="1"/>
    <xf numFmtId="39" fontId="40" fillId="0" borderId="0" xfId="0" applyNumberFormat="1" applyFont="1"/>
    <xf numFmtId="180" fontId="40" fillId="0" borderId="10" xfId="2" quotePrefix="1" applyNumberFormat="1" applyFont="1" applyFill="1" applyBorder="1" applyAlignment="1"/>
    <xf numFmtId="0" fontId="40" fillId="0" borderId="0" xfId="0" quotePrefix="1" applyFont="1"/>
    <xf numFmtId="39" fontId="39" fillId="0" borderId="0" xfId="0" applyNumberFormat="1" applyFont="1"/>
    <xf numFmtId="39" fontId="39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/>
    <xf numFmtId="37" fontId="40" fillId="0" borderId="10" xfId="0" applyNumberFormat="1" applyFont="1" applyBorder="1"/>
    <xf numFmtId="37" fontId="47" fillId="0" borderId="0" xfId="0" applyNumberFormat="1" applyFont="1" applyProtection="1">
      <protection locked="0"/>
    </xf>
    <xf numFmtId="39" fontId="45" fillId="0" borderId="0" xfId="0" applyNumberFormat="1" applyFont="1"/>
    <xf numFmtId="37" fontId="48" fillId="0" borderId="0" xfId="0" applyNumberFormat="1" applyFont="1" applyProtection="1">
      <protection locked="0"/>
    </xf>
    <xf numFmtId="0" fontId="43" fillId="0" borderId="0" xfId="0" applyFont="1" applyAlignment="1">
      <alignment horizontal="left"/>
    </xf>
    <xf numFmtId="0" fontId="43" fillId="0" borderId="0" xfId="0" applyFont="1"/>
    <xf numFmtId="37" fontId="43" fillId="0" borderId="0" xfId="0" applyNumberFormat="1" applyFont="1" applyProtection="1">
      <protection locked="0"/>
    </xf>
    <xf numFmtId="0" fontId="11" fillId="6" borderId="0" xfId="0" quotePrefix="1" applyFont="1" applyFill="1" applyAlignment="1">
      <alignment horizontal="right"/>
    </xf>
    <xf numFmtId="176" fontId="27" fillId="4" borderId="0" xfId="1" quotePrefix="1" applyNumberFormat="1" applyFont="1" applyFill="1" applyBorder="1" applyAlignment="1">
      <alignment horizontal="right"/>
    </xf>
    <xf numFmtId="43" fontId="15" fillId="4" borderId="0" xfId="0" quotePrefix="1" applyNumberFormat="1" applyFont="1" applyFill="1" applyAlignment="1">
      <alignment horizontal="right"/>
    </xf>
    <xf numFmtId="165" fontId="11" fillId="0" borderId="0" xfId="0" quotePrefix="1" applyNumberFormat="1" applyFont="1" applyAlignment="1">
      <alignment horizontal="center"/>
    </xf>
    <xf numFmtId="0" fontId="36" fillId="0" borderId="0" xfId="0" quotePrefix="1" applyFont="1" applyAlignment="1">
      <alignment horizontal="right"/>
    </xf>
    <xf numFmtId="0" fontId="27" fillId="0" borderId="0" xfId="0" quotePrefix="1" applyFont="1" applyAlignment="1">
      <alignment horizontal="right"/>
    </xf>
    <xf numFmtId="179" fontId="11" fillId="0" borderId="0" xfId="0" quotePrefix="1" applyNumberFormat="1" applyFont="1" applyAlignment="1">
      <alignment horizontal="right"/>
    </xf>
    <xf numFmtId="0" fontId="37" fillId="0" borderId="0" xfId="0" quotePrefix="1" applyFont="1" applyAlignment="1">
      <alignment horizontal="right"/>
    </xf>
    <xf numFmtId="43" fontId="15" fillId="0" borderId="0" xfId="0" quotePrefix="1" applyNumberFormat="1" applyFont="1" applyAlignment="1">
      <alignment horizontal="right"/>
    </xf>
    <xf numFmtId="0" fontId="15" fillId="0" borderId="0" xfId="0" quotePrefix="1" applyFont="1" applyAlignment="1">
      <alignment horizontal="right"/>
    </xf>
    <xf numFmtId="176" fontId="11" fillId="4" borderId="0" xfId="0" quotePrefix="1" applyNumberFormat="1" applyFont="1" applyFill="1" applyAlignment="1">
      <alignment horizontal="right"/>
    </xf>
    <xf numFmtId="179" fontId="11" fillId="0" borderId="0" xfId="0" applyNumberFormat="1" applyFont="1"/>
    <xf numFmtId="176" fontId="28" fillId="4" borderId="0" xfId="1" quotePrefix="1" applyNumberFormat="1" applyFont="1" applyFill="1" applyBorder="1" applyAlignment="1">
      <alignment horizontal="right"/>
    </xf>
    <xf numFmtId="0" fontId="10" fillId="4" borderId="8" xfId="0" applyFont="1" applyFill="1" applyBorder="1"/>
    <xf numFmtId="0" fontId="10" fillId="4" borderId="3" xfId="0" applyFont="1" applyFill="1" applyBorder="1" applyAlignment="1">
      <alignment horizontal="center"/>
    </xf>
    <xf numFmtId="165" fontId="11" fillId="4" borderId="4" xfId="0" applyNumberFormat="1" applyFont="1" applyFill="1" applyBorder="1"/>
    <xf numFmtId="0" fontId="11" fillId="4" borderId="5" xfId="0" applyFont="1" applyFill="1" applyBorder="1" applyAlignment="1">
      <alignment horizontal="center"/>
    </xf>
    <xf numFmtId="165" fontId="11" fillId="4" borderId="2" xfId="0" quotePrefix="1" applyNumberFormat="1" applyFont="1" applyFill="1" applyBorder="1" applyAlignment="1">
      <alignment horizontal="center"/>
    </xf>
    <xf numFmtId="0" fontId="11" fillId="4" borderId="5" xfId="0" quotePrefix="1" applyFont="1" applyFill="1" applyBorder="1"/>
    <xf numFmtId="43" fontId="11" fillId="4" borderId="2" xfId="0" quotePrefix="1" applyNumberFormat="1" applyFont="1" applyFill="1" applyBorder="1" applyAlignment="1">
      <alignment horizontal="right"/>
    </xf>
    <xf numFmtId="0" fontId="11" fillId="4" borderId="5" xfId="0" applyFont="1" applyFill="1" applyBorder="1"/>
    <xf numFmtId="43" fontId="18" fillId="4" borderId="2" xfId="0" quotePrefix="1" applyNumberFormat="1" applyFont="1" applyFill="1" applyBorder="1" applyAlignment="1">
      <alignment horizontal="right"/>
    </xf>
    <xf numFmtId="0" fontId="11" fillId="4" borderId="6" xfId="0" applyFont="1" applyFill="1" applyBorder="1"/>
    <xf numFmtId="176" fontId="11" fillId="4" borderId="1" xfId="1" applyNumberFormat="1" applyFont="1" applyFill="1" applyBorder="1"/>
    <xf numFmtId="176" fontId="11" fillId="4" borderId="7" xfId="1" applyNumberFormat="1" applyFont="1" applyFill="1" applyBorder="1"/>
    <xf numFmtId="0" fontId="27" fillId="0" borderId="0" xfId="0" applyFont="1"/>
    <xf numFmtId="177" fontId="27" fillId="0" borderId="0" xfId="0" applyNumberFormat="1" applyFont="1"/>
    <xf numFmtId="177" fontId="27" fillId="0" borderId="0" xfId="1" applyNumberFormat="1" applyFont="1" applyFill="1" applyBorder="1"/>
    <xf numFmtId="181" fontId="11" fillId="4" borderId="0" xfId="0" quotePrefix="1" applyNumberFormat="1" applyFont="1" applyFill="1" applyAlignment="1">
      <alignment horizontal="right"/>
    </xf>
    <xf numFmtId="181" fontId="27" fillId="4" borderId="0" xfId="1" quotePrefix="1" applyNumberFormat="1" applyFont="1" applyFill="1" applyBorder="1" applyAlignment="1">
      <alignment horizontal="right"/>
    </xf>
    <xf numFmtId="181" fontId="11" fillId="4" borderId="2" xfId="0" quotePrefix="1" applyNumberFormat="1" applyFont="1" applyFill="1" applyBorder="1" applyAlignment="1">
      <alignment horizontal="right"/>
    </xf>
    <xf numFmtId="181" fontId="15" fillId="4" borderId="0" xfId="0" quotePrefix="1" applyNumberFormat="1" applyFont="1" applyFill="1" applyAlignment="1">
      <alignment horizontal="right"/>
    </xf>
    <xf numFmtId="181" fontId="28" fillId="4" borderId="0" xfId="1" quotePrefix="1" applyNumberFormat="1" applyFont="1" applyFill="1" applyBorder="1" applyAlignment="1">
      <alignment horizontal="right"/>
    </xf>
    <xf numFmtId="181" fontId="18" fillId="4" borderId="2" xfId="0" quotePrefix="1" applyNumberFormat="1" applyFont="1" applyFill="1" applyBorder="1" applyAlignment="1">
      <alignment horizontal="right"/>
    </xf>
    <xf numFmtId="181" fontId="11" fillId="4" borderId="1" xfId="1" applyNumberFormat="1" applyFont="1" applyFill="1" applyBorder="1"/>
    <xf numFmtId="181" fontId="11" fillId="4" borderId="7" xfId="1" applyNumberFormat="1" applyFont="1" applyFill="1" applyBorder="1"/>
    <xf numFmtId="165" fontId="14" fillId="0" borderId="0" xfId="0" applyNumberFormat="1" applyFont="1"/>
    <xf numFmtId="0" fontId="14" fillId="0" borderId="0" xfId="0" quotePrefix="1" applyFont="1"/>
    <xf numFmtId="0" fontId="11" fillId="0" borderId="0" xfId="0" quotePrefix="1" applyFont="1"/>
    <xf numFmtId="169" fontId="10" fillId="0" borderId="0" xfId="0" quotePrefix="1" applyNumberFormat="1" applyFont="1" applyAlignment="1">
      <alignment horizontal="center"/>
    </xf>
    <xf numFmtId="174" fontId="11" fillId="0" borderId="0" xfId="2" applyNumberFormat="1" applyFont="1" applyBorder="1" applyAlignment="1">
      <alignment horizontal="left"/>
    </xf>
    <xf numFmtId="43" fontId="15" fillId="0" borderId="0" xfId="1" applyFont="1" applyBorder="1"/>
    <xf numFmtId="43" fontId="11" fillId="0" borderId="0" xfId="1" applyFont="1" applyFill="1" applyBorder="1"/>
    <xf numFmtId="37" fontId="11" fillId="0" borderId="0" xfId="1" applyNumberFormat="1" applyFont="1" applyBorder="1"/>
    <xf numFmtId="2" fontId="11" fillId="0" borderId="0" xfId="0" applyNumberFormat="1" applyFont="1"/>
    <xf numFmtId="176" fontId="11" fillId="0" borderId="0" xfId="0" applyNumberFormat="1" applyFont="1"/>
    <xf numFmtId="44" fontId="11" fillId="0" borderId="0" xfId="2" applyFont="1" applyBorder="1"/>
    <xf numFmtId="2" fontId="11" fillId="0" borderId="0" xfId="1" applyNumberFormat="1" applyFont="1" applyFill="1" applyBorder="1"/>
    <xf numFmtId="172" fontId="11" fillId="0" borderId="0" xfId="1" applyNumberFormat="1" applyFont="1" applyFill="1" applyBorder="1"/>
    <xf numFmtId="172" fontId="11" fillId="0" borderId="0" xfId="0" applyNumberFormat="1" applyFont="1"/>
    <xf numFmtId="169" fontId="15" fillId="0" borderId="0" xfId="0" applyNumberFormat="1" applyFont="1"/>
    <xf numFmtId="4" fontId="11" fillId="0" borderId="0" xfId="0" applyNumberFormat="1" applyFont="1"/>
    <xf numFmtId="173" fontId="11" fillId="0" borderId="0" xfId="0" applyNumberFormat="1" applyFont="1"/>
    <xf numFmtId="2" fontId="11" fillId="0" borderId="0" xfId="2" applyNumberFormat="1" applyFont="1" applyFill="1" applyBorder="1"/>
    <xf numFmtId="177" fontId="15" fillId="0" borderId="0" xfId="0" applyNumberFormat="1" applyFont="1"/>
    <xf numFmtId="174" fontId="11" fillId="0" borderId="0" xfId="2" applyNumberFormat="1" applyFont="1" applyFill="1" applyBorder="1" applyAlignment="1">
      <alignment horizontal="left"/>
    </xf>
    <xf numFmtId="43" fontId="15" fillId="0" borderId="0" xfId="1" applyFont="1" applyFill="1" applyBorder="1"/>
    <xf numFmtId="167" fontId="11" fillId="0" borderId="0" xfId="0" applyNumberFormat="1" applyFont="1"/>
    <xf numFmtId="49" fontId="10" fillId="0" borderId="9" xfId="0" applyNumberFormat="1" applyFont="1" applyBorder="1"/>
    <xf numFmtId="0" fontId="11" fillId="0" borderId="9" xfId="0" applyFont="1" applyBorder="1"/>
    <xf numFmtId="37" fontId="11" fillId="0" borderId="9" xfId="0" applyNumberFormat="1" applyFont="1" applyBorder="1"/>
    <xf numFmtId="39" fontId="11" fillId="0" borderId="9" xfId="0" applyNumberFormat="1" applyFont="1" applyBorder="1"/>
    <xf numFmtId="169" fontId="11" fillId="0" borderId="9" xfId="0" applyNumberFormat="1" applyFont="1" applyBorder="1"/>
    <xf numFmtId="165" fontId="11" fillId="0" borderId="9" xfId="0" applyNumberFormat="1" applyFont="1" applyBorder="1"/>
    <xf numFmtId="0" fontId="10" fillId="0" borderId="9" xfId="0" applyFont="1" applyBorder="1" applyAlignment="1">
      <alignment horizontal="right"/>
    </xf>
    <xf numFmtId="165" fontId="29" fillId="0" borderId="0" xfId="0" applyNumberFormat="1" applyFont="1"/>
    <xf numFmtId="0" fontId="50" fillId="0" borderId="0" xfId="0" applyFont="1"/>
    <xf numFmtId="172" fontId="51" fillId="3" borderId="0" xfId="0" applyNumberFormat="1" applyFont="1" applyFill="1"/>
    <xf numFmtId="0" fontId="53" fillId="0" borderId="0" xfId="0" applyFont="1" applyAlignment="1">
      <alignment horizontal="center"/>
    </xf>
    <xf numFmtId="37" fontId="35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left"/>
    </xf>
    <xf numFmtId="0" fontId="11" fillId="0" borderId="0" xfId="0" applyFont="1" applyAlignment="1">
      <alignment horizontal="left" indent="1"/>
    </xf>
    <xf numFmtId="5" fontId="11" fillId="0" borderId="0" xfId="0" applyNumberFormat="1" applyFont="1"/>
    <xf numFmtId="0" fontId="49" fillId="0" borderId="0" xfId="0" applyFont="1"/>
    <xf numFmtId="165" fontId="5" fillId="0" borderId="0" xfId="0" quotePrefix="1" applyNumberFormat="1" applyFont="1" applyAlignment="1">
      <alignment horizontal="center"/>
    </xf>
    <xf numFmtId="3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177" fontId="11" fillId="6" borderId="6" xfId="0" quotePrefix="1" applyNumberFormat="1" applyFont="1" applyFill="1" applyBorder="1" applyAlignment="1">
      <alignment horizontal="center"/>
    </xf>
    <xf numFmtId="37" fontId="11" fillId="6" borderId="6" xfId="0" applyNumberFormat="1" applyFont="1" applyFill="1" applyBorder="1"/>
    <xf numFmtId="37" fontId="11" fillId="6" borderId="7" xfId="0" applyNumberFormat="1" applyFont="1" applyFill="1" applyBorder="1"/>
    <xf numFmtId="165" fontId="11" fillId="6" borderId="6" xfId="0" applyNumberFormat="1" applyFont="1" applyFill="1" applyBorder="1"/>
    <xf numFmtId="43" fontId="11" fillId="6" borderId="6" xfId="0" applyNumberFormat="1" applyFont="1" applyFill="1" applyBorder="1"/>
    <xf numFmtId="43" fontId="11" fillId="6" borderId="7" xfId="0" applyNumberFormat="1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5" fontId="11" fillId="7" borderId="5" xfId="0" applyNumberFormat="1" applyFont="1" applyFill="1" applyBorder="1"/>
    <xf numFmtId="5" fontId="11" fillId="7" borderId="2" xfId="0" applyNumberFormat="1" applyFont="1" applyFill="1" applyBorder="1"/>
    <xf numFmtId="5" fontId="11" fillId="7" borderId="6" xfId="0" applyNumberFormat="1" applyFont="1" applyFill="1" applyBorder="1"/>
    <xf numFmtId="5" fontId="11" fillId="7" borderId="7" xfId="0" applyNumberFormat="1" applyFont="1" applyFill="1" applyBorder="1"/>
    <xf numFmtId="5" fontId="11" fillId="7" borderId="8" xfId="0" applyNumberFormat="1" applyFont="1" applyFill="1" applyBorder="1"/>
    <xf numFmtId="5" fontId="11" fillId="7" borderId="4" xfId="0" applyNumberFormat="1" applyFont="1" applyFill="1" applyBorder="1"/>
    <xf numFmtId="0" fontId="11" fillId="6" borderId="8" xfId="0" applyFont="1" applyFill="1" applyBorder="1" applyAlignment="1">
      <alignment horizontal="centerContinuous" wrapText="1"/>
    </xf>
    <xf numFmtId="0" fontId="11" fillId="6" borderId="4" xfId="0" applyFont="1" applyFill="1" applyBorder="1" applyAlignment="1">
      <alignment horizontal="centerContinuous" wrapText="1"/>
    </xf>
    <xf numFmtId="0" fontId="11" fillId="6" borderId="8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Continuous"/>
    </xf>
    <xf numFmtId="5" fontId="15" fillId="0" borderId="0" xfId="2" applyNumberFormat="1" applyFont="1" applyBorder="1"/>
    <xf numFmtId="167" fontId="31" fillId="0" borderId="0" xfId="0" applyNumberFormat="1" applyFont="1"/>
    <xf numFmtId="167" fontId="31" fillId="0" borderId="1" xfId="0" applyNumberFormat="1" applyFont="1" applyBorder="1"/>
    <xf numFmtId="0" fontId="3" fillId="5" borderId="0" xfId="0" applyFont="1" applyFill="1" applyAlignment="1">
      <alignment horizontal="center"/>
    </xf>
    <xf numFmtId="167" fontId="2" fillId="0" borderId="0" xfId="0" applyNumberFormat="1" applyFont="1"/>
    <xf numFmtId="4" fontId="2" fillId="0" borderId="0" xfId="0" applyNumberFormat="1" applyFont="1"/>
    <xf numFmtId="173" fontId="2" fillId="0" borderId="0" xfId="0" applyNumberFormat="1" applyFont="1"/>
    <xf numFmtId="167" fontId="4" fillId="0" borderId="0" xfId="0" applyNumberFormat="1" applyFont="1"/>
    <xf numFmtId="173" fontId="1" fillId="0" borderId="0" xfId="0" applyNumberFormat="1" applyFont="1"/>
    <xf numFmtId="173" fontId="52" fillId="0" borderId="0" xfId="0" applyNumberFormat="1" applyFont="1"/>
    <xf numFmtId="173" fontId="31" fillId="0" borderId="0" xfId="0" applyNumberFormat="1" applyFont="1"/>
    <xf numFmtId="167" fontId="2" fillId="0" borderId="1" xfId="0" applyNumberFormat="1" applyFont="1" applyBorder="1"/>
    <xf numFmtId="4" fontId="2" fillId="0" borderId="1" xfId="0" applyNumberFormat="1" applyFont="1" applyBorder="1"/>
    <xf numFmtId="0" fontId="1" fillId="0" borderId="2" xfId="0" applyFont="1" applyBorder="1"/>
    <xf numFmtId="167" fontId="1" fillId="0" borderId="2" xfId="0" applyNumberFormat="1" applyFont="1" applyBorder="1"/>
    <xf numFmtId="167" fontId="1" fillId="0" borderId="7" xfId="0" applyNumberFormat="1" applyFont="1" applyBorder="1"/>
    <xf numFmtId="0" fontId="40" fillId="0" borderId="8" xfId="0" applyFont="1" applyBorder="1"/>
    <xf numFmtId="0" fontId="40" fillId="0" borderId="3" xfId="0" applyFont="1" applyBorder="1"/>
    <xf numFmtId="0" fontId="39" fillId="0" borderId="5" xfId="0" applyFont="1" applyBorder="1"/>
    <xf numFmtId="0" fontId="40" fillId="0" borderId="5" xfId="0" applyFont="1" applyBorder="1"/>
    <xf numFmtId="0" fontId="40" fillId="0" borderId="6" xfId="0" applyFont="1" applyBorder="1"/>
    <xf numFmtId="0" fontId="40" fillId="0" borderId="1" xfId="0" applyFont="1" applyBorder="1"/>
    <xf numFmtId="0" fontId="39" fillId="0" borderId="8" xfId="0" applyFont="1" applyBorder="1"/>
    <xf numFmtId="0" fontId="40" fillId="8" borderId="8" xfId="0" applyFont="1" applyFill="1" applyBorder="1" applyAlignment="1">
      <alignment horizontal="right"/>
    </xf>
    <xf numFmtId="0" fontId="40" fillId="8" borderId="6" xfId="0" quotePrefix="1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0" fillId="8" borderId="5" xfId="0" applyFont="1" applyFill="1" applyBorder="1" applyAlignment="1">
      <alignment horizontal="right"/>
    </xf>
    <xf numFmtId="0" fontId="40" fillId="8" borderId="5" xfId="0" applyFont="1" applyFill="1" applyBorder="1"/>
    <xf numFmtId="0" fontId="40" fillId="8" borderId="6" xfId="0" applyFont="1" applyFill="1" applyBorder="1" applyAlignment="1">
      <alignment horizontal="right"/>
    </xf>
    <xf numFmtId="37" fontId="49" fillId="0" borderId="0" xfId="0" applyNumberFormat="1" applyFont="1" applyProtection="1">
      <protection locked="0"/>
    </xf>
    <xf numFmtId="0" fontId="58" fillId="0" borderId="0" xfId="3" applyFont="1"/>
    <xf numFmtId="0" fontId="59" fillId="0" borderId="0" xfId="3" applyFont="1"/>
    <xf numFmtId="177" fontId="60" fillId="0" borderId="0" xfId="4" applyNumberFormat="1" applyFont="1" applyFill="1"/>
    <xf numFmtId="165" fontId="62" fillId="0" borderId="0" xfId="0" quotePrefix="1" applyNumberFormat="1" applyFont="1" applyAlignment="1">
      <alignment horizontal="center"/>
    </xf>
    <xf numFmtId="39" fontId="62" fillId="0" borderId="0" xfId="0" quotePrefix="1" applyNumberFormat="1" applyFont="1" applyAlignment="1">
      <alignment horizontal="center"/>
    </xf>
    <xf numFmtId="5" fontId="11" fillId="0" borderId="0" xfId="2" applyNumberFormat="1" applyFont="1" applyFill="1" applyBorder="1"/>
    <xf numFmtId="178" fontId="11" fillId="0" borderId="0" xfId="1" applyNumberFormat="1" applyFont="1" applyBorder="1"/>
    <xf numFmtId="172" fontId="31" fillId="0" borderId="0" xfId="0" applyNumberFormat="1" applyFont="1" applyAlignment="1">
      <alignment horizontal="right"/>
    </xf>
    <xf numFmtId="177" fontId="27" fillId="0" borderId="0" xfId="1" applyNumberFormat="1" applyFont="1" applyFill="1"/>
    <xf numFmtId="0" fontId="29" fillId="0" borderId="0" xfId="0" applyFont="1" applyAlignment="1">
      <alignment horizontal="center"/>
    </xf>
    <xf numFmtId="177" fontId="11" fillId="0" borderId="0" xfId="1" applyNumberFormat="1" applyFont="1" applyFill="1"/>
    <xf numFmtId="39" fontId="11" fillId="0" borderId="0" xfId="0" quotePrefix="1" applyNumberFormat="1" applyFont="1" applyAlignment="1">
      <alignment horizontal="left"/>
    </xf>
    <xf numFmtId="37" fontId="13" fillId="0" borderId="0" xfId="0" applyNumberFormat="1" applyFont="1"/>
    <xf numFmtId="37" fontId="14" fillId="0" borderId="3" xfId="0" applyNumberFormat="1" applyFont="1" applyBorder="1"/>
    <xf numFmtId="37" fontId="14" fillId="0" borderId="0" xfId="0" applyNumberFormat="1" applyFont="1"/>
    <xf numFmtId="37" fontId="33" fillId="0" borderId="0" xfId="0" applyNumberFormat="1" applyFont="1"/>
    <xf numFmtId="165" fontId="28" fillId="0" borderId="0" xfId="0" applyNumberFormat="1" applyFont="1"/>
    <xf numFmtId="165" fontId="18" fillId="0" borderId="0" xfId="0" applyNumberFormat="1" applyFont="1"/>
    <xf numFmtId="165" fontId="15" fillId="0" borderId="0" xfId="0" quotePrefix="1" applyNumberFormat="1" applyFont="1" applyAlignment="1">
      <alignment horizontal="right"/>
    </xf>
    <xf numFmtId="49" fontId="29" fillId="0" borderId="0" xfId="0" applyNumberFormat="1" applyFont="1" applyAlignment="1">
      <alignment horizontal="center"/>
    </xf>
    <xf numFmtId="165" fontId="30" fillId="0" borderId="0" xfId="0" applyNumberFormat="1" applyFont="1"/>
    <xf numFmtId="165" fontId="33" fillId="0" borderId="0" xfId="0" applyNumberFormat="1" applyFont="1"/>
    <xf numFmtId="165" fontId="34" fillId="0" borderId="0" xfId="0" applyNumberFormat="1" applyFont="1"/>
    <xf numFmtId="165" fontId="11" fillId="0" borderId="3" xfId="0" applyNumberFormat="1" applyFont="1" applyBorder="1"/>
    <xf numFmtId="165" fontId="11" fillId="0" borderId="2" xfId="0" applyNumberFormat="1" applyFont="1" applyBorder="1"/>
    <xf numFmtId="165" fontId="15" fillId="0" borderId="2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5" fontId="11" fillId="0" borderId="1" xfId="0" applyNumberFormat="1" applyFont="1" applyBorder="1"/>
    <xf numFmtId="165" fontId="11" fillId="0" borderId="7" xfId="0" applyNumberFormat="1" applyFont="1" applyBorder="1"/>
    <xf numFmtId="176" fontId="30" fillId="0" borderId="0" xfId="1" applyNumberFormat="1" applyFont="1" applyFill="1" applyBorder="1"/>
    <xf numFmtId="176" fontId="18" fillId="0" borderId="0" xfId="1" applyNumberFormat="1" applyFont="1" applyFill="1" applyBorder="1"/>
    <xf numFmtId="0" fontId="14" fillId="0" borderId="0" xfId="0" applyFont="1" applyAlignment="1" applyProtection="1">
      <alignment horizontal="left"/>
      <protection locked="0"/>
    </xf>
    <xf numFmtId="176" fontId="28" fillId="0" borderId="0" xfId="1" applyNumberFormat="1" applyFont="1" applyFill="1"/>
    <xf numFmtId="176" fontId="15" fillId="0" borderId="0" xfId="1" applyNumberFormat="1" applyFont="1" applyFill="1"/>
    <xf numFmtId="176" fontId="15" fillId="0" borderId="0" xfId="1" applyNumberFormat="1" applyFont="1" applyFill="1" applyBorder="1"/>
    <xf numFmtId="180" fontId="43" fillId="0" borderId="0" xfId="2" quotePrefix="1" applyNumberFormat="1" applyFont="1" applyFill="1" applyAlignment="1"/>
    <xf numFmtId="177" fontId="43" fillId="0" borderId="0" xfId="0" applyNumberFormat="1" applyFont="1"/>
    <xf numFmtId="37" fontId="43" fillId="0" borderId="0" xfId="0" applyNumberFormat="1" applyFont="1"/>
    <xf numFmtId="37" fontId="44" fillId="0" borderId="0" xfId="0" applyNumberFormat="1" applyFont="1"/>
    <xf numFmtId="180" fontId="40" fillId="0" borderId="9" xfId="2" applyNumberFormat="1" applyFont="1" applyFill="1" applyBorder="1"/>
    <xf numFmtId="37" fontId="43" fillId="0" borderId="0" xfId="0" quotePrefix="1" applyNumberFormat="1" applyFont="1"/>
    <xf numFmtId="37" fontId="39" fillId="0" borderId="0" xfId="0" applyNumberFormat="1" applyFont="1"/>
    <xf numFmtId="39" fontId="48" fillId="0" borderId="0" xfId="0" applyNumberFormat="1" applyFont="1" applyProtection="1">
      <protection locked="0"/>
    </xf>
    <xf numFmtId="39" fontId="43" fillId="0" borderId="0" xfId="0" applyNumberFormat="1" applyFont="1"/>
    <xf numFmtId="180" fontId="43" fillId="0" borderId="3" xfId="2" applyNumberFormat="1" applyFont="1" applyFill="1" applyBorder="1" applyProtection="1">
      <protection locked="0"/>
    </xf>
    <xf numFmtId="180" fontId="43" fillId="0" borderId="4" xfId="2" applyNumberFormat="1" applyFont="1" applyFill="1" applyBorder="1" applyProtection="1">
      <protection locked="0"/>
    </xf>
    <xf numFmtId="44" fontId="40" fillId="0" borderId="1" xfId="2" applyFont="1" applyFill="1" applyBorder="1" applyProtection="1">
      <protection locked="0"/>
    </xf>
    <xf numFmtId="180" fontId="40" fillId="0" borderId="1" xfId="2" applyNumberFormat="1" applyFont="1" applyFill="1" applyBorder="1" applyProtection="1">
      <protection locked="0"/>
    </xf>
    <xf numFmtId="180" fontId="40" fillId="0" borderId="7" xfId="2" applyNumberFormat="1" applyFont="1" applyFill="1" applyBorder="1" applyProtection="1">
      <protection locked="0"/>
    </xf>
    <xf numFmtId="0" fontId="40" fillId="0" borderId="4" xfId="0" applyFont="1" applyBorder="1"/>
    <xf numFmtId="176" fontId="43" fillId="0" borderId="0" xfId="1" applyNumberFormat="1" applyFont="1" applyFill="1" applyBorder="1"/>
    <xf numFmtId="176" fontId="43" fillId="0" borderId="2" xfId="1" applyNumberFormat="1" applyFont="1" applyFill="1" applyBorder="1"/>
    <xf numFmtId="176" fontId="56" fillId="0" borderId="0" xfId="1" applyNumberFormat="1" applyFont="1" applyFill="1" applyBorder="1"/>
    <xf numFmtId="176" fontId="56" fillId="0" borderId="2" xfId="1" applyNumberFormat="1" applyFont="1" applyFill="1" applyBorder="1"/>
    <xf numFmtId="176" fontId="40" fillId="0" borderId="0" xfId="0" applyNumberFormat="1" applyFont="1"/>
    <xf numFmtId="176" fontId="40" fillId="0" borderId="2" xfId="0" applyNumberFormat="1" applyFont="1" applyBorder="1"/>
    <xf numFmtId="43" fontId="40" fillId="0" borderId="1" xfId="0" applyNumberFormat="1" applyFont="1" applyBorder="1"/>
    <xf numFmtId="43" fontId="40" fillId="0" borderId="7" xfId="0" applyNumberFormat="1" applyFont="1" applyBorder="1"/>
    <xf numFmtId="43" fontId="40" fillId="0" borderId="0" xfId="0" applyNumberFormat="1" applyFont="1"/>
    <xf numFmtId="175" fontId="42" fillId="0" borderId="3" xfId="0" applyNumberFormat="1" applyFont="1" applyBorder="1" applyAlignment="1">
      <alignment horizontal="center"/>
    </xf>
    <xf numFmtId="175" fontId="42" fillId="0" borderId="4" xfId="0" applyNumberFormat="1" applyFont="1" applyBorder="1" applyAlignment="1">
      <alignment horizontal="center"/>
    </xf>
    <xf numFmtId="39" fontId="39" fillId="0" borderId="2" xfId="0" applyNumberFormat="1" applyFont="1" applyBorder="1"/>
    <xf numFmtId="39" fontId="40" fillId="0" borderId="2" xfId="0" applyNumberFormat="1" applyFont="1" applyBorder="1"/>
    <xf numFmtId="39" fontId="45" fillId="0" borderId="2" xfId="0" applyNumberFormat="1" applyFont="1" applyBorder="1"/>
    <xf numFmtId="0" fontId="40" fillId="0" borderId="2" xfId="0" applyFont="1" applyBorder="1"/>
    <xf numFmtId="0" fontId="40" fillId="0" borderId="7" xfId="0" applyFont="1" applyBorder="1"/>
    <xf numFmtId="43" fontId="40" fillId="0" borderId="0" xfId="1" applyFont="1" applyFill="1" applyBorder="1"/>
    <xf numFmtId="43" fontId="40" fillId="0" borderId="2" xfId="1" applyFont="1" applyFill="1" applyBorder="1"/>
    <xf numFmtId="43" fontId="45" fillId="0" borderId="0" xfId="1" applyFont="1" applyFill="1" applyBorder="1"/>
    <xf numFmtId="43" fontId="45" fillId="0" borderId="2" xfId="1" applyFont="1" applyFill="1" applyBorder="1"/>
    <xf numFmtId="43" fontId="57" fillId="0" borderId="0" xfId="1" applyFont="1" applyFill="1" applyBorder="1"/>
    <xf numFmtId="43" fontId="57" fillId="0" borderId="2" xfId="1" applyFont="1" applyFill="1" applyBorder="1"/>
    <xf numFmtId="43" fontId="40" fillId="0" borderId="2" xfId="0" applyNumberFormat="1" applyFont="1" applyBorder="1"/>
    <xf numFmtId="175" fontId="59" fillId="0" borderId="9" xfId="3" applyNumberFormat="1" applyFont="1" applyBorder="1" applyAlignment="1">
      <alignment horizontal="center"/>
    </xf>
    <xf numFmtId="0" fontId="61" fillId="0" borderId="0" xfId="3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9" xfId="0" applyFont="1" applyBorder="1" applyAlignment="1">
      <alignment horizontal="center"/>
    </xf>
    <xf numFmtId="0" fontId="10" fillId="6" borderId="8" xfId="0" quotePrefix="1" applyFont="1" applyFill="1" applyBorder="1" applyAlignment="1">
      <alignment horizontal="center"/>
    </xf>
    <xf numFmtId="0" fontId="10" fillId="6" borderId="4" xfId="0" quotePrefix="1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9" xfId="0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49" fontId="55" fillId="0" borderId="9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quotePrefix="1" applyFont="1" applyAlignment="1">
      <alignment horizontal="center"/>
    </xf>
    <xf numFmtId="165" fontId="10" fillId="0" borderId="0" xfId="0" applyNumberFormat="1" applyFont="1" applyAlignment="1">
      <alignment horizontal="center"/>
    </xf>
  </cellXfs>
  <cellStyles count="5">
    <cellStyle name="Comma" xfId="1" builtinId="3"/>
    <cellStyle name="Comma 2" xfId="4" xr:uid="{A7605ECA-655E-485A-B1E8-CD506D5F19D8}"/>
    <cellStyle name="Currency" xfId="2" builtinId="4"/>
    <cellStyle name="Normal" xfId="0" builtinId="0"/>
    <cellStyle name="Normal 2" xfId="3" xr:uid="{F8EE16CA-4099-451A-9C09-0E2F0039453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13/Schedules/Schedule%20M%20-%20Revenue/Schedules%20TME%20Nov%202014/Schedule%20M%20-%20Revenue/Sch%20M%20-%20Revenue%20and%20Rate%20Design%20(Base%20Period)%20w%20Actual%20Rates%20TO%20BE%20FI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13/Schedules/Schedule%20M%20-%20Revenue/Schedule%20C%20&amp;%20D%20-%20Operating%20Income/Sch%20C%20&amp;%20D%20-%20Operating%20Income%20Forecas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Base/Schedule%20C%20-%20Operating%20Income/Operating%20Inco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13/Schedules/Schedule%20M%20-%20Revenue/Sch%20M%20-%20Revenue%20and%20Rate%20Design%20(Forecast%20Perio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D-2.1 Output"/>
      <sheetName val="Input"/>
      <sheetName val="A"/>
      <sheetName val="B"/>
      <sheetName val="C"/>
      <sheetName val="D - Do Not Use"/>
      <sheetName val="E pg 1 thru 4"/>
      <sheetName val="E pg 5 to 6"/>
      <sheetName val="E pg 7 to 8"/>
      <sheetName val="Sch M"/>
      <sheetName val="Sch M 2.1"/>
      <sheetName val="Sch M 2.2"/>
      <sheetName val="Sch M 2.3"/>
      <sheetName val="Sch M - Do Not Use"/>
      <sheetName val="MPB-6 Page 4"/>
      <sheetName val="MPB-6 Rate Design"/>
      <sheetName val="Macros"/>
    </sheetNames>
    <sheetDataSet>
      <sheetData sheetId="0" refreshError="1"/>
      <sheetData sheetId="1" refreshError="1">
        <row r="12">
          <cell r="B12" t="str">
            <v>Case No. 2013-</v>
          </cell>
        </row>
        <row r="14">
          <cell r="B14" t="str">
            <v>Witness: C. E. Notestone</v>
          </cell>
        </row>
        <row r="16">
          <cell r="C16">
            <v>4.3373999999999997</v>
          </cell>
        </row>
        <row r="20">
          <cell r="C20" t="str">
            <v>February 28, 2013</v>
          </cell>
        </row>
      </sheetData>
      <sheetData sheetId="2" refreshError="1"/>
      <sheetData sheetId="3" refreshError="1">
        <row r="1">
          <cell r="A1" t="str">
            <v>Columbia Gas of Kentucky, Inc.</v>
          </cell>
        </row>
        <row r="3">
          <cell r="A3" t="str">
            <v>For the 12 Months Ended July 31, 2013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 to 3"/>
      <sheetName val="Sch M"/>
      <sheetName val="Sch M 2.1"/>
      <sheetName val="Sch M 2.2"/>
      <sheetName val="Sch M 2.3"/>
      <sheetName val="Rate Design Page 1- 3"/>
      <sheetName val="Rate Design Page 4"/>
      <sheetName val="D - Do Not Use"/>
      <sheetName val="Do Not Use - New Constr"/>
      <sheetName val="Macros"/>
    </sheetNames>
    <sheetDataSet>
      <sheetData sheetId="0">
        <row r="1">
          <cell r="A1" t="str">
            <v>X:\ERATE\CKY\RATECASE\1994\SCHC\INDEX.WK1</v>
          </cell>
        </row>
        <row r="3">
          <cell r="A3" t="str">
            <v>SCHEDULE  M</v>
          </cell>
        </row>
        <row r="5">
          <cell r="A5" t="str">
            <v>REVENUE SUMMARY FOR BASE PERIOD AND FORECASTED PERIOD</v>
          </cell>
        </row>
        <row r="7">
          <cell r="A7" t="str">
            <v>COLUMBIA GAS OF KENTUCKY, INC.</v>
          </cell>
        </row>
        <row r="9">
          <cell r="A9" t="str">
            <v>CASE NO. 2013-XXXXX</v>
          </cell>
        </row>
        <row r="13">
          <cell r="A13" t="str">
            <v>BASE PERIOD :</v>
          </cell>
          <cell r="C13" t="str">
            <v>FOR THE TWELVE MONTHS ENDED JULY 31, 2013</v>
          </cell>
        </row>
        <row r="15">
          <cell r="A15" t="str">
            <v>FORECASTED PERIOD:</v>
          </cell>
          <cell r="C15" t="str">
            <v>FOR THE TWELVE MONTHS ENDED NOVEMBER 30, 2014</v>
          </cell>
        </row>
        <row r="18">
          <cell r="A18" t="str">
            <v>SCHEDULE</v>
          </cell>
          <cell r="C18" t="str">
            <v>DESCRIPTION</v>
          </cell>
        </row>
        <row r="21">
          <cell r="A21" t="str">
            <v>M</v>
          </cell>
          <cell r="C21" t="str">
            <v>BASE AND FORECASTED PERIOD AT PRESENT RATES</v>
          </cell>
        </row>
        <row r="22">
          <cell r="A22" t="str">
            <v>M-1</v>
          </cell>
          <cell r="C22" t="str">
            <v>BILL ANALYSIS FOR THE BASE PERIOD AT PRESENT RATES</v>
          </cell>
        </row>
        <row r="23">
          <cell r="A23" t="str">
            <v>M-2.1</v>
          </cell>
          <cell r="C23" t="str">
            <v>PRESENT AND PROPOSED REVENUE AT FORECASTED PERIOD</v>
          </cell>
        </row>
        <row r="24">
          <cell r="A24" t="str">
            <v>M-2.2</v>
          </cell>
          <cell r="C24" t="str">
            <v>BILL ANALYSIS FOR THE FORECASTED PERIOD AT PRESENT RATES</v>
          </cell>
        </row>
        <row r="25">
          <cell r="A25" t="str">
            <v>M-2.3</v>
          </cell>
          <cell r="C25" t="str">
            <v>BILL ANALYSIS FOR THE FORECASTED PERIOD AT PROPOSED RATES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Sheet1"/>
  <dimension ref="A1:AH336"/>
  <sheetViews>
    <sheetView topLeftCell="A9" zoomScaleNormal="100" zoomScaleSheetLayoutView="96" workbookViewId="0">
      <pane xSplit="2" ySplit="16" topLeftCell="C25" activePane="bottomRight" state="frozen"/>
      <selection activeCell="A9" sqref="A9"/>
      <selection pane="topRight" activeCell="C9" sqref="C9"/>
      <selection pane="bottomLeft" activeCell="A25" sqref="A25"/>
      <selection pane="bottomRight" activeCell="C25" sqref="C25"/>
    </sheetView>
  </sheetViews>
  <sheetFormatPr defaultColWidth="10" defaultRowHeight="12.45" x14ac:dyDescent="0.3"/>
  <cols>
    <col min="1" max="1" width="21.44140625" style="1" customWidth="1"/>
    <col min="2" max="2" width="65.21875" style="1" bestFit="1" customWidth="1"/>
    <col min="3" max="3" width="14.5546875" style="1" customWidth="1"/>
    <col min="4" max="4" width="24.21875" style="8" customWidth="1"/>
    <col min="5" max="5" width="21" style="1" bestFit="1" customWidth="1"/>
    <col min="6" max="6" width="18.44140625" style="1" customWidth="1"/>
    <col min="7" max="7" width="15.77734375" style="1" customWidth="1"/>
    <col min="8" max="9" width="14.21875" style="1" customWidth="1"/>
    <col min="10" max="10" width="28.44140625" style="1" bestFit="1" customWidth="1"/>
    <col min="11" max="11" width="14.21875" style="1" customWidth="1"/>
    <col min="12" max="12" width="20.77734375" style="1" bestFit="1" customWidth="1"/>
    <col min="13" max="13" width="20.21875" style="1" customWidth="1"/>
    <col min="14" max="14" width="18.77734375" style="1" bestFit="1" customWidth="1"/>
    <col min="15" max="15" width="24.5546875" style="1" bestFit="1" customWidth="1"/>
    <col min="16" max="16" width="21.44140625" style="1" customWidth="1"/>
    <col min="17" max="17" width="19.44140625" style="1" bestFit="1" customWidth="1"/>
    <col min="18" max="18" width="19.21875" style="1" bestFit="1" customWidth="1"/>
    <col min="19" max="20" width="20.5546875" style="1" bestFit="1" customWidth="1"/>
    <col min="21" max="21" width="3.77734375" style="1" customWidth="1"/>
    <col min="22" max="22" width="19.5546875" style="1" bestFit="1" customWidth="1"/>
    <col min="23" max="23" width="17.44140625" style="1" bestFit="1" customWidth="1"/>
    <col min="24" max="24" width="18.5546875" style="1" bestFit="1" customWidth="1"/>
    <col min="25" max="25" width="18.77734375" style="1" bestFit="1" customWidth="1"/>
    <col min="26" max="26" width="14.44140625" style="1" bestFit="1" customWidth="1"/>
    <col min="27" max="28" width="16.44140625" style="1" bestFit="1" customWidth="1"/>
    <col min="29" max="29" width="10.21875" style="1" customWidth="1"/>
    <col min="30" max="31" width="10.21875" style="1" bestFit="1" customWidth="1"/>
    <col min="32" max="32" width="13" style="1" customWidth="1"/>
    <col min="33" max="33" width="9.77734375" style="1" bestFit="1" customWidth="1"/>
    <col min="34" max="34" width="10" style="1"/>
    <col min="35" max="35" width="10.21875" style="1" bestFit="1" customWidth="1"/>
    <col min="36" max="16384" width="10" style="1"/>
  </cols>
  <sheetData>
    <row r="1" spans="1:21" x14ac:dyDescent="0.3">
      <c r="A1" s="1" t="s">
        <v>0</v>
      </c>
      <c r="C1" s="11" t="s">
        <v>41</v>
      </c>
    </row>
    <row r="2" spans="1:21" x14ac:dyDescent="0.3">
      <c r="A2" s="1" t="s">
        <v>1</v>
      </c>
      <c r="C2" s="11" t="s">
        <v>2</v>
      </c>
    </row>
    <row r="3" spans="1:21" x14ac:dyDescent="0.3">
      <c r="A3" s="1" t="s">
        <v>3</v>
      </c>
      <c r="C3" s="12" t="s">
        <v>4</v>
      </c>
    </row>
    <row r="4" spans="1:21" x14ac:dyDescent="0.3">
      <c r="A4" s="1" t="s">
        <v>5</v>
      </c>
      <c r="C4" s="13" t="s">
        <v>42</v>
      </c>
    </row>
    <row r="5" spans="1:21" x14ac:dyDescent="0.3">
      <c r="A5" s="1" t="s">
        <v>6</v>
      </c>
      <c r="C5" s="14" t="s">
        <v>43</v>
      </c>
    </row>
    <row r="6" spans="1:21" ht="15" customHeight="1" x14ac:dyDescent="0.3">
      <c r="A6" s="1" t="s">
        <v>7</v>
      </c>
      <c r="C6" s="11" t="s">
        <v>39</v>
      </c>
      <c r="U6" s="15"/>
    </row>
    <row r="7" spans="1:21" x14ac:dyDescent="0.3">
      <c r="A7" s="1" t="s">
        <v>8</v>
      </c>
      <c r="C7" s="116" t="s">
        <v>395</v>
      </c>
      <c r="U7" s="15"/>
    </row>
    <row r="8" spans="1:21" x14ac:dyDescent="0.3">
      <c r="A8" s="1" t="s">
        <v>9</v>
      </c>
      <c r="U8" s="15"/>
    </row>
    <row r="9" spans="1:21" x14ac:dyDescent="0.3">
      <c r="A9" s="16" t="s">
        <v>127</v>
      </c>
      <c r="B9" s="16"/>
      <c r="C9" s="16"/>
      <c r="D9" s="17"/>
      <c r="U9" s="15"/>
    </row>
    <row r="10" spans="1:21" x14ac:dyDescent="0.3">
      <c r="A10" s="16" t="s">
        <v>116</v>
      </c>
      <c r="B10" s="16"/>
      <c r="C10" s="16"/>
      <c r="D10" s="17"/>
    </row>
    <row r="11" spans="1:21" x14ac:dyDescent="0.3">
      <c r="A11" s="16"/>
      <c r="B11" s="16"/>
      <c r="C11" s="16"/>
      <c r="D11" s="17"/>
    </row>
    <row r="12" spans="1:21" x14ac:dyDescent="0.3">
      <c r="A12" s="15" t="s">
        <v>45</v>
      </c>
      <c r="B12" s="176" t="s">
        <v>466</v>
      </c>
      <c r="E12" s="328"/>
      <c r="G12" s="328"/>
    </row>
    <row r="14" spans="1:21" x14ac:dyDescent="0.3">
      <c r="A14" s="15" t="s">
        <v>63</v>
      </c>
      <c r="B14" s="177" t="s">
        <v>469</v>
      </c>
    </row>
    <row r="15" spans="1:21" x14ac:dyDescent="0.3">
      <c r="A15" s="15"/>
      <c r="B15" s="18"/>
    </row>
    <row r="16" spans="1:21" x14ac:dyDescent="0.3">
      <c r="A16" s="15" t="s">
        <v>107</v>
      </c>
      <c r="C16" s="172">
        <v>2.4022999999999999</v>
      </c>
      <c r="E16" s="328"/>
      <c r="T16" s="132"/>
    </row>
    <row r="17" spans="1:21" x14ac:dyDescent="0.3">
      <c r="A17" s="15" t="s">
        <v>146</v>
      </c>
      <c r="C17" s="329">
        <v>2.9432999999999998</v>
      </c>
      <c r="T17" s="133"/>
      <c r="U17" s="10"/>
    </row>
    <row r="18" spans="1:21" x14ac:dyDescent="0.3">
      <c r="A18" s="15" t="s">
        <v>147</v>
      </c>
      <c r="C18" s="175">
        <v>1.3556999999999999</v>
      </c>
      <c r="D18" s="8" t="s">
        <v>307</v>
      </c>
      <c r="E18" s="328"/>
      <c r="U18" s="10"/>
    </row>
    <row r="19" spans="1:21" x14ac:dyDescent="0.3">
      <c r="A19" s="15" t="s">
        <v>148</v>
      </c>
      <c r="C19" s="172">
        <v>1.5875999999999999</v>
      </c>
      <c r="E19" s="328"/>
      <c r="U19" s="10"/>
    </row>
    <row r="20" spans="1:21" x14ac:dyDescent="0.3">
      <c r="A20" s="15" t="s">
        <v>149</v>
      </c>
      <c r="C20" s="18" t="s">
        <v>396</v>
      </c>
      <c r="E20" s="328"/>
      <c r="U20" s="10"/>
    </row>
    <row r="22" spans="1:21" x14ac:dyDescent="0.3">
      <c r="A22" s="15" t="s">
        <v>117</v>
      </c>
      <c r="C22" s="328"/>
      <c r="J22" s="328"/>
      <c r="K22" s="328"/>
      <c r="L22" s="328"/>
      <c r="M22" s="328"/>
      <c r="N22" s="328"/>
      <c r="O22" s="328"/>
      <c r="T22" s="19"/>
    </row>
    <row r="23" spans="1:21" x14ac:dyDescent="0.3">
      <c r="C23" s="338" t="s">
        <v>126</v>
      </c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15"/>
      <c r="R23" s="15"/>
      <c r="S23" s="15"/>
    </row>
    <row r="24" spans="1:21" x14ac:dyDescent="0.3">
      <c r="A24" s="2" t="s">
        <v>118</v>
      </c>
      <c r="B24" s="2" t="s">
        <v>119</v>
      </c>
      <c r="C24" s="2" t="s">
        <v>120</v>
      </c>
      <c r="D24" s="3" t="s">
        <v>121</v>
      </c>
      <c r="E24" s="2" t="s">
        <v>122</v>
      </c>
      <c r="F24" s="2" t="s">
        <v>123</v>
      </c>
      <c r="G24" s="2" t="s">
        <v>124</v>
      </c>
      <c r="H24" s="2" t="s">
        <v>125</v>
      </c>
      <c r="I24" s="2" t="s">
        <v>133</v>
      </c>
      <c r="J24" s="2" t="s">
        <v>361</v>
      </c>
      <c r="K24" s="360" t="s">
        <v>397</v>
      </c>
      <c r="L24" s="330" t="s">
        <v>398</v>
      </c>
      <c r="M24" s="2" t="s">
        <v>360</v>
      </c>
      <c r="N24" s="2" t="s">
        <v>399</v>
      </c>
      <c r="O24" s="2" t="s">
        <v>400</v>
      </c>
      <c r="P24" s="4"/>
    </row>
    <row r="25" spans="1:21" x14ac:dyDescent="0.3">
      <c r="A25" s="5" t="s">
        <v>70</v>
      </c>
      <c r="B25" s="5" t="s">
        <v>71</v>
      </c>
      <c r="C25" s="361">
        <v>5.2527999999999997</v>
      </c>
      <c r="D25" s="361"/>
      <c r="E25" s="361"/>
      <c r="F25" s="361"/>
      <c r="G25" s="361"/>
      <c r="H25" s="362">
        <v>19.75</v>
      </c>
      <c r="I25" s="362"/>
      <c r="J25" s="363">
        <v>0</v>
      </c>
      <c r="K25" s="363">
        <v>0.53010000000000002</v>
      </c>
      <c r="L25" s="362">
        <f>0.21-0.13</f>
        <v>7.9999999999999988E-2</v>
      </c>
      <c r="M25" s="363">
        <v>0.3</v>
      </c>
      <c r="N25" s="363">
        <v>1.24E-2</v>
      </c>
      <c r="O25" s="363">
        <v>1.03E-2</v>
      </c>
      <c r="P25" s="16"/>
    </row>
    <row r="26" spans="1:21" x14ac:dyDescent="0.3">
      <c r="A26" s="5" t="s">
        <v>72</v>
      </c>
      <c r="B26" s="5" t="s">
        <v>73</v>
      </c>
      <c r="C26" s="361">
        <v>3.8148</v>
      </c>
      <c r="D26" s="361"/>
      <c r="E26" s="364"/>
      <c r="F26" s="364"/>
      <c r="G26" s="364"/>
      <c r="H26" s="362">
        <v>79.09</v>
      </c>
      <c r="I26" s="362"/>
      <c r="J26" s="362"/>
      <c r="K26" s="362"/>
      <c r="L26" s="362"/>
      <c r="M26" s="362"/>
      <c r="N26" s="362"/>
      <c r="O26" s="362"/>
      <c r="P26" s="16"/>
    </row>
    <row r="27" spans="1:21" x14ac:dyDescent="0.3">
      <c r="A27" s="5" t="s">
        <v>74</v>
      </c>
      <c r="B27" s="5" t="s">
        <v>75</v>
      </c>
      <c r="C27" s="361">
        <v>5.1319999999999997</v>
      </c>
      <c r="D27" s="361"/>
      <c r="E27" s="361"/>
      <c r="F27" s="361"/>
      <c r="G27" s="361"/>
      <c r="H27" s="362">
        <v>22.02</v>
      </c>
      <c r="I27" s="362"/>
      <c r="J27" s="362"/>
      <c r="K27" s="362"/>
      <c r="L27" s="362"/>
      <c r="M27" s="362"/>
      <c r="N27" s="362"/>
      <c r="O27" s="362"/>
      <c r="P27" s="16"/>
    </row>
    <row r="28" spans="1:21" x14ac:dyDescent="0.3">
      <c r="A28" s="5" t="s">
        <v>76</v>
      </c>
      <c r="B28" s="5" t="s">
        <v>77</v>
      </c>
      <c r="C28" s="361">
        <v>0.4</v>
      </c>
      <c r="D28" s="361"/>
      <c r="E28" s="361"/>
      <c r="F28" s="361"/>
      <c r="G28" s="361"/>
      <c r="H28" s="362">
        <v>0</v>
      </c>
      <c r="I28" s="362"/>
      <c r="J28" s="362"/>
      <c r="K28" s="362"/>
      <c r="L28" s="363"/>
      <c r="M28" s="362"/>
      <c r="N28" s="365">
        <f>$N$25</f>
        <v>1.24E-2</v>
      </c>
      <c r="O28" s="363"/>
      <c r="P28" s="16"/>
    </row>
    <row r="29" spans="1:21" x14ac:dyDescent="0.3">
      <c r="A29" s="5" t="s">
        <v>76</v>
      </c>
      <c r="B29" s="5" t="s">
        <v>78</v>
      </c>
      <c r="C29" s="361">
        <v>0.4</v>
      </c>
      <c r="D29" s="361"/>
      <c r="E29" s="361"/>
      <c r="F29" s="361"/>
      <c r="G29" s="361"/>
      <c r="H29" s="362">
        <v>0</v>
      </c>
      <c r="I29" s="362"/>
      <c r="J29" s="362"/>
      <c r="K29" s="362"/>
      <c r="L29" s="363"/>
      <c r="M29" s="362"/>
      <c r="N29" s="365">
        <f>$N$25</f>
        <v>1.24E-2</v>
      </c>
      <c r="O29" s="363"/>
      <c r="P29" s="16"/>
    </row>
    <row r="30" spans="1:21" x14ac:dyDescent="0.3">
      <c r="A30" s="5" t="s">
        <v>79</v>
      </c>
      <c r="B30" s="5" t="s">
        <v>77</v>
      </c>
      <c r="C30" s="361">
        <v>0</v>
      </c>
      <c r="D30" s="361"/>
      <c r="E30" s="361"/>
      <c r="F30" s="361"/>
      <c r="G30" s="361"/>
      <c r="H30" s="362">
        <v>0</v>
      </c>
      <c r="I30" s="362"/>
      <c r="J30" s="362"/>
      <c r="K30" s="362"/>
      <c r="L30" s="363"/>
      <c r="M30" s="362"/>
      <c r="N30" s="365">
        <f>$N$25</f>
        <v>1.24E-2</v>
      </c>
      <c r="O30" s="363"/>
      <c r="P30" s="16"/>
    </row>
    <row r="31" spans="1:21" x14ac:dyDescent="0.3">
      <c r="A31" s="5" t="s">
        <v>80</v>
      </c>
      <c r="B31" s="5" t="s">
        <v>77</v>
      </c>
      <c r="C31" s="361">
        <v>0.6</v>
      </c>
      <c r="D31" s="361"/>
      <c r="E31" s="361"/>
      <c r="F31" s="361"/>
      <c r="G31" s="361"/>
      <c r="H31" s="362">
        <v>0</v>
      </c>
      <c r="I31" s="362"/>
      <c r="J31" s="362"/>
      <c r="K31" s="362"/>
      <c r="L31" s="363"/>
      <c r="M31" s="362"/>
      <c r="N31" s="365">
        <f>$N$25</f>
        <v>1.24E-2</v>
      </c>
      <c r="O31" s="363"/>
      <c r="P31" s="16"/>
    </row>
    <row r="32" spans="1:21" x14ac:dyDescent="0.3">
      <c r="A32" s="5" t="s">
        <v>81</v>
      </c>
      <c r="B32" s="5" t="s">
        <v>82</v>
      </c>
      <c r="C32" s="361">
        <v>0.35</v>
      </c>
      <c r="D32" s="361"/>
      <c r="E32" s="361"/>
      <c r="F32" s="361"/>
      <c r="G32" s="361"/>
      <c r="H32" s="362">
        <v>0</v>
      </c>
      <c r="I32" s="362"/>
      <c r="J32" s="362"/>
      <c r="K32" s="362"/>
      <c r="L32" s="362"/>
      <c r="M32" s="362"/>
      <c r="N32" s="362"/>
      <c r="O32" s="362"/>
      <c r="P32" s="16"/>
    </row>
    <row r="33" spans="1:16" x14ac:dyDescent="0.3">
      <c r="A33" s="5" t="s">
        <v>81</v>
      </c>
      <c r="B33" s="5" t="s">
        <v>73</v>
      </c>
      <c r="C33" s="361">
        <v>0.35</v>
      </c>
      <c r="D33" s="361"/>
      <c r="E33" s="361"/>
      <c r="F33" s="361"/>
      <c r="G33" s="361"/>
      <c r="H33" s="362">
        <v>0</v>
      </c>
      <c r="I33" s="362"/>
      <c r="J33" s="362"/>
      <c r="K33" s="362"/>
      <c r="L33" s="362"/>
      <c r="M33" s="362"/>
      <c r="N33" s="362"/>
      <c r="O33" s="362"/>
      <c r="P33" s="16"/>
    </row>
    <row r="34" spans="1:16" x14ac:dyDescent="0.3">
      <c r="A34" s="5" t="s">
        <v>83</v>
      </c>
      <c r="B34" s="5" t="s">
        <v>75</v>
      </c>
      <c r="C34" s="361">
        <v>0</v>
      </c>
      <c r="D34" s="361">
        <v>0.35</v>
      </c>
      <c r="E34" s="364"/>
      <c r="F34" s="364"/>
      <c r="G34" s="364"/>
      <c r="H34" s="362">
        <v>1.2</v>
      </c>
      <c r="I34" s="362"/>
      <c r="J34" s="362"/>
      <c r="K34" s="362"/>
      <c r="L34" s="362"/>
      <c r="M34" s="362"/>
      <c r="N34" s="362"/>
      <c r="O34" s="362"/>
      <c r="P34" s="16"/>
    </row>
    <row r="35" spans="1:16" x14ac:dyDescent="0.3">
      <c r="A35" s="5" t="s">
        <v>84</v>
      </c>
      <c r="B35" s="5" t="s">
        <v>75</v>
      </c>
      <c r="C35" s="361">
        <v>0.4</v>
      </c>
      <c r="D35" s="361"/>
      <c r="E35" s="361"/>
      <c r="F35" s="361"/>
      <c r="G35" s="361"/>
      <c r="H35" s="362">
        <v>0</v>
      </c>
      <c r="I35" s="362"/>
      <c r="J35" s="362"/>
      <c r="K35" s="362"/>
      <c r="L35" s="362"/>
      <c r="M35" s="362"/>
      <c r="N35" s="362"/>
      <c r="O35" s="362"/>
      <c r="P35" s="16"/>
    </row>
    <row r="36" spans="1:16" x14ac:dyDescent="0.3">
      <c r="A36" s="5" t="s">
        <v>69</v>
      </c>
      <c r="B36" s="5" t="s">
        <v>85</v>
      </c>
      <c r="C36" s="361">
        <v>3.2513000000000001</v>
      </c>
      <c r="D36" s="361">
        <v>2.5095999999999998</v>
      </c>
      <c r="E36" s="361">
        <v>2.3855</v>
      </c>
      <c r="F36" s="361">
        <v>2.17</v>
      </c>
      <c r="G36" s="361"/>
      <c r="H36" s="362">
        <v>83.71</v>
      </c>
      <c r="I36" s="362"/>
      <c r="J36" s="363">
        <v>0</v>
      </c>
      <c r="K36" s="363">
        <v>0.32100000000000001</v>
      </c>
      <c r="L36" s="363"/>
      <c r="N36" s="365">
        <f>$N$25</f>
        <v>1.24E-2</v>
      </c>
      <c r="O36" s="365">
        <f>$O$25</f>
        <v>1.03E-2</v>
      </c>
      <c r="P36" s="16"/>
    </row>
    <row r="37" spans="1:16" x14ac:dyDescent="0.3">
      <c r="A37" s="5" t="s">
        <v>69</v>
      </c>
      <c r="B37" s="5" t="s">
        <v>86</v>
      </c>
      <c r="C37" s="8">
        <f>C36</f>
        <v>3.2513000000000001</v>
      </c>
      <c r="D37" s="8">
        <f>D36</f>
        <v>2.5095999999999998</v>
      </c>
      <c r="E37" s="8">
        <f>E36</f>
        <v>2.3855</v>
      </c>
      <c r="F37" s="8">
        <f>F36</f>
        <v>2.17</v>
      </c>
      <c r="G37" s="361"/>
      <c r="H37" s="9">
        <f>H36</f>
        <v>83.71</v>
      </c>
      <c r="I37" s="362"/>
      <c r="J37" s="365">
        <f>J36</f>
        <v>0</v>
      </c>
      <c r="K37" s="366">
        <f>K36</f>
        <v>0.32100000000000001</v>
      </c>
      <c r="L37" s="363"/>
      <c r="N37" s="365">
        <f>$N$25</f>
        <v>1.24E-2</v>
      </c>
      <c r="O37" s="365">
        <f>$O$25</f>
        <v>1.03E-2</v>
      </c>
      <c r="P37" s="16"/>
    </row>
    <row r="38" spans="1:16" x14ac:dyDescent="0.3">
      <c r="A38" s="5" t="s">
        <v>252</v>
      </c>
      <c r="B38" s="5" t="s">
        <v>253</v>
      </c>
      <c r="C38" s="361">
        <v>0</v>
      </c>
      <c r="D38" s="361"/>
      <c r="E38" s="361"/>
      <c r="F38" s="361"/>
      <c r="G38" s="361"/>
      <c r="H38" s="362">
        <v>0</v>
      </c>
      <c r="I38" s="362"/>
      <c r="J38" s="362"/>
      <c r="K38" s="362"/>
      <c r="L38" s="363"/>
      <c r="N38" s="363"/>
      <c r="O38" s="363"/>
      <c r="P38" s="16"/>
    </row>
    <row r="39" spans="1:16" x14ac:dyDescent="0.3">
      <c r="A39" s="5" t="s">
        <v>252</v>
      </c>
      <c r="B39" s="5" t="s">
        <v>254</v>
      </c>
      <c r="C39" s="361">
        <v>0</v>
      </c>
      <c r="D39" s="361"/>
      <c r="E39" s="361"/>
      <c r="F39" s="361"/>
      <c r="G39" s="361"/>
      <c r="H39" s="362">
        <v>0</v>
      </c>
      <c r="I39" s="362"/>
      <c r="J39" s="362"/>
      <c r="K39" s="362"/>
      <c r="L39" s="363"/>
      <c r="N39" s="363"/>
      <c r="O39" s="363"/>
      <c r="P39" s="16"/>
    </row>
    <row r="40" spans="1:16" x14ac:dyDescent="0.3">
      <c r="A40" s="5" t="s">
        <v>255</v>
      </c>
      <c r="B40" s="5" t="s">
        <v>256</v>
      </c>
      <c r="C40" s="361">
        <v>0</v>
      </c>
      <c r="D40" s="361"/>
      <c r="E40" s="361"/>
      <c r="F40" s="361"/>
      <c r="G40" s="361"/>
      <c r="H40" s="362">
        <v>0</v>
      </c>
      <c r="I40" s="362"/>
      <c r="J40" s="362"/>
      <c r="K40" s="362"/>
      <c r="L40" s="363"/>
      <c r="N40" s="363"/>
      <c r="O40" s="363"/>
      <c r="P40" s="16"/>
    </row>
    <row r="41" spans="1:16" x14ac:dyDescent="0.3">
      <c r="A41" s="5" t="s">
        <v>255</v>
      </c>
      <c r="B41" s="5" t="s">
        <v>257</v>
      </c>
      <c r="C41" s="361">
        <v>0</v>
      </c>
      <c r="D41" s="361"/>
      <c r="E41" s="361"/>
      <c r="F41" s="361"/>
      <c r="G41" s="361"/>
      <c r="H41" s="362">
        <v>0</v>
      </c>
      <c r="I41" s="362"/>
      <c r="J41" s="362"/>
      <c r="K41" s="362"/>
      <c r="L41" s="363"/>
      <c r="N41" s="363"/>
      <c r="O41" s="363"/>
      <c r="P41" s="16"/>
    </row>
    <row r="42" spans="1:16" x14ac:dyDescent="0.3">
      <c r="A42" s="5" t="s">
        <v>242</v>
      </c>
      <c r="B42" s="5" t="s">
        <v>251</v>
      </c>
      <c r="C42" s="361">
        <v>0.70930000000000004</v>
      </c>
      <c r="D42" s="361">
        <v>0.43780000000000002</v>
      </c>
      <c r="E42" s="361">
        <v>0.24229999999999999</v>
      </c>
      <c r="F42" s="361"/>
      <c r="G42" s="361"/>
      <c r="H42" s="362">
        <v>3982.3</v>
      </c>
      <c r="I42" s="362"/>
      <c r="J42" s="363">
        <v>0</v>
      </c>
      <c r="K42" s="363">
        <v>5.8700000000000002E-2</v>
      </c>
      <c r="L42" s="363"/>
      <c r="N42" s="365">
        <f>$N$25</f>
        <v>1.24E-2</v>
      </c>
      <c r="O42" s="365">
        <f>$O$25</f>
        <v>1.03E-2</v>
      </c>
      <c r="P42" s="16"/>
    </row>
    <row r="43" spans="1:16" x14ac:dyDescent="0.3">
      <c r="A43" s="5" t="s">
        <v>87</v>
      </c>
      <c r="B43" s="5" t="s">
        <v>88</v>
      </c>
      <c r="C43" s="361">
        <v>1.1959</v>
      </c>
      <c r="D43" s="361"/>
      <c r="E43" s="361"/>
      <c r="F43" s="361"/>
      <c r="G43" s="361"/>
      <c r="H43" s="362">
        <v>945.24</v>
      </c>
      <c r="I43" s="362"/>
      <c r="J43" s="363">
        <v>0</v>
      </c>
      <c r="K43" s="363">
        <v>0.2011</v>
      </c>
      <c r="L43" s="362"/>
      <c r="M43" s="362"/>
      <c r="N43" s="365">
        <f>$N$25</f>
        <v>1.24E-2</v>
      </c>
      <c r="O43" s="365">
        <f>$O$25</f>
        <v>1.03E-2</v>
      </c>
      <c r="P43" s="16"/>
    </row>
    <row r="44" spans="1:16" x14ac:dyDescent="0.3">
      <c r="D44" s="364"/>
      <c r="E44" s="364"/>
      <c r="F44" s="364"/>
      <c r="G44" s="364"/>
      <c r="K44" s="9"/>
      <c r="L44" s="9"/>
      <c r="P44" s="16"/>
    </row>
    <row r="45" spans="1:16" x14ac:dyDescent="0.3">
      <c r="B45" s="6" t="s">
        <v>90</v>
      </c>
      <c r="K45" s="9"/>
      <c r="L45" s="9"/>
      <c r="P45" s="16"/>
    </row>
    <row r="46" spans="1:16" x14ac:dyDescent="0.3">
      <c r="K46" s="9"/>
      <c r="L46" s="9"/>
      <c r="P46" s="16"/>
    </row>
    <row r="47" spans="1:16" x14ac:dyDescent="0.3">
      <c r="A47" s="5" t="s">
        <v>91</v>
      </c>
      <c r="B47" s="5" t="s">
        <v>109</v>
      </c>
      <c r="C47" s="365">
        <f>C25</f>
        <v>5.2527999999999997</v>
      </c>
      <c r="D47" s="361"/>
      <c r="E47" s="5"/>
      <c r="F47" s="5"/>
      <c r="G47" s="5"/>
      <c r="H47" s="9">
        <f>H25</f>
        <v>19.75</v>
      </c>
      <c r="J47" s="365">
        <f>J25</f>
        <v>0</v>
      </c>
      <c r="K47" s="365">
        <f>$K$25</f>
        <v>0.53010000000000002</v>
      </c>
      <c r="L47" s="9">
        <f>$L$25</f>
        <v>7.9999999999999988E-2</v>
      </c>
      <c r="M47" s="365">
        <f>$M$25</f>
        <v>0.3</v>
      </c>
      <c r="N47" s="365">
        <f>$N$25</f>
        <v>1.24E-2</v>
      </c>
      <c r="O47" s="363"/>
      <c r="P47" s="16"/>
    </row>
    <row r="48" spans="1:16" x14ac:dyDescent="0.3">
      <c r="A48" s="5" t="s">
        <v>92</v>
      </c>
      <c r="B48" s="5" t="s">
        <v>110</v>
      </c>
      <c r="C48" s="365">
        <f>C36</f>
        <v>3.2513000000000001</v>
      </c>
      <c r="D48" s="365">
        <f t="shared" ref="D48:F48" si="0">D36</f>
        <v>2.5095999999999998</v>
      </c>
      <c r="E48" s="365">
        <f t="shared" si="0"/>
        <v>2.3855</v>
      </c>
      <c r="F48" s="365">
        <f t="shared" si="0"/>
        <v>2.17</v>
      </c>
      <c r="G48" s="363"/>
      <c r="H48" s="9">
        <f>H36</f>
        <v>83.71</v>
      </c>
      <c r="I48" s="362"/>
      <c r="J48" s="365">
        <f>J36</f>
        <v>0</v>
      </c>
      <c r="K48" s="365">
        <f>K36</f>
        <v>0.32100000000000001</v>
      </c>
      <c r="L48" s="362"/>
      <c r="M48" s="5"/>
      <c r="N48" s="365">
        <f t="shared" ref="N48:N54" si="1">$N$25</f>
        <v>1.24E-2</v>
      </c>
      <c r="O48" s="363"/>
      <c r="P48" s="16"/>
    </row>
    <row r="49" spans="1:16" ht="13.5" customHeight="1" x14ac:dyDescent="0.3">
      <c r="A49" s="5" t="s">
        <v>92</v>
      </c>
      <c r="B49" s="5" t="s">
        <v>111</v>
      </c>
      <c r="C49" s="365">
        <f>C37</f>
        <v>3.2513000000000001</v>
      </c>
      <c r="D49" s="365">
        <f t="shared" ref="D49:F49" si="2">D37</f>
        <v>2.5095999999999998</v>
      </c>
      <c r="E49" s="365">
        <f t="shared" si="2"/>
        <v>2.3855</v>
      </c>
      <c r="F49" s="365">
        <f t="shared" si="2"/>
        <v>2.17</v>
      </c>
      <c r="G49" s="363"/>
      <c r="H49" s="9">
        <f>H37</f>
        <v>83.71</v>
      </c>
      <c r="I49" s="362"/>
      <c r="J49" s="365">
        <f>J36</f>
        <v>0</v>
      </c>
      <c r="K49" s="365">
        <f>K37</f>
        <v>0.32100000000000001</v>
      </c>
      <c r="L49" s="363"/>
      <c r="M49" s="5"/>
      <c r="N49" s="365">
        <f t="shared" si="1"/>
        <v>1.24E-2</v>
      </c>
      <c r="O49" s="363"/>
      <c r="P49" s="16"/>
    </row>
    <row r="50" spans="1:16" x14ac:dyDescent="0.3">
      <c r="A50" s="5" t="s">
        <v>134</v>
      </c>
      <c r="B50" s="5" t="s">
        <v>135</v>
      </c>
      <c r="C50" s="363">
        <f>0.7093</f>
        <v>0.70930000000000004</v>
      </c>
      <c r="D50" s="367">
        <v>0.43780000000000002</v>
      </c>
      <c r="E50" s="5">
        <v>0.24229999999999999</v>
      </c>
      <c r="F50" s="5"/>
      <c r="G50" s="5"/>
      <c r="H50" s="362">
        <v>3982.3</v>
      </c>
      <c r="I50" s="362">
        <v>0</v>
      </c>
      <c r="J50" s="365">
        <f>J42</f>
        <v>0</v>
      </c>
      <c r="K50" s="365">
        <f>K42</f>
        <v>5.8700000000000002E-2</v>
      </c>
      <c r="L50" s="363"/>
      <c r="M50" s="362"/>
      <c r="N50" s="365">
        <f t="shared" si="1"/>
        <v>1.24E-2</v>
      </c>
      <c r="O50" s="363"/>
      <c r="P50" s="16"/>
    </row>
    <row r="51" spans="1:16" x14ac:dyDescent="0.3">
      <c r="A51" s="5" t="s">
        <v>134</v>
      </c>
      <c r="B51" s="5" t="s">
        <v>136</v>
      </c>
      <c r="C51" s="365">
        <f>C50</f>
        <v>0.70930000000000004</v>
      </c>
      <c r="D51" s="365">
        <f t="shared" ref="D51:E51" si="3">D50</f>
        <v>0.43780000000000002</v>
      </c>
      <c r="E51" s="365">
        <f t="shared" si="3"/>
        <v>0.24229999999999999</v>
      </c>
      <c r="F51" s="5"/>
      <c r="G51" s="5"/>
      <c r="H51" s="9">
        <f>H50</f>
        <v>3982.3</v>
      </c>
      <c r="I51" s="362">
        <v>0</v>
      </c>
      <c r="J51" s="365">
        <f>J42</f>
        <v>0</v>
      </c>
      <c r="K51" s="365">
        <f>K42</f>
        <v>5.8700000000000002E-2</v>
      </c>
      <c r="L51" s="363"/>
      <c r="M51" s="362"/>
      <c r="N51" s="365">
        <f t="shared" si="1"/>
        <v>1.24E-2</v>
      </c>
      <c r="O51" s="363"/>
      <c r="P51" s="16"/>
    </row>
    <row r="52" spans="1:16" x14ac:dyDescent="0.3">
      <c r="A52" s="5" t="s">
        <v>137</v>
      </c>
      <c r="B52" s="5" t="s">
        <v>138</v>
      </c>
      <c r="C52" s="365">
        <f>C37</f>
        <v>3.2513000000000001</v>
      </c>
      <c r="D52" s="365">
        <f t="shared" ref="D52:F52" si="4">D37</f>
        <v>2.5095999999999998</v>
      </c>
      <c r="E52" s="365">
        <f t="shared" si="4"/>
        <v>2.3855</v>
      </c>
      <c r="F52" s="365">
        <f t="shared" si="4"/>
        <v>2.17</v>
      </c>
      <c r="G52" s="5"/>
      <c r="H52" s="362">
        <f>H36</f>
        <v>83.71</v>
      </c>
      <c r="I52" s="362">
        <v>0</v>
      </c>
      <c r="J52" s="365">
        <f>J36</f>
        <v>0</v>
      </c>
      <c r="K52" s="365">
        <f>K36</f>
        <v>0.32100000000000001</v>
      </c>
      <c r="L52" s="363"/>
      <c r="M52" s="362"/>
      <c r="N52" s="365">
        <f t="shared" si="1"/>
        <v>1.24E-2</v>
      </c>
      <c r="O52" s="363"/>
      <c r="P52" s="16"/>
    </row>
    <row r="53" spans="1:16" x14ac:dyDescent="0.3">
      <c r="A53" s="5" t="s">
        <v>137</v>
      </c>
      <c r="B53" s="5" t="s">
        <v>139</v>
      </c>
      <c r="C53" s="365">
        <f>C52</f>
        <v>3.2513000000000001</v>
      </c>
      <c r="D53" s="365">
        <f t="shared" ref="D53:F53" si="5">D52</f>
        <v>2.5095999999999998</v>
      </c>
      <c r="E53" s="365">
        <f t="shared" si="5"/>
        <v>2.3855</v>
      </c>
      <c r="F53" s="365">
        <f t="shared" si="5"/>
        <v>2.17</v>
      </c>
      <c r="G53" s="363"/>
      <c r="H53" s="9">
        <f>H37</f>
        <v>83.71</v>
      </c>
      <c r="I53" s="362">
        <v>0</v>
      </c>
      <c r="J53" s="365">
        <f>J36</f>
        <v>0</v>
      </c>
      <c r="K53" s="365">
        <f>K37</f>
        <v>0.32100000000000001</v>
      </c>
      <c r="L53" s="363"/>
      <c r="M53" s="362"/>
      <c r="N53" s="365">
        <f t="shared" si="1"/>
        <v>1.24E-2</v>
      </c>
      <c r="O53" s="363"/>
      <c r="P53" s="16"/>
    </row>
    <row r="54" spans="1:16" x14ac:dyDescent="0.3">
      <c r="A54" s="5" t="s">
        <v>68</v>
      </c>
      <c r="B54" s="5" t="s">
        <v>113</v>
      </c>
      <c r="C54" s="363">
        <v>8.6699999999999999E-2</v>
      </c>
      <c r="D54" s="361"/>
      <c r="E54" s="5"/>
      <c r="F54" s="5"/>
      <c r="G54" s="5"/>
      <c r="H54" s="362">
        <v>260.11</v>
      </c>
      <c r="I54" s="362">
        <v>0</v>
      </c>
      <c r="J54" s="362"/>
      <c r="K54" s="362"/>
      <c r="L54" s="363"/>
      <c r="M54" s="362"/>
      <c r="N54" s="365">
        <f t="shared" si="1"/>
        <v>1.24E-2</v>
      </c>
      <c r="O54" s="363"/>
      <c r="P54" s="16"/>
    </row>
    <row r="55" spans="1:16" x14ac:dyDescent="0.3">
      <c r="A55" s="5" t="s">
        <v>93</v>
      </c>
      <c r="B55" s="5" t="s">
        <v>115</v>
      </c>
      <c r="C55" s="363">
        <v>0</v>
      </c>
      <c r="D55" s="361"/>
      <c r="E55" s="5"/>
      <c r="F55" s="5"/>
      <c r="H55" s="362">
        <v>0</v>
      </c>
      <c r="I55" s="362">
        <v>0</v>
      </c>
      <c r="J55" s="362"/>
      <c r="K55" s="362"/>
      <c r="L55" s="362"/>
      <c r="M55" s="362"/>
      <c r="N55" s="362"/>
      <c r="O55" s="362"/>
      <c r="P55" s="16"/>
    </row>
    <row r="56" spans="1:16" x14ac:dyDescent="0.3">
      <c r="A56" s="5" t="s">
        <v>94</v>
      </c>
      <c r="B56" s="5" t="s">
        <v>115</v>
      </c>
      <c r="C56" s="363">
        <v>0</v>
      </c>
      <c r="D56" s="361"/>
      <c r="E56" s="5"/>
      <c r="F56" s="5"/>
      <c r="G56" s="5"/>
      <c r="H56" s="362">
        <v>0</v>
      </c>
      <c r="I56" s="362">
        <v>0</v>
      </c>
      <c r="J56" s="362"/>
      <c r="K56" s="362"/>
      <c r="L56" s="362"/>
      <c r="M56" s="362"/>
      <c r="N56" s="362"/>
      <c r="O56" s="362"/>
      <c r="P56" s="16"/>
    </row>
    <row r="57" spans="1:16" x14ac:dyDescent="0.3">
      <c r="A57" s="5" t="s">
        <v>95</v>
      </c>
      <c r="B57" s="5" t="s">
        <v>114</v>
      </c>
      <c r="C57" s="365">
        <f>C54</f>
        <v>8.6699999999999999E-2</v>
      </c>
      <c r="D57" s="361"/>
      <c r="E57" s="5"/>
      <c r="F57" s="5"/>
      <c r="G57" s="5"/>
      <c r="H57" s="9">
        <f>H54</f>
        <v>260.11</v>
      </c>
      <c r="I57" s="362">
        <v>0</v>
      </c>
      <c r="J57" s="362"/>
      <c r="K57" s="362"/>
      <c r="L57" s="362"/>
      <c r="M57" s="362"/>
      <c r="N57" s="362"/>
      <c r="O57" s="362"/>
      <c r="P57" s="16"/>
    </row>
    <row r="58" spans="1:16" x14ac:dyDescent="0.3">
      <c r="A58" s="5" t="s">
        <v>128</v>
      </c>
      <c r="B58" s="5" t="s">
        <v>114</v>
      </c>
      <c r="C58" s="363">
        <v>0</v>
      </c>
      <c r="D58" s="361">
        <v>0</v>
      </c>
      <c r="E58" s="5"/>
      <c r="F58" s="5"/>
      <c r="G58" s="5"/>
      <c r="H58" s="362">
        <v>0</v>
      </c>
      <c r="I58" s="362">
        <v>0</v>
      </c>
      <c r="J58" s="362"/>
      <c r="K58" s="9"/>
      <c r="M58" s="362"/>
      <c r="P58" s="16"/>
    </row>
    <row r="59" spans="1:16" x14ac:dyDescent="0.3">
      <c r="A59" s="5" t="s">
        <v>129</v>
      </c>
      <c r="B59" s="5" t="s">
        <v>130</v>
      </c>
      <c r="C59" s="365">
        <f>C50</f>
        <v>0.70930000000000004</v>
      </c>
      <c r="D59" s="365">
        <f t="shared" ref="D59:E59" si="6">D50</f>
        <v>0.43780000000000002</v>
      </c>
      <c r="E59" s="365">
        <f t="shared" si="6"/>
        <v>0.24229999999999999</v>
      </c>
      <c r="F59" s="5"/>
      <c r="G59" s="5"/>
      <c r="H59" s="9">
        <f>H50</f>
        <v>3982.3</v>
      </c>
      <c r="I59" s="362">
        <v>0</v>
      </c>
      <c r="J59" s="365">
        <f>J42</f>
        <v>0</v>
      </c>
      <c r="K59" s="365">
        <f>K42</f>
        <v>5.8700000000000002E-2</v>
      </c>
      <c r="L59" s="363"/>
      <c r="M59" s="362"/>
      <c r="N59" s="365">
        <f>$N$25</f>
        <v>1.24E-2</v>
      </c>
      <c r="O59" s="363"/>
      <c r="P59" s="16"/>
    </row>
    <row r="60" spans="1:16" x14ac:dyDescent="0.3">
      <c r="A60" s="5" t="s">
        <v>96</v>
      </c>
      <c r="B60" s="5" t="s">
        <v>112</v>
      </c>
      <c r="C60" s="363">
        <v>0</v>
      </c>
      <c r="D60" s="361">
        <v>0</v>
      </c>
      <c r="E60" s="5"/>
      <c r="F60" s="5"/>
      <c r="G60" s="5"/>
      <c r="H60" s="362">
        <v>0</v>
      </c>
      <c r="I60" s="362">
        <v>0</v>
      </c>
      <c r="J60" s="362"/>
      <c r="K60" s="362"/>
      <c r="L60" s="362"/>
      <c r="M60" s="362"/>
      <c r="N60" s="362"/>
      <c r="O60" s="362"/>
      <c r="P60" s="16"/>
    </row>
    <row r="61" spans="1:16" ht="12.9" thickBot="1" x14ac:dyDescent="0.35">
      <c r="A61" s="7"/>
      <c r="B61" s="7"/>
      <c r="C61" s="7"/>
      <c r="D61" s="368"/>
      <c r="E61" s="7"/>
      <c r="F61" s="7"/>
      <c r="G61" s="7"/>
      <c r="H61" s="7"/>
      <c r="I61" s="7"/>
      <c r="J61" s="7"/>
      <c r="K61" s="369"/>
      <c r="L61" s="7"/>
      <c r="M61" s="7"/>
      <c r="N61" s="7"/>
      <c r="O61" s="7"/>
      <c r="P61" s="7"/>
    </row>
    <row r="62" spans="1:16" ht="12.9" thickBot="1" x14ac:dyDescent="0.35">
      <c r="K62" s="9"/>
    </row>
    <row r="63" spans="1:16" x14ac:dyDescent="0.3">
      <c r="A63" s="463" t="s">
        <v>308</v>
      </c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4"/>
    </row>
    <row r="64" spans="1:16" x14ac:dyDescent="0.3">
      <c r="A64" s="178"/>
      <c r="B64" s="132"/>
      <c r="C64" s="132" t="s">
        <v>378</v>
      </c>
      <c r="D64" s="132" t="s">
        <v>379</v>
      </c>
      <c r="E64" s="132" t="s">
        <v>380</v>
      </c>
      <c r="F64" s="132" t="s">
        <v>381</v>
      </c>
      <c r="G64" s="132" t="s">
        <v>382</v>
      </c>
      <c r="H64" s="132" t="s">
        <v>383</v>
      </c>
      <c r="I64" s="132" t="s">
        <v>384</v>
      </c>
      <c r="J64" s="132" t="s">
        <v>385</v>
      </c>
      <c r="K64" s="132" t="s">
        <v>386</v>
      </c>
      <c r="L64" s="132" t="s">
        <v>387</v>
      </c>
      <c r="M64" s="132" t="s">
        <v>388</v>
      </c>
      <c r="N64" s="132" t="s">
        <v>389</v>
      </c>
      <c r="O64" s="179" t="s">
        <v>390</v>
      </c>
    </row>
    <row r="65" spans="1:27" x14ac:dyDescent="0.3">
      <c r="A65" s="178"/>
      <c r="D65" s="1"/>
      <c r="O65" s="370"/>
    </row>
    <row r="66" spans="1:27" x14ac:dyDescent="0.3">
      <c r="A66" s="178"/>
      <c r="D66" s="1"/>
      <c r="O66" s="370"/>
    </row>
    <row r="67" spans="1:27" x14ac:dyDescent="0.3">
      <c r="A67" s="180" t="s">
        <v>74</v>
      </c>
      <c r="B67" s="358"/>
      <c r="C67" s="358">
        <v>5.1020000000000003</v>
      </c>
      <c r="D67" s="358">
        <v>5.1020000000000003</v>
      </c>
      <c r="E67" s="8">
        <f>$C$67</f>
        <v>5.1020000000000003</v>
      </c>
      <c r="F67" s="8">
        <f>$C$67</f>
        <v>5.1020000000000003</v>
      </c>
      <c r="G67" s="8">
        <f>$C$67</f>
        <v>5.1020000000000003</v>
      </c>
      <c r="H67" s="8">
        <f>$C$67</f>
        <v>5.1020000000000003</v>
      </c>
      <c r="I67" s="8">
        <f>$C$67</f>
        <v>5.1020000000000003</v>
      </c>
      <c r="J67" s="8">
        <f>$C$27</f>
        <v>5.1319999999999997</v>
      </c>
      <c r="K67" s="8"/>
      <c r="L67" s="8">
        <f t="shared" ref="L67:O67" si="7">$C$27</f>
        <v>5.1319999999999997</v>
      </c>
      <c r="M67" s="8">
        <f t="shared" si="7"/>
        <v>5.1319999999999997</v>
      </c>
      <c r="N67" s="8">
        <f t="shared" si="7"/>
        <v>5.1319999999999997</v>
      </c>
      <c r="O67" s="371">
        <f t="shared" si="7"/>
        <v>5.1319999999999997</v>
      </c>
    </row>
    <row r="68" spans="1:27" x14ac:dyDescent="0.3">
      <c r="A68" s="180" t="s">
        <v>309</v>
      </c>
      <c r="B68" s="358"/>
      <c r="C68" s="358">
        <v>3.8148</v>
      </c>
      <c r="D68" s="358">
        <v>3.8148</v>
      </c>
      <c r="E68" s="8">
        <f>$C$68</f>
        <v>3.8148</v>
      </c>
      <c r="F68" s="358">
        <v>3.8148</v>
      </c>
      <c r="G68" s="8">
        <f>$E$68</f>
        <v>3.8148</v>
      </c>
      <c r="H68" s="8">
        <f>$E$68</f>
        <v>3.8148</v>
      </c>
      <c r="I68" s="8">
        <f>$E$68</f>
        <v>3.8148</v>
      </c>
      <c r="J68" s="8">
        <f>$C$26</f>
        <v>3.8148</v>
      </c>
      <c r="K68" s="8"/>
      <c r="L68" s="8">
        <f t="shared" ref="L68:O68" si="8">$C$26</f>
        <v>3.8148</v>
      </c>
      <c r="M68" s="8">
        <f t="shared" si="8"/>
        <v>3.8148</v>
      </c>
      <c r="N68" s="8">
        <f t="shared" si="8"/>
        <v>3.8148</v>
      </c>
      <c r="O68" s="371">
        <f t="shared" si="8"/>
        <v>3.8148</v>
      </c>
    </row>
    <row r="69" spans="1:27" ht="12.9" thickBot="1" x14ac:dyDescent="0.35">
      <c r="A69" s="181" t="s">
        <v>310</v>
      </c>
      <c r="B69" s="359"/>
      <c r="C69" s="359">
        <v>3.3148</v>
      </c>
      <c r="D69" s="359">
        <v>3.3148</v>
      </c>
      <c r="E69" s="182">
        <f>$C$69</f>
        <v>3.3148</v>
      </c>
      <c r="F69" s="359">
        <v>3.3148</v>
      </c>
      <c r="G69" s="182">
        <f>$E$69</f>
        <v>3.3148</v>
      </c>
      <c r="H69" s="182">
        <f>$E$69</f>
        <v>3.3148</v>
      </c>
      <c r="I69" s="182">
        <f>$E$69</f>
        <v>3.3148</v>
      </c>
      <c r="J69" s="182">
        <f>J68</f>
        <v>3.8148</v>
      </c>
      <c r="K69" s="182"/>
      <c r="L69" s="182">
        <f t="shared" ref="L69:O69" si="9">L68</f>
        <v>3.8148</v>
      </c>
      <c r="M69" s="182">
        <f t="shared" si="9"/>
        <v>3.8148</v>
      </c>
      <c r="N69" s="182">
        <f t="shared" si="9"/>
        <v>3.8148</v>
      </c>
      <c r="O69" s="372">
        <f t="shared" si="9"/>
        <v>3.8148</v>
      </c>
    </row>
    <row r="72" spans="1:27" x14ac:dyDescent="0.3">
      <c r="K72" s="9"/>
      <c r="L72" s="9"/>
    </row>
    <row r="73" spans="1:27" x14ac:dyDescent="0.3">
      <c r="K73" s="9"/>
      <c r="L73" s="9"/>
    </row>
    <row r="74" spans="1:27" x14ac:dyDescent="0.3">
      <c r="K74" s="9"/>
      <c r="L74" s="9"/>
    </row>
    <row r="75" spans="1:27" x14ac:dyDescent="0.3">
      <c r="K75" s="9"/>
      <c r="L75" s="9"/>
      <c r="Z75" s="10"/>
      <c r="AA75" s="10"/>
    </row>
    <row r="76" spans="1:27" x14ac:dyDescent="0.3">
      <c r="K76" s="9"/>
      <c r="L76" s="9"/>
      <c r="Y76" s="10"/>
      <c r="Z76" s="10"/>
      <c r="AA76" s="10"/>
    </row>
    <row r="77" spans="1:27" x14ac:dyDescent="0.3">
      <c r="K77" s="9"/>
      <c r="L77" s="9"/>
      <c r="Y77" s="10"/>
      <c r="Z77" s="10"/>
      <c r="AA77" s="10"/>
    </row>
    <row r="78" spans="1:27" x14ac:dyDescent="0.3">
      <c r="K78" s="9"/>
      <c r="L78" s="9"/>
      <c r="Y78" s="10"/>
      <c r="Z78" s="10"/>
      <c r="AA78" s="10"/>
    </row>
    <row r="79" spans="1:27" x14ac:dyDescent="0.3">
      <c r="K79" s="9"/>
      <c r="L79" s="9"/>
      <c r="Y79" s="10"/>
      <c r="Z79" s="10"/>
      <c r="AA79" s="10"/>
    </row>
    <row r="80" spans="1:27" x14ac:dyDescent="0.3">
      <c r="K80" s="9"/>
      <c r="L80" s="9"/>
      <c r="Y80" s="10"/>
      <c r="Z80" s="10"/>
      <c r="AA80" s="10"/>
    </row>
    <row r="81" spans="11:29" x14ac:dyDescent="0.3">
      <c r="K81" s="9"/>
      <c r="L81" s="9"/>
      <c r="Y81" s="10"/>
      <c r="Z81" s="10"/>
      <c r="AA81" s="10"/>
    </row>
    <row r="82" spans="11:29" x14ac:dyDescent="0.3">
      <c r="K82" s="9"/>
      <c r="L82" s="9"/>
      <c r="Z82" s="10"/>
      <c r="AA82" s="10"/>
      <c r="AB82" s="10"/>
    </row>
    <row r="83" spans="11:29" x14ac:dyDescent="0.3">
      <c r="K83" s="9"/>
      <c r="L83" s="9"/>
      <c r="Z83" s="10"/>
      <c r="AA83" s="10"/>
      <c r="AB83" s="10"/>
    </row>
    <row r="84" spans="11:29" x14ac:dyDescent="0.3">
      <c r="K84" s="9"/>
      <c r="L84" s="9"/>
      <c r="Z84" s="10"/>
      <c r="AA84" s="10"/>
      <c r="AB84" s="10"/>
    </row>
    <row r="85" spans="11:29" x14ac:dyDescent="0.3">
      <c r="K85" s="9"/>
      <c r="L85" s="9"/>
    </row>
    <row r="86" spans="11:29" x14ac:dyDescent="0.3">
      <c r="K86" s="9"/>
      <c r="L86" s="9"/>
      <c r="Z86" s="10"/>
      <c r="AA86" s="10"/>
      <c r="AB86" s="10"/>
    </row>
    <row r="87" spans="11:29" x14ac:dyDescent="0.3">
      <c r="K87" s="9"/>
      <c r="L87" s="9"/>
      <c r="Z87" s="10"/>
      <c r="AA87" s="10"/>
      <c r="AB87" s="10"/>
    </row>
    <row r="88" spans="11:29" x14ac:dyDescent="0.3">
      <c r="K88" s="9"/>
      <c r="L88" s="9"/>
      <c r="Z88" s="10"/>
      <c r="AA88" s="10"/>
      <c r="AB88" s="10"/>
    </row>
    <row r="89" spans="11:29" x14ac:dyDescent="0.3">
      <c r="K89" s="9"/>
      <c r="L89" s="9"/>
      <c r="Z89" s="10"/>
      <c r="AA89" s="10"/>
      <c r="AB89" s="10"/>
    </row>
    <row r="90" spans="11:29" x14ac:dyDescent="0.3">
      <c r="K90" s="9"/>
      <c r="L90" s="9"/>
      <c r="Z90" s="10"/>
      <c r="AA90" s="10"/>
      <c r="AB90" s="10"/>
    </row>
    <row r="91" spans="11:29" x14ac:dyDescent="0.3">
      <c r="K91" s="9"/>
      <c r="L91" s="9"/>
    </row>
    <row r="92" spans="11:29" x14ac:dyDescent="0.3">
      <c r="K92" s="9"/>
      <c r="L92" s="9"/>
      <c r="Z92" s="10"/>
      <c r="AA92" s="10"/>
      <c r="AC92" s="10">
        <f>SUM(AC87:AC90)</f>
        <v>0</v>
      </c>
    </row>
    <row r="93" spans="11:29" x14ac:dyDescent="0.3">
      <c r="K93" s="9"/>
      <c r="L93" s="9"/>
    </row>
    <row r="94" spans="11:29" x14ac:dyDescent="0.3">
      <c r="K94" s="9"/>
      <c r="L94" s="9"/>
    </row>
    <row r="95" spans="11:29" x14ac:dyDescent="0.3">
      <c r="K95" s="9"/>
      <c r="L95" s="9"/>
      <c r="Z95" s="10"/>
      <c r="AA95" s="10"/>
      <c r="AB95" s="10"/>
    </row>
    <row r="96" spans="11:29" x14ac:dyDescent="0.3">
      <c r="K96" s="9"/>
      <c r="L96" s="9"/>
      <c r="Z96" s="10"/>
      <c r="AA96" s="10"/>
      <c r="AB96" s="10"/>
    </row>
    <row r="97" spans="11:28" x14ac:dyDescent="0.3">
      <c r="K97" s="9"/>
      <c r="L97" s="9"/>
      <c r="Z97" s="10"/>
      <c r="AA97" s="10"/>
      <c r="AB97" s="10"/>
    </row>
    <row r="98" spans="11:28" x14ac:dyDescent="0.3">
      <c r="K98" s="9"/>
      <c r="L98" s="9"/>
      <c r="Z98" s="10"/>
      <c r="AA98" s="10"/>
      <c r="AB98" s="10"/>
    </row>
    <row r="99" spans="11:28" x14ac:dyDescent="0.3">
      <c r="K99" s="9"/>
      <c r="L99" s="9"/>
      <c r="Z99" s="10"/>
      <c r="AA99" s="10"/>
      <c r="AB99" s="10"/>
    </row>
    <row r="100" spans="11:28" x14ac:dyDescent="0.3">
      <c r="K100" s="9"/>
      <c r="L100" s="9"/>
      <c r="Z100" s="10"/>
      <c r="AA100" s="10"/>
      <c r="AB100" s="10"/>
    </row>
    <row r="101" spans="11:28" x14ac:dyDescent="0.3">
      <c r="K101" s="9"/>
      <c r="L101" s="9"/>
      <c r="AA101" s="10"/>
      <c r="AB101" s="10"/>
    </row>
    <row r="102" spans="11:28" x14ac:dyDescent="0.3">
      <c r="K102" s="9"/>
      <c r="L102" s="9"/>
      <c r="AA102" s="10"/>
      <c r="AB102" s="10"/>
    </row>
    <row r="103" spans="11:28" x14ac:dyDescent="0.3">
      <c r="K103" s="9"/>
      <c r="L103" s="9"/>
      <c r="AA103" s="10"/>
      <c r="AB103" s="10"/>
    </row>
    <row r="104" spans="11:28" x14ac:dyDescent="0.3">
      <c r="K104" s="9"/>
      <c r="L104" s="9"/>
      <c r="AA104" s="10"/>
      <c r="AB104" s="10"/>
    </row>
    <row r="105" spans="11:28" x14ac:dyDescent="0.3">
      <c r="K105" s="9"/>
      <c r="L105" s="9"/>
      <c r="AA105" s="10"/>
      <c r="AB105" s="10"/>
    </row>
    <row r="106" spans="11:28" x14ac:dyDescent="0.3">
      <c r="K106" s="9"/>
      <c r="L106" s="9"/>
    </row>
    <row r="107" spans="11:28" x14ac:dyDescent="0.3">
      <c r="K107" s="9"/>
      <c r="L107" s="9"/>
    </row>
    <row r="108" spans="11:28" x14ac:dyDescent="0.3">
      <c r="K108" s="9"/>
      <c r="L108" s="9"/>
    </row>
    <row r="109" spans="11:28" x14ac:dyDescent="0.3">
      <c r="K109" s="9"/>
      <c r="L109" s="9"/>
      <c r="Z109" s="10"/>
      <c r="AA109" s="10"/>
      <c r="AB109" s="10"/>
    </row>
    <row r="110" spans="11:28" x14ac:dyDescent="0.3">
      <c r="K110" s="9"/>
      <c r="L110" s="9"/>
      <c r="Z110" s="10"/>
      <c r="AA110" s="10"/>
      <c r="AB110" s="10"/>
    </row>
    <row r="111" spans="11:28" x14ac:dyDescent="0.3">
      <c r="K111" s="9"/>
      <c r="L111" s="9"/>
      <c r="Z111" s="10"/>
      <c r="AA111" s="10"/>
      <c r="AB111" s="10"/>
    </row>
    <row r="112" spans="11:28" x14ac:dyDescent="0.3">
      <c r="K112" s="9"/>
      <c r="L112" s="9"/>
      <c r="Z112" s="10"/>
      <c r="AA112" s="10"/>
      <c r="AB112" s="10"/>
    </row>
    <row r="113" spans="11:28" x14ac:dyDescent="0.3">
      <c r="K113" s="9"/>
      <c r="L113" s="9"/>
      <c r="Z113" s="10"/>
      <c r="AA113" s="10"/>
      <c r="AB113" s="10"/>
    </row>
    <row r="114" spans="11:28" x14ac:dyDescent="0.3">
      <c r="Z114" s="10"/>
      <c r="AA114" s="10"/>
      <c r="AB114" s="10"/>
    </row>
    <row r="115" spans="11:28" x14ac:dyDescent="0.3">
      <c r="Z115" s="10"/>
      <c r="AA115" s="10"/>
      <c r="AB115" s="10"/>
    </row>
    <row r="116" spans="11:28" x14ac:dyDescent="0.3">
      <c r="Z116" s="10"/>
      <c r="AA116" s="10"/>
      <c r="AB116" s="10"/>
    </row>
    <row r="117" spans="11:28" x14ac:dyDescent="0.3">
      <c r="Z117" s="10"/>
      <c r="AA117" s="10"/>
      <c r="AB117" s="10"/>
    </row>
    <row r="118" spans="11:28" x14ac:dyDescent="0.3">
      <c r="Z118" s="10"/>
      <c r="AA118" s="10"/>
      <c r="AB118" s="10"/>
    </row>
    <row r="119" spans="11:28" x14ac:dyDescent="0.3">
      <c r="Z119" s="10"/>
      <c r="AA119" s="10"/>
      <c r="AB119" s="10"/>
    </row>
    <row r="121" spans="11:28" x14ac:dyDescent="0.3">
      <c r="Z121" s="10"/>
    </row>
    <row r="123" spans="11:28" x14ac:dyDescent="0.3">
      <c r="Z123" s="10"/>
      <c r="AA123" s="10"/>
      <c r="AB123" s="10"/>
    </row>
    <row r="124" spans="11:28" x14ac:dyDescent="0.3">
      <c r="Z124" s="10"/>
      <c r="AA124" s="10"/>
      <c r="AB124" s="10"/>
    </row>
    <row r="125" spans="11:28" x14ac:dyDescent="0.3">
      <c r="Z125" s="10"/>
      <c r="AA125" s="10"/>
      <c r="AB125" s="10"/>
    </row>
    <row r="126" spans="11:28" ht="5.15" customHeight="1" x14ac:dyDescent="0.3">
      <c r="Z126" s="10"/>
      <c r="AA126" s="10"/>
      <c r="AB126" s="10"/>
    </row>
    <row r="127" spans="11:28" x14ac:dyDescent="0.3">
      <c r="AA127" s="10"/>
      <c r="AB127" s="10"/>
    </row>
    <row r="128" spans="11:28" ht="5.15" customHeight="1" x14ac:dyDescent="0.3">
      <c r="AA128" s="10"/>
      <c r="AB128" s="10"/>
    </row>
    <row r="129" spans="26:29" x14ac:dyDescent="0.3">
      <c r="AA129" s="10"/>
      <c r="AC129" s="10"/>
    </row>
    <row r="130" spans="26:29" ht="5.15" customHeight="1" x14ac:dyDescent="0.3">
      <c r="AA130" s="10"/>
      <c r="AB130" s="10"/>
    </row>
    <row r="131" spans="26:29" x14ac:dyDescent="0.3">
      <c r="AA131" s="10"/>
      <c r="AC131" s="10"/>
    </row>
    <row r="132" spans="26:29" ht="5.15" customHeight="1" x14ac:dyDescent="0.3">
      <c r="AA132" s="10"/>
      <c r="AB132" s="10"/>
    </row>
    <row r="133" spans="26:29" x14ac:dyDescent="0.3">
      <c r="AA133" s="10"/>
      <c r="AB133" s="10"/>
    </row>
    <row r="134" spans="26:29" x14ac:dyDescent="0.3">
      <c r="Z134" s="10"/>
      <c r="AA134" s="10"/>
      <c r="AB134" s="10"/>
    </row>
    <row r="135" spans="26:29" ht="1" customHeight="1" x14ac:dyDescent="0.3">
      <c r="Z135" s="10"/>
      <c r="AA135" s="10"/>
      <c r="AB135" s="10"/>
    </row>
    <row r="136" spans="26:29" x14ac:dyDescent="0.3">
      <c r="Z136" s="10"/>
      <c r="AA136" s="10"/>
      <c r="AB136" s="10"/>
    </row>
    <row r="137" spans="26:29" x14ac:dyDescent="0.3">
      <c r="Z137" s="10"/>
      <c r="AA137" s="10"/>
    </row>
    <row r="138" spans="26:29" x14ac:dyDescent="0.3">
      <c r="Z138" s="10"/>
      <c r="AA138" s="10"/>
    </row>
    <row r="139" spans="26:29" x14ac:dyDescent="0.3">
      <c r="Z139" s="10"/>
      <c r="AA139" s="10"/>
    </row>
    <row r="140" spans="26:29" x14ac:dyDescent="0.3">
      <c r="Z140" s="10"/>
      <c r="AA140" s="10"/>
    </row>
    <row r="141" spans="26:29" x14ac:dyDescent="0.3">
      <c r="Z141" s="10"/>
      <c r="AA141" s="10"/>
    </row>
    <row r="142" spans="26:29" x14ac:dyDescent="0.3">
      <c r="Z142" s="10"/>
      <c r="AA142" s="10"/>
    </row>
    <row r="143" spans="26:29" x14ac:dyDescent="0.3">
      <c r="AA143" s="10"/>
    </row>
    <row r="144" spans="26:29" x14ac:dyDescent="0.3">
      <c r="AA144" s="10"/>
    </row>
    <row r="145" spans="26:27" x14ac:dyDescent="0.3">
      <c r="AA145" s="10"/>
    </row>
    <row r="146" spans="26:27" x14ac:dyDescent="0.3">
      <c r="AA146" s="10"/>
    </row>
    <row r="147" spans="26:27" x14ac:dyDescent="0.3">
      <c r="AA147" s="10"/>
    </row>
    <row r="148" spans="26:27" ht="5.15" customHeight="1" x14ac:dyDescent="0.3">
      <c r="Z148" s="10"/>
      <c r="AA148" s="10"/>
    </row>
    <row r="149" spans="26:27" ht="1" customHeight="1" x14ac:dyDescent="0.3">
      <c r="Z149" s="10"/>
      <c r="AA149" s="10"/>
    </row>
    <row r="150" spans="26:27" x14ac:dyDescent="0.3">
      <c r="Z150" s="10"/>
      <c r="AA150" s="10"/>
    </row>
    <row r="151" spans="26:27" x14ac:dyDescent="0.3">
      <c r="Z151" s="10"/>
      <c r="AA151" s="10"/>
    </row>
    <row r="152" spans="26:27" x14ac:dyDescent="0.3">
      <c r="Z152" s="10"/>
      <c r="AA152" s="10"/>
    </row>
    <row r="153" spans="26:27" x14ac:dyDescent="0.3">
      <c r="Z153" s="10"/>
      <c r="AA153" s="10"/>
    </row>
    <row r="154" spans="26:27" x14ac:dyDescent="0.3">
      <c r="Z154" s="10"/>
      <c r="AA154" s="10"/>
    </row>
    <row r="155" spans="26:27" x14ac:dyDescent="0.3">
      <c r="Z155" s="10"/>
      <c r="AA155" s="10"/>
    </row>
    <row r="156" spans="26:27" x14ac:dyDescent="0.3">
      <c r="Z156" s="10"/>
      <c r="AA156" s="10"/>
    </row>
    <row r="157" spans="26:27" x14ac:dyDescent="0.3">
      <c r="Z157" s="10"/>
      <c r="AA157" s="10"/>
    </row>
    <row r="158" spans="26:27" x14ac:dyDescent="0.3">
      <c r="Z158" s="10"/>
      <c r="AA158" s="10"/>
    </row>
    <row r="159" spans="26:27" x14ac:dyDescent="0.3">
      <c r="Z159" s="10"/>
      <c r="AA159" s="10"/>
    </row>
    <row r="160" spans="26:27" x14ac:dyDescent="0.3">
      <c r="Z160" s="10"/>
      <c r="AA160" s="10"/>
    </row>
    <row r="161" spans="26:27" x14ac:dyDescent="0.3">
      <c r="Z161" s="10"/>
      <c r="AA161" s="10"/>
    </row>
    <row r="162" spans="26:27" x14ac:dyDescent="0.3">
      <c r="Z162" s="10"/>
      <c r="AA162" s="10"/>
    </row>
    <row r="163" spans="26:27" x14ac:dyDescent="0.3">
      <c r="Z163" s="10"/>
      <c r="AA163" s="10"/>
    </row>
    <row r="164" spans="26:27" x14ac:dyDescent="0.3">
      <c r="Z164" s="10"/>
      <c r="AA164" s="10"/>
    </row>
    <row r="165" spans="26:27" x14ac:dyDescent="0.3">
      <c r="Z165" s="10"/>
      <c r="AA165" s="10"/>
    </row>
    <row r="166" spans="26:27" x14ac:dyDescent="0.3">
      <c r="Z166" s="10"/>
      <c r="AA166" s="10"/>
    </row>
    <row r="167" spans="26:27" x14ac:dyDescent="0.3">
      <c r="Z167" s="10"/>
      <c r="AA167" s="10"/>
    </row>
    <row r="168" spans="26:27" x14ac:dyDescent="0.3">
      <c r="Z168" s="10"/>
      <c r="AA168" s="10"/>
    </row>
    <row r="169" spans="26:27" x14ac:dyDescent="0.3">
      <c r="Z169" s="10"/>
      <c r="AA169" s="10"/>
    </row>
    <row r="170" spans="26:27" x14ac:dyDescent="0.3">
      <c r="Z170" s="10"/>
      <c r="AA170" s="10"/>
    </row>
    <row r="171" spans="26:27" x14ac:dyDescent="0.3">
      <c r="Z171" s="10"/>
      <c r="AA171" s="10"/>
    </row>
    <row r="172" spans="26:27" x14ac:dyDescent="0.3">
      <c r="Z172" s="10"/>
      <c r="AA172" s="10"/>
    </row>
    <row r="173" spans="26:27" x14ac:dyDescent="0.3">
      <c r="Z173" s="10"/>
      <c r="AA173" s="10"/>
    </row>
    <row r="174" spans="26:27" x14ac:dyDescent="0.3">
      <c r="Z174" s="10"/>
      <c r="AA174" s="10"/>
    </row>
    <row r="175" spans="26:27" x14ac:dyDescent="0.3">
      <c r="Z175" s="10"/>
      <c r="AA175" s="10"/>
    </row>
    <row r="176" spans="26:27" x14ac:dyDescent="0.3">
      <c r="Z176" s="10"/>
      <c r="AA176" s="10"/>
    </row>
    <row r="178" spans="26:29" x14ac:dyDescent="0.3">
      <c r="Z178" s="10"/>
    </row>
    <row r="180" spans="26:29" x14ac:dyDescent="0.3">
      <c r="Z180" s="10"/>
    </row>
    <row r="182" spans="26:29" x14ac:dyDescent="0.3">
      <c r="AA182" s="10"/>
      <c r="AC182" s="10"/>
    </row>
    <row r="184" spans="26:29" x14ac:dyDescent="0.3">
      <c r="Z184" s="10"/>
    </row>
    <row r="198" spans="29:32" x14ac:dyDescent="0.3">
      <c r="AC198" s="10"/>
      <c r="AD198" s="10"/>
      <c r="AE198" s="10"/>
    </row>
    <row r="199" spans="29:32" x14ac:dyDescent="0.3">
      <c r="AD199" s="10"/>
      <c r="AE199" s="10"/>
      <c r="AF199" s="10"/>
    </row>
    <row r="200" spans="29:32" x14ac:dyDescent="0.3">
      <c r="AD200" s="10"/>
      <c r="AE200" s="10"/>
      <c r="AF200" s="10"/>
    </row>
    <row r="201" spans="29:32" x14ac:dyDescent="0.3">
      <c r="AD201" s="10"/>
      <c r="AE201" s="10"/>
      <c r="AF201" s="10"/>
    </row>
    <row r="202" spans="29:32" x14ac:dyDescent="0.3">
      <c r="AD202" s="10"/>
      <c r="AE202" s="10"/>
      <c r="AF202" s="10"/>
    </row>
    <row r="203" spans="29:32" x14ac:dyDescent="0.3">
      <c r="AD203" s="10"/>
      <c r="AE203" s="10"/>
      <c r="AF203" s="10"/>
    </row>
    <row r="204" spans="29:32" x14ac:dyDescent="0.3">
      <c r="AE204" s="10"/>
      <c r="AF204" s="10"/>
    </row>
    <row r="205" spans="29:32" x14ac:dyDescent="0.3">
      <c r="AE205" s="10"/>
      <c r="AF205" s="10"/>
    </row>
    <row r="206" spans="29:32" x14ac:dyDescent="0.3">
      <c r="AE206" s="10"/>
      <c r="AF206" s="10"/>
    </row>
    <row r="207" spans="29:32" x14ac:dyDescent="0.3">
      <c r="AE207" s="10"/>
      <c r="AF207" s="10"/>
    </row>
    <row r="208" spans="29:32" x14ac:dyDescent="0.3">
      <c r="AE208" s="10"/>
      <c r="AF208" s="10"/>
    </row>
    <row r="209" spans="30:32" x14ac:dyDescent="0.3">
      <c r="AD209" s="10"/>
      <c r="AE209" s="10"/>
      <c r="AF209" s="10"/>
    </row>
    <row r="210" spans="30:32" x14ac:dyDescent="0.3">
      <c r="AD210" s="10"/>
      <c r="AE210" s="10"/>
      <c r="AF210" s="10"/>
    </row>
    <row r="211" spans="30:32" x14ac:dyDescent="0.3">
      <c r="AD211" s="10"/>
      <c r="AE211" s="10"/>
      <c r="AF211" s="10"/>
    </row>
    <row r="212" spans="30:32" x14ac:dyDescent="0.3">
      <c r="AD212" s="10"/>
      <c r="AE212" s="10"/>
      <c r="AF212" s="10"/>
    </row>
    <row r="213" spans="30:32" x14ac:dyDescent="0.3">
      <c r="AD213" s="10"/>
      <c r="AE213" s="10"/>
      <c r="AF213" s="10"/>
    </row>
    <row r="214" spans="30:32" x14ac:dyDescent="0.3">
      <c r="AD214" s="10"/>
      <c r="AE214" s="10"/>
      <c r="AF214" s="10"/>
    </row>
    <row r="215" spans="30:32" x14ac:dyDescent="0.3">
      <c r="AD215" s="10"/>
      <c r="AE215" s="10"/>
      <c r="AF215" s="10"/>
    </row>
    <row r="216" spans="30:32" x14ac:dyDescent="0.3">
      <c r="AD216" s="10"/>
      <c r="AE216" s="10"/>
      <c r="AF216" s="10"/>
    </row>
    <row r="217" spans="30:32" x14ac:dyDescent="0.3">
      <c r="AD217" s="10"/>
      <c r="AE217" s="10"/>
      <c r="AF217" s="10"/>
    </row>
    <row r="218" spans="30:32" x14ac:dyDescent="0.3">
      <c r="AD218" s="10"/>
      <c r="AE218" s="10"/>
      <c r="AF218" s="10"/>
    </row>
    <row r="219" spans="30:32" x14ac:dyDescent="0.3">
      <c r="AD219" s="10"/>
      <c r="AE219" s="10"/>
      <c r="AF219" s="10"/>
    </row>
    <row r="220" spans="30:32" x14ac:dyDescent="0.3">
      <c r="AD220" s="10"/>
      <c r="AE220" s="10"/>
      <c r="AF220" s="10"/>
    </row>
    <row r="221" spans="30:32" x14ac:dyDescent="0.3">
      <c r="AD221" s="10"/>
      <c r="AE221" s="10"/>
      <c r="AF221" s="10"/>
    </row>
    <row r="222" spans="30:32" x14ac:dyDescent="0.3">
      <c r="AD222" s="10"/>
      <c r="AE222" s="10"/>
      <c r="AF222" s="10"/>
    </row>
    <row r="223" spans="30:32" x14ac:dyDescent="0.3">
      <c r="AD223" s="10"/>
      <c r="AE223" s="10"/>
      <c r="AF223" s="10"/>
    </row>
    <row r="224" spans="30:32" x14ac:dyDescent="0.3">
      <c r="AD224" s="10"/>
      <c r="AE224" s="10"/>
      <c r="AF224" s="10"/>
    </row>
    <row r="225" spans="30:33" x14ac:dyDescent="0.3">
      <c r="AD225" s="10"/>
      <c r="AE225" s="10"/>
      <c r="AF225" s="10"/>
    </row>
    <row r="226" spans="30:33" x14ac:dyDescent="0.3">
      <c r="AD226" s="10"/>
      <c r="AE226" s="10"/>
      <c r="AF226" s="10"/>
    </row>
    <row r="227" spans="30:33" x14ac:dyDescent="0.3">
      <c r="AD227" s="10"/>
      <c r="AE227" s="10"/>
      <c r="AF227" s="10"/>
    </row>
    <row r="228" spans="30:33" x14ac:dyDescent="0.3">
      <c r="AD228" s="10"/>
      <c r="AE228" s="10"/>
      <c r="AF228" s="10"/>
    </row>
    <row r="229" spans="30:33" x14ac:dyDescent="0.3">
      <c r="AD229" s="10"/>
      <c r="AE229" s="10"/>
      <c r="AF229" s="10"/>
    </row>
    <row r="230" spans="30:33" x14ac:dyDescent="0.3">
      <c r="AD230" s="10"/>
      <c r="AE230" s="10"/>
      <c r="AF230" s="10"/>
    </row>
    <row r="231" spans="30:33" x14ac:dyDescent="0.3">
      <c r="AD231" s="10"/>
      <c r="AE231" s="10"/>
      <c r="AF231" s="10"/>
    </row>
    <row r="232" spans="30:33" x14ac:dyDescent="0.3">
      <c r="AD232" s="10"/>
      <c r="AE232" s="10"/>
      <c r="AF232" s="10"/>
    </row>
    <row r="233" spans="30:33" x14ac:dyDescent="0.3">
      <c r="AD233" s="10"/>
      <c r="AE233" s="10"/>
      <c r="AF233" s="10"/>
    </row>
    <row r="234" spans="30:33" x14ac:dyDescent="0.3">
      <c r="AD234" s="10"/>
      <c r="AE234" s="10"/>
      <c r="AF234" s="10"/>
    </row>
    <row r="235" spans="30:33" x14ac:dyDescent="0.3">
      <c r="AD235" s="10"/>
      <c r="AE235" s="10"/>
      <c r="AF235" s="10"/>
    </row>
    <row r="236" spans="30:33" x14ac:dyDescent="0.3">
      <c r="AD236" s="10"/>
      <c r="AE236" s="10"/>
      <c r="AF236" s="10"/>
    </row>
    <row r="237" spans="30:33" x14ac:dyDescent="0.3">
      <c r="AD237" s="10"/>
      <c r="AE237" s="10"/>
      <c r="AF237" s="10"/>
    </row>
    <row r="238" spans="30:33" x14ac:dyDescent="0.3">
      <c r="AD238" s="10"/>
      <c r="AE238" s="10"/>
      <c r="AF238" s="10"/>
    </row>
    <row r="239" spans="30:33" x14ac:dyDescent="0.3">
      <c r="AD239" s="10"/>
      <c r="AE239" s="10"/>
      <c r="AF239" s="10"/>
    </row>
    <row r="240" spans="30:33" x14ac:dyDescent="0.3">
      <c r="AE240" s="10"/>
      <c r="AF240" s="10"/>
      <c r="AG240" s="10"/>
    </row>
    <row r="241" spans="7:33" x14ac:dyDescent="0.3">
      <c r="AE241" s="10"/>
      <c r="AF241" s="10"/>
      <c r="AG241" s="10"/>
    </row>
    <row r="242" spans="7:33" x14ac:dyDescent="0.3">
      <c r="AE242" s="10"/>
      <c r="AF242" s="10"/>
      <c r="AG242" s="10"/>
    </row>
    <row r="243" spans="7:33" x14ac:dyDescent="0.3">
      <c r="AE243" s="10"/>
      <c r="AF243" s="10"/>
      <c r="AG243" s="10"/>
    </row>
    <row r="244" spans="7:33" x14ac:dyDescent="0.3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V244" s="10"/>
      <c r="X244" s="10"/>
      <c r="Y244" s="10"/>
      <c r="Z244" s="10"/>
      <c r="AA244" s="10"/>
      <c r="AB244" s="10"/>
      <c r="AD244" s="10"/>
      <c r="AE244" s="10"/>
      <c r="AF244" s="10"/>
      <c r="AG244" s="10"/>
    </row>
    <row r="245" spans="7:33" x14ac:dyDescent="0.3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V245" s="10"/>
      <c r="X245" s="10"/>
      <c r="Y245" s="10"/>
      <c r="Z245" s="10"/>
      <c r="AA245" s="10"/>
      <c r="AB245" s="10"/>
      <c r="AD245" s="10"/>
      <c r="AE245" s="10"/>
      <c r="AF245" s="10"/>
      <c r="AG245" s="10"/>
    </row>
    <row r="246" spans="7:33" x14ac:dyDescent="0.3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V246" s="10"/>
      <c r="X246" s="10"/>
      <c r="Y246" s="10"/>
      <c r="Z246" s="10"/>
      <c r="AA246" s="10"/>
      <c r="AB246" s="10"/>
      <c r="AD246" s="10"/>
      <c r="AE246" s="10"/>
      <c r="AF246" s="10"/>
      <c r="AG246" s="10"/>
    </row>
    <row r="247" spans="7:33" x14ac:dyDescent="0.3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V247" s="10"/>
      <c r="X247" s="10"/>
      <c r="Y247" s="10"/>
      <c r="Z247" s="10"/>
      <c r="AA247" s="10"/>
      <c r="AB247" s="10"/>
      <c r="AD247" s="10"/>
      <c r="AE247" s="10"/>
      <c r="AF247" s="10"/>
      <c r="AG247" s="10"/>
    </row>
    <row r="248" spans="7:33" x14ac:dyDescent="0.3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V248" s="10"/>
      <c r="X248" s="10"/>
      <c r="Y248" s="10"/>
      <c r="Z248" s="10"/>
      <c r="AA248" s="10"/>
      <c r="AB248" s="10"/>
      <c r="AD248" s="10"/>
      <c r="AE248" s="10"/>
      <c r="AF248" s="10"/>
      <c r="AG248" s="10"/>
    </row>
    <row r="249" spans="7:33" x14ac:dyDescent="0.3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V249" s="10"/>
      <c r="X249" s="10"/>
      <c r="Y249" s="10"/>
      <c r="Z249" s="10"/>
      <c r="AA249" s="10"/>
      <c r="AB249" s="10"/>
      <c r="AD249" s="10"/>
      <c r="AE249" s="10"/>
      <c r="AF249" s="10"/>
      <c r="AG249" s="10"/>
    </row>
    <row r="250" spans="7:33" x14ac:dyDescent="0.3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V250" s="10"/>
      <c r="X250" s="10"/>
      <c r="Y250" s="10"/>
      <c r="Z250" s="10"/>
      <c r="AA250" s="10"/>
      <c r="AB250" s="10"/>
      <c r="AD250" s="10"/>
      <c r="AE250" s="10"/>
      <c r="AF250" s="10"/>
      <c r="AG250" s="10"/>
    </row>
    <row r="251" spans="7:33" x14ac:dyDescent="0.3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V251" s="10"/>
      <c r="X251" s="10"/>
      <c r="Y251" s="10"/>
      <c r="Z251" s="10"/>
      <c r="AA251" s="10"/>
      <c r="AB251" s="10"/>
      <c r="AD251" s="10"/>
      <c r="AE251" s="10"/>
      <c r="AF251" s="10"/>
      <c r="AG251" s="10"/>
    </row>
    <row r="252" spans="7:33" x14ac:dyDescent="0.3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V252" s="10"/>
      <c r="X252" s="10"/>
      <c r="Y252" s="10"/>
      <c r="Z252" s="10"/>
      <c r="AA252" s="10"/>
      <c r="AB252" s="10"/>
      <c r="AD252" s="10"/>
      <c r="AE252" s="10"/>
      <c r="AF252" s="10"/>
      <c r="AG252" s="10"/>
    </row>
    <row r="253" spans="7:33" x14ac:dyDescent="0.3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V253" s="10"/>
      <c r="X253" s="10"/>
      <c r="Y253" s="10"/>
      <c r="Z253" s="10"/>
      <c r="AA253" s="10"/>
      <c r="AB253" s="10"/>
      <c r="AD253" s="10"/>
      <c r="AE253" s="10"/>
      <c r="AF253" s="10"/>
      <c r="AG253" s="10"/>
    </row>
    <row r="254" spans="7:33" x14ac:dyDescent="0.3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V254" s="10"/>
      <c r="X254" s="10"/>
      <c r="Y254" s="10"/>
      <c r="Z254" s="10"/>
      <c r="AA254" s="10"/>
      <c r="AB254" s="10"/>
      <c r="AD254" s="10"/>
      <c r="AE254" s="10"/>
      <c r="AF254" s="10"/>
      <c r="AG254" s="10"/>
    </row>
    <row r="255" spans="7:33" x14ac:dyDescent="0.3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V255" s="10"/>
      <c r="X255" s="10"/>
      <c r="Y255" s="10"/>
      <c r="Z255" s="10"/>
      <c r="AA255" s="10"/>
      <c r="AB255" s="10"/>
      <c r="AD255" s="10"/>
      <c r="AE255" s="10"/>
      <c r="AF255" s="10"/>
      <c r="AG255" s="10"/>
    </row>
    <row r="256" spans="7:33" x14ac:dyDescent="0.3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V256" s="10"/>
      <c r="X256" s="10"/>
      <c r="Y256" s="10"/>
      <c r="Z256" s="10"/>
      <c r="AA256" s="10"/>
      <c r="AB256" s="10"/>
      <c r="AD256" s="10"/>
      <c r="AE256" s="10"/>
      <c r="AF256" s="10"/>
      <c r="AG256" s="10"/>
    </row>
    <row r="257" spans="7:33" x14ac:dyDescent="0.3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V257" s="10"/>
      <c r="X257" s="10"/>
      <c r="Y257" s="10"/>
      <c r="Z257" s="10"/>
      <c r="AA257" s="10"/>
      <c r="AB257" s="10"/>
      <c r="AD257" s="10"/>
      <c r="AE257" s="10"/>
      <c r="AF257" s="10"/>
      <c r="AG257" s="10"/>
    </row>
    <row r="258" spans="7:33" x14ac:dyDescent="0.3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V258" s="10"/>
      <c r="X258" s="10"/>
      <c r="Y258" s="10"/>
      <c r="Z258" s="10"/>
      <c r="AA258" s="10"/>
      <c r="AB258" s="10"/>
      <c r="AD258" s="10"/>
      <c r="AE258" s="10"/>
      <c r="AF258" s="10"/>
      <c r="AG258" s="10"/>
    </row>
    <row r="259" spans="7:33" x14ac:dyDescent="0.3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V259" s="10"/>
      <c r="X259" s="10"/>
      <c r="Y259" s="10"/>
      <c r="Z259" s="10"/>
      <c r="AA259" s="10"/>
      <c r="AB259" s="10"/>
      <c r="AD259" s="10"/>
      <c r="AE259" s="10"/>
      <c r="AF259" s="10"/>
      <c r="AG259" s="10"/>
    </row>
    <row r="260" spans="7:33" x14ac:dyDescent="0.3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V260" s="10"/>
      <c r="X260" s="10"/>
      <c r="Y260" s="10"/>
      <c r="Z260" s="10"/>
      <c r="AA260" s="10"/>
      <c r="AB260" s="10"/>
      <c r="AD260" s="10"/>
      <c r="AE260" s="10"/>
      <c r="AF260" s="10"/>
      <c r="AG260" s="10"/>
    </row>
    <row r="261" spans="7:33" x14ac:dyDescent="0.3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V261" s="10"/>
      <c r="X261" s="10"/>
      <c r="Y261" s="10"/>
      <c r="Z261" s="10"/>
      <c r="AA261" s="10"/>
      <c r="AB261" s="10"/>
      <c r="AD261" s="10"/>
      <c r="AE261" s="10"/>
      <c r="AF261" s="10"/>
      <c r="AG261" s="10"/>
    </row>
    <row r="262" spans="7:33" x14ac:dyDescent="0.3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V262" s="10"/>
      <c r="X262" s="10"/>
      <c r="Y262" s="10"/>
      <c r="Z262" s="10"/>
      <c r="AA262" s="10"/>
      <c r="AB262" s="10"/>
      <c r="AD262" s="10"/>
      <c r="AE262" s="10"/>
      <c r="AF262" s="10"/>
      <c r="AG262" s="10"/>
    </row>
    <row r="263" spans="7:33" x14ac:dyDescent="0.3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V263" s="10"/>
      <c r="X263" s="10"/>
      <c r="Y263" s="10"/>
      <c r="Z263" s="10"/>
      <c r="AA263" s="10"/>
      <c r="AB263" s="10"/>
      <c r="AD263" s="10"/>
      <c r="AE263" s="10"/>
      <c r="AF263" s="10"/>
      <c r="AG263" s="10"/>
    </row>
    <row r="264" spans="7:33" x14ac:dyDescent="0.3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V264" s="10"/>
      <c r="X264" s="10"/>
      <c r="Y264" s="10"/>
      <c r="Z264" s="10"/>
      <c r="AA264" s="10"/>
      <c r="AB264" s="10"/>
      <c r="AD264" s="10"/>
      <c r="AE264" s="10"/>
      <c r="AF264" s="10"/>
      <c r="AG264" s="10"/>
    </row>
    <row r="265" spans="7:33" x14ac:dyDescent="0.3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V265" s="10"/>
      <c r="X265" s="10"/>
      <c r="Y265" s="10"/>
      <c r="Z265" s="10"/>
      <c r="AA265" s="10"/>
      <c r="AB265" s="10"/>
      <c r="AD265" s="10"/>
      <c r="AE265" s="10"/>
      <c r="AF265" s="10"/>
      <c r="AG265" s="10"/>
    </row>
    <row r="266" spans="7:33" x14ac:dyDescent="0.3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V266" s="10"/>
      <c r="X266" s="10"/>
      <c r="Y266" s="10"/>
      <c r="Z266" s="10"/>
      <c r="AA266" s="10"/>
      <c r="AB266" s="10"/>
      <c r="AD266" s="10"/>
      <c r="AE266" s="10"/>
      <c r="AF266" s="10"/>
      <c r="AG266" s="10"/>
    </row>
    <row r="267" spans="7:33" x14ac:dyDescent="0.3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V267" s="10"/>
      <c r="X267" s="10"/>
      <c r="Y267" s="10"/>
      <c r="Z267" s="10"/>
      <c r="AA267" s="10"/>
      <c r="AB267" s="10"/>
      <c r="AD267" s="10"/>
      <c r="AE267" s="10"/>
      <c r="AF267" s="10"/>
      <c r="AG267" s="10"/>
    </row>
    <row r="268" spans="7:33" x14ac:dyDescent="0.3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V268" s="10"/>
      <c r="X268" s="10"/>
      <c r="Y268" s="10"/>
      <c r="Z268" s="10"/>
      <c r="AA268" s="10"/>
      <c r="AB268" s="10"/>
      <c r="AD268" s="10"/>
      <c r="AE268" s="10"/>
      <c r="AF268" s="10"/>
      <c r="AG268" s="10"/>
    </row>
    <row r="269" spans="7:33" x14ac:dyDescent="0.3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V269" s="10"/>
      <c r="X269" s="10"/>
      <c r="Y269" s="10"/>
      <c r="Z269" s="10"/>
      <c r="AA269" s="10"/>
      <c r="AB269" s="10"/>
      <c r="AD269" s="10"/>
      <c r="AE269" s="10"/>
      <c r="AF269" s="10"/>
      <c r="AG269" s="10"/>
    </row>
    <row r="270" spans="7:33" x14ac:dyDescent="0.3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V270" s="10"/>
      <c r="X270" s="10"/>
      <c r="Y270" s="10"/>
      <c r="Z270" s="10"/>
      <c r="AA270" s="10"/>
      <c r="AB270" s="10"/>
      <c r="AD270" s="10"/>
      <c r="AE270" s="10"/>
      <c r="AF270" s="10"/>
      <c r="AG270" s="10"/>
    </row>
    <row r="271" spans="7:33" x14ac:dyDescent="0.3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V271" s="10"/>
      <c r="X271" s="10"/>
      <c r="Y271" s="10"/>
      <c r="Z271" s="10"/>
      <c r="AA271" s="10"/>
      <c r="AB271" s="10"/>
      <c r="AD271" s="10"/>
      <c r="AE271" s="10"/>
      <c r="AF271" s="10"/>
      <c r="AG271" s="10"/>
    </row>
    <row r="272" spans="7:33" x14ac:dyDescent="0.3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V272" s="10"/>
      <c r="X272" s="10"/>
      <c r="Y272" s="10"/>
      <c r="Z272" s="10"/>
      <c r="AA272" s="10"/>
      <c r="AB272" s="10"/>
      <c r="AD272" s="10"/>
      <c r="AE272" s="10"/>
      <c r="AF272" s="10"/>
      <c r="AG272" s="10"/>
    </row>
    <row r="273" spans="7:33" x14ac:dyDescent="0.3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V273" s="10"/>
      <c r="X273" s="10"/>
      <c r="Y273" s="10"/>
      <c r="Z273" s="10"/>
      <c r="AA273" s="10"/>
      <c r="AB273" s="10"/>
      <c r="AD273" s="10"/>
      <c r="AE273" s="10"/>
      <c r="AF273" s="10"/>
      <c r="AG273" s="10"/>
    </row>
    <row r="274" spans="7:33" x14ac:dyDescent="0.3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V274" s="10"/>
      <c r="X274" s="10"/>
      <c r="Y274" s="10"/>
      <c r="Z274" s="10"/>
      <c r="AA274" s="10"/>
      <c r="AB274" s="10"/>
      <c r="AD274" s="10"/>
      <c r="AE274" s="10"/>
      <c r="AF274" s="10"/>
      <c r="AG274" s="10"/>
    </row>
    <row r="275" spans="7:33" x14ac:dyDescent="0.3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V275" s="10"/>
      <c r="X275" s="10"/>
      <c r="Y275" s="10"/>
      <c r="Z275" s="10"/>
      <c r="AA275" s="10"/>
      <c r="AB275" s="10"/>
      <c r="AD275" s="10"/>
      <c r="AE275" s="10"/>
      <c r="AF275" s="10"/>
      <c r="AG275" s="10"/>
    </row>
    <row r="276" spans="7:33" x14ac:dyDescent="0.3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V276" s="10"/>
      <c r="X276" s="10"/>
      <c r="Y276" s="10"/>
      <c r="Z276" s="10"/>
      <c r="AA276" s="10"/>
      <c r="AB276" s="10"/>
      <c r="AD276" s="10"/>
      <c r="AE276" s="10"/>
      <c r="AF276" s="10"/>
      <c r="AG276" s="10"/>
    </row>
    <row r="277" spans="7:33" x14ac:dyDescent="0.3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V277" s="10"/>
      <c r="X277" s="10"/>
      <c r="Y277" s="10"/>
      <c r="Z277" s="10"/>
      <c r="AA277" s="10"/>
      <c r="AB277" s="10"/>
      <c r="AD277" s="10"/>
      <c r="AE277" s="10"/>
      <c r="AF277" s="10"/>
      <c r="AG277" s="10"/>
    </row>
    <row r="278" spans="7:33" x14ac:dyDescent="0.3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V278" s="10"/>
      <c r="X278" s="10"/>
      <c r="Y278" s="10"/>
      <c r="Z278" s="10"/>
      <c r="AA278" s="10"/>
      <c r="AB278" s="10"/>
      <c r="AD278" s="10"/>
      <c r="AE278" s="10"/>
      <c r="AF278" s="10"/>
      <c r="AG278" s="10"/>
    </row>
    <row r="279" spans="7:33" x14ac:dyDescent="0.3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V279" s="10"/>
      <c r="X279" s="10"/>
      <c r="Y279" s="10"/>
      <c r="Z279" s="10"/>
      <c r="AA279" s="10"/>
      <c r="AB279" s="10"/>
      <c r="AD279" s="10"/>
      <c r="AE279" s="10"/>
      <c r="AF279" s="10"/>
      <c r="AG279" s="10"/>
    </row>
    <row r="280" spans="7:33" x14ac:dyDescent="0.3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V280" s="10"/>
      <c r="X280" s="10"/>
      <c r="Y280" s="10"/>
      <c r="Z280" s="10"/>
      <c r="AA280" s="10"/>
      <c r="AB280" s="10"/>
      <c r="AD280" s="10"/>
      <c r="AE280" s="10"/>
      <c r="AF280" s="10"/>
      <c r="AG280" s="10"/>
    </row>
    <row r="281" spans="7:33" x14ac:dyDescent="0.3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X281" s="10"/>
      <c r="Y281" s="10"/>
      <c r="Z281" s="10"/>
      <c r="AA281" s="10"/>
      <c r="AB281" s="10"/>
      <c r="AD281" s="10"/>
      <c r="AE281" s="10"/>
      <c r="AF281" s="10"/>
      <c r="AG281" s="10"/>
    </row>
    <row r="282" spans="7:33" x14ac:dyDescent="0.3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X282" s="10"/>
      <c r="Y282" s="10"/>
      <c r="Z282" s="10"/>
      <c r="AA282" s="10"/>
      <c r="AB282" s="10"/>
      <c r="AD282" s="10"/>
      <c r="AE282" s="10"/>
      <c r="AF282" s="10"/>
      <c r="AG282" s="10"/>
    </row>
    <row r="283" spans="7:33" x14ac:dyDescent="0.3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X283" s="10"/>
      <c r="Y283" s="10"/>
      <c r="Z283" s="10"/>
      <c r="AA283" s="10"/>
      <c r="AB283" s="10"/>
      <c r="AD283" s="10"/>
      <c r="AE283" s="10"/>
      <c r="AF283" s="10"/>
      <c r="AG283" s="10"/>
    </row>
    <row r="284" spans="7:33" x14ac:dyDescent="0.3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X284" s="10"/>
      <c r="Y284" s="10"/>
      <c r="Z284" s="10"/>
      <c r="AA284" s="10"/>
      <c r="AB284" s="10"/>
      <c r="AD284" s="10"/>
      <c r="AE284" s="10"/>
      <c r="AF284" s="10"/>
      <c r="AG284" s="10"/>
    </row>
    <row r="285" spans="7:33" x14ac:dyDescent="0.3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X285" s="10"/>
      <c r="Y285" s="10"/>
      <c r="Z285" s="10"/>
      <c r="AA285" s="10"/>
      <c r="AB285" s="10"/>
      <c r="AD285" s="10"/>
      <c r="AE285" s="10"/>
      <c r="AF285" s="10"/>
      <c r="AG285" s="10"/>
    </row>
    <row r="286" spans="7:33" x14ac:dyDescent="0.3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X286" s="10"/>
      <c r="Y286" s="10"/>
      <c r="Z286" s="10"/>
      <c r="AA286" s="10"/>
      <c r="AB286" s="10"/>
      <c r="AD286" s="10"/>
      <c r="AE286" s="10"/>
      <c r="AF286" s="10"/>
      <c r="AG286" s="10"/>
    </row>
    <row r="287" spans="7:33" x14ac:dyDescent="0.3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X287" s="10"/>
      <c r="Y287" s="10"/>
      <c r="Z287" s="10"/>
      <c r="AA287" s="10"/>
      <c r="AB287" s="10"/>
      <c r="AD287" s="10"/>
      <c r="AE287" s="10"/>
      <c r="AF287" s="10"/>
      <c r="AG287" s="10"/>
    </row>
    <row r="288" spans="7:33" x14ac:dyDescent="0.3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X288" s="10"/>
      <c r="Y288" s="10"/>
      <c r="Z288" s="10"/>
      <c r="AA288" s="10"/>
      <c r="AB288" s="10"/>
      <c r="AD288" s="10"/>
      <c r="AE288" s="10"/>
      <c r="AF288" s="10"/>
      <c r="AG288" s="10"/>
    </row>
    <row r="289" spans="7:33" x14ac:dyDescent="0.3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X289" s="10"/>
      <c r="Y289" s="10"/>
      <c r="Z289" s="10"/>
      <c r="AA289" s="10"/>
      <c r="AB289" s="10"/>
      <c r="AD289" s="10"/>
      <c r="AE289" s="10"/>
      <c r="AF289" s="10"/>
      <c r="AG289" s="10"/>
    </row>
    <row r="290" spans="7:33" x14ac:dyDescent="0.3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X290" s="10"/>
      <c r="Y290" s="10"/>
      <c r="Z290" s="10"/>
      <c r="AA290" s="10"/>
      <c r="AB290" s="10"/>
      <c r="AD290" s="10"/>
      <c r="AE290" s="10"/>
      <c r="AF290" s="10"/>
      <c r="AG290" s="10"/>
    </row>
    <row r="291" spans="7:33" x14ac:dyDescent="0.3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X291" s="10"/>
      <c r="Y291" s="10"/>
      <c r="Z291" s="10"/>
      <c r="AA291" s="10"/>
      <c r="AB291" s="10"/>
      <c r="AD291" s="10"/>
      <c r="AE291" s="10"/>
      <c r="AF291" s="10"/>
      <c r="AG291" s="10"/>
    </row>
    <row r="292" spans="7:33" x14ac:dyDescent="0.3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X292" s="10"/>
      <c r="Y292" s="10"/>
      <c r="Z292" s="10"/>
      <c r="AA292" s="10"/>
      <c r="AB292" s="10"/>
      <c r="AD292" s="10"/>
      <c r="AE292" s="10"/>
      <c r="AF292" s="10"/>
      <c r="AG292" s="10"/>
    </row>
    <row r="293" spans="7:33" x14ac:dyDescent="0.3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X293" s="10"/>
      <c r="Y293" s="10"/>
      <c r="Z293" s="10"/>
      <c r="AA293" s="10"/>
      <c r="AB293" s="10"/>
      <c r="AD293" s="10"/>
      <c r="AE293" s="10"/>
      <c r="AF293" s="10"/>
      <c r="AG293" s="10"/>
    </row>
    <row r="294" spans="7:33" x14ac:dyDescent="0.3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X294" s="10"/>
      <c r="Y294" s="10"/>
      <c r="Z294" s="10"/>
      <c r="AA294" s="10"/>
      <c r="AB294" s="10"/>
      <c r="AD294" s="10"/>
      <c r="AE294" s="10"/>
      <c r="AF294" s="10"/>
      <c r="AG294" s="10"/>
    </row>
    <row r="295" spans="7:33" x14ac:dyDescent="0.3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X295" s="10"/>
      <c r="Y295" s="10"/>
      <c r="Z295" s="10"/>
      <c r="AA295" s="10"/>
      <c r="AB295" s="10"/>
      <c r="AD295" s="10"/>
      <c r="AE295" s="10"/>
      <c r="AF295" s="10"/>
      <c r="AG295" s="10"/>
    </row>
    <row r="296" spans="7:33" x14ac:dyDescent="0.3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X296" s="10"/>
      <c r="Y296" s="10"/>
      <c r="Z296" s="10"/>
      <c r="AA296" s="10"/>
      <c r="AB296" s="10"/>
      <c r="AD296" s="10"/>
      <c r="AE296" s="10"/>
      <c r="AF296" s="10"/>
      <c r="AG296" s="10"/>
    </row>
    <row r="297" spans="7:33" x14ac:dyDescent="0.3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X297" s="10"/>
      <c r="Y297" s="10"/>
      <c r="Z297" s="10"/>
      <c r="AA297" s="10"/>
      <c r="AB297" s="10"/>
      <c r="AD297" s="10"/>
      <c r="AE297" s="10"/>
      <c r="AF297" s="10"/>
      <c r="AG297" s="10"/>
    </row>
    <row r="298" spans="7:33" x14ac:dyDescent="0.3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X298" s="10"/>
      <c r="Y298" s="10"/>
      <c r="Z298" s="10"/>
      <c r="AA298" s="10"/>
      <c r="AB298" s="10"/>
      <c r="AD298" s="10"/>
      <c r="AE298" s="10"/>
      <c r="AF298" s="10"/>
      <c r="AG298" s="10"/>
    </row>
    <row r="299" spans="7:33" x14ac:dyDescent="0.3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X299" s="10"/>
      <c r="Y299" s="10"/>
      <c r="Z299" s="10"/>
      <c r="AA299" s="10"/>
      <c r="AB299" s="10"/>
      <c r="AD299" s="10"/>
      <c r="AE299" s="10"/>
      <c r="AF299" s="10"/>
      <c r="AG299" s="10"/>
    </row>
    <row r="300" spans="7:33" x14ac:dyDescent="0.3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X300" s="10"/>
      <c r="Y300" s="10"/>
      <c r="Z300" s="10"/>
      <c r="AA300" s="10"/>
      <c r="AB300" s="10"/>
      <c r="AD300" s="10"/>
      <c r="AE300" s="10"/>
      <c r="AF300" s="10"/>
      <c r="AG300" s="10"/>
    </row>
    <row r="301" spans="7:33" x14ac:dyDescent="0.3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X301" s="10"/>
      <c r="Y301" s="10"/>
      <c r="Z301" s="10"/>
      <c r="AA301" s="10"/>
      <c r="AB301" s="10"/>
      <c r="AD301" s="10"/>
      <c r="AE301" s="10"/>
      <c r="AF301" s="10"/>
      <c r="AG301" s="10"/>
    </row>
    <row r="302" spans="7:33" x14ac:dyDescent="0.3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X302" s="10"/>
      <c r="Y302" s="10"/>
      <c r="Z302" s="10"/>
      <c r="AA302" s="10"/>
      <c r="AB302" s="10"/>
      <c r="AD302" s="10"/>
      <c r="AE302" s="10"/>
      <c r="AF302" s="10"/>
      <c r="AG302" s="10"/>
    </row>
    <row r="303" spans="7:33" x14ac:dyDescent="0.3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X303" s="10"/>
      <c r="Y303" s="10"/>
      <c r="Z303" s="10"/>
      <c r="AA303" s="10"/>
      <c r="AB303" s="10"/>
      <c r="AD303" s="10"/>
      <c r="AE303" s="10"/>
      <c r="AF303" s="10"/>
      <c r="AG303" s="10"/>
    </row>
    <row r="304" spans="7:33" x14ac:dyDescent="0.3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X304" s="10"/>
      <c r="Y304" s="10"/>
      <c r="Z304" s="10"/>
      <c r="AA304" s="10"/>
      <c r="AB304" s="10"/>
      <c r="AD304" s="10"/>
      <c r="AE304" s="10"/>
      <c r="AF304" s="10"/>
      <c r="AG304" s="10"/>
    </row>
    <row r="305" spans="7:33" x14ac:dyDescent="0.3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X305" s="10"/>
      <c r="Y305" s="10"/>
      <c r="Z305" s="10"/>
      <c r="AA305" s="10"/>
      <c r="AB305" s="10"/>
      <c r="AD305" s="10"/>
      <c r="AE305" s="10"/>
      <c r="AF305" s="10"/>
      <c r="AG305" s="10"/>
    </row>
    <row r="306" spans="7:33" x14ac:dyDescent="0.3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X306" s="10"/>
      <c r="Y306" s="10"/>
      <c r="Z306" s="10"/>
      <c r="AA306" s="10"/>
      <c r="AB306" s="10"/>
      <c r="AD306" s="10"/>
      <c r="AE306" s="10"/>
      <c r="AF306" s="10"/>
      <c r="AG306" s="10"/>
    </row>
    <row r="307" spans="7:33" x14ac:dyDescent="0.3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X307" s="10"/>
      <c r="Y307" s="10"/>
      <c r="Z307" s="10"/>
      <c r="AA307" s="10"/>
      <c r="AB307" s="10"/>
      <c r="AD307" s="10"/>
      <c r="AE307" s="10"/>
      <c r="AF307" s="10"/>
      <c r="AG307" s="10"/>
    </row>
    <row r="308" spans="7:33" x14ac:dyDescent="0.3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X308" s="10"/>
      <c r="Y308" s="10"/>
      <c r="Z308" s="10"/>
      <c r="AA308" s="10"/>
      <c r="AB308" s="10"/>
      <c r="AD308" s="10"/>
      <c r="AE308" s="10"/>
      <c r="AF308" s="10"/>
      <c r="AG308" s="10"/>
    </row>
    <row r="309" spans="7:33" x14ac:dyDescent="0.3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X309" s="10"/>
      <c r="Y309" s="10"/>
      <c r="Z309" s="10"/>
      <c r="AA309" s="10"/>
      <c r="AB309" s="10"/>
      <c r="AD309" s="10"/>
      <c r="AE309" s="10"/>
      <c r="AF309" s="10"/>
      <c r="AG309" s="10"/>
    </row>
    <row r="310" spans="7:33" x14ac:dyDescent="0.3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X310" s="10"/>
      <c r="Y310" s="10"/>
      <c r="Z310" s="10"/>
      <c r="AA310" s="10"/>
      <c r="AB310" s="10"/>
      <c r="AD310" s="10"/>
      <c r="AE310" s="10"/>
      <c r="AF310" s="10"/>
      <c r="AG310" s="10"/>
    </row>
    <row r="311" spans="7:33" x14ac:dyDescent="0.3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X311" s="10"/>
      <c r="Y311" s="10"/>
      <c r="Z311" s="10"/>
      <c r="AA311" s="10"/>
      <c r="AB311" s="10"/>
      <c r="AD311" s="10"/>
      <c r="AE311" s="10"/>
      <c r="AF311" s="10"/>
      <c r="AG311" s="10"/>
    </row>
    <row r="312" spans="7:33" x14ac:dyDescent="0.3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X312" s="10"/>
      <c r="Y312" s="10"/>
      <c r="Z312" s="10"/>
      <c r="AA312" s="10"/>
      <c r="AB312" s="10"/>
      <c r="AD312" s="10"/>
      <c r="AE312" s="10"/>
      <c r="AF312" s="10"/>
      <c r="AG312" s="10"/>
    </row>
    <row r="313" spans="7:33" x14ac:dyDescent="0.3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X313" s="10"/>
      <c r="Y313" s="10"/>
      <c r="Z313" s="10"/>
      <c r="AA313" s="10"/>
      <c r="AB313" s="10"/>
      <c r="AD313" s="10"/>
      <c r="AE313" s="10"/>
      <c r="AF313" s="10"/>
      <c r="AG313" s="10"/>
    </row>
    <row r="314" spans="7:33" x14ac:dyDescent="0.3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X314" s="10"/>
      <c r="Y314" s="10"/>
      <c r="Z314" s="10"/>
      <c r="AA314" s="10"/>
      <c r="AB314" s="10"/>
      <c r="AD314" s="10"/>
      <c r="AE314" s="10"/>
      <c r="AF314" s="10"/>
      <c r="AG314" s="10"/>
    </row>
    <row r="315" spans="7:33" x14ac:dyDescent="0.3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X315" s="10"/>
      <c r="Y315" s="10"/>
      <c r="Z315" s="10"/>
      <c r="AA315" s="10"/>
      <c r="AB315" s="10"/>
      <c r="AD315" s="10"/>
      <c r="AE315" s="10"/>
      <c r="AF315" s="10"/>
      <c r="AG315" s="10"/>
    </row>
    <row r="316" spans="7:33" x14ac:dyDescent="0.3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X316" s="10"/>
      <c r="Y316" s="10"/>
      <c r="Z316" s="10"/>
      <c r="AA316" s="10"/>
      <c r="AB316" s="10"/>
      <c r="AD316" s="10"/>
      <c r="AE316" s="10"/>
      <c r="AF316" s="10"/>
      <c r="AG316" s="10"/>
    </row>
    <row r="317" spans="7:33" x14ac:dyDescent="0.3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X317" s="10"/>
      <c r="Y317" s="10"/>
      <c r="Z317" s="10"/>
      <c r="AA317" s="10"/>
      <c r="AB317" s="10"/>
      <c r="AD317" s="10"/>
      <c r="AE317" s="10"/>
      <c r="AF317" s="10"/>
      <c r="AG317" s="10"/>
    </row>
    <row r="318" spans="7:33" x14ac:dyDescent="0.3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X318" s="10"/>
      <c r="Y318" s="10"/>
      <c r="Z318" s="10"/>
      <c r="AA318" s="10"/>
      <c r="AB318" s="10"/>
      <c r="AD318" s="10"/>
      <c r="AE318" s="10"/>
      <c r="AF318" s="10"/>
      <c r="AG318" s="10"/>
    </row>
    <row r="319" spans="7:33" x14ac:dyDescent="0.3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X319" s="10"/>
      <c r="Y319" s="10"/>
      <c r="Z319" s="10"/>
      <c r="AA319" s="10"/>
      <c r="AB319" s="10"/>
      <c r="AD319" s="10"/>
      <c r="AE319" s="10"/>
      <c r="AF319" s="10"/>
      <c r="AG319" s="10"/>
    </row>
    <row r="320" spans="7:33" x14ac:dyDescent="0.3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X320" s="10"/>
      <c r="Y320" s="10"/>
      <c r="Z320" s="10"/>
      <c r="AA320" s="10"/>
      <c r="AB320" s="10"/>
      <c r="AD320" s="10"/>
      <c r="AE320" s="10"/>
      <c r="AF320" s="10"/>
      <c r="AG320" s="10"/>
    </row>
    <row r="321" spans="7:34" x14ac:dyDescent="0.3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X321" s="10"/>
      <c r="Y321" s="10"/>
      <c r="Z321" s="10"/>
      <c r="AA321" s="10"/>
      <c r="AB321" s="10"/>
      <c r="AD321" s="10"/>
      <c r="AE321" s="10"/>
      <c r="AF321" s="10"/>
      <c r="AG321" s="10"/>
    </row>
    <row r="322" spans="7:34" x14ac:dyDescent="0.3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X322" s="10"/>
      <c r="Y322" s="10"/>
      <c r="Z322" s="10"/>
      <c r="AA322" s="10"/>
      <c r="AB322" s="10"/>
      <c r="AD322" s="10"/>
      <c r="AE322" s="10"/>
      <c r="AF322" s="10"/>
      <c r="AG322" s="10"/>
    </row>
    <row r="323" spans="7:34" x14ac:dyDescent="0.3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X323" s="10"/>
      <c r="Y323" s="10"/>
      <c r="Z323" s="10"/>
      <c r="AA323" s="10"/>
      <c r="AB323" s="10"/>
      <c r="AD323" s="10"/>
      <c r="AE323" s="10"/>
      <c r="AF323" s="10"/>
      <c r="AG323" s="10"/>
    </row>
    <row r="324" spans="7:34" x14ac:dyDescent="0.3"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X324" s="10"/>
      <c r="Y324" s="10"/>
      <c r="Z324" s="10"/>
      <c r="AA324" s="10"/>
      <c r="AB324" s="10"/>
      <c r="AD324" s="10"/>
      <c r="AE324" s="10"/>
      <c r="AF324" s="10"/>
      <c r="AG324" s="10"/>
    </row>
    <row r="325" spans="7:34" x14ac:dyDescent="0.3"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X325" s="10"/>
      <c r="Y325" s="10"/>
      <c r="Z325" s="10"/>
      <c r="AA325" s="10"/>
      <c r="AB325" s="10"/>
      <c r="AD325" s="10"/>
      <c r="AE325" s="10"/>
      <c r="AF325" s="10"/>
      <c r="AG325" s="10"/>
    </row>
    <row r="326" spans="7:34" x14ac:dyDescent="0.3"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X326" s="10"/>
      <c r="Y326" s="10"/>
      <c r="Z326" s="10"/>
      <c r="AA326" s="10"/>
      <c r="AB326" s="10"/>
      <c r="AD326" s="10"/>
      <c r="AE326" s="10"/>
      <c r="AF326" s="10"/>
      <c r="AG326" s="10"/>
    </row>
    <row r="327" spans="7:34" x14ac:dyDescent="0.3"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X327" s="10"/>
      <c r="Y327" s="10"/>
      <c r="Z327" s="10"/>
      <c r="AA327" s="10"/>
      <c r="AB327" s="10"/>
      <c r="AD327" s="10"/>
      <c r="AE327" s="10"/>
      <c r="AF327" s="10"/>
      <c r="AG327" s="10"/>
    </row>
    <row r="328" spans="7:34" x14ac:dyDescent="0.3"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X328" s="10"/>
      <c r="Y328" s="10"/>
      <c r="Z328" s="10"/>
      <c r="AA328" s="10"/>
      <c r="AB328" s="10"/>
      <c r="AD328" s="10"/>
      <c r="AE328" s="10"/>
      <c r="AF328" s="10"/>
      <c r="AG328" s="10"/>
    </row>
    <row r="329" spans="7:34" x14ac:dyDescent="0.3"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Y329" s="10"/>
      <c r="Z329" s="10"/>
      <c r="AA329" s="10"/>
      <c r="AB329" s="10"/>
      <c r="AC329" s="10"/>
      <c r="AE329" s="10"/>
      <c r="AF329" s="10"/>
      <c r="AG329" s="10"/>
      <c r="AH329" s="10"/>
    </row>
    <row r="330" spans="7:34" x14ac:dyDescent="0.3"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Y330" s="10"/>
      <c r="Z330" s="10"/>
      <c r="AA330" s="10"/>
      <c r="AB330" s="10"/>
      <c r="AC330" s="10"/>
      <c r="AE330" s="10"/>
      <c r="AF330" s="10"/>
      <c r="AG330" s="10"/>
      <c r="AH330" s="10"/>
    </row>
    <row r="331" spans="7:34" x14ac:dyDescent="0.3"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Y331" s="10"/>
      <c r="Z331" s="10"/>
      <c r="AA331" s="10"/>
      <c r="AB331" s="10"/>
      <c r="AC331" s="10"/>
      <c r="AE331" s="10"/>
      <c r="AF331" s="10"/>
      <c r="AG331" s="10"/>
      <c r="AH331" s="10"/>
    </row>
    <row r="332" spans="7:34" x14ac:dyDescent="0.3"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Y332" s="10"/>
      <c r="Z332" s="10"/>
      <c r="AA332" s="10"/>
      <c r="AB332" s="10"/>
      <c r="AC332" s="10"/>
      <c r="AE332" s="10"/>
      <c r="AF332" s="10"/>
      <c r="AG332" s="10"/>
      <c r="AH332" s="10"/>
    </row>
    <row r="333" spans="7:34" x14ac:dyDescent="0.3"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Y333" s="10"/>
      <c r="Z333" s="10"/>
      <c r="AA333" s="10"/>
      <c r="AB333" s="10"/>
      <c r="AC333" s="10"/>
      <c r="AE333" s="10"/>
      <c r="AF333" s="10"/>
      <c r="AG333" s="10"/>
      <c r="AH333" s="10"/>
    </row>
    <row r="334" spans="7:34" x14ac:dyDescent="0.3"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Y334" s="10"/>
      <c r="Z334" s="10"/>
      <c r="AA334" s="10"/>
      <c r="AB334" s="10"/>
      <c r="AC334" s="10"/>
      <c r="AE334" s="10"/>
      <c r="AF334" s="10"/>
      <c r="AG334" s="10"/>
      <c r="AH334" s="10"/>
    </row>
    <row r="335" spans="7:34" x14ac:dyDescent="0.3"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Y335" s="10"/>
      <c r="Z335" s="10"/>
      <c r="AA335" s="10"/>
      <c r="AB335" s="10"/>
      <c r="AC335" s="10"/>
      <c r="AE335" s="10"/>
      <c r="AF335" s="10"/>
      <c r="AG335" s="10"/>
      <c r="AH335" s="10"/>
    </row>
    <row r="336" spans="7:34" x14ac:dyDescent="0.3"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Y336" s="10"/>
      <c r="Z336" s="10"/>
      <c r="AA336" s="10"/>
      <c r="AB336" s="10"/>
      <c r="AC336" s="10"/>
      <c r="AE336" s="10"/>
      <c r="AF336" s="10"/>
      <c r="AG336" s="10"/>
      <c r="AH336" s="10"/>
    </row>
  </sheetData>
  <mergeCells count="1">
    <mergeCell ref="A63:O63"/>
  </mergeCells>
  <phoneticPr fontId="0" type="noConversion"/>
  <pageMargins left="0" right="0" top="0.25" bottom="0.25" header="0.5" footer="0.5"/>
  <pageSetup scale="61" orientation="landscape" r:id="rId1"/>
  <headerFooter alignWithMargins="0"/>
  <rowBreaks count="4" manualBreakCount="4">
    <brk id="44" max="13" man="1"/>
    <brk id="165" max="65535" man="1"/>
    <brk id="207" max="65535" man="1"/>
    <brk id="268" max="65535" man="1"/>
  </rowBreaks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 codeName="Sheet17"/>
  <dimension ref="A1:V640"/>
  <sheetViews>
    <sheetView zoomScale="110" zoomScaleNormal="110" zoomScaleSheetLayoutView="90" workbookViewId="0">
      <selection sqref="A1:J1"/>
    </sheetView>
  </sheetViews>
  <sheetFormatPr defaultColWidth="10" defaultRowHeight="12.45" x14ac:dyDescent="0.3"/>
  <cols>
    <col min="1" max="1" width="7.21875" style="134" customWidth="1"/>
    <col min="2" max="2" width="46.5546875" style="1" bestFit="1" customWidth="1"/>
    <col min="3" max="3" width="8" style="1" customWidth="1"/>
    <col min="4" max="12" width="19.77734375" style="1" bestFit="1" customWidth="1"/>
    <col min="13" max="13" width="17" style="1" customWidth="1"/>
    <col min="14" max="14" width="19.77734375" style="1" bestFit="1" customWidth="1"/>
    <col min="15" max="15" width="20.44140625" style="1" customWidth="1"/>
    <col min="16" max="16" width="19.77734375" style="1" customWidth="1"/>
    <col min="17" max="17" width="2" style="1" customWidth="1"/>
    <col min="18" max="18" width="15.21875" style="1" customWidth="1"/>
    <col min="19" max="19" width="15.5546875" style="1" bestFit="1" customWidth="1"/>
    <col min="20" max="21" width="11.21875" style="1" bestFit="1" customWidth="1"/>
    <col min="22" max="22" width="11.44140625" style="1" bestFit="1" customWidth="1"/>
    <col min="23" max="23" width="11.21875" style="1" bestFit="1" customWidth="1"/>
    <col min="24" max="24" width="11.5546875" style="1" bestFit="1" customWidth="1"/>
    <col min="25" max="25" width="10" style="1"/>
    <col min="26" max="26" width="11.21875" style="1" bestFit="1" customWidth="1"/>
    <col min="27" max="30" width="10" style="1"/>
    <col min="31" max="31" width="11.21875" style="1" bestFit="1" customWidth="1"/>
    <col min="32" max="16384" width="10" style="1"/>
  </cols>
  <sheetData>
    <row r="1" spans="1:19" x14ac:dyDescent="0.3">
      <c r="A1" s="465" t="s">
        <v>41</v>
      </c>
      <c r="B1" s="465"/>
      <c r="C1" s="465"/>
      <c r="D1" s="465"/>
      <c r="E1" s="465"/>
      <c r="F1" s="465"/>
      <c r="G1" s="465"/>
      <c r="H1" s="465"/>
      <c r="I1" s="465"/>
      <c r="J1" s="465"/>
      <c r="K1" s="15"/>
      <c r="L1" s="15"/>
      <c r="M1" s="15"/>
      <c r="N1" s="15"/>
      <c r="O1" s="15"/>
      <c r="P1" s="15"/>
    </row>
    <row r="2" spans="1:19" x14ac:dyDescent="0.3">
      <c r="A2" s="465" t="s">
        <v>290</v>
      </c>
      <c r="B2" s="465"/>
      <c r="C2" s="465"/>
      <c r="D2" s="465"/>
      <c r="E2" s="465"/>
      <c r="F2" s="465"/>
      <c r="G2" s="465"/>
      <c r="H2" s="465"/>
      <c r="I2" s="465"/>
      <c r="J2" s="465"/>
      <c r="K2" s="15"/>
      <c r="L2" s="15"/>
      <c r="M2" s="15"/>
      <c r="N2" s="15"/>
      <c r="O2" s="15"/>
      <c r="P2" s="15"/>
    </row>
    <row r="3" spans="1:19" x14ac:dyDescent="0.3">
      <c r="A3" s="466" t="s">
        <v>391</v>
      </c>
      <c r="B3" s="466"/>
      <c r="C3" s="466"/>
      <c r="D3" s="466"/>
      <c r="E3" s="466"/>
      <c r="F3" s="466"/>
      <c r="G3" s="466"/>
      <c r="H3" s="466"/>
      <c r="I3" s="466"/>
      <c r="J3" s="466"/>
      <c r="K3" s="18"/>
      <c r="L3" s="18"/>
      <c r="M3" s="18"/>
      <c r="N3" s="18"/>
      <c r="O3" s="18"/>
      <c r="P3" s="18"/>
    </row>
    <row r="4" spans="1:19" x14ac:dyDescent="0.3">
      <c r="A4" s="134" t="s">
        <v>367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9" x14ac:dyDescent="0.3">
      <c r="A5" s="139" t="s">
        <v>293</v>
      </c>
      <c r="B5" s="19"/>
      <c r="C5" s="19"/>
      <c r="D5" s="19"/>
      <c r="E5" s="19"/>
    </row>
    <row r="6" spans="1:19" x14ac:dyDescent="0.3">
      <c r="A6" s="139" t="s">
        <v>285</v>
      </c>
      <c r="B6" s="19"/>
      <c r="C6" s="19"/>
      <c r="D6" s="19"/>
      <c r="E6" s="19"/>
    </row>
    <row r="7" spans="1:19" x14ac:dyDescent="0.3">
      <c r="A7" s="139" t="s">
        <v>64</v>
      </c>
      <c r="B7" s="19"/>
      <c r="C7" s="19"/>
      <c r="D7" s="19"/>
      <c r="E7" s="19"/>
      <c r="J7" s="142" t="s">
        <v>282</v>
      </c>
    </row>
    <row r="8" spans="1:19" x14ac:dyDescent="0.3">
      <c r="A8" s="140" t="s">
        <v>317</v>
      </c>
      <c r="B8" s="19"/>
      <c r="C8" s="331"/>
      <c r="D8" s="19"/>
      <c r="E8" s="144"/>
      <c r="F8" s="145"/>
      <c r="G8" s="144"/>
      <c r="H8" s="146"/>
      <c r="I8" s="144"/>
      <c r="J8" s="147" t="s">
        <v>289</v>
      </c>
      <c r="K8" s="144"/>
      <c r="L8" s="144"/>
      <c r="M8" s="144"/>
      <c r="N8" s="144"/>
      <c r="Q8" s="19"/>
    </row>
    <row r="9" spans="1:19" x14ac:dyDescent="0.3">
      <c r="A9" s="140"/>
      <c r="B9" s="19"/>
      <c r="C9" s="143"/>
      <c r="D9" s="19"/>
      <c r="E9" s="144"/>
      <c r="F9" s="145"/>
      <c r="G9" s="144"/>
      <c r="H9" s="146"/>
      <c r="I9" s="144"/>
      <c r="J9" s="144"/>
      <c r="K9" s="144"/>
      <c r="L9" s="144"/>
      <c r="M9" s="144"/>
      <c r="N9" s="144"/>
      <c r="P9" s="147"/>
      <c r="Q9" s="19"/>
    </row>
    <row r="10" spans="1:19" x14ac:dyDescent="0.3">
      <c r="A10" s="467" t="s">
        <v>65</v>
      </c>
      <c r="B10" s="467"/>
      <c r="C10" s="467"/>
      <c r="D10" s="467"/>
      <c r="E10" s="467"/>
      <c r="F10" s="467"/>
      <c r="G10" s="467"/>
      <c r="H10" s="467"/>
      <c r="I10" s="467"/>
      <c r="J10" s="467"/>
      <c r="K10" s="201"/>
      <c r="L10" s="201"/>
      <c r="M10" s="201"/>
      <c r="N10" s="201"/>
      <c r="O10" s="201"/>
      <c r="P10" s="201"/>
    </row>
    <row r="11" spans="1:19" x14ac:dyDescent="0.3">
      <c r="A11" s="19" t="s">
        <v>11</v>
      </c>
      <c r="B11" s="15"/>
      <c r="C11" s="15"/>
      <c r="D11" s="15"/>
      <c r="E11" s="15"/>
      <c r="F11" s="15"/>
      <c r="G11" s="15"/>
      <c r="H11" s="15"/>
      <c r="I11" s="15"/>
      <c r="J11" s="19"/>
      <c r="K11" s="19"/>
      <c r="L11" s="19"/>
      <c r="M11" s="19"/>
      <c r="N11" s="19"/>
      <c r="O11" s="19"/>
      <c r="P11" s="19"/>
    </row>
    <row r="12" spans="1:19" x14ac:dyDescent="0.3">
      <c r="A12" s="2" t="s">
        <v>13</v>
      </c>
      <c r="B12" s="2" t="s">
        <v>14</v>
      </c>
      <c r="C12" s="2"/>
      <c r="D12" s="132" t="s">
        <v>385</v>
      </c>
      <c r="E12" s="132" t="s">
        <v>386</v>
      </c>
      <c r="F12" s="132" t="s">
        <v>387</v>
      </c>
      <c r="G12" s="132" t="s">
        <v>388</v>
      </c>
      <c r="H12" s="132" t="s">
        <v>389</v>
      </c>
      <c r="I12" s="132" t="s">
        <v>390</v>
      </c>
      <c r="J12" s="2" t="s">
        <v>15</v>
      </c>
    </row>
    <row r="13" spans="1:19" x14ac:dyDescent="0.3">
      <c r="A13" s="19"/>
      <c r="B13" s="29" t="s">
        <v>49</v>
      </c>
      <c r="C13" s="29"/>
      <c r="D13" s="336" t="s">
        <v>55</v>
      </c>
      <c r="E13" s="336" t="s">
        <v>56</v>
      </c>
      <c r="F13" s="337" t="s">
        <v>57</v>
      </c>
      <c r="G13" s="337" t="s">
        <v>58</v>
      </c>
      <c r="H13" s="337" t="s">
        <v>59</v>
      </c>
      <c r="I13" s="337" t="s">
        <v>60</v>
      </c>
      <c r="J13" s="337" t="s">
        <v>61</v>
      </c>
    </row>
    <row r="14" spans="1:19" x14ac:dyDescent="0.3">
      <c r="A14" s="19"/>
      <c r="B14" s="15"/>
      <c r="C14" s="15"/>
      <c r="D14" s="19"/>
      <c r="E14" s="19"/>
      <c r="F14" s="19"/>
      <c r="G14" s="19"/>
      <c r="H14" s="19"/>
      <c r="I14" s="19"/>
      <c r="J14" s="19"/>
    </row>
    <row r="15" spans="1:19" x14ac:dyDescent="0.3">
      <c r="A15" s="134">
        <v>1</v>
      </c>
      <c r="B15" s="15" t="s">
        <v>199</v>
      </c>
      <c r="D15" s="22"/>
      <c r="E15" s="22"/>
    </row>
    <row r="16" spans="1:19" x14ac:dyDescent="0.3">
      <c r="L16" s="20"/>
      <c r="M16" s="20"/>
      <c r="N16" s="20"/>
      <c r="O16" s="20"/>
      <c r="P16" s="20"/>
      <c r="S16" s="20"/>
    </row>
    <row r="17" spans="1:19" x14ac:dyDescent="0.3">
      <c r="A17" s="134">
        <f>A15+1</f>
        <v>2</v>
      </c>
      <c r="B17" s="1" t="s">
        <v>291</v>
      </c>
      <c r="C17" s="135" t="s">
        <v>27</v>
      </c>
      <c r="D17" s="394">
        <f>EGC</f>
        <v>2.9432999999999998</v>
      </c>
      <c r="E17" s="183">
        <f>$D$17</f>
        <v>2.9432999999999998</v>
      </c>
      <c r="F17" s="183">
        <f t="shared" ref="F17:I17" si="0">$D$17</f>
        <v>2.9432999999999998</v>
      </c>
      <c r="G17" s="183">
        <f t="shared" si="0"/>
        <v>2.9432999999999998</v>
      </c>
      <c r="H17" s="183">
        <f t="shared" si="0"/>
        <v>2.9432999999999998</v>
      </c>
      <c r="I17" s="183">
        <f t="shared" si="0"/>
        <v>2.9432999999999998</v>
      </c>
      <c r="J17" s="148"/>
      <c r="L17" s="21"/>
      <c r="M17" s="21"/>
      <c r="N17" s="22"/>
      <c r="O17" s="23"/>
      <c r="P17" s="10"/>
      <c r="S17" s="23"/>
    </row>
    <row r="18" spans="1:19" ht="15" x14ac:dyDescent="0.6">
      <c r="A18" s="134">
        <f>A17+1</f>
        <v>3</v>
      </c>
      <c r="B18" s="1" t="s">
        <v>31</v>
      </c>
      <c r="C18" s="1" t="s">
        <v>26</v>
      </c>
      <c r="D18" s="208">
        <f>'C'!D19</f>
        <v>1173075.3999999999</v>
      </c>
      <c r="E18" s="208">
        <f>'C'!E19</f>
        <v>708826.4</v>
      </c>
      <c r="F18" s="208">
        <f>'C'!F19</f>
        <v>308062.3</v>
      </c>
      <c r="G18" s="208">
        <f>'C'!G19</f>
        <v>142866.6</v>
      </c>
      <c r="H18" s="208">
        <f>'C'!H19</f>
        <v>97726.3</v>
      </c>
      <c r="I18" s="208">
        <f>'C'!I19</f>
        <v>97066.4</v>
      </c>
      <c r="J18" s="148">
        <f>SUM(D18:I18)</f>
        <v>2527623.3999999994</v>
      </c>
      <c r="L18" s="21"/>
      <c r="M18" s="21"/>
      <c r="N18" s="22"/>
      <c r="O18" s="23"/>
      <c r="P18" s="10"/>
      <c r="S18" s="23"/>
    </row>
    <row r="19" spans="1:19" x14ac:dyDescent="0.3">
      <c r="A19" s="134">
        <f>A18+1</f>
        <v>4</v>
      </c>
      <c r="B19" s="1" t="s">
        <v>274</v>
      </c>
      <c r="D19" s="167">
        <f t="shared" ref="D19:I19" si="1">ROUND(D17*D18,2)</f>
        <v>3452712.82</v>
      </c>
      <c r="E19" s="167">
        <f t="shared" si="1"/>
        <v>2086288.74</v>
      </c>
      <c r="F19" s="167">
        <f t="shared" si="1"/>
        <v>906719.77</v>
      </c>
      <c r="G19" s="167">
        <f t="shared" si="1"/>
        <v>420499.26</v>
      </c>
      <c r="H19" s="167">
        <f t="shared" si="1"/>
        <v>287637.82</v>
      </c>
      <c r="I19" s="167">
        <f t="shared" si="1"/>
        <v>285695.53999999998</v>
      </c>
      <c r="J19" s="168">
        <f>SUM(D19:I19)</f>
        <v>7439553.9500000002</v>
      </c>
      <c r="L19" s="21"/>
      <c r="M19" s="21"/>
      <c r="N19" s="22"/>
      <c r="O19" s="23"/>
      <c r="P19" s="10"/>
      <c r="S19" s="23"/>
    </row>
    <row r="20" spans="1:19" x14ac:dyDescent="0.3">
      <c r="D20" s="22"/>
      <c r="E20" s="22"/>
      <c r="F20" s="22"/>
      <c r="G20" s="25"/>
      <c r="H20" s="10"/>
      <c r="I20" s="10"/>
      <c r="J20" s="25"/>
      <c r="L20" s="25"/>
      <c r="M20" s="25"/>
    </row>
    <row r="21" spans="1:19" x14ac:dyDescent="0.3">
      <c r="A21" s="134">
        <f>A19+1</f>
        <v>5</v>
      </c>
      <c r="B21" s="15" t="s">
        <v>213</v>
      </c>
    </row>
    <row r="22" spans="1:19" x14ac:dyDescent="0.3">
      <c r="L22" s="20"/>
      <c r="M22" s="20"/>
      <c r="O22" s="20"/>
      <c r="P22" s="20"/>
    </row>
    <row r="23" spans="1:19" x14ac:dyDescent="0.3">
      <c r="A23" s="134">
        <f>A21+1</f>
        <v>6</v>
      </c>
      <c r="B23" s="1" t="s">
        <v>291</v>
      </c>
      <c r="C23" s="135" t="s">
        <v>27</v>
      </c>
      <c r="D23" s="22">
        <f t="shared" ref="D23:I23" si="2">D17</f>
        <v>2.9432999999999998</v>
      </c>
      <c r="E23" s="22">
        <f t="shared" si="2"/>
        <v>2.9432999999999998</v>
      </c>
      <c r="F23" s="22">
        <f t="shared" si="2"/>
        <v>2.9432999999999998</v>
      </c>
      <c r="G23" s="22">
        <f t="shared" si="2"/>
        <v>2.9432999999999998</v>
      </c>
      <c r="H23" s="22">
        <f t="shared" si="2"/>
        <v>2.9432999999999998</v>
      </c>
      <c r="I23" s="22">
        <f t="shared" si="2"/>
        <v>2.9432999999999998</v>
      </c>
      <c r="J23" s="148"/>
      <c r="L23" s="21"/>
      <c r="M23" s="21"/>
      <c r="N23" s="22"/>
      <c r="O23" s="23"/>
      <c r="P23" s="10"/>
      <c r="S23" s="23"/>
    </row>
    <row r="24" spans="1:19" ht="15" x14ac:dyDescent="0.6">
      <c r="A24" s="134">
        <f>A23+1</f>
        <v>7</v>
      </c>
      <c r="B24" s="1" t="s">
        <v>31</v>
      </c>
      <c r="C24" s="1" t="s">
        <v>26</v>
      </c>
      <c r="D24" s="208">
        <f>'C'!D115</f>
        <v>559510.5</v>
      </c>
      <c r="E24" s="208">
        <f>'C'!E115</f>
        <v>399793</v>
      </c>
      <c r="F24" s="208">
        <f>'C'!F115</f>
        <v>217013.69999999998</v>
      </c>
      <c r="G24" s="208">
        <f>'C'!G115</f>
        <v>152354.59999999998</v>
      </c>
      <c r="H24" s="208">
        <f>'C'!H115</f>
        <v>129485.5</v>
      </c>
      <c r="I24" s="208">
        <f>'C'!I115</f>
        <v>120159.30000000002</v>
      </c>
      <c r="J24" s="148">
        <f>SUM(D24:I24)</f>
        <v>1578316.5999999999</v>
      </c>
      <c r="L24" s="21"/>
      <c r="M24" s="21"/>
      <c r="N24" s="22"/>
      <c r="O24" s="23"/>
      <c r="P24" s="10"/>
      <c r="S24" s="23"/>
    </row>
    <row r="25" spans="1:19" x14ac:dyDescent="0.3">
      <c r="A25" s="134">
        <f>A24+1</f>
        <v>8</v>
      </c>
      <c r="B25" s="1" t="s">
        <v>274</v>
      </c>
      <c r="D25" s="167">
        <f t="shared" ref="D25:I25" si="3">ROUND(D23*D24,2)</f>
        <v>1646807.25</v>
      </c>
      <c r="E25" s="167">
        <f t="shared" si="3"/>
        <v>1176710.74</v>
      </c>
      <c r="F25" s="167">
        <f t="shared" si="3"/>
        <v>638736.42000000004</v>
      </c>
      <c r="G25" s="167">
        <f t="shared" si="3"/>
        <v>448425.29</v>
      </c>
      <c r="H25" s="167">
        <f t="shared" si="3"/>
        <v>381114.67</v>
      </c>
      <c r="I25" s="167">
        <f t="shared" si="3"/>
        <v>353664.87</v>
      </c>
      <c r="J25" s="168">
        <f>SUM(D25:I25)</f>
        <v>4645459.24</v>
      </c>
      <c r="L25" s="21"/>
      <c r="M25" s="21"/>
      <c r="N25" s="22"/>
      <c r="O25" s="23"/>
      <c r="P25" s="10"/>
      <c r="S25" s="23"/>
    </row>
    <row r="26" spans="1:19" x14ac:dyDescent="0.3">
      <c r="B26" s="5"/>
      <c r="C26" s="5"/>
      <c r="D26" s="136"/>
      <c r="E26" s="136"/>
      <c r="F26" s="136"/>
      <c r="G26" s="136"/>
      <c r="H26" s="136"/>
      <c r="I26" s="136"/>
      <c r="J26" s="137"/>
      <c r="L26" s="23"/>
      <c r="M26" s="23"/>
      <c r="O26" s="23"/>
      <c r="P26" s="23"/>
    </row>
    <row r="27" spans="1:19" x14ac:dyDescent="0.3">
      <c r="A27" s="134">
        <f>A25+1</f>
        <v>9</v>
      </c>
      <c r="B27" s="15" t="s">
        <v>223</v>
      </c>
    </row>
    <row r="28" spans="1:19" x14ac:dyDescent="0.3">
      <c r="L28" s="20"/>
      <c r="M28" s="20"/>
      <c r="N28" s="20"/>
    </row>
    <row r="29" spans="1:19" x14ac:dyDescent="0.3">
      <c r="A29" s="134">
        <f>A27+1</f>
        <v>10</v>
      </c>
      <c r="B29" s="1" t="s">
        <v>291</v>
      </c>
      <c r="C29" s="135" t="s">
        <v>27</v>
      </c>
      <c r="D29" s="22">
        <f t="shared" ref="D29:I29" si="4">D23</f>
        <v>2.9432999999999998</v>
      </c>
      <c r="E29" s="22">
        <f t="shared" si="4"/>
        <v>2.9432999999999998</v>
      </c>
      <c r="F29" s="22">
        <f t="shared" si="4"/>
        <v>2.9432999999999998</v>
      </c>
      <c r="G29" s="22">
        <f t="shared" si="4"/>
        <v>2.9432999999999998</v>
      </c>
      <c r="H29" s="22">
        <f t="shared" si="4"/>
        <v>2.9432999999999998</v>
      </c>
      <c r="I29" s="22">
        <f t="shared" si="4"/>
        <v>2.9432999999999998</v>
      </c>
      <c r="J29" s="148"/>
      <c r="L29" s="21"/>
      <c r="M29" s="21"/>
      <c r="N29" s="22"/>
      <c r="O29" s="23"/>
      <c r="P29" s="10"/>
      <c r="S29" s="23"/>
    </row>
    <row r="30" spans="1:19" ht="15" x14ac:dyDescent="0.6">
      <c r="A30" s="134">
        <f>A29+1</f>
        <v>11</v>
      </c>
      <c r="B30" s="1" t="s">
        <v>31</v>
      </c>
      <c r="C30" s="1" t="s">
        <v>26</v>
      </c>
      <c r="D30" s="208">
        <f>'C'!D135</f>
        <v>25632.400000000001</v>
      </c>
      <c r="E30" s="208">
        <f>'C'!E135</f>
        <v>19330.900000000001</v>
      </c>
      <c r="F30" s="208">
        <f>'C'!F135</f>
        <v>14546.3</v>
      </c>
      <c r="G30" s="208">
        <f>'C'!G135</f>
        <v>11850.1</v>
      </c>
      <c r="H30" s="208">
        <f>'C'!H135</f>
        <v>8386.5</v>
      </c>
      <c r="I30" s="208">
        <f>'C'!I135</f>
        <v>8015.3</v>
      </c>
      <c r="J30" s="148">
        <f>SUM(D30:I30)</f>
        <v>87761.500000000015</v>
      </c>
      <c r="L30" s="21"/>
      <c r="M30" s="21"/>
      <c r="N30" s="22"/>
      <c r="O30" s="23"/>
      <c r="P30" s="10"/>
      <c r="S30" s="23"/>
    </row>
    <row r="31" spans="1:19" x14ac:dyDescent="0.3">
      <c r="A31" s="134">
        <f>A30+1</f>
        <v>12</v>
      </c>
      <c r="B31" s="1" t="s">
        <v>274</v>
      </c>
      <c r="D31" s="167">
        <f t="shared" ref="D31:I31" si="5">ROUND(D29*D30,2)</f>
        <v>75443.839999999997</v>
      </c>
      <c r="E31" s="167">
        <f t="shared" si="5"/>
        <v>56896.639999999999</v>
      </c>
      <c r="F31" s="167">
        <f t="shared" si="5"/>
        <v>42814.12</v>
      </c>
      <c r="G31" s="167">
        <f t="shared" si="5"/>
        <v>34878.400000000001</v>
      </c>
      <c r="H31" s="167">
        <f t="shared" si="5"/>
        <v>24683.99</v>
      </c>
      <c r="I31" s="167">
        <f t="shared" si="5"/>
        <v>23591.43</v>
      </c>
      <c r="J31" s="168">
        <f>SUM(D31:I31)</f>
        <v>258308.41999999995</v>
      </c>
      <c r="L31" s="21"/>
      <c r="M31" s="21"/>
      <c r="N31" s="22"/>
      <c r="O31" s="23"/>
      <c r="P31" s="10"/>
      <c r="S31" s="23"/>
    </row>
    <row r="32" spans="1:19" x14ac:dyDescent="0.3">
      <c r="B32" s="5"/>
      <c r="C32" s="5"/>
      <c r="D32" s="21"/>
      <c r="E32" s="21"/>
      <c r="F32" s="22"/>
      <c r="G32" s="25"/>
      <c r="H32" s="10"/>
      <c r="I32" s="10"/>
      <c r="J32" s="148"/>
      <c r="L32" s="23"/>
      <c r="M32" s="23"/>
      <c r="N32" s="23"/>
    </row>
    <row r="33" spans="1:19" x14ac:dyDescent="0.3">
      <c r="A33" s="134">
        <f>A31+1</f>
        <v>13</v>
      </c>
      <c r="B33" s="15" t="s">
        <v>243</v>
      </c>
    </row>
    <row r="34" spans="1:19" x14ac:dyDescent="0.3">
      <c r="B34" s="5"/>
      <c r="C34" s="5"/>
      <c r="D34" s="21"/>
      <c r="E34" s="21"/>
      <c r="F34" s="22"/>
      <c r="G34" s="25"/>
      <c r="H34" s="10"/>
      <c r="I34" s="10"/>
      <c r="J34" s="148"/>
      <c r="L34" s="23"/>
      <c r="M34" s="23"/>
      <c r="N34" s="23"/>
    </row>
    <row r="35" spans="1:19" x14ac:dyDescent="0.3">
      <c r="A35" s="134">
        <f>A33+1</f>
        <v>14</v>
      </c>
      <c r="B35" s="1" t="s">
        <v>291</v>
      </c>
      <c r="C35" s="135" t="s">
        <v>27</v>
      </c>
      <c r="D35" s="22">
        <f t="shared" ref="D35:I35" si="6">D29</f>
        <v>2.9432999999999998</v>
      </c>
      <c r="E35" s="22">
        <f t="shared" si="6"/>
        <v>2.9432999999999998</v>
      </c>
      <c r="F35" s="22">
        <f t="shared" si="6"/>
        <v>2.9432999999999998</v>
      </c>
      <c r="G35" s="22">
        <f t="shared" si="6"/>
        <v>2.9432999999999998</v>
      </c>
      <c r="H35" s="22">
        <f t="shared" si="6"/>
        <v>2.9432999999999998</v>
      </c>
      <c r="I35" s="22">
        <f t="shared" si="6"/>
        <v>2.9432999999999998</v>
      </c>
      <c r="J35" s="148"/>
      <c r="L35" s="21"/>
      <c r="M35" s="21"/>
      <c r="N35" s="22"/>
      <c r="O35" s="23"/>
      <c r="P35" s="10"/>
      <c r="S35" s="23"/>
    </row>
    <row r="36" spans="1:19" ht="15" x14ac:dyDescent="0.6">
      <c r="A36" s="134">
        <f>A35+1</f>
        <v>15</v>
      </c>
      <c r="B36" s="1" t="s">
        <v>31</v>
      </c>
      <c r="C36" s="1" t="s">
        <v>26</v>
      </c>
      <c r="D36" s="208">
        <f>'C'!D150</f>
        <v>0</v>
      </c>
      <c r="E36" s="208">
        <f>'C'!E150</f>
        <v>0</v>
      </c>
      <c r="F36" s="208">
        <f>'C'!F150</f>
        <v>0</v>
      </c>
      <c r="G36" s="208">
        <f>'C'!G150</f>
        <v>0</v>
      </c>
      <c r="H36" s="208">
        <f>'C'!H150</f>
        <v>0</v>
      </c>
      <c r="I36" s="208">
        <f>'C'!I150</f>
        <v>0</v>
      </c>
      <c r="J36" s="148">
        <f>SUM(D36:I36)</f>
        <v>0</v>
      </c>
      <c r="L36" s="21"/>
      <c r="M36" s="21"/>
      <c r="N36" s="22"/>
      <c r="O36" s="23"/>
      <c r="P36" s="10"/>
      <c r="S36" s="23"/>
    </row>
    <row r="37" spans="1:19" x14ac:dyDescent="0.3">
      <c r="A37" s="134">
        <f>A36+1</f>
        <v>16</v>
      </c>
      <c r="B37" s="1" t="s">
        <v>274</v>
      </c>
      <c r="D37" s="167">
        <f t="shared" ref="D37:I37" si="7">ROUND(D35*D36,2)</f>
        <v>0</v>
      </c>
      <c r="E37" s="167">
        <f t="shared" si="7"/>
        <v>0</v>
      </c>
      <c r="F37" s="167">
        <f t="shared" si="7"/>
        <v>0</v>
      </c>
      <c r="G37" s="167">
        <f t="shared" si="7"/>
        <v>0</v>
      </c>
      <c r="H37" s="167">
        <f t="shared" si="7"/>
        <v>0</v>
      </c>
      <c r="I37" s="167">
        <f t="shared" si="7"/>
        <v>0</v>
      </c>
      <c r="J37" s="168">
        <f>SUM(D37:I37)</f>
        <v>0</v>
      </c>
      <c r="L37" s="21"/>
      <c r="M37" s="21"/>
      <c r="N37" s="22"/>
      <c r="O37" s="23"/>
      <c r="P37" s="10"/>
      <c r="S37" s="23"/>
    </row>
    <row r="38" spans="1:19" x14ac:dyDescent="0.3">
      <c r="D38" s="22"/>
      <c r="E38" s="22"/>
      <c r="F38" s="22"/>
      <c r="G38" s="25"/>
      <c r="H38" s="10"/>
      <c r="I38" s="10"/>
      <c r="J38" s="25"/>
      <c r="L38" s="25"/>
      <c r="M38" s="25"/>
    </row>
    <row r="39" spans="1:19" x14ac:dyDescent="0.3">
      <c r="A39" s="134">
        <f>A37+1</f>
        <v>17</v>
      </c>
      <c r="B39" s="15" t="s">
        <v>224</v>
      </c>
    </row>
    <row r="40" spans="1:19" x14ac:dyDescent="0.3">
      <c r="L40" s="20"/>
      <c r="M40" s="20"/>
      <c r="N40" s="20"/>
      <c r="O40" s="20"/>
      <c r="P40" s="20"/>
    </row>
    <row r="41" spans="1:19" x14ac:dyDescent="0.3">
      <c r="A41" s="134">
        <f>A39+1</f>
        <v>18</v>
      </c>
      <c r="B41" s="1" t="s">
        <v>291</v>
      </c>
      <c r="C41" s="135" t="s">
        <v>27</v>
      </c>
      <c r="D41" s="22">
        <f t="shared" ref="D41:I41" si="8">D35</f>
        <v>2.9432999999999998</v>
      </c>
      <c r="E41" s="22">
        <f t="shared" si="8"/>
        <v>2.9432999999999998</v>
      </c>
      <c r="F41" s="22">
        <f t="shared" si="8"/>
        <v>2.9432999999999998</v>
      </c>
      <c r="G41" s="22">
        <f t="shared" si="8"/>
        <v>2.9432999999999998</v>
      </c>
      <c r="H41" s="22">
        <f t="shared" si="8"/>
        <v>2.9432999999999998</v>
      </c>
      <c r="I41" s="22">
        <f t="shared" si="8"/>
        <v>2.9432999999999998</v>
      </c>
      <c r="J41" s="148"/>
      <c r="L41" s="21"/>
      <c r="M41" s="21"/>
      <c r="N41" s="22"/>
      <c r="O41" s="23"/>
      <c r="P41" s="10"/>
      <c r="S41" s="23"/>
    </row>
    <row r="42" spans="1:19" ht="15" x14ac:dyDescent="0.6">
      <c r="A42" s="134">
        <f>A41+1</f>
        <v>19</v>
      </c>
      <c r="B42" s="1" t="s">
        <v>31</v>
      </c>
      <c r="C42" s="1" t="s">
        <v>26</v>
      </c>
      <c r="D42" s="208">
        <f>'C'!D155</f>
        <v>869</v>
      </c>
      <c r="E42" s="208">
        <f>'C'!E155</f>
        <v>1429</v>
      </c>
      <c r="F42" s="208">
        <f>'C'!F155</f>
        <v>232</v>
      </c>
      <c r="G42" s="208">
        <f>'C'!G155</f>
        <v>149.5</v>
      </c>
      <c r="H42" s="208">
        <f>'C'!H155</f>
        <v>503</v>
      </c>
      <c r="I42" s="208">
        <f>'C'!I155</f>
        <v>240</v>
      </c>
      <c r="J42" s="148">
        <f>SUM(D42:I42)</f>
        <v>3422.5</v>
      </c>
      <c r="L42" s="21"/>
      <c r="M42" s="21"/>
      <c r="N42" s="22"/>
      <c r="O42" s="23"/>
      <c r="P42" s="10"/>
      <c r="S42" s="23"/>
    </row>
    <row r="43" spans="1:19" x14ac:dyDescent="0.3">
      <c r="A43" s="134">
        <f>A42+1</f>
        <v>20</v>
      </c>
      <c r="B43" s="1" t="s">
        <v>274</v>
      </c>
      <c r="D43" s="167">
        <f t="shared" ref="D43:I43" si="9">ROUND(D41*D42,2)</f>
        <v>2557.73</v>
      </c>
      <c r="E43" s="167">
        <f t="shared" si="9"/>
        <v>4205.9799999999996</v>
      </c>
      <c r="F43" s="167">
        <f t="shared" si="9"/>
        <v>682.85</v>
      </c>
      <c r="G43" s="167">
        <f t="shared" si="9"/>
        <v>440.02</v>
      </c>
      <c r="H43" s="167">
        <f t="shared" si="9"/>
        <v>1480.48</v>
      </c>
      <c r="I43" s="167">
        <f t="shared" si="9"/>
        <v>706.39</v>
      </c>
      <c r="J43" s="168">
        <f>SUM(D43:I43)</f>
        <v>10073.449999999999</v>
      </c>
      <c r="L43" s="21"/>
      <c r="M43" s="21"/>
      <c r="N43" s="22"/>
      <c r="O43" s="23"/>
      <c r="P43" s="10"/>
      <c r="S43" s="23"/>
    </row>
    <row r="44" spans="1:19" x14ac:dyDescent="0.3">
      <c r="B44" s="5"/>
      <c r="C44" s="5"/>
      <c r="D44" s="21"/>
      <c r="E44" s="21"/>
      <c r="F44" s="22"/>
      <c r="G44" s="23"/>
      <c r="H44" s="10"/>
      <c r="I44" s="10"/>
      <c r="J44" s="148"/>
      <c r="L44" s="23"/>
      <c r="M44" s="23"/>
      <c r="N44" s="23"/>
      <c r="O44" s="23"/>
      <c r="P44" s="23"/>
    </row>
    <row r="45" spans="1:19" x14ac:dyDescent="0.3">
      <c r="A45" s="134">
        <f>A43+1</f>
        <v>21</v>
      </c>
      <c r="B45" s="15" t="s">
        <v>201</v>
      </c>
    </row>
    <row r="47" spans="1:19" x14ac:dyDescent="0.3">
      <c r="A47" s="134">
        <f>A45+1</f>
        <v>22</v>
      </c>
      <c r="B47" s="1" t="s">
        <v>291</v>
      </c>
      <c r="C47" s="135" t="s">
        <v>27</v>
      </c>
      <c r="D47" s="22">
        <f t="shared" ref="D47:I47" si="10">D41</f>
        <v>2.9432999999999998</v>
      </c>
      <c r="E47" s="22">
        <f t="shared" si="10"/>
        <v>2.9432999999999998</v>
      </c>
      <c r="F47" s="22">
        <f t="shared" si="10"/>
        <v>2.9432999999999998</v>
      </c>
      <c r="G47" s="22">
        <f t="shared" si="10"/>
        <v>2.9432999999999998</v>
      </c>
      <c r="H47" s="22">
        <f t="shared" si="10"/>
        <v>2.9432999999999998</v>
      </c>
      <c r="I47" s="22">
        <f t="shared" si="10"/>
        <v>2.9432999999999998</v>
      </c>
      <c r="J47" s="148"/>
      <c r="L47" s="21"/>
      <c r="M47" s="21"/>
      <c r="N47" s="22"/>
      <c r="O47" s="23"/>
      <c r="P47" s="10"/>
      <c r="S47" s="23"/>
    </row>
    <row r="48" spans="1:19" ht="15" x14ac:dyDescent="0.6">
      <c r="A48" s="134">
        <f>A47+1</f>
        <v>23</v>
      </c>
      <c r="B48" s="1" t="s">
        <v>31</v>
      </c>
      <c r="C48" s="1" t="s">
        <v>26</v>
      </c>
      <c r="D48" s="208">
        <f>'C'!D29</f>
        <v>34.799999999999997</v>
      </c>
      <c r="E48" s="208">
        <f>'C'!E29</f>
        <v>39</v>
      </c>
      <c r="F48" s="208">
        <f>'C'!F29</f>
        <v>18.5</v>
      </c>
      <c r="G48" s="208">
        <f>'C'!G29</f>
        <v>3.6</v>
      </c>
      <c r="H48" s="208">
        <f>'C'!H29</f>
        <v>1.8</v>
      </c>
      <c r="I48" s="208">
        <f>'C'!I29</f>
        <v>1.5</v>
      </c>
      <c r="J48" s="148">
        <f>SUM(D48:I48)</f>
        <v>99.199999999999989</v>
      </c>
      <c r="L48" s="21"/>
      <c r="M48" s="21"/>
      <c r="N48" s="22"/>
      <c r="O48" s="23"/>
      <c r="P48" s="10"/>
      <c r="S48" s="23"/>
    </row>
    <row r="49" spans="1:21" x14ac:dyDescent="0.3">
      <c r="A49" s="134">
        <f>A48+1</f>
        <v>24</v>
      </c>
      <c r="B49" s="1" t="s">
        <v>274</v>
      </c>
      <c r="D49" s="167">
        <f t="shared" ref="D49:I49" si="11">ROUND(D47*D48,2)</f>
        <v>102.43</v>
      </c>
      <c r="E49" s="167">
        <f t="shared" si="11"/>
        <v>114.79</v>
      </c>
      <c r="F49" s="167">
        <f t="shared" si="11"/>
        <v>54.45</v>
      </c>
      <c r="G49" s="167">
        <f t="shared" si="11"/>
        <v>10.6</v>
      </c>
      <c r="H49" s="167">
        <f t="shared" si="11"/>
        <v>5.3</v>
      </c>
      <c r="I49" s="167">
        <f t="shared" si="11"/>
        <v>4.41</v>
      </c>
      <c r="J49" s="168">
        <f>SUM(D49:I49)</f>
        <v>291.98000000000008</v>
      </c>
      <c r="L49" s="21"/>
      <c r="M49" s="21"/>
      <c r="N49" s="22"/>
      <c r="O49" s="23"/>
      <c r="P49" s="10"/>
      <c r="S49" s="23"/>
    </row>
    <row r="50" spans="1:21" x14ac:dyDescent="0.3">
      <c r="B50" s="5"/>
      <c r="C50" s="5"/>
      <c r="D50" s="21"/>
      <c r="E50" s="21"/>
      <c r="F50" s="22"/>
      <c r="G50" s="23"/>
      <c r="H50" s="10"/>
      <c r="I50" s="10"/>
      <c r="J50" s="148"/>
      <c r="L50" s="23"/>
      <c r="M50" s="23"/>
      <c r="O50" s="23"/>
    </row>
    <row r="51" spans="1:21" x14ac:dyDescent="0.3">
      <c r="A51" s="134">
        <f>A49+1</f>
        <v>25</v>
      </c>
      <c r="B51" s="15" t="s">
        <v>200</v>
      </c>
    </row>
    <row r="53" spans="1:21" x14ac:dyDescent="0.3">
      <c r="A53" s="134">
        <f>A51+1</f>
        <v>26</v>
      </c>
      <c r="B53" s="1" t="s">
        <v>291</v>
      </c>
      <c r="C53" s="135" t="s">
        <v>27</v>
      </c>
      <c r="D53" s="22">
        <f>D47</f>
        <v>2.9432999999999998</v>
      </c>
      <c r="E53" s="22">
        <f t="shared" ref="E53:I53" si="12">E47</f>
        <v>2.9432999999999998</v>
      </c>
      <c r="F53" s="22">
        <f t="shared" si="12"/>
        <v>2.9432999999999998</v>
      </c>
      <c r="G53" s="22">
        <f t="shared" si="12"/>
        <v>2.9432999999999998</v>
      </c>
      <c r="H53" s="22">
        <f t="shared" si="12"/>
        <v>2.9432999999999998</v>
      </c>
      <c r="I53" s="22">
        <f t="shared" si="12"/>
        <v>2.9432999999999998</v>
      </c>
      <c r="J53" s="148"/>
      <c r="L53" s="21"/>
      <c r="M53" s="21"/>
      <c r="N53" s="22"/>
      <c r="O53" s="23"/>
      <c r="P53" s="10"/>
      <c r="S53" s="23"/>
    </row>
    <row r="54" spans="1:21" ht="15" x14ac:dyDescent="0.6">
      <c r="A54" s="134">
        <f>A53+1</f>
        <v>27</v>
      </c>
      <c r="B54" s="1" t="s">
        <v>31</v>
      </c>
      <c r="C54" s="1" t="s">
        <v>26</v>
      </c>
      <c r="D54" s="208">
        <f>'C'!D24</f>
        <v>0</v>
      </c>
      <c r="E54" s="208">
        <f>'C'!E24</f>
        <v>0</v>
      </c>
      <c r="F54" s="208">
        <f>'C'!F24</f>
        <v>0</v>
      </c>
      <c r="G54" s="208">
        <f>'C'!G24</f>
        <v>0</v>
      </c>
      <c r="H54" s="208">
        <f>'C'!H24</f>
        <v>0</v>
      </c>
      <c r="I54" s="208">
        <f>'C'!I24</f>
        <v>0</v>
      </c>
      <c r="J54" s="148">
        <f>SUM(D54:I54)</f>
        <v>0</v>
      </c>
      <c r="L54" s="21"/>
      <c r="M54" s="21"/>
      <c r="N54" s="22"/>
      <c r="O54" s="23"/>
      <c r="P54" s="10"/>
      <c r="S54" s="23"/>
    </row>
    <row r="55" spans="1:21" x14ac:dyDescent="0.3">
      <c r="A55" s="134">
        <f>A54+1</f>
        <v>28</v>
      </c>
      <c r="B55" s="1" t="s">
        <v>274</v>
      </c>
      <c r="D55" s="167">
        <f t="shared" ref="D55:I55" si="13">ROUND(D53*D54,2)</f>
        <v>0</v>
      </c>
      <c r="E55" s="167">
        <f t="shared" si="13"/>
        <v>0</v>
      </c>
      <c r="F55" s="167">
        <f t="shared" si="13"/>
        <v>0</v>
      </c>
      <c r="G55" s="167">
        <f t="shared" si="13"/>
        <v>0</v>
      </c>
      <c r="H55" s="167">
        <f t="shared" si="13"/>
        <v>0</v>
      </c>
      <c r="I55" s="167">
        <f t="shared" si="13"/>
        <v>0</v>
      </c>
      <c r="J55" s="168">
        <f>SUM(D55:I55)</f>
        <v>0</v>
      </c>
      <c r="L55" s="21"/>
      <c r="M55" s="21"/>
      <c r="N55" s="22"/>
      <c r="O55" s="23"/>
      <c r="P55" s="10"/>
      <c r="S55" s="23"/>
    </row>
    <row r="56" spans="1:21" x14ac:dyDescent="0.3">
      <c r="E56" s="149"/>
      <c r="G56" s="25"/>
      <c r="H56" s="10"/>
      <c r="I56" s="10"/>
      <c r="J56" s="8"/>
      <c r="L56" s="25"/>
      <c r="M56" s="25"/>
      <c r="N56" s="25"/>
      <c r="O56" s="25"/>
    </row>
    <row r="57" spans="1:21" x14ac:dyDescent="0.3">
      <c r="A57" s="134">
        <f>A55+1</f>
        <v>29</v>
      </c>
      <c r="B57" s="15" t="s">
        <v>292</v>
      </c>
      <c r="D57" s="207">
        <f t="shared" ref="D57:J57" si="14">D19+D25+D31+D37+D43+D49+D55</f>
        <v>5177624.07</v>
      </c>
      <c r="E57" s="207">
        <f t="shared" si="14"/>
        <v>3324216.89</v>
      </c>
      <c r="F57" s="207">
        <f t="shared" si="14"/>
        <v>1589007.61</v>
      </c>
      <c r="G57" s="207">
        <f t="shared" si="14"/>
        <v>904253.57000000007</v>
      </c>
      <c r="H57" s="207">
        <f t="shared" si="14"/>
        <v>694922.26</v>
      </c>
      <c r="I57" s="207">
        <f t="shared" si="14"/>
        <v>663662.64</v>
      </c>
      <c r="J57" s="207">
        <f t="shared" si="14"/>
        <v>12353687.040000001</v>
      </c>
      <c r="L57" s="21"/>
      <c r="M57" s="23"/>
      <c r="N57" s="23"/>
      <c r="O57" s="27"/>
    </row>
    <row r="58" spans="1:21" x14ac:dyDescent="0.3">
      <c r="A58" s="1"/>
      <c r="J58" s="8"/>
      <c r="K58" s="8"/>
      <c r="L58" s="8"/>
      <c r="M58" s="150"/>
      <c r="N58" s="151"/>
      <c r="O58" s="151"/>
      <c r="P58" s="150"/>
      <c r="R58" s="24"/>
      <c r="S58" s="24"/>
      <c r="T58" s="24"/>
      <c r="U58" s="26"/>
    </row>
    <row r="59" spans="1:21" x14ac:dyDescent="0.3">
      <c r="A59" s="173" t="s">
        <v>299</v>
      </c>
      <c r="J59" s="152"/>
      <c r="K59" s="152"/>
      <c r="L59" s="152"/>
      <c r="M59" s="25"/>
      <c r="N59" s="10"/>
      <c r="O59" s="10"/>
      <c r="P59" s="25"/>
      <c r="R59" s="25"/>
      <c r="S59" s="25"/>
      <c r="T59" s="25"/>
      <c r="U59" s="25"/>
    </row>
    <row r="60" spans="1:21" x14ac:dyDescent="0.3">
      <c r="M60" s="25"/>
      <c r="P60" s="25"/>
      <c r="R60" s="25"/>
      <c r="S60" s="25"/>
      <c r="T60" s="25"/>
    </row>
    <row r="61" spans="1:21" x14ac:dyDescent="0.3">
      <c r="M61" s="25"/>
      <c r="P61" s="25"/>
      <c r="R61" s="25"/>
      <c r="S61" s="25"/>
      <c r="T61" s="25"/>
    </row>
    <row r="62" spans="1:21" x14ac:dyDescent="0.3">
      <c r="B62" s="15"/>
      <c r="M62" s="25"/>
      <c r="P62" s="25"/>
      <c r="R62" s="25"/>
      <c r="S62" s="25"/>
      <c r="T62" s="25"/>
    </row>
    <row r="63" spans="1:21" x14ac:dyDescent="0.3">
      <c r="M63" s="25"/>
      <c r="P63" s="25"/>
      <c r="R63" s="25"/>
      <c r="S63" s="25"/>
      <c r="T63" s="25"/>
    </row>
    <row r="64" spans="1:21" x14ac:dyDescent="0.3">
      <c r="B64" s="15"/>
      <c r="M64" s="25"/>
      <c r="P64" s="25"/>
      <c r="R64" s="25"/>
      <c r="S64" s="25"/>
      <c r="T64" s="25"/>
    </row>
    <row r="65" spans="1:20" x14ac:dyDescent="0.3">
      <c r="D65" s="132"/>
      <c r="E65" s="132"/>
      <c r="F65" s="132"/>
      <c r="G65" s="132"/>
      <c r="H65" s="132"/>
      <c r="I65" s="132"/>
      <c r="M65" s="25"/>
      <c r="P65" s="25"/>
      <c r="R65" s="25"/>
      <c r="S65" s="25"/>
      <c r="T65" s="25"/>
    </row>
    <row r="66" spans="1:20" x14ac:dyDescent="0.3">
      <c r="M66" s="25"/>
      <c r="P66" s="25"/>
      <c r="R66" s="25"/>
      <c r="S66" s="25"/>
      <c r="T66" s="25"/>
    </row>
    <row r="67" spans="1:20" x14ac:dyDescent="0.3">
      <c r="M67" s="25"/>
      <c r="P67" s="25"/>
      <c r="R67" s="25"/>
      <c r="S67" s="25"/>
      <c r="T67" s="25"/>
    </row>
    <row r="68" spans="1:20" x14ac:dyDescent="0.3">
      <c r="M68" s="25"/>
      <c r="P68" s="25"/>
      <c r="R68" s="25"/>
      <c r="S68" s="25"/>
      <c r="T68" s="25"/>
    </row>
    <row r="69" spans="1:20" x14ac:dyDescent="0.3">
      <c r="C69" s="135"/>
      <c r="D69" s="202"/>
      <c r="E69" s="202"/>
      <c r="F69" s="202"/>
      <c r="G69" s="202"/>
      <c r="H69" s="202"/>
      <c r="I69" s="202"/>
      <c r="M69" s="25"/>
      <c r="P69" s="25"/>
      <c r="R69" s="25"/>
      <c r="S69" s="25"/>
      <c r="T69" s="25"/>
    </row>
    <row r="70" spans="1:20" x14ac:dyDescent="0.3">
      <c r="D70" s="203"/>
      <c r="E70" s="203"/>
      <c r="F70" s="203"/>
      <c r="G70" s="203"/>
      <c r="H70" s="203"/>
      <c r="I70" s="203"/>
      <c r="K70" s="15"/>
      <c r="M70" s="25"/>
      <c r="P70" s="25"/>
      <c r="R70" s="25"/>
      <c r="S70" s="25"/>
      <c r="T70" s="25"/>
    </row>
    <row r="71" spans="1:20" x14ac:dyDescent="0.3">
      <c r="D71" s="167"/>
      <c r="E71" s="167"/>
      <c r="F71" s="167"/>
      <c r="G71" s="167"/>
      <c r="H71" s="167"/>
      <c r="I71" s="167"/>
      <c r="K71" s="15"/>
      <c r="M71" s="25"/>
      <c r="P71" s="25"/>
      <c r="R71" s="25"/>
      <c r="S71" s="25"/>
      <c r="T71" s="25"/>
    </row>
    <row r="72" spans="1:20" x14ac:dyDescent="0.3">
      <c r="K72" s="15"/>
      <c r="M72" s="25"/>
      <c r="P72" s="148"/>
      <c r="R72" s="25"/>
      <c r="S72" s="25"/>
      <c r="T72" s="25"/>
    </row>
    <row r="73" spans="1:20" x14ac:dyDescent="0.3">
      <c r="M73" s="25"/>
      <c r="P73" s="25"/>
      <c r="R73" s="25"/>
      <c r="S73" s="25"/>
      <c r="T73" s="25"/>
    </row>
    <row r="74" spans="1:20" x14ac:dyDescent="0.3">
      <c r="J74" s="19"/>
      <c r="K74" s="19"/>
      <c r="L74" s="19"/>
      <c r="M74" s="153"/>
      <c r="N74" s="19"/>
      <c r="O74" s="19"/>
      <c r="P74" s="146"/>
      <c r="R74" s="25"/>
      <c r="S74" s="25"/>
      <c r="T74" s="25"/>
    </row>
    <row r="75" spans="1:20" x14ac:dyDescent="0.3">
      <c r="A75" s="19"/>
      <c r="C75" s="135"/>
      <c r="D75" s="204"/>
      <c r="E75" s="204"/>
      <c r="F75" s="204"/>
      <c r="G75" s="204"/>
      <c r="H75" s="204"/>
      <c r="I75" s="204"/>
      <c r="J75" s="19"/>
      <c r="K75" s="19"/>
      <c r="L75" s="19"/>
      <c r="M75" s="146"/>
      <c r="N75" s="19"/>
      <c r="O75" s="19"/>
      <c r="P75" s="146"/>
      <c r="R75" s="25"/>
      <c r="S75" s="25"/>
      <c r="T75" s="25"/>
    </row>
    <row r="76" spans="1:20" x14ac:dyDescent="0.3">
      <c r="A76" s="2"/>
      <c r="D76" s="203"/>
      <c r="E76" s="203"/>
      <c r="F76" s="203"/>
      <c r="G76" s="203"/>
      <c r="H76" s="203"/>
      <c r="I76" s="203"/>
      <c r="J76" s="19"/>
      <c r="K76" s="2"/>
      <c r="L76" s="2"/>
      <c r="M76" s="154"/>
      <c r="N76" s="2"/>
      <c r="O76" s="2"/>
      <c r="P76" s="154"/>
      <c r="R76" s="25"/>
      <c r="S76" s="25"/>
      <c r="T76" s="25"/>
    </row>
    <row r="77" spans="1:20" x14ac:dyDescent="0.3">
      <c r="A77" s="19"/>
      <c r="D77" s="167"/>
      <c r="E77" s="167"/>
      <c r="F77" s="167"/>
      <c r="G77" s="167"/>
      <c r="H77" s="167"/>
      <c r="I77" s="167"/>
      <c r="J77" s="19"/>
      <c r="K77" s="19"/>
      <c r="L77" s="19"/>
      <c r="M77" s="146"/>
      <c r="N77" s="19"/>
      <c r="O77" s="19"/>
      <c r="P77" s="146"/>
      <c r="R77" s="25"/>
      <c r="S77" s="25"/>
      <c r="T77" s="25"/>
    </row>
    <row r="78" spans="1:20" x14ac:dyDescent="0.3">
      <c r="A78" s="19"/>
      <c r="B78" s="5"/>
      <c r="C78" s="5"/>
      <c r="D78" s="15"/>
      <c r="E78" s="15"/>
      <c r="F78" s="15"/>
      <c r="G78" s="15"/>
      <c r="H78" s="15"/>
      <c r="I78" s="15"/>
      <c r="J78" s="19"/>
      <c r="K78" s="19"/>
      <c r="L78" s="19"/>
      <c r="M78" s="146"/>
      <c r="N78" s="19"/>
      <c r="O78" s="19"/>
      <c r="P78" s="146"/>
      <c r="R78" s="25"/>
      <c r="S78" s="25"/>
      <c r="T78" s="25"/>
    </row>
    <row r="79" spans="1:20" x14ac:dyDescent="0.3">
      <c r="D79" s="15"/>
      <c r="E79" s="15"/>
      <c r="F79" s="15"/>
      <c r="G79" s="15"/>
      <c r="H79" s="15"/>
      <c r="I79" s="15"/>
      <c r="M79" s="25"/>
      <c r="P79" s="25"/>
      <c r="R79" s="25"/>
      <c r="S79" s="25"/>
      <c r="T79" s="25"/>
    </row>
    <row r="80" spans="1:20" x14ac:dyDescent="0.3">
      <c r="M80" s="25"/>
      <c r="P80" s="25"/>
      <c r="R80" s="25"/>
      <c r="S80" s="25"/>
      <c r="T80" s="25"/>
    </row>
    <row r="81" spans="3:22" x14ac:dyDescent="0.3">
      <c r="C81" s="135"/>
      <c r="D81" s="204"/>
      <c r="E81" s="204"/>
      <c r="F81" s="204"/>
      <c r="G81" s="204"/>
      <c r="H81" s="204"/>
      <c r="I81" s="204"/>
      <c r="M81" s="25"/>
      <c r="P81" s="25"/>
      <c r="R81" s="25"/>
      <c r="S81" s="25"/>
      <c r="T81" s="25"/>
    </row>
    <row r="82" spans="3:22" x14ac:dyDescent="0.3">
      <c r="D82" s="203"/>
      <c r="E82" s="203"/>
      <c r="F82" s="203"/>
      <c r="G82" s="203"/>
      <c r="H82" s="203"/>
      <c r="I82" s="203"/>
      <c r="M82" s="25"/>
      <c r="P82" s="25"/>
      <c r="R82" s="25"/>
      <c r="S82" s="25"/>
      <c r="T82" s="25"/>
    </row>
    <row r="83" spans="3:22" x14ac:dyDescent="0.3">
      <c r="D83" s="167"/>
      <c r="E83" s="167"/>
      <c r="F83" s="167"/>
      <c r="G83" s="167"/>
      <c r="H83" s="167"/>
      <c r="I83" s="167"/>
      <c r="M83" s="25"/>
      <c r="P83" s="25"/>
      <c r="R83" s="25"/>
      <c r="S83" s="25"/>
      <c r="T83" s="25"/>
    </row>
    <row r="84" spans="3:22" x14ac:dyDescent="0.3">
      <c r="M84" s="25"/>
      <c r="P84" s="25"/>
      <c r="R84" s="25"/>
      <c r="S84" s="25"/>
      <c r="T84" s="25"/>
    </row>
    <row r="85" spans="3:22" x14ac:dyDescent="0.3">
      <c r="M85" s="25"/>
      <c r="P85" s="25"/>
      <c r="R85" s="25"/>
      <c r="S85" s="25"/>
    </row>
    <row r="86" spans="3:22" x14ac:dyDescent="0.3">
      <c r="J86" s="155"/>
      <c r="K86" s="155"/>
      <c r="L86" s="8"/>
      <c r="M86" s="148"/>
      <c r="N86" s="10"/>
      <c r="O86" s="10"/>
      <c r="P86" s="148"/>
      <c r="R86" s="27"/>
      <c r="S86" s="27"/>
      <c r="T86" s="27"/>
      <c r="U86" s="27"/>
      <c r="V86" s="27"/>
    </row>
    <row r="87" spans="3:22" x14ac:dyDescent="0.3">
      <c r="J87" s="155"/>
      <c r="K87" s="155"/>
      <c r="L87" s="8"/>
      <c r="M87" s="148"/>
      <c r="N87" s="10"/>
      <c r="O87" s="10"/>
      <c r="P87" s="148"/>
      <c r="R87" s="27"/>
      <c r="S87" s="27"/>
      <c r="T87" s="27"/>
      <c r="U87" s="27"/>
      <c r="V87" s="27"/>
    </row>
    <row r="88" spans="3:22" x14ac:dyDescent="0.3">
      <c r="J88" s="155"/>
      <c r="K88" s="155"/>
      <c r="L88" s="8"/>
      <c r="M88" s="148"/>
      <c r="N88" s="10"/>
      <c r="O88" s="10"/>
      <c r="P88" s="148"/>
      <c r="R88" s="27"/>
      <c r="S88" s="27"/>
      <c r="T88" s="27"/>
      <c r="U88" s="27"/>
      <c r="V88" s="27"/>
    </row>
    <row r="89" spans="3:22" x14ac:dyDescent="0.3">
      <c r="D89" s="205"/>
      <c r="E89" s="205"/>
      <c r="F89" s="205"/>
      <c r="G89" s="205"/>
      <c r="H89" s="205"/>
      <c r="I89" s="205"/>
      <c r="J89" s="155"/>
      <c r="K89" s="155"/>
      <c r="L89" s="8"/>
      <c r="M89" s="148"/>
      <c r="N89" s="10"/>
      <c r="O89" s="10"/>
      <c r="P89" s="148"/>
      <c r="R89" s="27"/>
      <c r="S89" s="27"/>
      <c r="T89" s="27"/>
      <c r="U89" s="27"/>
      <c r="V89" s="27"/>
    </row>
    <row r="90" spans="3:22" x14ac:dyDescent="0.3">
      <c r="D90" s="206"/>
      <c r="E90" s="206"/>
      <c r="F90" s="206"/>
      <c r="G90" s="206"/>
      <c r="H90" s="206"/>
      <c r="I90" s="206"/>
      <c r="J90" s="155"/>
      <c r="K90" s="155"/>
      <c r="L90" s="8"/>
      <c r="M90" s="148"/>
      <c r="N90" s="10"/>
      <c r="O90" s="10"/>
      <c r="P90" s="148"/>
      <c r="R90" s="27"/>
      <c r="S90" s="27"/>
      <c r="T90" s="27"/>
      <c r="U90" s="27"/>
      <c r="V90" s="27"/>
    </row>
    <row r="91" spans="3:22" x14ac:dyDescent="0.3">
      <c r="J91" s="155"/>
      <c r="K91" s="155"/>
      <c r="L91" s="8"/>
      <c r="M91" s="148"/>
      <c r="N91" s="10"/>
      <c r="O91" s="10"/>
      <c r="P91" s="148"/>
      <c r="R91" s="27"/>
      <c r="S91" s="27"/>
      <c r="T91" s="27"/>
      <c r="U91" s="27"/>
      <c r="V91" s="27"/>
    </row>
    <row r="92" spans="3:22" x14ac:dyDescent="0.3">
      <c r="J92" s="155"/>
      <c r="K92" s="155"/>
      <c r="L92" s="8"/>
      <c r="M92" s="148"/>
      <c r="N92" s="10"/>
      <c r="O92" s="10"/>
      <c r="P92" s="148"/>
      <c r="R92" s="27"/>
      <c r="S92" s="27"/>
      <c r="T92" s="27"/>
      <c r="U92" s="27"/>
      <c r="V92" s="27"/>
    </row>
    <row r="93" spans="3:22" x14ac:dyDescent="0.3">
      <c r="J93" s="155"/>
      <c r="K93" s="155"/>
      <c r="L93" s="8"/>
      <c r="M93" s="148"/>
      <c r="N93" s="10"/>
      <c r="O93" s="10"/>
      <c r="P93" s="148"/>
      <c r="R93" s="27"/>
      <c r="S93" s="27"/>
      <c r="T93" s="27"/>
      <c r="U93" s="27"/>
      <c r="V93" s="27"/>
    </row>
    <row r="94" spans="3:22" x14ac:dyDescent="0.3">
      <c r="J94" s="155"/>
      <c r="K94" s="155"/>
      <c r="L94" s="8"/>
      <c r="M94" s="148"/>
      <c r="N94" s="10"/>
      <c r="O94" s="10"/>
      <c r="P94" s="148"/>
      <c r="R94" s="27"/>
      <c r="S94" s="27"/>
      <c r="T94" s="27"/>
      <c r="U94" s="27"/>
      <c r="V94" s="27"/>
    </row>
    <row r="95" spans="3:22" x14ac:dyDescent="0.3">
      <c r="J95" s="155"/>
      <c r="K95" s="155"/>
      <c r="L95" s="8"/>
      <c r="M95" s="148"/>
      <c r="N95" s="10"/>
      <c r="O95" s="10"/>
      <c r="P95" s="148"/>
      <c r="R95" s="27"/>
      <c r="S95" s="27"/>
      <c r="T95" s="27"/>
      <c r="U95" s="27"/>
      <c r="V95" s="27"/>
    </row>
    <row r="96" spans="3:22" x14ac:dyDescent="0.3">
      <c r="J96" s="155"/>
      <c r="K96" s="155"/>
      <c r="L96" s="8"/>
      <c r="M96" s="148"/>
      <c r="N96" s="10"/>
      <c r="O96" s="10"/>
      <c r="P96" s="148"/>
      <c r="R96" s="27"/>
      <c r="S96" s="27"/>
      <c r="T96" s="27"/>
      <c r="U96" s="27"/>
      <c r="V96" s="27"/>
    </row>
    <row r="97" spans="10:22" x14ac:dyDescent="0.3">
      <c r="J97" s="155"/>
      <c r="K97" s="155"/>
      <c r="L97" s="8"/>
      <c r="M97" s="150"/>
      <c r="N97" s="151"/>
      <c r="O97" s="151"/>
      <c r="P97" s="150"/>
      <c r="R97" s="26"/>
      <c r="S97" s="26"/>
      <c r="T97" s="26"/>
      <c r="U97" s="26"/>
      <c r="V97" s="26"/>
    </row>
    <row r="98" spans="10:22" x14ac:dyDescent="0.3">
      <c r="J98" s="8"/>
      <c r="K98" s="8"/>
      <c r="L98" s="8"/>
      <c r="M98" s="25"/>
      <c r="N98" s="10"/>
      <c r="O98" s="10"/>
      <c r="P98" s="25"/>
      <c r="R98" s="25"/>
      <c r="S98" s="25"/>
      <c r="T98" s="25"/>
      <c r="U98" s="25"/>
      <c r="V98" s="25"/>
    </row>
    <row r="99" spans="10:22" x14ac:dyDescent="0.3">
      <c r="J99" s="8"/>
      <c r="K99" s="8"/>
      <c r="L99" s="8"/>
      <c r="M99" s="25"/>
      <c r="P99" s="25"/>
      <c r="R99" s="25"/>
      <c r="S99" s="25"/>
      <c r="T99" s="25"/>
      <c r="U99" s="25"/>
      <c r="V99" s="25"/>
    </row>
    <row r="100" spans="10:22" x14ac:dyDescent="0.3">
      <c r="J100" s="8"/>
      <c r="K100" s="8"/>
      <c r="L100" s="8"/>
      <c r="M100" s="25"/>
      <c r="P100" s="25"/>
      <c r="R100" s="25"/>
      <c r="S100" s="25"/>
      <c r="T100" s="25"/>
      <c r="U100" s="25"/>
      <c r="V100" s="25"/>
    </row>
    <row r="101" spans="10:22" x14ac:dyDescent="0.3">
      <c r="J101" s="8"/>
      <c r="K101" s="8"/>
      <c r="L101" s="8"/>
      <c r="M101" s="25"/>
      <c r="P101" s="25"/>
      <c r="R101" s="25"/>
      <c r="S101" s="25"/>
      <c r="T101" s="25"/>
      <c r="U101" s="25"/>
      <c r="V101" s="25"/>
    </row>
    <row r="102" spans="10:22" x14ac:dyDescent="0.3">
      <c r="J102" s="8"/>
      <c r="K102" s="8"/>
      <c r="L102" s="8"/>
      <c r="M102" s="148"/>
      <c r="N102" s="10"/>
      <c r="O102" s="10"/>
      <c r="P102" s="148"/>
      <c r="R102" s="27"/>
      <c r="S102" s="27"/>
      <c r="T102" s="27"/>
      <c r="U102" s="27"/>
      <c r="V102" s="27"/>
    </row>
    <row r="103" spans="10:22" x14ac:dyDescent="0.3">
      <c r="J103" s="8"/>
      <c r="K103" s="8"/>
      <c r="L103" s="8"/>
      <c r="M103" s="148"/>
      <c r="N103" s="10"/>
      <c r="O103" s="10"/>
      <c r="P103" s="148"/>
      <c r="R103" s="27"/>
      <c r="S103" s="27"/>
      <c r="T103" s="27"/>
      <c r="U103" s="27"/>
      <c r="V103" s="27"/>
    </row>
    <row r="104" spans="10:22" x14ac:dyDescent="0.3">
      <c r="J104" s="8"/>
      <c r="K104" s="8"/>
      <c r="L104" s="8"/>
      <c r="M104" s="148"/>
      <c r="N104" s="10"/>
      <c r="O104" s="10"/>
      <c r="P104" s="148"/>
      <c r="R104" s="27"/>
      <c r="S104" s="27"/>
      <c r="T104" s="27"/>
      <c r="U104" s="27"/>
      <c r="V104" s="27"/>
    </row>
    <row r="105" spans="10:22" x14ac:dyDescent="0.3">
      <c r="J105" s="8"/>
      <c r="K105" s="8"/>
      <c r="L105" s="8"/>
      <c r="M105" s="148"/>
      <c r="N105" s="10"/>
      <c r="O105" s="10"/>
      <c r="P105" s="148"/>
      <c r="R105" s="27"/>
      <c r="S105" s="27"/>
      <c r="T105" s="27"/>
      <c r="U105" s="27"/>
      <c r="V105" s="27"/>
    </row>
    <row r="106" spans="10:22" x14ac:dyDescent="0.3">
      <c r="J106" s="8"/>
      <c r="K106" s="8"/>
      <c r="L106" s="8"/>
      <c r="M106" s="148"/>
      <c r="N106" s="10"/>
      <c r="O106" s="10"/>
      <c r="P106" s="148"/>
      <c r="R106" s="27"/>
      <c r="S106" s="27"/>
      <c r="T106" s="27"/>
      <c r="U106" s="27"/>
      <c r="V106" s="27"/>
    </row>
    <row r="107" spans="10:22" x14ac:dyDescent="0.3">
      <c r="J107" s="8"/>
      <c r="K107" s="8"/>
      <c r="L107" s="8"/>
      <c r="M107" s="148"/>
      <c r="N107" s="10"/>
      <c r="O107" s="10"/>
      <c r="P107" s="148"/>
      <c r="R107" s="27"/>
      <c r="S107" s="27"/>
      <c r="T107" s="27"/>
      <c r="U107" s="27"/>
      <c r="V107" s="27"/>
    </row>
    <row r="108" spans="10:22" x14ac:dyDescent="0.3">
      <c r="J108" s="8"/>
      <c r="K108" s="8"/>
      <c r="L108" s="8"/>
      <c r="M108" s="148"/>
      <c r="N108" s="10"/>
      <c r="O108" s="10"/>
      <c r="P108" s="148"/>
      <c r="R108" s="27"/>
      <c r="S108" s="27"/>
      <c r="T108" s="27"/>
      <c r="U108" s="27"/>
      <c r="V108" s="27"/>
    </row>
    <row r="109" spans="10:22" x14ac:dyDescent="0.3">
      <c r="J109" s="8"/>
      <c r="K109" s="8"/>
      <c r="L109" s="8"/>
      <c r="M109" s="148"/>
      <c r="N109" s="10"/>
      <c r="O109" s="10"/>
      <c r="P109" s="148"/>
      <c r="R109" s="27"/>
      <c r="S109" s="27"/>
      <c r="T109" s="27"/>
      <c r="U109" s="27"/>
      <c r="V109" s="27"/>
    </row>
    <row r="110" spans="10:22" x14ac:dyDescent="0.3">
      <c r="J110" s="8"/>
      <c r="K110" s="8"/>
      <c r="L110" s="8"/>
      <c r="M110" s="148"/>
      <c r="N110" s="10"/>
      <c r="O110" s="10"/>
      <c r="P110" s="148"/>
      <c r="R110" s="27"/>
      <c r="S110" s="27"/>
      <c r="T110" s="27"/>
      <c r="U110" s="27"/>
      <c r="V110" s="27"/>
    </row>
    <row r="111" spans="10:22" x14ac:dyDescent="0.3">
      <c r="J111" s="8"/>
      <c r="K111" s="8"/>
      <c r="L111" s="8"/>
      <c r="M111" s="148"/>
      <c r="N111" s="10"/>
      <c r="O111" s="10"/>
      <c r="P111" s="148"/>
      <c r="R111" s="27"/>
      <c r="S111" s="27"/>
      <c r="T111" s="27"/>
      <c r="U111" s="27"/>
      <c r="V111" s="27"/>
    </row>
    <row r="112" spans="10:22" x14ac:dyDescent="0.3">
      <c r="J112" s="8"/>
      <c r="K112" s="8"/>
      <c r="L112" s="8"/>
      <c r="M112" s="148"/>
      <c r="N112" s="10"/>
      <c r="O112" s="10"/>
      <c r="P112" s="148"/>
      <c r="R112" s="27"/>
      <c r="S112" s="27"/>
      <c r="T112" s="27"/>
      <c r="U112" s="27"/>
      <c r="V112" s="27"/>
    </row>
    <row r="113" spans="10:22" x14ac:dyDescent="0.3">
      <c r="J113" s="8"/>
      <c r="K113" s="8"/>
      <c r="L113" s="8"/>
      <c r="M113" s="150"/>
      <c r="N113" s="151"/>
      <c r="O113" s="151"/>
      <c r="P113" s="150"/>
      <c r="R113" s="26"/>
      <c r="S113" s="26"/>
      <c r="T113" s="26"/>
      <c r="U113" s="26"/>
      <c r="V113" s="26"/>
    </row>
    <row r="114" spans="10:22" x14ac:dyDescent="0.3">
      <c r="J114" s="152"/>
      <c r="K114" s="152"/>
      <c r="L114" s="152"/>
      <c r="M114" s="25"/>
      <c r="N114" s="10"/>
      <c r="O114" s="10"/>
      <c r="P114" s="25"/>
      <c r="R114" s="25"/>
      <c r="S114" s="25"/>
      <c r="T114" s="25"/>
      <c r="U114" s="25"/>
      <c r="V114" s="25"/>
    </row>
    <row r="115" spans="10:22" x14ac:dyDescent="0.3">
      <c r="M115" s="25"/>
      <c r="P115" s="25"/>
      <c r="R115" s="25"/>
      <c r="S115" s="25"/>
      <c r="T115" s="25"/>
    </row>
    <row r="116" spans="10:22" x14ac:dyDescent="0.3">
      <c r="M116" s="25"/>
      <c r="P116" s="25"/>
      <c r="R116" s="25"/>
      <c r="S116" s="25"/>
      <c r="T116" s="25"/>
    </row>
    <row r="117" spans="10:22" x14ac:dyDescent="0.3">
      <c r="M117" s="25"/>
      <c r="P117" s="25"/>
      <c r="R117" s="25"/>
      <c r="S117" s="25"/>
      <c r="T117" s="25"/>
    </row>
    <row r="118" spans="10:22" x14ac:dyDescent="0.3">
      <c r="M118" s="25"/>
      <c r="P118" s="25"/>
      <c r="R118" s="25"/>
      <c r="S118" s="25"/>
      <c r="T118" s="25"/>
    </row>
    <row r="119" spans="10:22" x14ac:dyDescent="0.3">
      <c r="M119" s="25"/>
      <c r="P119" s="25"/>
      <c r="R119" s="25"/>
      <c r="S119" s="25"/>
      <c r="T119" s="25"/>
    </row>
    <row r="120" spans="10:22" x14ac:dyDescent="0.3">
      <c r="M120" s="25"/>
      <c r="P120" s="25"/>
      <c r="R120" s="25"/>
      <c r="S120" s="25"/>
      <c r="T120" s="25"/>
    </row>
    <row r="121" spans="10:22" x14ac:dyDescent="0.3">
      <c r="M121" s="25"/>
      <c r="P121" s="25"/>
      <c r="R121" s="25"/>
      <c r="S121" s="25"/>
      <c r="T121" s="25"/>
    </row>
    <row r="122" spans="10:22" x14ac:dyDescent="0.3">
      <c r="M122" s="25"/>
      <c r="P122" s="25"/>
      <c r="R122" s="25"/>
      <c r="S122" s="25"/>
      <c r="T122" s="25"/>
    </row>
    <row r="123" spans="10:22" x14ac:dyDescent="0.3">
      <c r="M123" s="25"/>
      <c r="P123" s="25"/>
      <c r="R123" s="25"/>
      <c r="S123" s="25"/>
      <c r="T123" s="25"/>
    </row>
    <row r="124" spans="10:22" x14ac:dyDescent="0.3">
      <c r="M124" s="25"/>
      <c r="P124" s="25"/>
      <c r="R124" s="25"/>
      <c r="S124" s="25"/>
      <c r="T124" s="25"/>
    </row>
    <row r="125" spans="10:22" x14ac:dyDescent="0.3">
      <c r="K125" s="15"/>
      <c r="M125" s="25"/>
      <c r="P125" s="25"/>
      <c r="R125" s="25"/>
      <c r="S125" s="25"/>
      <c r="T125" s="25"/>
    </row>
    <row r="126" spans="10:22" x14ac:dyDescent="0.3">
      <c r="K126" s="15"/>
      <c r="M126" s="25"/>
      <c r="P126" s="25"/>
      <c r="R126" s="25"/>
      <c r="S126" s="25"/>
      <c r="T126" s="25"/>
    </row>
    <row r="127" spans="10:22" x14ac:dyDescent="0.3">
      <c r="K127" s="15"/>
      <c r="M127" s="25"/>
      <c r="P127" s="148"/>
      <c r="R127" s="25"/>
      <c r="S127" s="25"/>
      <c r="T127" s="25"/>
    </row>
    <row r="128" spans="10:22" x14ac:dyDescent="0.3">
      <c r="M128" s="25"/>
      <c r="P128" s="25"/>
      <c r="R128" s="25"/>
      <c r="S128" s="25"/>
      <c r="T128" s="25"/>
    </row>
    <row r="129" spans="1:20" x14ac:dyDescent="0.3">
      <c r="J129" s="19"/>
      <c r="K129" s="19"/>
      <c r="L129" s="19"/>
      <c r="M129" s="153"/>
      <c r="N129" s="19"/>
      <c r="O129" s="19"/>
      <c r="P129" s="146"/>
      <c r="R129" s="25"/>
      <c r="S129" s="25"/>
      <c r="T129" s="25"/>
    </row>
    <row r="130" spans="1:20" x14ac:dyDescent="0.3">
      <c r="A130" s="19"/>
      <c r="B130" s="15"/>
      <c r="C130" s="15"/>
      <c r="D130" s="15"/>
      <c r="E130" s="15"/>
      <c r="F130" s="15"/>
      <c r="G130" s="15"/>
      <c r="H130" s="15"/>
      <c r="I130" s="15"/>
      <c r="J130" s="19"/>
      <c r="K130" s="19"/>
      <c r="L130" s="19"/>
      <c r="M130" s="146"/>
      <c r="N130" s="19"/>
      <c r="O130" s="19"/>
      <c r="P130" s="146"/>
      <c r="R130" s="25"/>
      <c r="S130" s="25"/>
      <c r="T130" s="25"/>
    </row>
    <row r="131" spans="1:2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54"/>
      <c r="N131" s="2"/>
      <c r="O131" s="2"/>
      <c r="P131" s="154"/>
      <c r="R131" s="25"/>
      <c r="S131" s="25"/>
      <c r="T131" s="25"/>
    </row>
    <row r="132" spans="1:20" x14ac:dyDescent="0.3">
      <c r="A132" s="19"/>
      <c r="B132" s="15"/>
      <c r="C132" s="15"/>
      <c r="D132" s="15"/>
      <c r="E132" s="15"/>
      <c r="F132" s="15"/>
      <c r="G132" s="15"/>
      <c r="H132" s="15"/>
      <c r="I132" s="15"/>
      <c r="J132" s="19"/>
      <c r="K132" s="19"/>
      <c r="L132" s="19"/>
      <c r="M132" s="146"/>
      <c r="N132" s="19"/>
      <c r="O132" s="19"/>
      <c r="P132" s="146"/>
      <c r="R132" s="25"/>
      <c r="S132" s="25"/>
      <c r="T132" s="25"/>
    </row>
    <row r="133" spans="1:20" x14ac:dyDescent="0.3">
      <c r="A133" s="19"/>
      <c r="B133" s="15"/>
      <c r="C133" s="15"/>
      <c r="D133" s="15"/>
      <c r="E133" s="15"/>
      <c r="F133" s="15"/>
      <c r="G133" s="15"/>
      <c r="H133" s="15"/>
      <c r="I133" s="15"/>
      <c r="J133" s="19"/>
      <c r="K133" s="19"/>
      <c r="L133" s="19"/>
      <c r="M133" s="146"/>
      <c r="N133" s="19"/>
      <c r="O133" s="19"/>
      <c r="P133" s="146"/>
      <c r="R133" s="25"/>
      <c r="S133" s="25"/>
      <c r="T133" s="25"/>
    </row>
    <row r="134" spans="1:20" x14ac:dyDescent="0.3">
      <c r="B134" s="15"/>
      <c r="C134" s="15"/>
      <c r="D134" s="15"/>
      <c r="E134" s="15"/>
      <c r="F134" s="15"/>
      <c r="G134" s="15"/>
      <c r="H134" s="15"/>
      <c r="I134" s="15"/>
      <c r="M134" s="25"/>
      <c r="P134" s="25"/>
      <c r="R134" s="25"/>
      <c r="S134" s="25"/>
      <c r="T134" s="25"/>
    </row>
    <row r="135" spans="1:20" x14ac:dyDescent="0.3">
      <c r="M135" s="25"/>
      <c r="P135" s="25"/>
      <c r="R135" s="25"/>
      <c r="S135" s="25"/>
      <c r="T135" s="25"/>
    </row>
    <row r="136" spans="1:20" x14ac:dyDescent="0.3">
      <c r="M136" s="25"/>
      <c r="P136" s="25"/>
      <c r="R136" s="25"/>
      <c r="S136" s="25"/>
      <c r="T136" s="25"/>
    </row>
    <row r="137" spans="1:20" x14ac:dyDescent="0.3">
      <c r="M137" s="25"/>
      <c r="P137" s="25"/>
      <c r="R137" s="25"/>
      <c r="S137" s="25"/>
      <c r="T137" s="25"/>
    </row>
    <row r="138" spans="1:20" x14ac:dyDescent="0.3">
      <c r="M138" s="25"/>
      <c r="P138" s="25"/>
      <c r="R138" s="25"/>
      <c r="S138" s="25"/>
      <c r="T138" s="25"/>
    </row>
    <row r="139" spans="1:20" x14ac:dyDescent="0.3">
      <c r="M139" s="25"/>
      <c r="P139" s="25"/>
      <c r="R139" s="25"/>
      <c r="S139" s="25"/>
      <c r="T139" s="25"/>
    </row>
    <row r="140" spans="1:20" x14ac:dyDescent="0.3">
      <c r="M140" s="25"/>
      <c r="P140" s="25"/>
      <c r="R140" s="25"/>
      <c r="S140" s="25"/>
      <c r="T140" s="25"/>
    </row>
    <row r="141" spans="1:20" x14ac:dyDescent="0.3">
      <c r="J141" s="155"/>
      <c r="K141" s="155"/>
      <c r="L141" s="8"/>
      <c r="M141" s="27"/>
      <c r="N141" s="10"/>
      <c r="O141" s="10"/>
      <c r="P141" s="27"/>
      <c r="R141" s="25"/>
      <c r="S141" s="25"/>
      <c r="T141" s="25"/>
    </row>
    <row r="142" spans="1:20" x14ac:dyDescent="0.3">
      <c r="J142" s="155"/>
      <c r="K142" s="155"/>
      <c r="L142" s="8"/>
      <c r="M142" s="27"/>
      <c r="N142" s="10"/>
      <c r="O142" s="10"/>
      <c r="P142" s="27"/>
      <c r="R142" s="25"/>
      <c r="S142" s="25"/>
      <c r="T142" s="25"/>
    </row>
    <row r="143" spans="1:20" x14ac:dyDescent="0.3">
      <c r="J143" s="155"/>
      <c r="K143" s="155"/>
      <c r="L143" s="8"/>
      <c r="M143" s="27"/>
      <c r="N143" s="10"/>
      <c r="O143" s="10"/>
      <c r="P143" s="27"/>
      <c r="R143" s="25"/>
      <c r="S143" s="25"/>
      <c r="T143" s="25"/>
    </row>
    <row r="144" spans="1:20" x14ac:dyDescent="0.3">
      <c r="J144" s="155"/>
      <c r="K144" s="155"/>
      <c r="L144" s="8"/>
      <c r="M144" s="27"/>
      <c r="N144" s="10"/>
      <c r="O144" s="10"/>
      <c r="P144" s="27"/>
      <c r="R144" s="25"/>
      <c r="S144" s="25"/>
      <c r="T144" s="25"/>
    </row>
    <row r="145" spans="10:20" x14ac:dyDescent="0.3">
      <c r="J145" s="155"/>
      <c r="K145" s="155"/>
      <c r="L145" s="8"/>
      <c r="M145" s="27"/>
      <c r="N145" s="10"/>
      <c r="O145" s="10"/>
      <c r="P145" s="27"/>
      <c r="R145" s="25"/>
      <c r="S145" s="25"/>
      <c r="T145" s="25"/>
    </row>
    <row r="146" spans="10:20" x14ac:dyDescent="0.3">
      <c r="J146" s="155"/>
      <c r="K146" s="155"/>
      <c r="L146" s="8"/>
      <c r="M146" s="27"/>
      <c r="N146" s="10"/>
      <c r="O146" s="10"/>
      <c r="P146" s="27"/>
      <c r="R146" s="25"/>
      <c r="S146" s="25"/>
      <c r="T146" s="25"/>
    </row>
    <row r="147" spans="10:20" x14ac:dyDescent="0.3">
      <c r="J147" s="155"/>
      <c r="K147" s="155"/>
      <c r="L147" s="8"/>
      <c r="M147" s="27"/>
      <c r="N147" s="10"/>
      <c r="O147" s="10"/>
      <c r="P147" s="27"/>
      <c r="R147" s="25"/>
      <c r="S147" s="25"/>
      <c r="T147" s="25"/>
    </row>
    <row r="148" spans="10:20" x14ac:dyDescent="0.3">
      <c r="J148" s="155"/>
      <c r="K148" s="155"/>
      <c r="L148" s="8"/>
      <c r="M148" s="27"/>
      <c r="N148" s="10"/>
      <c r="O148" s="10"/>
      <c r="P148" s="27"/>
      <c r="R148" s="25"/>
      <c r="S148" s="25"/>
      <c r="T148" s="25"/>
    </row>
    <row r="149" spans="10:20" x14ac:dyDescent="0.3">
      <c r="J149" s="155"/>
      <c r="K149" s="155"/>
      <c r="L149" s="8"/>
      <c r="M149" s="27"/>
      <c r="N149" s="10"/>
      <c r="O149" s="10"/>
      <c r="P149" s="27"/>
      <c r="R149" s="25"/>
      <c r="S149" s="25"/>
      <c r="T149" s="25"/>
    </row>
    <row r="150" spans="10:20" x14ac:dyDescent="0.3">
      <c r="J150" s="155"/>
      <c r="K150" s="155"/>
      <c r="L150" s="8"/>
      <c r="M150" s="27"/>
      <c r="N150" s="10"/>
      <c r="O150" s="10"/>
      <c r="P150" s="27"/>
      <c r="R150" s="25"/>
      <c r="S150" s="25"/>
      <c r="T150" s="25"/>
    </row>
    <row r="151" spans="10:20" x14ac:dyDescent="0.3">
      <c r="J151" s="155"/>
      <c r="K151" s="155"/>
      <c r="L151" s="8"/>
      <c r="M151" s="27"/>
      <c r="N151" s="10"/>
      <c r="O151" s="10"/>
      <c r="P151" s="27"/>
      <c r="R151" s="25"/>
      <c r="S151" s="25"/>
      <c r="T151" s="25"/>
    </row>
    <row r="152" spans="10:20" x14ac:dyDescent="0.3">
      <c r="J152" s="155"/>
      <c r="K152" s="155"/>
      <c r="L152" s="8"/>
      <c r="M152" s="26"/>
      <c r="N152" s="151"/>
      <c r="O152" s="151"/>
      <c r="P152" s="26"/>
      <c r="R152" s="25"/>
      <c r="S152" s="25"/>
      <c r="T152" s="25"/>
    </row>
    <row r="153" spans="10:20" x14ac:dyDescent="0.3">
      <c r="J153" s="8"/>
      <c r="K153" s="8"/>
      <c r="L153" s="8"/>
      <c r="M153" s="25"/>
      <c r="N153" s="10"/>
      <c r="O153" s="10"/>
      <c r="P153" s="25"/>
      <c r="R153" s="25"/>
      <c r="S153" s="25"/>
      <c r="T153" s="25"/>
    </row>
    <row r="154" spans="10:20" x14ac:dyDescent="0.3">
      <c r="J154" s="8"/>
      <c r="K154" s="8"/>
      <c r="L154" s="8"/>
      <c r="M154" s="25"/>
      <c r="P154" s="25"/>
      <c r="R154" s="25"/>
      <c r="S154" s="25"/>
      <c r="T154" s="25"/>
    </row>
    <row r="155" spans="10:20" x14ac:dyDescent="0.3">
      <c r="J155" s="8"/>
      <c r="K155" s="8"/>
      <c r="L155" s="8"/>
      <c r="M155" s="25"/>
      <c r="P155" s="25"/>
      <c r="R155" s="25"/>
      <c r="S155" s="25"/>
      <c r="T155" s="25"/>
    </row>
    <row r="156" spans="10:20" x14ac:dyDescent="0.3">
      <c r="J156" s="8"/>
      <c r="K156" s="8"/>
      <c r="L156" s="8"/>
      <c r="M156" s="25"/>
      <c r="P156" s="25"/>
      <c r="R156" s="25"/>
      <c r="S156" s="25"/>
      <c r="T156" s="25"/>
    </row>
    <row r="157" spans="10:20" x14ac:dyDescent="0.3">
      <c r="J157" s="8"/>
      <c r="K157" s="8"/>
      <c r="L157" s="8"/>
      <c r="M157" s="27"/>
      <c r="N157" s="10"/>
      <c r="O157" s="10"/>
      <c r="P157" s="27"/>
      <c r="R157" s="25"/>
      <c r="S157" s="25"/>
      <c r="T157" s="25"/>
    </row>
    <row r="158" spans="10:20" x14ac:dyDescent="0.3">
      <c r="J158" s="8"/>
      <c r="K158" s="8"/>
      <c r="L158" s="8"/>
      <c r="M158" s="27"/>
      <c r="N158" s="10"/>
      <c r="O158" s="10"/>
      <c r="P158" s="27"/>
      <c r="R158" s="25"/>
      <c r="S158" s="25"/>
      <c r="T158" s="25"/>
    </row>
    <row r="159" spans="10:20" x14ac:dyDescent="0.3">
      <c r="J159" s="8"/>
      <c r="K159" s="8"/>
      <c r="L159" s="8"/>
      <c r="M159" s="27"/>
      <c r="N159" s="10"/>
      <c r="O159" s="10"/>
      <c r="P159" s="27"/>
      <c r="R159" s="25"/>
      <c r="S159" s="25"/>
      <c r="T159" s="25"/>
    </row>
    <row r="160" spans="10:20" x14ac:dyDescent="0.3">
      <c r="J160" s="8"/>
      <c r="K160" s="8"/>
      <c r="L160" s="8"/>
      <c r="M160" s="27"/>
      <c r="N160" s="10"/>
      <c r="O160" s="10"/>
      <c r="P160" s="27"/>
      <c r="R160" s="25"/>
      <c r="S160" s="25"/>
      <c r="T160" s="25"/>
    </row>
    <row r="161" spans="10:20" x14ac:dyDescent="0.3">
      <c r="J161" s="8"/>
      <c r="K161" s="8"/>
      <c r="L161" s="8"/>
      <c r="M161" s="27"/>
      <c r="N161" s="10"/>
      <c r="O161" s="10"/>
      <c r="P161" s="27"/>
      <c r="R161" s="25"/>
      <c r="S161" s="25"/>
      <c r="T161" s="25"/>
    </row>
    <row r="162" spans="10:20" x14ac:dyDescent="0.3">
      <c r="J162" s="8"/>
      <c r="K162" s="8"/>
      <c r="L162" s="8"/>
      <c r="M162" s="27"/>
      <c r="N162" s="10"/>
      <c r="O162" s="10"/>
      <c r="P162" s="27"/>
      <c r="R162" s="25"/>
      <c r="S162" s="25"/>
      <c r="T162" s="25"/>
    </row>
    <row r="163" spans="10:20" x14ac:dyDescent="0.3">
      <c r="J163" s="8"/>
      <c r="K163" s="8"/>
      <c r="L163" s="8"/>
      <c r="M163" s="27"/>
      <c r="N163" s="10"/>
      <c r="O163" s="10"/>
      <c r="P163" s="27"/>
      <c r="R163" s="25"/>
      <c r="S163" s="25"/>
      <c r="T163" s="25"/>
    </row>
    <row r="164" spans="10:20" x14ac:dyDescent="0.3">
      <c r="J164" s="8"/>
      <c r="K164" s="8"/>
      <c r="L164" s="8"/>
      <c r="M164" s="27"/>
      <c r="N164" s="10"/>
      <c r="O164" s="10"/>
      <c r="P164" s="27"/>
      <c r="R164" s="25"/>
      <c r="S164" s="25"/>
      <c r="T164" s="25"/>
    </row>
    <row r="165" spans="10:20" x14ac:dyDescent="0.3">
      <c r="J165" s="8"/>
      <c r="K165" s="8"/>
      <c r="L165" s="8"/>
      <c r="M165" s="27"/>
      <c r="N165" s="10"/>
      <c r="O165" s="10"/>
      <c r="P165" s="27"/>
      <c r="R165" s="25"/>
      <c r="S165" s="25"/>
      <c r="T165" s="25"/>
    </row>
    <row r="166" spans="10:20" x14ac:dyDescent="0.3">
      <c r="J166" s="8"/>
      <c r="K166" s="8"/>
      <c r="L166" s="8"/>
      <c r="M166" s="27"/>
      <c r="N166" s="10"/>
      <c r="O166" s="10"/>
      <c r="P166" s="27"/>
      <c r="R166" s="25"/>
      <c r="S166" s="25"/>
      <c r="T166" s="25"/>
    </row>
    <row r="167" spans="10:20" x14ac:dyDescent="0.3">
      <c r="J167" s="8"/>
      <c r="K167" s="8"/>
      <c r="L167" s="8"/>
      <c r="M167" s="27"/>
      <c r="N167" s="10"/>
      <c r="O167" s="10"/>
      <c r="P167" s="27"/>
      <c r="R167" s="25"/>
      <c r="S167" s="25"/>
      <c r="T167" s="25"/>
    </row>
    <row r="168" spans="10:20" x14ac:dyDescent="0.3">
      <c r="J168" s="8"/>
      <c r="K168" s="8"/>
      <c r="L168" s="8"/>
      <c r="M168" s="26"/>
      <c r="N168" s="151"/>
      <c r="O168" s="151"/>
      <c r="P168" s="26"/>
      <c r="R168" s="25"/>
      <c r="S168" s="25"/>
      <c r="T168" s="25"/>
    </row>
    <row r="169" spans="10:20" x14ac:dyDescent="0.3">
      <c r="J169" s="152"/>
      <c r="K169" s="152"/>
      <c r="L169" s="152"/>
      <c r="M169" s="25"/>
      <c r="N169" s="10"/>
      <c r="O169" s="10"/>
      <c r="P169" s="25"/>
      <c r="R169" s="25"/>
      <c r="S169" s="25"/>
      <c r="T169" s="25"/>
    </row>
    <row r="170" spans="10:20" x14ac:dyDescent="0.3">
      <c r="M170" s="25"/>
      <c r="P170" s="25"/>
      <c r="R170" s="25"/>
      <c r="S170" s="25"/>
      <c r="T170" s="25"/>
    </row>
    <row r="171" spans="10:20" x14ac:dyDescent="0.3">
      <c r="M171" s="25"/>
      <c r="P171" s="25"/>
      <c r="R171" s="25"/>
      <c r="S171" s="25"/>
      <c r="T171" s="25"/>
    </row>
    <row r="172" spans="10:20" x14ac:dyDescent="0.3">
      <c r="M172" s="25"/>
      <c r="P172" s="25"/>
      <c r="R172" s="25"/>
      <c r="S172" s="25"/>
      <c r="T172" s="25"/>
    </row>
    <row r="173" spans="10:20" x14ac:dyDescent="0.3">
      <c r="M173" s="25"/>
      <c r="P173" s="25"/>
      <c r="R173" s="25"/>
      <c r="S173" s="25"/>
      <c r="T173" s="25"/>
    </row>
    <row r="174" spans="10:20" x14ac:dyDescent="0.3">
      <c r="M174" s="25"/>
      <c r="P174" s="25"/>
      <c r="R174" s="25"/>
      <c r="S174" s="25"/>
      <c r="T174" s="25"/>
    </row>
    <row r="175" spans="10:20" x14ac:dyDescent="0.3">
      <c r="M175" s="25"/>
      <c r="P175" s="25"/>
      <c r="R175" s="25"/>
      <c r="S175" s="25"/>
      <c r="T175" s="25"/>
    </row>
    <row r="176" spans="10:20" x14ac:dyDescent="0.3">
      <c r="M176" s="25"/>
      <c r="P176" s="25"/>
      <c r="R176" s="25"/>
      <c r="S176" s="25"/>
      <c r="T176" s="25"/>
    </row>
    <row r="177" spans="1:20" x14ac:dyDescent="0.3">
      <c r="M177" s="25"/>
      <c r="P177" s="25"/>
      <c r="R177" s="25"/>
      <c r="S177" s="25"/>
      <c r="T177" s="25"/>
    </row>
    <row r="178" spans="1:20" x14ac:dyDescent="0.3">
      <c r="M178" s="25"/>
      <c r="P178" s="25"/>
      <c r="R178" s="25"/>
      <c r="S178" s="25"/>
      <c r="T178" s="25"/>
    </row>
    <row r="179" spans="1:20" x14ac:dyDescent="0.3">
      <c r="M179" s="25"/>
      <c r="P179" s="25"/>
      <c r="R179" s="25"/>
      <c r="S179" s="25"/>
      <c r="T179" s="25"/>
    </row>
    <row r="180" spans="1:20" x14ac:dyDescent="0.3">
      <c r="K180" s="15"/>
      <c r="M180" s="25"/>
      <c r="P180" s="25"/>
      <c r="R180" s="25"/>
      <c r="S180" s="25"/>
      <c r="T180" s="25"/>
    </row>
    <row r="181" spans="1:20" x14ac:dyDescent="0.3">
      <c r="K181" s="15"/>
      <c r="M181" s="25"/>
      <c r="P181" s="25"/>
      <c r="R181" s="25"/>
      <c r="S181" s="25"/>
      <c r="T181" s="25"/>
    </row>
    <row r="182" spans="1:20" x14ac:dyDescent="0.3">
      <c r="K182" s="15"/>
      <c r="M182" s="25"/>
      <c r="P182" s="148"/>
      <c r="R182" s="25"/>
      <c r="S182" s="25"/>
      <c r="T182" s="25"/>
    </row>
    <row r="183" spans="1:20" x14ac:dyDescent="0.3">
      <c r="M183" s="25"/>
      <c r="P183" s="25"/>
      <c r="R183" s="25"/>
      <c r="S183" s="25"/>
      <c r="T183" s="25"/>
    </row>
    <row r="184" spans="1:20" x14ac:dyDescent="0.3">
      <c r="J184" s="19"/>
      <c r="K184" s="19"/>
      <c r="L184" s="19"/>
      <c r="M184" s="153"/>
      <c r="N184" s="19"/>
      <c r="O184" s="19"/>
      <c r="P184" s="146"/>
      <c r="R184" s="25"/>
      <c r="S184" s="25"/>
      <c r="T184" s="25"/>
    </row>
    <row r="185" spans="1:20" x14ac:dyDescent="0.3">
      <c r="A185" s="19"/>
      <c r="B185" s="15"/>
      <c r="C185" s="15"/>
      <c r="D185" s="15"/>
      <c r="E185" s="15"/>
      <c r="F185" s="15"/>
      <c r="G185" s="15"/>
      <c r="H185" s="15"/>
      <c r="I185" s="15"/>
      <c r="J185" s="19"/>
      <c r="K185" s="19"/>
      <c r="L185" s="19"/>
      <c r="M185" s="146"/>
      <c r="N185" s="19"/>
      <c r="O185" s="19"/>
      <c r="P185" s="146"/>
      <c r="R185" s="25"/>
      <c r="S185" s="25"/>
      <c r="T185" s="25"/>
    </row>
    <row r="186" spans="1:2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54"/>
      <c r="N186" s="2"/>
      <c r="O186" s="2"/>
      <c r="P186" s="154"/>
      <c r="R186" s="25"/>
      <c r="S186" s="25"/>
      <c r="T186" s="25"/>
    </row>
    <row r="187" spans="1:20" x14ac:dyDescent="0.3">
      <c r="A187" s="19"/>
      <c r="B187" s="15"/>
      <c r="C187" s="15"/>
      <c r="D187" s="15"/>
      <c r="E187" s="15"/>
      <c r="F187" s="15"/>
      <c r="G187" s="15"/>
      <c r="H187" s="15"/>
      <c r="I187" s="15"/>
      <c r="J187" s="19"/>
      <c r="K187" s="19"/>
      <c r="L187" s="19"/>
      <c r="M187" s="146"/>
      <c r="N187" s="19"/>
      <c r="O187" s="19"/>
      <c r="P187" s="146"/>
      <c r="R187" s="25"/>
      <c r="S187" s="25"/>
      <c r="T187" s="25"/>
    </row>
    <row r="188" spans="1:20" x14ac:dyDescent="0.3">
      <c r="A188" s="19"/>
      <c r="B188" s="15"/>
      <c r="C188" s="15"/>
      <c r="D188" s="15"/>
      <c r="E188" s="15"/>
      <c r="F188" s="15"/>
      <c r="G188" s="15"/>
      <c r="H188" s="15"/>
      <c r="I188" s="15"/>
      <c r="J188" s="19"/>
      <c r="K188" s="19"/>
      <c r="L188" s="19"/>
      <c r="M188" s="146"/>
      <c r="N188" s="19"/>
      <c r="O188" s="19"/>
      <c r="P188" s="146"/>
      <c r="R188" s="25"/>
      <c r="S188" s="25"/>
      <c r="T188" s="25"/>
    </row>
    <row r="189" spans="1:20" x14ac:dyDescent="0.3">
      <c r="B189" s="15"/>
      <c r="C189" s="15"/>
      <c r="D189" s="15"/>
      <c r="E189" s="15"/>
      <c r="F189" s="15"/>
      <c r="G189" s="15"/>
      <c r="H189" s="15"/>
      <c r="I189" s="15"/>
      <c r="M189" s="25"/>
      <c r="P189" s="25"/>
      <c r="R189" s="25"/>
      <c r="S189" s="25"/>
      <c r="T189" s="25"/>
    </row>
    <row r="190" spans="1:20" x14ac:dyDescent="0.3">
      <c r="M190" s="25"/>
      <c r="P190" s="25"/>
      <c r="R190" s="25"/>
      <c r="S190" s="25"/>
      <c r="T190" s="25"/>
    </row>
    <row r="191" spans="1:20" x14ac:dyDescent="0.3">
      <c r="M191" s="25"/>
      <c r="P191" s="25"/>
      <c r="R191" s="25"/>
      <c r="S191" s="25"/>
      <c r="T191" s="25"/>
    </row>
    <row r="192" spans="1:20" x14ac:dyDescent="0.3">
      <c r="M192" s="25"/>
      <c r="P192" s="25"/>
      <c r="R192" s="25"/>
      <c r="S192" s="25"/>
      <c r="T192" s="25"/>
    </row>
    <row r="193" spans="10:20" x14ac:dyDescent="0.3">
      <c r="M193" s="25"/>
      <c r="P193" s="25"/>
      <c r="R193" s="25"/>
      <c r="S193" s="25"/>
      <c r="T193" s="25"/>
    </row>
    <row r="194" spans="10:20" x14ac:dyDescent="0.3">
      <c r="M194" s="25"/>
      <c r="P194" s="25"/>
      <c r="R194" s="25"/>
      <c r="S194" s="25"/>
      <c r="T194" s="25"/>
    </row>
    <row r="195" spans="10:20" x14ac:dyDescent="0.3">
      <c r="M195" s="25"/>
      <c r="P195" s="25"/>
      <c r="R195" s="25"/>
      <c r="S195" s="25"/>
      <c r="T195" s="25"/>
    </row>
    <row r="196" spans="10:20" x14ac:dyDescent="0.3">
      <c r="J196" s="155"/>
      <c r="K196" s="155"/>
      <c r="L196" s="8"/>
      <c r="M196" s="27"/>
      <c r="N196" s="10"/>
      <c r="O196" s="10"/>
      <c r="P196" s="27"/>
      <c r="R196" s="25"/>
      <c r="S196" s="25"/>
      <c r="T196" s="25"/>
    </row>
    <row r="197" spans="10:20" x14ac:dyDescent="0.3">
      <c r="J197" s="155"/>
      <c r="K197" s="155"/>
      <c r="L197" s="8"/>
      <c r="M197" s="27"/>
      <c r="N197" s="10"/>
      <c r="O197" s="10"/>
      <c r="P197" s="27"/>
      <c r="R197" s="25"/>
      <c r="S197" s="25"/>
      <c r="T197" s="25"/>
    </row>
    <row r="198" spans="10:20" x14ac:dyDescent="0.3">
      <c r="J198" s="155"/>
      <c r="K198" s="155"/>
      <c r="L198" s="8"/>
      <c r="M198" s="27"/>
      <c r="N198" s="10"/>
      <c r="O198" s="10"/>
      <c r="P198" s="27"/>
      <c r="R198" s="25"/>
      <c r="S198" s="25"/>
      <c r="T198" s="25"/>
    </row>
    <row r="199" spans="10:20" x14ac:dyDescent="0.3">
      <c r="J199" s="155"/>
      <c r="K199" s="155"/>
      <c r="L199" s="8"/>
      <c r="M199" s="27"/>
      <c r="N199" s="10"/>
      <c r="O199" s="10"/>
      <c r="P199" s="27"/>
      <c r="R199" s="25"/>
      <c r="S199" s="25"/>
      <c r="T199" s="25"/>
    </row>
    <row r="200" spans="10:20" x14ac:dyDescent="0.3">
      <c r="J200" s="155"/>
      <c r="K200" s="155"/>
      <c r="L200" s="8"/>
      <c r="M200" s="27"/>
      <c r="N200" s="10"/>
      <c r="O200" s="10"/>
      <c r="P200" s="27"/>
      <c r="R200" s="25"/>
      <c r="S200" s="25"/>
      <c r="T200" s="25"/>
    </row>
    <row r="201" spans="10:20" x14ac:dyDescent="0.3">
      <c r="J201" s="155"/>
      <c r="K201" s="155"/>
      <c r="L201" s="8"/>
      <c r="M201" s="27"/>
      <c r="N201" s="10"/>
      <c r="O201" s="10"/>
      <c r="P201" s="27"/>
      <c r="R201" s="25"/>
      <c r="S201" s="25"/>
      <c r="T201" s="25"/>
    </row>
    <row r="202" spans="10:20" x14ac:dyDescent="0.3">
      <c r="J202" s="155"/>
      <c r="K202" s="155"/>
      <c r="L202" s="8"/>
      <c r="M202" s="27"/>
      <c r="N202" s="10"/>
      <c r="O202" s="10"/>
      <c r="P202" s="27"/>
      <c r="R202" s="25"/>
      <c r="S202" s="25"/>
      <c r="T202" s="25"/>
    </row>
    <row r="203" spans="10:20" x14ac:dyDescent="0.3">
      <c r="J203" s="155"/>
      <c r="K203" s="155"/>
      <c r="L203" s="8"/>
      <c r="M203" s="27"/>
      <c r="N203" s="10"/>
      <c r="O203" s="10"/>
      <c r="P203" s="27"/>
      <c r="R203" s="25"/>
      <c r="S203" s="25"/>
      <c r="T203" s="25"/>
    </row>
    <row r="204" spans="10:20" x14ac:dyDescent="0.3">
      <c r="J204" s="155"/>
      <c r="K204" s="155"/>
      <c r="L204" s="8"/>
      <c r="M204" s="27"/>
      <c r="N204" s="10"/>
      <c r="O204" s="10"/>
      <c r="P204" s="27"/>
      <c r="R204" s="25"/>
      <c r="S204" s="25"/>
      <c r="T204" s="25"/>
    </row>
    <row r="205" spans="10:20" x14ac:dyDescent="0.3">
      <c r="J205" s="155"/>
      <c r="K205" s="155"/>
      <c r="L205" s="8"/>
      <c r="M205" s="27"/>
      <c r="N205" s="10"/>
      <c r="O205" s="10"/>
      <c r="P205" s="27"/>
      <c r="R205" s="25"/>
      <c r="S205" s="25"/>
      <c r="T205" s="25"/>
    </row>
    <row r="206" spans="10:20" x14ac:dyDescent="0.3">
      <c r="J206" s="155"/>
      <c r="K206" s="155"/>
      <c r="L206" s="8"/>
      <c r="M206" s="27"/>
      <c r="N206" s="10"/>
      <c r="O206" s="10"/>
      <c r="P206" s="27"/>
      <c r="R206" s="25"/>
      <c r="S206" s="25"/>
      <c r="T206" s="25"/>
    </row>
    <row r="207" spans="10:20" x14ac:dyDescent="0.3">
      <c r="J207" s="155"/>
      <c r="K207" s="155"/>
      <c r="L207" s="8"/>
      <c r="M207" s="26"/>
      <c r="N207" s="151"/>
      <c r="O207" s="151"/>
      <c r="P207" s="26"/>
      <c r="R207" s="25"/>
      <c r="S207" s="25"/>
      <c r="T207" s="25"/>
    </row>
    <row r="208" spans="10:20" x14ac:dyDescent="0.3">
      <c r="J208" s="8"/>
      <c r="K208" s="8"/>
      <c r="L208" s="8"/>
      <c r="M208" s="25"/>
      <c r="N208" s="10"/>
      <c r="O208" s="10"/>
      <c r="P208" s="25"/>
      <c r="R208" s="25"/>
      <c r="S208" s="25"/>
      <c r="T208" s="25"/>
    </row>
    <row r="209" spans="10:20" x14ac:dyDescent="0.3">
      <c r="J209" s="8"/>
      <c r="K209" s="8"/>
      <c r="L209" s="8"/>
      <c r="M209" s="25"/>
      <c r="P209" s="25"/>
      <c r="R209" s="25"/>
      <c r="S209" s="25"/>
      <c r="T209" s="25"/>
    </row>
    <row r="210" spans="10:20" x14ac:dyDescent="0.3">
      <c r="J210" s="8"/>
      <c r="K210" s="8"/>
      <c r="L210" s="8"/>
      <c r="M210" s="25"/>
      <c r="P210" s="25"/>
      <c r="R210" s="25"/>
      <c r="S210" s="25"/>
      <c r="T210" s="25"/>
    </row>
    <row r="211" spans="10:20" x14ac:dyDescent="0.3">
      <c r="J211" s="8"/>
      <c r="K211" s="8"/>
      <c r="L211" s="8"/>
      <c r="M211" s="25"/>
      <c r="P211" s="25"/>
      <c r="R211" s="25"/>
      <c r="S211" s="25"/>
      <c r="T211" s="25"/>
    </row>
    <row r="212" spans="10:20" x14ac:dyDescent="0.3">
      <c r="J212" s="8"/>
      <c r="K212" s="8"/>
      <c r="L212" s="8"/>
      <c r="M212" s="148"/>
      <c r="N212" s="10"/>
      <c r="O212" s="10"/>
      <c r="P212" s="27"/>
      <c r="R212" s="27"/>
      <c r="S212" s="27"/>
      <c r="T212" s="25"/>
    </row>
    <row r="213" spans="10:20" x14ac:dyDescent="0.3">
      <c r="J213" s="8"/>
      <c r="K213" s="8"/>
      <c r="L213" s="8"/>
      <c r="M213" s="148"/>
      <c r="N213" s="10"/>
      <c r="O213" s="10"/>
      <c r="P213" s="27"/>
      <c r="R213" s="27"/>
      <c r="S213" s="27"/>
      <c r="T213" s="25"/>
    </row>
    <row r="214" spans="10:20" x14ac:dyDescent="0.3">
      <c r="J214" s="8"/>
      <c r="K214" s="8"/>
      <c r="L214" s="8"/>
      <c r="M214" s="148"/>
      <c r="N214" s="10"/>
      <c r="O214" s="10"/>
      <c r="P214" s="27"/>
      <c r="R214" s="27"/>
      <c r="S214" s="27"/>
      <c r="T214" s="25"/>
    </row>
    <row r="215" spans="10:20" x14ac:dyDescent="0.3">
      <c r="J215" s="8"/>
      <c r="K215" s="8"/>
      <c r="L215" s="8"/>
      <c r="M215" s="148"/>
      <c r="N215" s="10"/>
      <c r="O215" s="10"/>
      <c r="P215" s="27"/>
      <c r="R215" s="27"/>
      <c r="S215" s="27"/>
      <c r="T215" s="25"/>
    </row>
    <row r="216" spans="10:20" x14ac:dyDescent="0.3">
      <c r="J216" s="8"/>
      <c r="K216" s="8"/>
      <c r="L216" s="8"/>
      <c r="M216" s="148"/>
      <c r="N216" s="10"/>
      <c r="O216" s="10"/>
      <c r="P216" s="27"/>
      <c r="R216" s="27"/>
      <c r="S216" s="27"/>
      <c r="T216" s="25"/>
    </row>
    <row r="217" spans="10:20" x14ac:dyDescent="0.3">
      <c r="J217" s="8"/>
      <c r="K217" s="8"/>
      <c r="L217" s="8"/>
      <c r="M217" s="148"/>
      <c r="N217" s="10"/>
      <c r="O217" s="10"/>
      <c r="P217" s="27"/>
      <c r="R217" s="27"/>
      <c r="S217" s="27"/>
      <c r="T217" s="25"/>
    </row>
    <row r="218" spans="10:20" x14ac:dyDescent="0.3">
      <c r="J218" s="8"/>
      <c r="K218" s="8"/>
      <c r="L218" s="8"/>
      <c r="M218" s="148"/>
      <c r="N218" s="10"/>
      <c r="O218" s="10"/>
      <c r="P218" s="27"/>
      <c r="R218" s="27"/>
      <c r="S218" s="27"/>
      <c r="T218" s="25"/>
    </row>
    <row r="219" spans="10:20" x14ac:dyDescent="0.3">
      <c r="J219" s="8"/>
      <c r="K219" s="8"/>
      <c r="L219" s="8"/>
      <c r="M219" s="148"/>
      <c r="N219" s="10"/>
      <c r="O219" s="10"/>
      <c r="P219" s="27"/>
      <c r="R219" s="27"/>
      <c r="S219" s="27"/>
      <c r="T219" s="25"/>
    </row>
    <row r="220" spans="10:20" x14ac:dyDescent="0.3">
      <c r="J220" s="8"/>
      <c r="K220" s="8"/>
      <c r="L220" s="8"/>
      <c r="M220" s="148"/>
      <c r="N220" s="10"/>
      <c r="O220" s="10"/>
      <c r="P220" s="27"/>
      <c r="R220" s="27"/>
      <c r="S220" s="27"/>
      <c r="T220" s="25"/>
    </row>
    <row r="221" spans="10:20" x14ac:dyDescent="0.3">
      <c r="J221" s="8"/>
      <c r="K221" s="8"/>
      <c r="L221" s="8"/>
      <c r="M221" s="148"/>
      <c r="N221" s="10"/>
      <c r="O221" s="10"/>
      <c r="P221" s="27"/>
      <c r="R221" s="27"/>
      <c r="S221" s="27"/>
      <c r="T221" s="25"/>
    </row>
    <row r="222" spans="10:20" x14ac:dyDescent="0.3">
      <c r="J222" s="8"/>
      <c r="K222" s="8"/>
      <c r="L222" s="8"/>
      <c r="M222" s="148"/>
      <c r="N222" s="10"/>
      <c r="O222" s="10"/>
      <c r="P222" s="27"/>
      <c r="R222" s="27"/>
      <c r="S222" s="27"/>
      <c r="T222" s="25"/>
    </row>
    <row r="223" spans="10:20" x14ac:dyDescent="0.3">
      <c r="J223" s="8"/>
      <c r="K223" s="8"/>
      <c r="L223" s="8"/>
      <c r="M223" s="150"/>
      <c r="N223" s="151"/>
      <c r="O223" s="151"/>
      <c r="P223" s="26"/>
      <c r="R223" s="26"/>
      <c r="S223" s="26"/>
      <c r="T223" s="25"/>
    </row>
    <row r="224" spans="10:20" x14ac:dyDescent="0.3">
      <c r="J224" s="152"/>
      <c r="K224" s="152"/>
      <c r="L224" s="152"/>
      <c r="M224" s="25"/>
      <c r="N224" s="10"/>
      <c r="O224" s="10"/>
      <c r="P224" s="25"/>
      <c r="R224" s="25"/>
      <c r="S224" s="25"/>
      <c r="T224" s="25"/>
    </row>
    <row r="225" spans="1:20" x14ac:dyDescent="0.3">
      <c r="M225" s="25"/>
      <c r="P225" s="25"/>
      <c r="R225" s="25"/>
      <c r="S225" s="25"/>
      <c r="T225" s="25"/>
    </row>
    <row r="226" spans="1:20" x14ac:dyDescent="0.3">
      <c r="M226" s="25"/>
      <c r="P226" s="25"/>
      <c r="R226" s="25"/>
      <c r="S226" s="25"/>
      <c r="T226" s="25"/>
    </row>
    <row r="227" spans="1:20" x14ac:dyDescent="0.3">
      <c r="M227" s="25"/>
      <c r="P227" s="25"/>
      <c r="R227" s="25"/>
      <c r="S227" s="25"/>
      <c r="T227" s="25"/>
    </row>
    <row r="228" spans="1:20" x14ac:dyDescent="0.3">
      <c r="M228" s="25"/>
      <c r="P228" s="25"/>
      <c r="R228" s="25"/>
      <c r="S228" s="25"/>
      <c r="T228" s="25"/>
    </row>
    <row r="229" spans="1:20" x14ac:dyDescent="0.3">
      <c r="M229" s="25"/>
      <c r="P229" s="25"/>
      <c r="R229" s="25"/>
      <c r="S229" s="25"/>
      <c r="T229" s="25"/>
    </row>
    <row r="230" spans="1:20" x14ac:dyDescent="0.3">
      <c r="M230" s="25"/>
      <c r="P230" s="25"/>
      <c r="R230" s="25"/>
      <c r="S230" s="25"/>
      <c r="T230" s="25"/>
    </row>
    <row r="231" spans="1:20" x14ac:dyDescent="0.3">
      <c r="M231" s="25"/>
      <c r="P231" s="25"/>
      <c r="R231" s="25"/>
      <c r="S231" s="25"/>
      <c r="T231" s="25"/>
    </row>
    <row r="232" spans="1:20" x14ac:dyDescent="0.3">
      <c r="M232" s="25"/>
      <c r="P232" s="25"/>
      <c r="R232" s="25"/>
      <c r="S232" s="25"/>
      <c r="T232" s="25"/>
    </row>
    <row r="233" spans="1:20" x14ac:dyDescent="0.3">
      <c r="M233" s="25"/>
      <c r="P233" s="25"/>
      <c r="R233" s="25"/>
      <c r="S233" s="25"/>
      <c r="T233" s="25"/>
    </row>
    <row r="234" spans="1:20" x14ac:dyDescent="0.3">
      <c r="M234" s="25"/>
      <c r="P234" s="25"/>
      <c r="R234" s="25"/>
      <c r="S234" s="25"/>
      <c r="T234" s="25"/>
    </row>
    <row r="235" spans="1:20" x14ac:dyDescent="0.3">
      <c r="K235" s="15"/>
      <c r="M235" s="25"/>
      <c r="P235" s="25"/>
      <c r="R235" s="25"/>
      <c r="S235" s="25"/>
      <c r="T235" s="25"/>
    </row>
    <row r="236" spans="1:20" x14ac:dyDescent="0.3">
      <c r="K236" s="15"/>
      <c r="M236" s="25"/>
      <c r="P236" s="25"/>
      <c r="R236" s="25"/>
      <c r="S236" s="25"/>
      <c r="T236" s="25"/>
    </row>
    <row r="237" spans="1:20" x14ac:dyDescent="0.3">
      <c r="K237" s="15"/>
      <c r="M237" s="25"/>
      <c r="P237" s="148"/>
      <c r="R237" s="25"/>
      <c r="S237" s="25"/>
      <c r="T237" s="25"/>
    </row>
    <row r="238" spans="1:20" x14ac:dyDescent="0.3">
      <c r="M238" s="25"/>
      <c r="P238" s="25"/>
      <c r="R238" s="25"/>
      <c r="S238" s="25"/>
      <c r="T238" s="25"/>
    </row>
    <row r="239" spans="1:20" x14ac:dyDescent="0.3">
      <c r="J239" s="19"/>
      <c r="K239" s="19"/>
      <c r="L239" s="19"/>
      <c r="M239" s="153"/>
      <c r="N239" s="19"/>
      <c r="O239" s="19"/>
      <c r="P239" s="146"/>
      <c r="R239" s="25"/>
      <c r="S239" s="25"/>
      <c r="T239" s="25"/>
    </row>
    <row r="240" spans="1:20" x14ac:dyDescent="0.3">
      <c r="A240" s="19"/>
      <c r="B240" s="15"/>
      <c r="C240" s="15"/>
      <c r="D240" s="15"/>
      <c r="E240" s="15"/>
      <c r="F240" s="15"/>
      <c r="G240" s="15"/>
      <c r="H240" s="15"/>
      <c r="I240" s="15"/>
      <c r="J240" s="19"/>
      <c r="K240" s="19"/>
      <c r="L240" s="19"/>
      <c r="M240" s="146"/>
      <c r="N240" s="19"/>
      <c r="O240" s="19"/>
      <c r="P240" s="146"/>
      <c r="R240" s="25"/>
      <c r="S240" s="25"/>
      <c r="T240" s="25"/>
    </row>
    <row r="241" spans="1:2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54"/>
      <c r="N241" s="2"/>
      <c r="O241" s="2"/>
      <c r="P241" s="154"/>
      <c r="R241" s="25"/>
      <c r="S241" s="25"/>
      <c r="T241" s="25"/>
    </row>
    <row r="242" spans="1:20" x14ac:dyDescent="0.3">
      <c r="A242" s="19"/>
      <c r="B242" s="15"/>
      <c r="C242" s="15"/>
      <c r="D242" s="15"/>
      <c r="E242" s="15"/>
      <c r="F242" s="15"/>
      <c r="G242" s="15"/>
      <c r="H242" s="15"/>
      <c r="I242" s="15"/>
      <c r="J242" s="19"/>
      <c r="K242" s="19"/>
      <c r="L242" s="19"/>
      <c r="M242" s="146"/>
      <c r="N242" s="19"/>
      <c r="O242" s="19"/>
      <c r="P242" s="146"/>
      <c r="R242" s="25"/>
      <c r="S242" s="25"/>
      <c r="T242" s="25"/>
    </row>
    <row r="243" spans="1:20" x14ac:dyDescent="0.3">
      <c r="A243" s="19"/>
      <c r="B243" s="15"/>
      <c r="C243" s="15"/>
      <c r="D243" s="15"/>
      <c r="E243" s="15"/>
      <c r="F243" s="15"/>
      <c r="G243" s="15"/>
      <c r="H243" s="15"/>
      <c r="I243" s="15"/>
      <c r="J243" s="19"/>
      <c r="K243" s="19"/>
      <c r="L243" s="19"/>
      <c r="M243" s="146"/>
      <c r="N243" s="19"/>
      <c r="O243" s="19"/>
      <c r="P243" s="146"/>
      <c r="R243" s="25"/>
      <c r="S243" s="25"/>
      <c r="T243" s="25"/>
    </row>
    <row r="244" spans="1:20" x14ac:dyDescent="0.3">
      <c r="B244" s="15"/>
      <c r="C244" s="15"/>
      <c r="D244" s="15"/>
      <c r="E244" s="15"/>
      <c r="F244" s="15"/>
      <c r="G244" s="15"/>
      <c r="H244" s="15"/>
      <c r="I244" s="15"/>
      <c r="M244" s="25"/>
      <c r="P244" s="25"/>
      <c r="R244" s="25"/>
      <c r="S244" s="25"/>
      <c r="T244" s="25"/>
    </row>
    <row r="245" spans="1:20" x14ac:dyDescent="0.3">
      <c r="M245" s="25"/>
      <c r="P245" s="25"/>
      <c r="R245" s="25"/>
      <c r="S245" s="25"/>
      <c r="T245" s="25"/>
    </row>
    <row r="246" spans="1:20" x14ac:dyDescent="0.3">
      <c r="M246" s="25"/>
      <c r="P246" s="25"/>
      <c r="R246" s="25"/>
      <c r="S246" s="25"/>
      <c r="T246" s="25"/>
    </row>
    <row r="247" spans="1:20" x14ac:dyDescent="0.3">
      <c r="M247" s="25"/>
      <c r="P247" s="25"/>
      <c r="R247" s="25"/>
      <c r="S247" s="25"/>
      <c r="T247" s="25"/>
    </row>
    <row r="248" spans="1:20" x14ac:dyDescent="0.3">
      <c r="M248" s="25"/>
      <c r="P248" s="25"/>
      <c r="R248" s="25"/>
      <c r="S248" s="25"/>
      <c r="T248" s="25"/>
    </row>
    <row r="249" spans="1:20" x14ac:dyDescent="0.3">
      <c r="M249" s="25"/>
      <c r="P249" s="25"/>
      <c r="R249" s="25"/>
      <c r="S249" s="25"/>
      <c r="T249" s="25"/>
    </row>
    <row r="250" spans="1:20" x14ac:dyDescent="0.3">
      <c r="M250" s="25"/>
      <c r="P250" s="25"/>
      <c r="R250" s="25"/>
      <c r="S250" s="25"/>
      <c r="T250" s="25"/>
    </row>
    <row r="251" spans="1:20" x14ac:dyDescent="0.3">
      <c r="J251" s="8"/>
      <c r="K251" s="8"/>
      <c r="L251" s="8"/>
      <c r="M251" s="27"/>
      <c r="N251" s="10"/>
      <c r="O251" s="10"/>
      <c r="P251" s="27"/>
      <c r="R251" s="25"/>
      <c r="S251" s="25"/>
      <c r="T251" s="25"/>
    </row>
    <row r="252" spans="1:20" x14ac:dyDescent="0.3">
      <c r="J252" s="8"/>
      <c r="K252" s="8"/>
      <c r="L252" s="8"/>
      <c r="M252" s="27"/>
      <c r="N252" s="10"/>
      <c r="O252" s="10"/>
      <c r="P252" s="27"/>
      <c r="R252" s="25"/>
      <c r="S252" s="25"/>
      <c r="T252" s="25"/>
    </row>
    <row r="253" spans="1:20" x14ac:dyDescent="0.3">
      <c r="J253" s="8"/>
      <c r="K253" s="8"/>
      <c r="L253" s="8"/>
      <c r="M253" s="27"/>
      <c r="N253" s="10"/>
      <c r="O253" s="10"/>
      <c r="P253" s="27"/>
      <c r="R253" s="25"/>
      <c r="S253" s="25"/>
      <c r="T253" s="25"/>
    </row>
    <row r="254" spans="1:20" x14ac:dyDescent="0.3">
      <c r="J254" s="8"/>
      <c r="K254" s="8"/>
      <c r="L254" s="8"/>
      <c r="M254" s="27"/>
      <c r="N254" s="10"/>
      <c r="O254" s="10"/>
      <c r="P254" s="27"/>
      <c r="R254" s="25"/>
      <c r="S254" s="25"/>
      <c r="T254" s="25"/>
    </row>
    <row r="255" spans="1:20" x14ac:dyDescent="0.3">
      <c r="J255" s="8"/>
      <c r="K255" s="8"/>
      <c r="L255" s="8"/>
      <c r="M255" s="27"/>
      <c r="N255" s="10"/>
      <c r="O255" s="10"/>
      <c r="P255" s="27"/>
      <c r="R255" s="25"/>
      <c r="S255" s="25"/>
      <c r="T255" s="25"/>
    </row>
    <row r="256" spans="1:20" x14ac:dyDescent="0.3">
      <c r="J256" s="8"/>
      <c r="K256" s="8"/>
      <c r="L256" s="8"/>
      <c r="M256" s="27"/>
      <c r="N256" s="10"/>
      <c r="O256" s="10"/>
      <c r="P256" s="27"/>
      <c r="R256" s="25"/>
      <c r="S256" s="25"/>
      <c r="T256" s="25"/>
    </row>
    <row r="257" spans="10:20" x14ac:dyDescent="0.3">
      <c r="J257" s="8"/>
      <c r="K257" s="8"/>
      <c r="L257" s="8"/>
      <c r="M257" s="27"/>
      <c r="N257" s="10"/>
      <c r="O257" s="10"/>
      <c r="P257" s="27"/>
      <c r="R257" s="25"/>
      <c r="S257" s="25"/>
      <c r="T257" s="25"/>
    </row>
    <row r="258" spans="10:20" x14ac:dyDescent="0.3">
      <c r="J258" s="8"/>
      <c r="K258" s="8"/>
      <c r="L258" s="8"/>
      <c r="M258" s="27"/>
      <c r="N258" s="10"/>
      <c r="O258" s="10"/>
      <c r="P258" s="27"/>
      <c r="R258" s="25"/>
      <c r="S258" s="25"/>
      <c r="T258" s="25"/>
    </row>
    <row r="259" spans="10:20" x14ac:dyDescent="0.3">
      <c r="J259" s="8"/>
      <c r="K259" s="8"/>
      <c r="L259" s="8"/>
      <c r="M259" s="27"/>
      <c r="N259" s="10"/>
      <c r="O259" s="10"/>
      <c r="P259" s="27"/>
      <c r="R259" s="25"/>
      <c r="S259" s="25"/>
      <c r="T259" s="25"/>
    </row>
    <row r="260" spans="10:20" x14ac:dyDescent="0.3">
      <c r="J260" s="8"/>
      <c r="K260" s="8"/>
      <c r="L260" s="8"/>
      <c r="M260" s="27"/>
      <c r="N260" s="10"/>
      <c r="O260" s="10"/>
      <c r="P260" s="27"/>
      <c r="R260" s="25"/>
      <c r="S260" s="25"/>
      <c r="T260" s="25"/>
    </row>
    <row r="261" spans="10:20" x14ac:dyDescent="0.3">
      <c r="J261" s="8"/>
      <c r="K261" s="8"/>
      <c r="L261" s="8"/>
      <c r="M261" s="27"/>
      <c r="N261" s="10"/>
      <c r="O261" s="10"/>
      <c r="P261" s="27"/>
      <c r="R261" s="25"/>
      <c r="S261" s="25"/>
      <c r="T261" s="25"/>
    </row>
    <row r="262" spans="10:20" x14ac:dyDescent="0.3">
      <c r="J262" s="8"/>
      <c r="K262" s="8"/>
      <c r="L262" s="8"/>
      <c r="M262" s="26"/>
      <c r="N262" s="151"/>
      <c r="O262" s="151"/>
      <c r="P262" s="26"/>
      <c r="R262" s="25"/>
      <c r="S262" s="25"/>
      <c r="T262" s="25"/>
    </row>
    <row r="263" spans="10:20" x14ac:dyDescent="0.3">
      <c r="J263" s="8"/>
      <c r="K263" s="8"/>
      <c r="L263" s="8"/>
      <c r="M263" s="25"/>
      <c r="N263" s="10"/>
      <c r="O263" s="10"/>
      <c r="P263" s="25"/>
      <c r="R263" s="25"/>
      <c r="S263" s="25"/>
      <c r="T263" s="25"/>
    </row>
    <row r="264" spans="10:20" x14ac:dyDescent="0.3">
      <c r="J264" s="8"/>
      <c r="K264" s="8"/>
      <c r="L264" s="8"/>
      <c r="M264" s="25"/>
      <c r="P264" s="25"/>
      <c r="R264" s="25"/>
      <c r="S264" s="25"/>
      <c r="T264" s="25"/>
    </row>
    <row r="265" spans="10:20" x14ac:dyDescent="0.3">
      <c r="J265" s="8"/>
      <c r="K265" s="8"/>
      <c r="L265" s="8"/>
      <c r="M265" s="25"/>
      <c r="P265" s="25"/>
      <c r="R265" s="25"/>
      <c r="S265" s="25"/>
      <c r="T265" s="25"/>
    </row>
    <row r="266" spans="10:20" x14ac:dyDescent="0.3">
      <c r="J266" s="8"/>
      <c r="K266" s="8"/>
      <c r="L266" s="8"/>
      <c r="M266" s="25"/>
      <c r="P266" s="25"/>
      <c r="R266" s="25"/>
      <c r="S266" s="25"/>
      <c r="T266" s="25"/>
    </row>
    <row r="267" spans="10:20" x14ac:dyDescent="0.3">
      <c r="J267" s="8"/>
      <c r="K267" s="8"/>
      <c r="L267" s="8"/>
      <c r="M267" s="27"/>
      <c r="N267" s="10"/>
      <c r="O267" s="10"/>
      <c r="P267" s="27"/>
      <c r="R267" s="25"/>
      <c r="S267" s="25"/>
      <c r="T267" s="25"/>
    </row>
    <row r="268" spans="10:20" x14ac:dyDescent="0.3">
      <c r="J268" s="8"/>
      <c r="K268" s="8"/>
      <c r="L268" s="8"/>
      <c r="M268" s="27"/>
      <c r="N268" s="10"/>
      <c r="O268" s="10"/>
      <c r="P268" s="27"/>
      <c r="R268" s="25"/>
      <c r="S268" s="25"/>
      <c r="T268" s="25"/>
    </row>
    <row r="269" spans="10:20" x14ac:dyDescent="0.3">
      <c r="J269" s="8"/>
      <c r="K269" s="8"/>
      <c r="L269" s="8"/>
      <c r="M269" s="27"/>
      <c r="N269" s="10"/>
      <c r="O269" s="10"/>
      <c r="P269" s="27"/>
      <c r="R269" s="25"/>
      <c r="S269" s="25"/>
      <c r="T269" s="25"/>
    </row>
    <row r="270" spans="10:20" x14ac:dyDescent="0.3">
      <c r="J270" s="8"/>
      <c r="K270" s="8"/>
      <c r="L270" s="8"/>
      <c r="M270" s="27"/>
      <c r="N270" s="10"/>
      <c r="O270" s="10"/>
      <c r="P270" s="27"/>
      <c r="R270" s="25"/>
      <c r="S270" s="25"/>
      <c r="T270" s="25"/>
    </row>
    <row r="271" spans="10:20" x14ac:dyDescent="0.3">
      <c r="J271" s="8"/>
      <c r="K271" s="8"/>
      <c r="L271" s="8"/>
      <c r="M271" s="27"/>
      <c r="N271" s="10"/>
      <c r="O271" s="10"/>
      <c r="P271" s="27"/>
      <c r="R271" s="25"/>
      <c r="S271" s="25"/>
      <c r="T271" s="25"/>
    </row>
    <row r="272" spans="10:20" x14ac:dyDescent="0.3">
      <c r="J272" s="8"/>
      <c r="K272" s="8"/>
      <c r="L272" s="8"/>
      <c r="M272" s="27"/>
      <c r="N272" s="10"/>
      <c r="O272" s="10"/>
      <c r="P272" s="27"/>
      <c r="R272" s="25"/>
      <c r="S272" s="25"/>
      <c r="T272" s="25"/>
    </row>
    <row r="273" spans="10:20" x14ac:dyDescent="0.3">
      <c r="J273" s="8"/>
      <c r="K273" s="8"/>
      <c r="L273" s="8"/>
      <c r="M273" s="27"/>
      <c r="N273" s="10"/>
      <c r="O273" s="10"/>
      <c r="P273" s="27"/>
      <c r="R273" s="25"/>
      <c r="S273" s="25"/>
      <c r="T273" s="25"/>
    </row>
    <row r="274" spans="10:20" x14ac:dyDescent="0.3">
      <c r="J274" s="8"/>
      <c r="K274" s="8"/>
      <c r="L274" s="8"/>
      <c r="M274" s="27"/>
      <c r="N274" s="10"/>
      <c r="O274" s="10"/>
      <c r="P274" s="27"/>
      <c r="R274" s="25"/>
      <c r="S274" s="25"/>
      <c r="T274" s="25"/>
    </row>
    <row r="275" spans="10:20" x14ac:dyDescent="0.3">
      <c r="J275" s="8"/>
      <c r="K275" s="8"/>
      <c r="L275" s="8"/>
      <c r="M275" s="27"/>
      <c r="N275" s="10"/>
      <c r="O275" s="10"/>
      <c r="P275" s="27"/>
      <c r="R275" s="25"/>
      <c r="S275" s="25"/>
      <c r="T275" s="25"/>
    </row>
    <row r="276" spans="10:20" x14ac:dyDescent="0.3">
      <c r="J276" s="8"/>
      <c r="K276" s="8"/>
      <c r="L276" s="8"/>
      <c r="M276" s="27"/>
      <c r="N276" s="10"/>
      <c r="O276" s="10"/>
      <c r="P276" s="27"/>
      <c r="R276" s="25"/>
      <c r="S276" s="25"/>
      <c r="T276" s="25"/>
    </row>
    <row r="277" spans="10:20" x14ac:dyDescent="0.3">
      <c r="J277" s="8"/>
      <c r="K277" s="8"/>
      <c r="L277" s="8"/>
      <c r="M277" s="27"/>
      <c r="N277" s="10"/>
      <c r="O277" s="10"/>
      <c r="P277" s="27"/>
      <c r="R277" s="25"/>
      <c r="S277" s="25"/>
      <c r="T277" s="25"/>
    </row>
    <row r="278" spans="10:20" x14ac:dyDescent="0.3">
      <c r="J278" s="8"/>
      <c r="K278" s="8"/>
      <c r="L278" s="8"/>
      <c r="M278" s="26"/>
      <c r="N278" s="151"/>
      <c r="O278" s="151"/>
      <c r="P278" s="26"/>
      <c r="R278" s="25"/>
      <c r="S278" s="25"/>
      <c r="T278" s="25"/>
    </row>
    <row r="279" spans="10:20" x14ac:dyDescent="0.3">
      <c r="J279" s="152"/>
      <c r="K279" s="152"/>
      <c r="L279" s="152"/>
      <c r="M279" s="25"/>
      <c r="N279" s="10"/>
      <c r="O279" s="10"/>
      <c r="P279" s="25"/>
      <c r="R279" s="25"/>
      <c r="S279" s="25"/>
      <c r="T279" s="25"/>
    </row>
    <row r="280" spans="10:20" x14ac:dyDescent="0.3">
      <c r="J280" s="152"/>
      <c r="K280" s="152"/>
      <c r="L280" s="152"/>
      <c r="M280" s="25"/>
      <c r="N280" s="10"/>
      <c r="O280" s="10"/>
      <c r="P280" s="25"/>
      <c r="R280" s="25"/>
      <c r="S280" s="25"/>
      <c r="T280" s="25"/>
    </row>
    <row r="281" spans="10:20" x14ac:dyDescent="0.3">
      <c r="J281" s="152"/>
      <c r="K281" s="152"/>
      <c r="L281" s="152"/>
      <c r="M281" s="25"/>
      <c r="N281" s="10"/>
      <c r="O281" s="10"/>
      <c r="P281" s="25"/>
      <c r="R281" s="25"/>
      <c r="S281" s="25"/>
      <c r="T281" s="25"/>
    </row>
    <row r="282" spans="10:20" x14ac:dyDescent="0.3">
      <c r="J282" s="152"/>
      <c r="K282" s="152"/>
      <c r="L282" s="152"/>
      <c r="M282" s="25"/>
      <c r="N282" s="10"/>
      <c r="O282" s="10"/>
      <c r="P282" s="25"/>
      <c r="R282" s="25"/>
      <c r="S282" s="25"/>
      <c r="T282" s="25"/>
    </row>
    <row r="283" spans="10:20" x14ac:dyDescent="0.3">
      <c r="J283" s="152"/>
      <c r="K283" s="152"/>
      <c r="L283" s="152"/>
      <c r="M283" s="25"/>
      <c r="N283" s="10"/>
      <c r="O283" s="10"/>
      <c r="P283" s="25"/>
      <c r="R283" s="25"/>
      <c r="S283" s="25"/>
      <c r="T283" s="25"/>
    </row>
    <row r="284" spans="10:20" x14ac:dyDescent="0.3">
      <c r="J284" s="152"/>
      <c r="K284" s="152"/>
      <c r="L284" s="152"/>
      <c r="M284" s="25"/>
      <c r="N284" s="10"/>
      <c r="O284" s="10"/>
      <c r="P284" s="25"/>
      <c r="R284" s="25"/>
      <c r="S284" s="25"/>
      <c r="T284" s="25"/>
    </row>
    <row r="285" spans="10:20" x14ac:dyDescent="0.3">
      <c r="J285" s="152"/>
      <c r="K285" s="152"/>
      <c r="L285" s="152"/>
      <c r="M285" s="25"/>
      <c r="N285" s="10"/>
      <c r="O285" s="10"/>
      <c r="P285" s="25"/>
      <c r="R285" s="25"/>
      <c r="S285" s="25"/>
      <c r="T285" s="25"/>
    </row>
    <row r="286" spans="10:20" x14ac:dyDescent="0.3">
      <c r="J286" s="152"/>
      <c r="K286" s="152"/>
      <c r="L286" s="152"/>
      <c r="M286" s="25"/>
      <c r="N286" s="10"/>
      <c r="O286" s="10"/>
      <c r="P286" s="25"/>
      <c r="R286" s="25"/>
      <c r="S286" s="25"/>
      <c r="T286" s="25"/>
    </row>
    <row r="287" spans="10:20" x14ac:dyDescent="0.3">
      <c r="M287" s="25"/>
      <c r="P287" s="25"/>
      <c r="R287" s="25"/>
      <c r="S287" s="25"/>
      <c r="T287" s="25"/>
    </row>
    <row r="288" spans="10:20" x14ac:dyDescent="0.3">
      <c r="M288" s="25"/>
      <c r="P288" s="25"/>
      <c r="R288" s="25"/>
      <c r="S288" s="25"/>
      <c r="T288" s="25"/>
    </row>
    <row r="289" spans="1:20" x14ac:dyDescent="0.3">
      <c r="M289" s="25"/>
      <c r="P289" s="25"/>
      <c r="R289" s="25"/>
      <c r="S289" s="25"/>
      <c r="T289" s="25"/>
    </row>
    <row r="290" spans="1:20" x14ac:dyDescent="0.3">
      <c r="K290" s="15"/>
      <c r="M290" s="25"/>
      <c r="P290" s="25"/>
      <c r="R290" s="25"/>
      <c r="S290" s="25"/>
      <c r="T290" s="25"/>
    </row>
    <row r="291" spans="1:20" x14ac:dyDescent="0.3">
      <c r="K291" s="15"/>
      <c r="M291" s="25"/>
      <c r="P291" s="25"/>
      <c r="R291" s="25"/>
      <c r="S291" s="25"/>
      <c r="T291" s="25"/>
    </row>
    <row r="292" spans="1:20" x14ac:dyDescent="0.3">
      <c r="K292" s="15"/>
      <c r="M292" s="25"/>
      <c r="P292" s="148"/>
      <c r="R292" s="25"/>
      <c r="S292" s="25"/>
      <c r="T292" s="25"/>
    </row>
    <row r="293" spans="1:20" x14ac:dyDescent="0.3">
      <c r="M293" s="25"/>
      <c r="P293" s="25"/>
      <c r="R293" s="25"/>
      <c r="S293" s="25"/>
      <c r="T293" s="25"/>
    </row>
    <row r="294" spans="1:20" x14ac:dyDescent="0.3">
      <c r="J294" s="19"/>
      <c r="K294" s="19"/>
      <c r="L294" s="19"/>
      <c r="M294" s="153"/>
      <c r="N294" s="19"/>
      <c r="O294" s="19"/>
      <c r="P294" s="146"/>
      <c r="R294" s="25"/>
      <c r="S294" s="25"/>
      <c r="T294" s="25"/>
    </row>
    <row r="295" spans="1:20" x14ac:dyDescent="0.3">
      <c r="A295" s="19"/>
      <c r="B295" s="15"/>
      <c r="C295" s="15"/>
      <c r="D295" s="15"/>
      <c r="E295" s="15"/>
      <c r="F295" s="15"/>
      <c r="G295" s="15"/>
      <c r="H295" s="15"/>
      <c r="I295" s="15"/>
      <c r="J295" s="19"/>
      <c r="K295" s="19"/>
      <c r="L295" s="19"/>
      <c r="M295" s="146"/>
      <c r="N295" s="19"/>
      <c r="O295" s="19"/>
      <c r="P295" s="146"/>
      <c r="R295" s="25"/>
      <c r="S295" s="25"/>
      <c r="T295" s="25"/>
    </row>
    <row r="296" spans="1:2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54"/>
      <c r="N296" s="2"/>
      <c r="O296" s="2"/>
      <c r="P296" s="154"/>
      <c r="R296" s="25"/>
      <c r="S296" s="25"/>
      <c r="T296" s="25"/>
    </row>
    <row r="297" spans="1:20" x14ac:dyDescent="0.3">
      <c r="A297" s="19"/>
      <c r="B297" s="15"/>
      <c r="C297" s="15"/>
      <c r="D297" s="15"/>
      <c r="E297" s="15"/>
      <c r="F297" s="15"/>
      <c r="G297" s="15"/>
      <c r="H297" s="15"/>
      <c r="I297" s="15"/>
      <c r="J297" s="19"/>
      <c r="K297" s="19"/>
      <c r="L297" s="19"/>
      <c r="M297" s="146"/>
      <c r="N297" s="19"/>
      <c r="O297" s="19"/>
      <c r="P297" s="146"/>
      <c r="R297" s="25"/>
      <c r="S297" s="25"/>
      <c r="T297" s="25"/>
    </row>
    <row r="298" spans="1:20" x14ac:dyDescent="0.3">
      <c r="A298" s="19"/>
      <c r="B298" s="15"/>
      <c r="C298" s="15"/>
      <c r="D298" s="15"/>
      <c r="E298" s="15"/>
      <c r="F298" s="15"/>
      <c r="G298" s="15"/>
      <c r="H298" s="15"/>
      <c r="I298" s="15"/>
      <c r="J298" s="19"/>
      <c r="K298" s="19"/>
      <c r="L298" s="19"/>
      <c r="M298" s="146"/>
      <c r="N298" s="19"/>
      <c r="O298" s="19"/>
      <c r="P298" s="146"/>
      <c r="R298" s="25"/>
      <c r="S298" s="25"/>
      <c r="T298" s="25"/>
    </row>
    <row r="299" spans="1:20" x14ac:dyDescent="0.3">
      <c r="B299" s="15"/>
      <c r="C299" s="15"/>
      <c r="D299" s="15"/>
      <c r="E299" s="15"/>
      <c r="F299" s="15"/>
      <c r="G299" s="15"/>
      <c r="H299" s="15"/>
      <c r="I299" s="15"/>
      <c r="M299" s="25"/>
      <c r="P299" s="25"/>
      <c r="R299" s="25"/>
      <c r="S299" s="25"/>
      <c r="T299" s="25"/>
    </row>
    <row r="300" spans="1:20" x14ac:dyDescent="0.3">
      <c r="M300" s="25"/>
      <c r="P300" s="25"/>
      <c r="R300" s="25"/>
      <c r="S300" s="25"/>
      <c r="T300" s="25"/>
    </row>
    <row r="301" spans="1:20" x14ac:dyDescent="0.3">
      <c r="M301" s="25"/>
      <c r="P301" s="25"/>
      <c r="R301" s="25"/>
      <c r="S301" s="25"/>
      <c r="T301" s="25"/>
    </row>
    <row r="302" spans="1:20" x14ac:dyDescent="0.3">
      <c r="M302" s="25"/>
      <c r="P302" s="25"/>
      <c r="R302" s="25"/>
      <c r="S302" s="25"/>
      <c r="T302" s="25"/>
    </row>
    <row r="303" spans="1:20" x14ac:dyDescent="0.3">
      <c r="M303" s="25"/>
      <c r="P303" s="25"/>
      <c r="R303" s="25"/>
      <c r="S303" s="25"/>
      <c r="T303" s="25"/>
    </row>
    <row r="304" spans="1:20" x14ac:dyDescent="0.3">
      <c r="M304" s="25"/>
      <c r="P304" s="25"/>
      <c r="R304" s="25"/>
      <c r="S304" s="25"/>
      <c r="T304" s="25"/>
    </row>
    <row r="305" spans="10:20" x14ac:dyDescent="0.3">
      <c r="M305" s="25"/>
      <c r="P305" s="25"/>
      <c r="R305" s="25"/>
      <c r="S305" s="25"/>
      <c r="T305" s="25"/>
    </row>
    <row r="306" spans="10:20" x14ac:dyDescent="0.3">
      <c r="J306" s="156"/>
      <c r="K306" s="156"/>
      <c r="L306" s="152"/>
      <c r="M306" s="27"/>
      <c r="N306" s="10"/>
      <c r="O306" s="10"/>
      <c r="P306" s="27"/>
      <c r="R306" s="27"/>
      <c r="S306" s="27"/>
      <c r="T306" s="25"/>
    </row>
    <row r="307" spans="10:20" x14ac:dyDescent="0.3">
      <c r="J307" s="156"/>
      <c r="K307" s="156"/>
      <c r="L307" s="152"/>
      <c r="M307" s="27"/>
      <c r="N307" s="10"/>
      <c r="O307" s="10"/>
      <c r="P307" s="27"/>
      <c r="R307" s="27"/>
      <c r="S307" s="27"/>
      <c r="T307" s="25"/>
    </row>
    <row r="308" spans="10:20" x14ac:dyDescent="0.3">
      <c r="J308" s="156"/>
      <c r="K308" s="156"/>
      <c r="L308" s="152"/>
      <c r="M308" s="27"/>
      <c r="N308" s="10"/>
      <c r="O308" s="10"/>
      <c r="P308" s="27"/>
      <c r="R308" s="27"/>
      <c r="S308" s="27"/>
      <c r="T308" s="25"/>
    </row>
    <row r="309" spans="10:20" x14ac:dyDescent="0.3">
      <c r="J309" s="156"/>
      <c r="K309" s="156"/>
      <c r="L309" s="152"/>
      <c r="M309" s="27"/>
      <c r="N309" s="10"/>
      <c r="O309" s="10"/>
      <c r="P309" s="27"/>
      <c r="R309" s="27"/>
      <c r="S309" s="27"/>
      <c r="T309" s="25"/>
    </row>
    <row r="310" spans="10:20" x14ac:dyDescent="0.3">
      <c r="J310" s="156"/>
      <c r="K310" s="156"/>
      <c r="L310" s="152"/>
      <c r="M310" s="27"/>
      <c r="N310" s="10"/>
      <c r="O310" s="10"/>
      <c r="P310" s="27"/>
      <c r="R310" s="27"/>
      <c r="S310" s="27"/>
      <c r="T310" s="25"/>
    </row>
    <row r="311" spans="10:20" x14ac:dyDescent="0.3">
      <c r="J311" s="156"/>
      <c r="K311" s="156"/>
      <c r="L311" s="152"/>
      <c r="M311" s="27"/>
      <c r="N311" s="10"/>
      <c r="O311" s="10"/>
      <c r="P311" s="27"/>
      <c r="R311" s="27"/>
      <c r="S311" s="27"/>
      <c r="T311" s="25"/>
    </row>
    <row r="312" spans="10:20" x14ac:dyDescent="0.3">
      <c r="J312" s="156"/>
      <c r="K312" s="156"/>
      <c r="L312" s="152"/>
      <c r="M312" s="27"/>
      <c r="N312" s="10"/>
      <c r="O312" s="10"/>
      <c r="P312" s="27"/>
      <c r="R312" s="27"/>
      <c r="S312" s="27"/>
      <c r="T312" s="25"/>
    </row>
    <row r="313" spans="10:20" x14ac:dyDescent="0.3">
      <c r="J313" s="156"/>
      <c r="K313" s="156"/>
      <c r="L313" s="152"/>
      <c r="M313" s="27"/>
      <c r="N313" s="10"/>
      <c r="O313" s="10"/>
      <c r="P313" s="27"/>
      <c r="R313" s="27"/>
      <c r="S313" s="27"/>
      <c r="T313" s="25"/>
    </row>
    <row r="314" spans="10:20" x14ac:dyDescent="0.3">
      <c r="J314" s="156"/>
      <c r="K314" s="156"/>
      <c r="L314" s="152"/>
      <c r="M314" s="27"/>
      <c r="N314" s="10"/>
      <c r="O314" s="10"/>
      <c r="P314" s="27"/>
      <c r="R314" s="27"/>
      <c r="S314" s="27"/>
      <c r="T314" s="25"/>
    </row>
    <row r="315" spans="10:20" x14ac:dyDescent="0.3">
      <c r="J315" s="156"/>
      <c r="K315" s="156"/>
      <c r="L315" s="152"/>
      <c r="M315" s="27"/>
      <c r="N315" s="10"/>
      <c r="O315" s="10"/>
      <c r="P315" s="27"/>
      <c r="R315" s="27"/>
      <c r="S315" s="27"/>
      <c r="T315" s="25"/>
    </row>
    <row r="316" spans="10:20" x14ac:dyDescent="0.3">
      <c r="J316" s="156"/>
      <c r="K316" s="156"/>
      <c r="L316" s="152"/>
      <c r="M316" s="27"/>
      <c r="N316" s="10"/>
      <c r="O316" s="10"/>
      <c r="P316" s="27"/>
      <c r="R316" s="27"/>
      <c r="S316" s="27"/>
      <c r="T316" s="25"/>
    </row>
    <row r="317" spans="10:20" x14ac:dyDescent="0.3">
      <c r="J317" s="156"/>
      <c r="K317" s="156"/>
      <c r="L317" s="152"/>
      <c r="M317" s="28"/>
      <c r="N317" s="151"/>
      <c r="O317" s="151"/>
      <c r="P317" s="28"/>
      <c r="R317" s="26"/>
      <c r="S317" s="26"/>
      <c r="T317" s="25"/>
    </row>
    <row r="318" spans="10:20" x14ac:dyDescent="0.3">
      <c r="J318" s="152"/>
      <c r="K318" s="152"/>
      <c r="L318" s="152"/>
      <c r="M318" s="25"/>
      <c r="N318" s="10"/>
      <c r="O318" s="10"/>
      <c r="P318" s="25"/>
      <c r="R318" s="25"/>
      <c r="S318" s="25"/>
      <c r="T318" s="25"/>
    </row>
    <row r="319" spans="10:20" x14ac:dyDescent="0.3">
      <c r="J319" s="152"/>
      <c r="K319" s="152"/>
      <c r="L319" s="152"/>
      <c r="M319" s="25"/>
      <c r="P319" s="25"/>
      <c r="R319" s="25"/>
      <c r="S319" s="25"/>
      <c r="T319" s="25"/>
    </row>
    <row r="320" spans="10:20" x14ac:dyDescent="0.3">
      <c r="J320" s="152"/>
      <c r="K320" s="152"/>
      <c r="L320" s="152"/>
      <c r="M320" s="25"/>
      <c r="P320" s="25"/>
      <c r="R320" s="25"/>
      <c r="S320" s="25"/>
      <c r="T320" s="25"/>
    </row>
    <row r="321" spans="10:20" x14ac:dyDescent="0.3">
      <c r="J321" s="152"/>
      <c r="K321" s="152"/>
      <c r="L321" s="152"/>
      <c r="M321" s="25"/>
      <c r="P321" s="25"/>
      <c r="R321" s="25"/>
      <c r="S321" s="25"/>
      <c r="T321" s="25"/>
    </row>
    <row r="322" spans="10:20" x14ac:dyDescent="0.3">
      <c r="J322" s="152"/>
      <c r="K322" s="152"/>
      <c r="L322" s="152"/>
      <c r="M322" s="148"/>
      <c r="N322" s="10"/>
      <c r="O322" s="10"/>
      <c r="P322" s="27"/>
      <c r="R322" s="27"/>
      <c r="S322" s="23"/>
      <c r="T322" s="23"/>
    </row>
    <row r="323" spans="10:20" x14ac:dyDescent="0.3">
      <c r="J323" s="152"/>
      <c r="K323" s="152"/>
      <c r="L323" s="152"/>
      <c r="M323" s="148"/>
      <c r="N323" s="10"/>
      <c r="O323" s="10"/>
      <c r="P323" s="27"/>
      <c r="R323" s="27"/>
      <c r="S323" s="23"/>
      <c r="T323" s="23"/>
    </row>
    <row r="324" spans="10:20" x14ac:dyDescent="0.3">
      <c r="J324" s="152"/>
      <c r="K324" s="152"/>
      <c r="L324" s="152"/>
      <c r="M324" s="148"/>
      <c r="N324" s="10"/>
      <c r="O324" s="10"/>
      <c r="P324" s="27"/>
      <c r="R324" s="27"/>
      <c r="S324" s="23"/>
      <c r="T324" s="23"/>
    </row>
    <row r="325" spans="10:20" x14ac:dyDescent="0.3">
      <c r="J325" s="152"/>
      <c r="K325" s="152"/>
      <c r="L325" s="152"/>
      <c r="M325" s="148"/>
      <c r="N325" s="10"/>
      <c r="O325" s="10"/>
      <c r="P325" s="27"/>
      <c r="R325" s="27"/>
      <c r="S325" s="23"/>
      <c r="T325" s="23"/>
    </row>
    <row r="326" spans="10:20" x14ac:dyDescent="0.3">
      <c r="J326" s="152"/>
      <c r="K326" s="152"/>
      <c r="L326" s="152"/>
      <c r="M326" s="148"/>
      <c r="N326" s="10"/>
      <c r="O326" s="10"/>
      <c r="P326" s="27"/>
      <c r="R326" s="27"/>
      <c r="S326" s="23"/>
      <c r="T326" s="23"/>
    </row>
    <row r="327" spans="10:20" x14ac:dyDescent="0.3">
      <c r="J327" s="152"/>
      <c r="K327" s="152"/>
      <c r="L327" s="152"/>
      <c r="M327" s="148"/>
      <c r="N327" s="10"/>
      <c r="O327" s="10"/>
      <c r="P327" s="27"/>
      <c r="R327" s="27"/>
      <c r="S327" s="23"/>
      <c r="T327" s="23"/>
    </row>
    <row r="328" spans="10:20" x14ac:dyDescent="0.3">
      <c r="J328" s="152"/>
      <c r="K328" s="152"/>
      <c r="L328" s="152"/>
      <c r="M328" s="148"/>
      <c r="N328" s="10"/>
      <c r="O328" s="10"/>
      <c r="P328" s="27"/>
      <c r="R328" s="27"/>
      <c r="S328" s="23"/>
      <c r="T328" s="23"/>
    </row>
    <row r="329" spans="10:20" x14ac:dyDescent="0.3">
      <c r="J329" s="152"/>
      <c r="K329" s="152"/>
      <c r="L329" s="152"/>
      <c r="M329" s="148"/>
      <c r="N329" s="10"/>
      <c r="O329" s="10"/>
      <c r="P329" s="27"/>
      <c r="R329" s="27"/>
      <c r="S329" s="23"/>
      <c r="T329" s="23"/>
    </row>
    <row r="330" spans="10:20" x14ac:dyDescent="0.3">
      <c r="J330" s="152"/>
      <c r="K330" s="152"/>
      <c r="L330" s="152"/>
      <c r="M330" s="148"/>
      <c r="N330" s="10"/>
      <c r="O330" s="10"/>
      <c r="P330" s="27"/>
      <c r="R330" s="27"/>
      <c r="S330" s="23"/>
      <c r="T330" s="23"/>
    </row>
    <row r="331" spans="10:20" x14ac:dyDescent="0.3">
      <c r="J331" s="152"/>
      <c r="K331" s="152"/>
      <c r="L331" s="152"/>
      <c r="M331" s="148"/>
      <c r="N331" s="10"/>
      <c r="O331" s="10"/>
      <c r="P331" s="27"/>
      <c r="R331" s="27"/>
      <c r="S331" s="23"/>
      <c r="T331" s="23"/>
    </row>
    <row r="332" spans="10:20" x14ac:dyDescent="0.3">
      <c r="J332" s="152"/>
      <c r="K332" s="152"/>
      <c r="L332" s="152"/>
      <c r="M332" s="148"/>
      <c r="N332" s="10"/>
      <c r="O332" s="10"/>
      <c r="P332" s="27"/>
      <c r="R332" s="27"/>
      <c r="S332" s="23"/>
      <c r="T332" s="23"/>
    </row>
    <row r="333" spans="10:20" x14ac:dyDescent="0.3">
      <c r="J333" s="152"/>
      <c r="K333" s="152"/>
      <c r="L333" s="152"/>
      <c r="M333" s="150"/>
      <c r="N333" s="151"/>
      <c r="O333" s="151"/>
      <c r="P333" s="26"/>
      <c r="R333" s="28"/>
      <c r="S333" s="24"/>
      <c r="T333" s="24"/>
    </row>
    <row r="334" spans="10:20" x14ac:dyDescent="0.3">
      <c r="J334" s="152"/>
      <c r="K334" s="152"/>
      <c r="L334" s="152"/>
      <c r="M334" s="25"/>
      <c r="N334" s="10"/>
      <c r="O334" s="10"/>
      <c r="P334" s="25"/>
      <c r="R334" s="25"/>
      <c r="S334" s="25"/>
      <c r="T334" s="25"/>
    </row>
    <row r="335" spans="10:20" x14ac:dyDescent="0.3">
      <c r="J335" s="152"/>
      <c r="K335" s="152"/>
      <c r="L335" s="152"/>
      <c r="M335" s="25"/>
      <c r="N335" s="10"/>
      <c r="O335" s="10"/>
      <c r="P335" s="25"/>
      <c r="R335" s="25"/>
      <c r="S335" s="25"/>
      <c r="T335" s="25"/>
    </row>
    <row r="336" spans="10:20" x14ac:dyDescent="0.3">
      <c r="J336" s="152"/>
      <c r="K336" s="152"/>
      <c r="L336" s="152"/>
      <c r="M336" s="25"/>
      <c r="N336" s="10"/>
      <c r="O336" s="10"/>
      <c r="P336" s="25"/>
      <c r="R336" s="25"/>
      <c r="S336" s="25"/>
      <c r="T336" s="25"/>
    </row>
    <row r="337" spans="1:20" x14ac:dyDescent="0.3">
      <c r="J337" s="152"/>
      <c r="K337" s="152"/>
      <c r="L337" s="152"/>
      <c r="M337" s="25"/>
      <c r="N337" s="10"/>
      <c r="O337" s="10"/>
      <c r="P337" s="25"/>
      <c r="R337" s="25"/>
      <c r="S337" s="25"/>
      <c r="T337" s="25"/>
    </row>
    <row r="338" spans="1:20" x14ac:dyDescent="0.3">
      <c r="J338" s="152"/>
      <c r="K338" s="152"/>
      <c r="L338" s="152"/>
      <c r="M338" s="25"/>
      <c r="N338" s="10"/>
      <c r="O338" s="10"/>
      <c r="P338" s="25"/>
      <c r="R338" s="25"/>
      <c r="S338" s="25"/>
      <c r="T338" s="25"/>
    </row>
    <row r="339" spans="1:20" x14ac:dyDescent="0.3">
      <c r="J339" s="152"/>
      <c r="K339" s="152"/>
      <c r="L339" s="152"/>
      <c r="M339" s="25"/>
      <c r="N339" s="10"/>
      <c r="O339" s="10"/>
      <c r="P339" s="25"/>
      <c r="R339" s="25"/>
      <c r="S339" s="25"/>
      <c r="T339" s="25"/>
    </row>
    <row r="340" spans="1:20" x14ac:dyDescent="0.3">
      <c r="J340" s="152"/>
      <c r="K340" s="152"/>
      <c r="L340" s="152"/>
      <c r="M340" s="25"/>
      <c r="N340" s="10"/>
      <c r="O340" s="10"/>
      <c r="P340" s="25"/>
      <c r="R340" s="25"/>
      <c r="S340" s="25"/>
      <c r="T340" s="25"/>
    </row>
    <row r="341" spans="1:20" x14ac:dyDescent="0.3">
      <c r="J341" s="152"/>
      <c r="K341" s="152"/>
      <c r="L341" s="152"/>
      <c r="M341" s="25"/>
      <c r="N341" s="10"/>
      <c r="O341" s="10"/>
      <c r="P341" s="25"/>
      <c r="R341" s="25"/>
      <c r="S341" s="25"/>
      <c r="T341" s="25"/>
    </row>
    <row r="342" spans="1:20" x14ac:dyDescent="0.3">
      <c r="M342" s="25"/>
      <c r="P342" s="25"/>
      <c r="R342" s="25"/>
      <c r="S342" s="25"/>
      <c r="T342" s="25"/>
    </row>
    <row r="343" spans="1:20" x14ac:dyDescent="0.3">
      <c r="M343" s="25"/>
      <c r="P343" s="25"/>
      <c r="R343" s="25"/>
      <c r="S343" s="25"/>
      <c r="T343" s="25"/>
    </row>
    <row r="344" spans="1:20" x14ac:dyDescent="0.3">
      <c r="M344" s="25"/>
      <c r="P344" s="25"/>
      <c r="R344" s="25"/>
      <c r="S344" s="25"/>
      <c r="T344" s="25"/>
    </row>
    <row r="345" spans="1:20" x14ac:dyDescent="0.3">
      <c r="K345" s="15"/>
      <c r="M345" s="25"/>
      <c r="P345" s="25"/>
      <c r="R345" s="25"/>
      <c r="S345" s="25"/>
      <c r="T345" s="25"/>
    </row>
    <row r="346" spans="1:20" x14ac:dyDescent="0.3">
      <c r="K346" s="15"/>
      <c r="M346" s="25"/>
      <c r="P346" s="25"/>
      <c r="R346" s="25"/>
      <c r="S346" s="25"/>
      <c r="T346" s="25"/>
    </row>
    <row r="347" spans="1:20" x14ac:dyDescent="0.3">
      <c r="K347" s="15"/>
      <c r="M347" s="25"/>
      <c r="P347" s="148"/>
      <c r="R347" s="25"/>
      <c r="S347" s="25"/>
      <c r="T347" s="25"/>
    </row>
    <row r="348" spans="1:20" x14ac:dyDescent="0.3">
      <c r="M348" s="25"/>
      <c r="P348" s="25"/>
      <c r="R348" s="25"/>
      <c r="S348" s="25"/>
      <c r="T348" s="25"/>
    </row>
    <row r="349" spans="1:20" x14ac:dyDescent="0.3">
      <c r="J349" s="19"/>
      <c r="K349" s="19"/>
      <c r="L349" s="19"/>
      <c r="M349" s="153"/>
      <c r="N349" s="19"/>
      <c r="O349" s="19"/>
      <c r="P349" s="146"/>
      <c r="R349" s="25"/>
      <c r="S349" s="25"/>
      <c r="T349" s="25"/>
    </row>
    <row r="350" spans="1:20" x14ac:dyDescent="0.3">
      <c r="A350" s="19"/>
      <c r="B350" s="15"/>
      <c r="C350" s="15"/>
      <c r="D350" s="15"/>
      <c r="E350" s="15"/>
      <c r="F350" s="15"/>
      <c r="G350" s="15"/>
      <c r="H350" s="15"/>
      <c r="I350" s="15"/>
      <c r="J350" s="19"/>
      <c r="K350" s="19"/>
      <c r="L350" s="19"/>
      <c r="M350" s="146"/>
      <c r="N350" s="19"/>
      <c r="O350" s="19"/>
      <c r="P350" s="146"/>
      <c r="R350" s="25"/>
      <c r="S350" s="25"/>
      <c r="T350" s="25"/>
    </row>
    <row r="351" spans="1:2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54"/>
      <c r="N351" s="2"/>
      <c r="O351" s="2"/>
      <c r="P351" s="154"/>
      <c r="R351" s="25"/>
      <c r="S351" s="25"/>
      <c r="T351" s="25"/>
    </row>
    <row r="352" spans="1:20" x14ac:dyDescent="0.3">
      <c r="A352" s="19"/>
      <c r="B352" s="15"/>
      <c r="C352" s="15"/>
      <c r="D352" s="15"/>
      <c r="E352" s="15"/>
      <c r="F352" s="15"/>
      <c r="G352" s="15"/>
      <c r="H352" s="15"/>
      <c r="I352" s="15"/>
      <c r="J352" s="19"/>
      <c r="K352" s="19"/>
      <c r="L352" s="19"/>
      <c r="M352" s="146"/>
      <c r="N352" s="19"/>
      <c r="O352" s="19"/>
      <c r="P352" s="146"/>
      <c r="R352" s="25"/>
      <c r="S352" s="25"/>
      <c r="T352" s="25"/>
    </row>
    <row r="353" spans="1:20" x14ac:dyDescent="0.3">
      <c r="A353" s="19"/>
      <c r="B353" s="15"/>
      <c r="C353" s="15"/>
      <c r="D353" s="15"/>
      <c r="E353" s="15"/>
      <c r="F353" s="15"/>
      <c r="G353" s="15"/>
      <c r="H353" s="15"/>
      <c r="I353" s="15"/>
      <c r="J353" s="19"/>
      <c r="K353" s="19"/>
      <c r="L353" s="19"/>
      <c r="M353" s="146"/>
      <c r="N353" s="19"/>
      <c r="O353" s="19"/>
      <c r="P353" s="146"/>
      <c r="R353" s="25"/>
      <c r="S353" s="25"/>
      <c r="T353" s="25"/>
    </row>
    <row r="354" spans="1:20" x14ac:dyDescent="0.3">
      <c r="B354" s="15"/>
      <c r="C354" s="15"/>
      <c r="D354" s="15"/>
      <c r="E354" s="15"/>
      <c r="F354" s="15"/>
      <c r="G354" s="15"/>
      <c r="H354" s="15"/>
      <c r="I354" s="15"/>
      <c r="M354" s="25"/>
      <c r="P354" s="25"/>
      <c r="R354" s="25"/>
      <c r="S354" s="25"/>
      <c r="T354" s="25"/>
    </row>
    <row r="355" spans="1:20" x14ac:dyDescent="0.3">
      <c r="M355" s="25"/>
      <c r="P355" s="25"/>
      <c r="R355" s="25"/>
      <c r="S355" s="25"/>
      <c r="T355" s="25"/>
    </row>
    <row r="356" spans="1:20" x14ac:dyDescent="0.3">
      <c r="M356" s="25"/>
      <c r="P356" s="25"/>
      <c r="R356" s="25"/>
      <c r="S356" s="25"/>
      <c r="T356" s="25"/>
    </row>
    <row r="357" spans="1:20" x14ac:dyDescent="0.3">
      <c r="M357" s="25"/>
      <c r="P357" s="25"/>
      <c r="R357" s="25"/>
      <c r="S357" s="25"/>
      <c r="T357" s="25"/>
    </row>
    <row r="358" spans="1:20" x14ac:dyDescent="0.3">
      <c r="M358" s="25"/>
      <c r="P358" s="25"/>
      <c r="R358" s="25"/>
      <c r="S358" s="25"/>
      <c r="T358" s="25"/>
    </row>
    <row r="359" spans="1:20" x14ac:dyDescent="0.3">
      <c r="M359" s="25"/>
      <c r="P359" s="25"/>
      <c r="R359" s="25"/>
      <c r="S359" s="25"/>
      <c r="T359" s="25"/>
    </row>
    <row r="360" spans="1:20" x14ac:dyDescent="0.3">
      <c r="M360" s="25"/>
      <c r="P360" s="25"/>
      <c r="R360" s="25"/>
      <c r="S360" s="25"/>
      <c r="T360" s="25"/>
    </row>
    <row r="361" spans="1:20" x14ac:dyDescent="0.3">
      <c r="J361" s="8"/>
      <c r="K361" s="8"/>
      <c r="L361" s="8"/>
      <c r="M361" s="27"/>
      <c r="N361" s="10"/>
      <c r="O361" s="10"/>
      <c r="P361" s="27"/>
      <c r="R361" s="25"/>
      <c r="S361" s="25"/>
      <c r="T361" s="25"/>
    </row>
    <row r="362" spans="1:20" x14ac:dyDescent="0.3">
      <c r="J362" s="8"/>
      <c r="K362" s="8"/>
      <c r="L362" s="8"/>
      <c r="M362" s="27"/>
      <c r="N362" s="10"/>
      <c r="O362" s="10"/>
      <c r="P362" s="27"/>
      <c r="R362" s="25"/>
      <c r="S362" s="25"/>
      <c r="T362" s="25"/>
    </row>
    <row r="363" spans="1:20" x14ac:dyDescent="0.3">
      <c r="J363" s="8"/>
      <c r="K363" s="8"/>
      <c r="L363" s="8"/>
      <c r="M363" s="27"/>
      <c r="N363" s="10"/>
      <c r="O363" s="10"/>
      <c r="P363" s="27"/>
      <c r="R363" s="25"/>
      <c r="S363" s="25"/>
      <c r="T363" s="25"/>
    </row>
    <row r="364" spans="1:20" x14ac:dyDescent="0.3">
      <c r="J364" s="8"/>
      <c r="K364" s="8"/>
      <c r="L364" s="8"/>
      <c r="M364" s="27"/>
      <c r="N364" s="10"/>
      <c r="O364" s="10"/>
      <c r="P364" s="27"/>
      <c r="R364" s="25"/>
      <c r="S364" s="25"/>
      <c r="T364" s="25"/>
    </row>
    <row r="365" spans="1:20" x14ac:dyDescent="0.3">
      <c r="J365" s="8"/>
      <c r="K365" s="8"/>
      <c r="L365" s="8"/>
      <c r="M365" s="27"/>
      <c r="N365" s="10"/>
      <c r="O365" s="10"/>
      <c r="P365" s="27"/>
      <c r="R365" s="25"/>
      <c r="S365" s="25"/>
      <c r="T365" s="25"/>
    </row>
    <row r="366" spans="1:20" x14ac:dyDescent="0.3">
      <c r="J366" s="8"/>
      <c r="K366" s="8"/>
      <c r="L366" s="8"/>
      <c r="M366" s="27"/>
      <c r="N366" s="10"/>
      <c r="O366" s="10"/>
      <c r="P366" s="27"/>
      <c r="R366" s="25"/>
      <c r="S366" s="25"/>
      <c r="T366" s="25"/>
    </row>
    <row r="367" spans="1:20" x14ac:dyDescent="0.3">
      <c r="J367" s="8"/>
      <c r="K367" s="8"/>
      <c r="L367" s="8"/>
      <c r="M367" s="27"/>
      <c r="N367" s="10"/>
      <c r="O367" s="10"/>
      <c r="P367" s="27"/>
      <c r="R367" s="25"/>
      <c r="S367" s="25"/>
      <c r="T367" s="25"/>
    </row>
    <row r="368" spans="1:20" x14ac:dyDescent="0.3">
      <c r="J368" s="8"/>
      <c r="K368" s="8"/>
      <c r="L368" s="8"/>
      <c r="M368" s="27"/>
      <c r="N368" s="10"/>
      <c r="O368" s="10"/>
      <c r="P368" s="27"/>
      <c r="R368" s="25"/>
      <c r="S368" s="25"/>
      <c r="T368" s="25"/>
    </row>
    <row r="369" spans="10:20" x14ac:dyDescent="0.3">
      <c r="J369" s="8"/>
      <c r="K369" s="8"/>
      <c r="L369" s="8"/>
      <c r="M369" s="27"/>
      <c r="N369" s="10"/>
      <c r="O369" s="10"/>
      <c r="P369" s="27"/>
      <c r="R369" s="25"/>
      <c r="S369" s="25"/>
      <c r="T369" s="25"/>
    </row>
    <row r="370" spans="10:20" x14ac:dyDescent="0.3">
      <c r="J370" s="8"/>
      <c r="K370" s="8"/>
      <c r="L370" s="8"/>
      <c r="M370" s="27"/>
      <c r="N370" s="10"/>
      <c r="O370" s="10"/>
      <c r="P370" s="27"/>
      <c r="R370" s="25"/>
      <c r="S370" s="25"/>
      <c r="T370" s="25"/>
    </row>
    <row r="371" spans="10:20" x14ac:dyDescent="0.3">
      <c r="J371" s="8"/>
      <c r="K371" s="8"/>
      <c r="L371" s="8"/>
      <c r="M371" s="27"/>
      <c r="N371" s="10"/>
      <c r="O371" s="10"/>
      <c r="P371" s="27"/>
      <c r="R371" s="25"/>
      <c r="S371" s="25"/>
      <c r="T371" s="25"/>
    </row>
    <row r="372" spans="10:20" x14ac:dyDescent="0.3">
      <c r="J372" s="8"/>
      <c r="K372" s="8"/>
      <c r="L372" s="8"/>
      <c r="M372" s="26"/>
      <c r="N372" s="151"/>
      <c r="O372" s="151"/>
      <c r="P372" s="26"/>
      <c r="R372" s="25"/>
      <c r="S372" s="25"/>
      <c r="T372" s="25"/>
    </row>
    <row r="373" spans="10:20" x14ac:dyDescent="0.3">
      <c r="J373" s="8"/>
      <c r="K373" s="8"/>
      <c r="L373" s="8"/>
      <c r="M373" s="25"/>
      <c r="N373" s="10"/>
      <c r="O373" s="10"/>
      <c r="P373" s="25"/>
      <c r="R373" s="25"/>
      <c r="S373" s="25"/>
      <c r="T373" s="25"/>
    </row>
    <row r="374" spans="10:20" x14ac:dyDescent="0.3">
      <c r="J374" s="8"/>
      <c r="K374" s="8"/>
      <c r="L374" s="8"/>
      <c r="M374" s="25"/>
      <c r="P374" s="25"/>
      <c r="R374" s="25"/>
      <c r="S374" s="25"/>
      <c r="T374" s="25"/>
    </row>
    <row r="375" spans="10:20" x14ac:dyDescent="0.3">
      <c r="J375" s="8"/>
      <c r="K375" s="8"/>
      <c r="L375" s="8"/>
      <c r="M375" s="25"/>
      <c r="P375" s="25"/>
      <c r="R375" s="25"/>
      <c r="S375" s="25"/>
      <c r="T375" s="25"/>
    </row>
    <row r="376" spans="10:20" x14ac:dyDescent="0.3">
      <c r="J376" s="8"/>
      <c r="K376" s="8"/>
      <c r="L376" s="8"/>
      <c r="M376" s="25"/>
      <c r="P376" s="25"/>
      <c r="R376" s="25"/>
      <c r="S376" s="25"/>
      <c r="T376" s="25"/>
    </row>
    <row r="377" spans="10:20" x14ac:dyDescent="0.3">
      <c r="J377" s="8"/>
      <c r="K377" s="8"/>
      <c r="L377" s="8"/>
      <c r="M377" s="148"/>
      <c r="N377" s="10"/>
      <c r="O377" s="10"/>
      <c r="P377" s="27"/>
      <c r="R377" s="27"/>
      <c r="S377" s="27"/>
      <c r="T377" s="27"/>
    </row>
    <row r="378" spans="10:20" x14ac:dyDescent="0.3">
      <c r="J378" s="8"/>
      <c r="K378" s="8"/>
      <c r="L378" s="8"/>
      <c r="M378" s="148"/>
      <c r="N378" s="10"/>
      <c r="O378" s="10"/>
      <c r="P378" s="27"/>
      <c r="R378" s="27"/>
      <c r="S378" s="27"/>
      <c r="T378" s="27"/>
    </row>
    <row r="379" spans="10:20" x14ac:dyDescent="0.3">
      <c r="J379" s="8"/>
      <c r="K379" s="8"/>
      <c r="L379" s="8"/>
      <c r="M379" s="148"/>
      <c r="N379" s="10"/>
      <c r="O379" s="10"/>
      <c r="P379" s="27"/>
      <c r="R379" s="27"/>
      <c r="S379" s="27"/>
      <c r="T379" s="27"/>
    </row>
    <row r="380" spans="10:20" x14ac:dyDescent="0.3">
      <c r="J380" s="8"/>
      <c r="K380" s="8"/>
      <c r="L380" s="8"/>
      <c r="M380" s="148"/>
      <c r="N380" s="10"/>
      <c r="O380" s="10"/>
      <c r="P380" s="27"/>
      <c r="R380" s="27"/>
      <c r="S380" s="27"/>
      <c r="T380" s="27"/>
    </row>
    <row r="381" spans="10:20" x14ac:dyDescent="0.3">
      <c r="J381" s="8"/>
      <c r="K381" s="8"/>
      <c r="L381" s="8"/>
      <c r="M381" s="148"/>
      <c r="N381" s="10"/>
      <c r="O381" s="10"/>
      <c r="P381" s="27"/>
      <c r="R381" s="27"/>
      <c r="S381" s="27"/>
      <c r="T381" s="27"/>
    </row>
    <row r="382" spans="10:20" x14ac:dyDescent="0.3">
      <c r="J382" s="8"/>
      <c r="K382" s="8"/>
      <c r="L382" s="8"/>
      <c r="M382" s="148"/>
      <c r="N382" s="10"/>
      <c r="O382" s="10"/>
      <c r="P382" s="27"/>
      <c r="R382" s="27"/>
      <c r="S382" s="27"/>
      <c r="T382" s="27"/>
    </row>
    <row r="383" spans="10:20" x14ac:dyDescent="0.3">
      <c r="J383" s="8"/>
      <c r="K383" s="8"/>
      <c r="L383" s="8"/>
      <c r="M383" s="148"/>
      <c r="N383" s="10"/>
      <c r="O383" s="10"/>
      <c r="P383" s="27"/>
      <c r="R383" s="27"/>
      <c r="S383" s="27"/>
      <c r="T383" s="27"/>
    </row>
    <row r="384" spans="10:20" x14ac:dyDescent="0.3">
      <c r="J384" s="8"/>
      <c r="K384" s="8"/>
      <c r="L384" s="8"/>
      <c r="M384" s="148"/>
      <c r="N384" s="10"/>
      <c r="O384" s="10"/>
      <c r="P384" s="27"/>
      <c r="R384" s="27"/>
      <c r="S384" s="27"/>
      <c r="T384" s="27"/>
    </row>
    <row r="385" spans="10:20" x14ac:dyDescent="0.3">
      <c r="J385" s="8"/>
      <c r="K385" s="8"/>
      <c r="L385" s="8"/>
      <c r="M385" s="148"/>
      <c r="N385" s="10"/>
      <c r="O385" s="10"/>
      <c r="P385" s="27"/>
      <c r="R385" s="27"/>
      <c r="S385" s="27"/>
      <c r="T385" s="27"/>
    </row>
    <row r="386" spans="10:20" x14ac:dyDescent="0.3">
      <c r="J386" s="8"/>
      <c r="K386" s="8"/>
      <c r="L386" s="8"/>
      <c r="M386" s="148"/>
      <c r="N386" s="10"/>
      <c r="O386" s="10"/>
      <c r="P386" s="27"/>
      <c r="R386" s="27"/>
      <c r="S386" s="27"/>
      <c r="T386" s="27"/>
    </row>
    <row r="387" spans="10:20" x14ac:dyDescent="0.3">
      <c r="J387" s="8"/>
      <c r="K387" s="8"/>
      <c r="L387" s="8"/>
      <c r="M387" s="148"/>
      <c r="N387" s="10"/>
      <c r="O387" s="10"/>
      <c r="P387" s="27"/>
      <c r="R387" s="27"/>
      <c r="S387" s="27"/>
      <c r="T387" s="27"/>
    </row>
    <row r="388" spans="10:20" x14ac:dyDescent="0.3">
      <c r="J388" s="8"/>
      <c r="K388" s="8"/>
      <c r="L388" s="8"/>
      <c r="M388" s="150"/>
      <c r="N388" s="151"/>
      <c r="O388" s="151"/>
      <c r="P388" s="26"/>
      <c r="R388" s="26"/>
      <c r="S388" s="26"/>
      <c r="T388" s="26"/>
    </row>
    <row r="389" spans="10:20" x14ac:dyDescent="0.3">
      <c r="J389" s="152"/>
      <c r="K389" s="152"/>
      <c r="L389" s="152"/>
      <c r="M389" s="25"/>
      <c r="N389" s="10"/>
      <c r="O389" s="10"/>
      <c r="P389" s="25"/>
      <c r="R389" s="25"/>
      <c r="S389" s="25"/>
      <c r="T389" s="25"/>
    </row>
    <row r="390" spans="10:20" x14ac:dyDescent="0.3">
      <c r="M390" s="25"/>
      <c r="P390" s="25"/>
      <c r="R390" s="25"/>
      <c r="S390" s="25"/>
      <c r="T390" s="25"/>
    </row>
    <row r="391" spans="10:20" x14ac:dyDescent="0.3">
      <c r="M391" s="25"/>
      <c r="P391" s="25"/>
      <c r="R391" s="25"/>
      <c r="S391" s="25"/>
      <c r="T391" s="25"/>
    </row>
    <row r="392" spans="10:20" x14ac:dyDescent="0.3">
      <c r="M392" s="25"/>
      <c r="P392" s="25"/>
      <c r="R392" s="25"/>
      <c r="S392" s="25"/>
      <c r="T392" s="25"/>
    </row>
    <row r="393" spans="10:20" x14ac:dyDescent="0.3">
      <c r="M393" s="25"/>
      <c r="P393" s="25"/>
      <c r="R393" s="25"/>
      <c r="S393" s="25"/>
      <c r="T393" s="25"/>
    </row>
    <row r="394" spans="10:20" x14ac:dyDescent="0.3">
      <c r="M394" s="25"/>
      <c r="P394" s="25"/>
      <c r="R394" s="25"/>
      <c r="S394" s="25"/>
      <c r="T394" s="25"/>
    </row>
    <row r="395" spans="10:20" x14ac:dyDescent="0.3">
      <c r="M395" s="25"/>
      <c r="P395" s="25"/>
      <c r="R395" s="25"/>
      <c r="S395" s="25"/>
      <c r="T395" s="25"/>
    </row>
    <row r="396" spans="10:20" x14ac:dyDescent="0.3">
      <c r="M396" s="25"/>
      <c r="P396" s="25"/>
      <c r="R396" s="25"/>
      <c r="S396" s="25"/>
      <c r="T396" s="25"/>
    </row>
    <row r="397" spans="10:20" x14ac:dyDescent="0.3">
      <c r="M397" s="25"/>
      <c r="P397" s="25"/>
      <c r="R397" s="25"/>
      <c r="S397" s="25"/>
      <c r="T397" s="25"/>
    </row>
    <row r="398" spans="10:20" x14ac:dyDescent="0.3">
      <c r="M398" s="25"/>
      <c r="P398" s="25"/>
      <c r="R398" s="25"/>
      <c r="S398" s="25"/>
      <c r="T398" s="25"/>
    </row>
    <row r="399" spans="10:20" x14ac:dyDescent="0.3">
      <c r="M399" s="25"/>
      <c r="P399" s="25"/>
      <c r="R399" s="25"/>
      <c r="S399" s="25"/>
      <c r="T399" s="25"/>
    </row>
    <row r="400" spans="10:20" x14ac:dyDescent="0.3">
      <c r="K400" s="15"/>
      <c r="M400" s="25"/>
      <c r="P400" s="25"/>
      <c r="R400" s="25"/>
      <c r="S400" s="25"/>
      <c r="T400" s="25"/>
    </row>
    <row r="401" spans="1:20" x14ac:dyDescent="0.3">
      <c r="K401" s="15"/>
      <c r="M401" s="25"/>
      <c r="P401" s="25"/>
      <c r="R401" s="25"/>
      <c r="S401" s="25"/>
      <c r="T401" s="25"/>
    </row>
    <row r="402" spans="1:20" x14ac:dyDescent="0.3">
      <c r="K402" s="15"/>
      <c r="M402" s="25"/>
      <c r="P402" s="148"/>
      <c r="R402" s="25"/>
      <c r="S402" s="25"/>
      <c r="T402" s="25"/>
    </row>
    <row r="403" spans="1:20" x14ac:dyDescent="0.3">
      <c r="M403" s="25"/>
      <c r="P403" s="25"/>
      <c r="R403" s="25"/>
      <c r="S403" s="25"/>
      <c r="T403" s="25"/>
    </row>
    <row r="404" spans="1:20" x14ac:dyDescent="0.3">
      <c r="J404" s="19"/>
      <c r="K404" s="19"/>
      <c r="L404" s="19"/>
      <c r="M404" s="153"/>
      <c r="N404" s="19"/>
      <c r="O404" s="19"/>
      <c r="P404" s="146"/>
      <c r="R404" s="25"/>
      <c r="S404" s="25"/>
      <c r="T404" s="25"/>
    </row>
    <row r="405" spans="1:20" x14ac:dyDescent="0.3">
      <c r="A405" s="19"/>
      <c r="B405" s="15"/>
      <c r="C405" s="15"/>
      <c r="D405" s="15"/>
      <c r="E405" s="15"/>
      <c r="F405" s="15"/>
      <c r="G405" s="15"/>
      <c r="H405" s="15"/>
      <c r="I405" s="15"/>
      <c r="J405" s="19"/>
      <c r="K405" s="19"/>
      <c r="L405" s="19"/>
      <c r="M405" s="146"/>
      <c r="N405" s="19"/>
      <c r="O405" s="19"/>
      <c r="P405" s="146"/>
      <c r="R405" s="25"/>
      <c r="S405" s="25"/>
      <c r="T405" s="25"/>
    </row>
    <row r="406" spans="1:2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54"/>
      <c r="N406" s="2"/>
      <c r="O406" s="2"/>
      <c r="P406" s="154"/>
      <c r="R406" s="25"/>
      <c r="S406" s="25"/>
      <c r="T406" s="25"/>
    </row>
    <row r="407" spans="1:20" x14ac:dyDescent="0.3">
      <c r="A407" s="19"/>
      <c r="B407" s="15"/>
      <c r="C407" s="15"/>
      <c r="D407" s="15"/>
      <c r="E407" s="15"/>
      <c r="F407" s="15"/>
      <c r="G407" s="15"/>
      <c r="H407" s="15"/>
      <c r="I407" s="15"/>
      <c r="J407" s="19"/>
      <c r="K407" s="19"/>
      <c r="L407" s="19"/>
      <c r="M407" s="146"/>
      <c r="N407" s="19"/>
      <c r="O407" s="19"/>
      <c r="P407" s="146"/>
      <c r="R407" s="25"/>
      <c r="S407" s="25"/>
      <c r="T407" s="25"/>
    </row>
    <row r="408" spans="1:20" x14ac:dyDescent="0.3">
      <c r="A408" s="19"/>
      <c r="B408" s="15"/>
      <c r="C408" s="15"/>
      <c r="D408" s="15"/>
      <c r="E408" s="15"/>
      <c r="F408" s="15"/>
      <c r="G408" s="15"/>
      <c r="H408" s="15"/>
      <c r="I408" s="15"/>
      <c r="J408" s="19"/>
      <c r="K408" s="19"/>
      <c r="L408" s="19"/>
      <c r="M408" s="146"/>
      <c r="N408" s="19"/>
      <c r="O408" s="19"/>
      <c r="P408" s="146"/>
      <c r="R408" s="25"/>
      <c r="S408" s="25"/>
      <c r="T408" s="25"/>
    </row>
    <row r="409" spans="1:20" x14ac:dyDescent="0.3">
      <c r="B409" s="15"/>
      <c r="C409" s="15"/>
      <c r="D409" s="15"/>
      <c r="E409" s="15"/>
      <c r="F409" s="15"/>
      <c r="G409" s="15"/>
      <c r="H409" s="15"/>
      <c r="I409" s="15"/>
      <c r="M409" s="25"/>
      <c r="P409" s="25"/>
      <c r="R409" s="25"/>
      <c r="S409" s="25"/>
      <c r="T409" s="25"/>
    </row>
    <row r="410" spans="1:20" x14ac:dyDescent="0.3">
      <c r="M410" s="25"/>
      <c r="P410" s="25"/>
      <c r="R410" s="25"/>
      <c r="S410" s="25"/>
      <c r="T410" s="25"/>
    </row>
    <row r="411" spans="1:20" x14ac:dyDescent="0.3">
      <c r="M411" s="25"/>
      <c r="P411" s="25"/>
      <c r="R411" s="25"/>
      <c r="S411" s="25"/>
      <c r="T411" s="25"/>
    </row>
    <row r="412" spans="1:20" x14ac:dyDescent="0.3">
      <c r="R412" s="25"/>
      <c r="S412" s="25"/>
      <c r="T412" s="25"/>
    </row>
    <row r="413" spans="1:20" x14ac:dyDescent="0.3">
      <c r="R413" s="25"/>
      <c r="S413" s="25"/>
      <c r="T413" s="25"/>
    </row>
    <row r="414" spans="1:20" x14ac:dyDescent="0.3">
      <c r="M414" s="25"/>
      <c r="P414" s="25"/>
      <c r="R414" s="25"/>
      <c r="S414" s="25"/>
      <c r="T414" s="25"/>
    </row>
    <row r="415" spans="1:20" x14ac:dyDescent="0.3">
      <c r="M415" s="25"/>
      <c r="P415" s="25"/>
      <c r="R415" s="25"/>
      <c r="S415" s="25"/>
      <c r="T415" s="25"/>
    </row>
    <row r="416" spans="1:20" x14ac:dyDescent="0.3">
      <c r="J416" s="8"/>
      <c r="K416" s="8"/>
      <c r="L416" s="8"/>
      <c r="M416" s="27"/>
      <c r="N416" s="10"/>
      <c r="O416" s="10"/>
      <c r="P416" s="27"/>
      <c r="R416" s="25"/>
      <c r="S416" s="25"/>
      <c r="T416" s="25"/>
    </row>
    <row r="417" spans="10:20" x14ac:dyDescent="0.3">
      <c r="J417" s="8"/>
      <c r="K417" s="8"/>
      <c r="L417" s="8"/>
      <c r="M417" s="27"/>
      <c r="N417" s="10"/>
      <c r="O417" s="10"/>
      <c r="P417" s="27"/>
      <c r="R417" s="25"/>
      <c r="S417" s="25"/>
      <c r="T417" s="25"/>
    </row>
    <row r="418" spans="10:20" x14ac:dyDescent="0.3">
      <c r="J418" s="8"/>
      <c r="K418" s="8"/>
      <c r="L418" s="8"/>
      <c r="M418" s="27"/>
      <c r="N418" s="10"/>
      <c r="O418" s="10"/>
      <c r="P418" s="27"/>
      <c r="R418" s="25"/>
      <c r="S418" s="25"/>
      <c r="T418" s="25"/>
    </row>
    <row r="419" spans="10:20" x14ac:dyDescent="0.3">
      <c r="J419" s="8"/>
      <c r="K419" s="8"/>
      <c r="L419" s="8"/>
      <c r="M419" s="27"/>
      <c r="N419" s="10"/>
      <c r="O419" s="10"/>
      <c r="P419" s="27"/>
      <c r="R419" s="25"/>
      <c r="S419" s="25"/>
      <c r="T419" s="25"/>
    </row>
    <row r="420" spans="10:20" x14ac:dyDescent="0.3">
      <c r="J420" s="8"/>
      <c r="K420" s="8"/>
      <c r="L420" s="8"/>
      <c r="M420" s="27"/>
      <c r="N420" s="10"/>
      <c r="O420" s="10"/>
      <c r="P420" s="27"/>
      <c r="R420" s="25"/>
      <c r="S420" s="25"/>
      <c r="T420" s="25"/>
    </row>
    <row r="421" spans="10:20" x14ac:dyDescent="0.3">
      <c r="J421" s="8"/>
      <c r="K421" s="8"/>
      <c r="L421" s="8"/>
      <c r="M421" s="27"/>
      <c r="N421" s="10"/>
      <c r="O421" s="10"/>
      <c r="P421" s="27"/>
      <c r="R421" s="25"/>
      <c r="S421" s="25"/>
      <c r="T421" s="25"/>
    </row>
    <row r="422" spans="10:20" x14ac:dyDescent="0.3">
      <c r="J422" s="8"/>
      <c r="K422" s="8"/>
      <c r="L422" s="8"/>
      <c r="M422" s="27"/>
      <c r="N422" s="10"/>
      <c r="O422" s="10"/>
      <c r="P422" s="27"/>
      <c r="R422" s="25"/>
      <c r="S422" s="25"/>
      <c r="T422" s="25"/>
    </row>
    <row r="423" spans="10:20" x14ac:dyDescent="0.3">
      <c r="J423" s="8"/>
      <c r="K423" s="8"/>
      <c r="L423" s="8"/>
      <c r="M423" s="27"/>
      <c r="N423" s="10"/>
      <c r="O423" s="10"/>
      <c r="P423" s="27"/>
      <c r="R423" s="25"/>
      <c r="S423" s="25"/>
      <c r="T423" s="25"/>
    </row>
    <row r="424" spans="10:20" x14ac:dyDescent="0.3">
      <c r="J424" s="8"/>
      <c r="K424" s="8"/>
      <c r="L424" s="8"/>
      <c r="M424" s="27"/>
      <c r="N424" s="10"/>
      <c r="O424" s="10"/>
      <c r="P424" s="27"/>
      <c r="R424" s="25"/>
      <c r="S424" s="25"/>
      <c r="T424" s="25"/>
    </row>
    <row r="425" spans="10:20" x14ac:dyDescent="0.3">
      <c r="J425" s="8"/>
      <c r="K425" s="8"/>
      <c r="L425" s="8"/>
      <c r="M425" s="27"/>
      <c r="N425" s="10"/>
      <c r="O425" s="10"/>
      <c r="P425" s="27"/>
      <c r="R425" s="25"/>
      <c r="S425" s="25"/>
      <c r="T425" s="25"/>
    </row>
    <row r="426" spans="10:20" x14ac:dyDescent="0.3">
      <c r="J426" s="8"/>
      <c r="K426" s="8"/>
      <c r="L426" s="8"/>
      <c r="M426" s="27"/>
      <c r="N426" s="10"/>
      <c r="O426" s="10"/>
      <c r="P426" s="27"/>
      <c r="R426" s="25"/>
      <c r="S426" s="25"/>
      <c r="T426" s="25"/>
    </row>
    <row r="427" spans="10:20" x14ac:dyDescent="0.3">
      <c r="J427" s="8"/>
      <c r="K427" s="8"/>
      <c r="L427" s="8"/>
      <c r="M427" s="26"/>
      <c r="N427" s="151"/>
      <c r="O427" s="151"/>
      <c r="P427" s="26"/>
      <c r="R427" s="25"/>
      <c r="S427" s="25"/>
      <c r="T427" s="25"/>
    </row>
    <row r="428" spans="10:20" x14ac:dyDescent="0.3">
      <c r="J428" s="8"/>
      <c r="K428" s="8"/>
      <c r="L428" s="8"/>
      <c r="M428" s="25"/>
      <c r="N428" s="10"/>
      <c r="O428" s="10"/>
      <c r="P428" s="25"/>
      <c r="R428" s="25"/>
      <c r="S428" s="25"/>
      <c r="T428" s="25"/>
    </row>
    <row r="429" spans="10:20" x14ac:dyDescent="0.3">
      <c r="J429" s="8"/>
      <c r="K429" s="8"/>
      <c r="L429" s="8"/>
      <c r="M429" s="25"/>
      <c r="P429" s="25"/>
      <c r="R429" s="25"/>
      <c r="S429" s="25"/>
      <c r="T429" s="25"/>
    </row>
    <row r="430" spans="10:20" x14ac:dyDescent="0.3">
      <c r="J430" s="8"/>
      <c r="K430" s="8"/>
      <c r="L430" s="8"/>
      <c r="M430" s="25"/>
      <c r="P430" s="25"/>
      <c r="R430" s="25"/>
      <c r="S430" s="25"/>
      <c r="T430" s="25"/>
    </row>
    <row r="431" spans="10:20" x14ac:dyDescent="0.3">
      <c r="J431" s="8"/>
      <c r="K431" s="8"/>
      <c r="L431" s="8"/>
      <c r="M431" s="25"/>
      <c r="P431" s="25"/>
      <c r="R431" s="25"/>
      <c r="S431" s="25"/>
      <c r="T431" s="25"/>
    </row>
    <row r="432" spans="10:20" x14ac:dyDescent="0.3">
      <c r="J432" s="8"/>
      <c r="K432" s="8"/>
      <c r="L432" s="8"/>
      <c r="M432" s="27"/>
      <c r="N432" s="10"/>
      <c r="O432" s="10"/>
      <c r="P432" s="27"/>
      <c r="R432" s="25"/>
      <c r="S432" s="25"/>
      <c r="T432" s="25"/>
    </row>
    <row r="433" spans="10:20" x14ac:dyDescent="0.3">
      <c r="J433" s="8"/>
      <c r="K433" s="8"/>
      <c r="L433" s="8"/>
      <c r="M433" s="27"/>
      <c r="N433" s="10"/>
      <c r="O433" s="10"/>
      <c r="P433" s="27"/>
      <c r="R433" s="25"/>
      <c r="S433" s="25"/>
      <c r="T433" s="25"/>
    </row>
    <row r="434" spans="10:20" x14ac:dyDescent="0.3">
      <c r="J434" s="8"/>
      <c r="K434" s="8"/>
      <c r="L434" s="8"/>
      <c r="M434" s="27"/>
      <c r="N434" s="10"/>
      <c r="O434" s="10"/>
      <c r="P434" s="27"/>
      <c r="R434" s="25"/>
      <c r="S434" s="25"/>
      <c r="T434" s="25"/>
    </row>
    <row r="435" spans="10:20" x14ac:dyDescent="0.3">
      <c r="J435" s="8"/>
      <c r="K435" s="8"/>
      <c r="L435" s="8"/>
      <c r="M435" s="27"/>
      <c r="N435" s="10"/>
      <c r="O435" s="10"/>
      <c r="P435" s="27"/>
      <c r="R435" s="25"/>
      <c r="S435" s="25"/>
      <c r="T435" s="25"/>
    </row>
    <row r="436" spans="10:20" x14ac:dyDescent="0.3">
      <c r="J436" s="8"/>
      <c r="K436" s="8"/>
      <c r="L436" s="8"/>
      <c r="M436" s="27"/>
      <c r="N436" s="10"/>
      <c r="O436" s="10"/>
      <c r="P436" s="27"/>
      <c r="R436" s="25"/>
      <c r="S436" s="25"/>
      <c r="T436" s="25"/>
    </row>
    <row r="437" spans="10:20" x14ac:dyDescent="0.3">
      <c r="J437" s="8"/>
      <c r="K437" s="8"/>
      <c r="L437" s="8"/>
      <c r="M437" s="27"/>
      <c r="N437" s="10"/>
      <c r="O437" s="10"/>
      <c r="P437" s="27"/>
      <c r="R437" s="25"/>
      <c r="S437" s="25"/>
      <c r="T437" s="25"/>
    </row>
    <row r="438" spans="10:20" x14ac:dyDescent="0.3">
      <c r="J438" s="8"/>
      <c r="K438" s="8"/>
      <c r="L438" s="8"/>
      <c r="M438" s="27"/>
      <c r="N438" s="10"/>
      <c r="O438" s="10"/>
      <c r="P438" s="27"/>
      <c r="R438" s="25"/>
      <c r="S438" s="25"/>
      <c r="T438" s="25"/>
    </row>
    <row r="439" spans="10:20" x14ac:dyDescent="0.3">
      <c r="J439" s="8"/>
      <c r="K439" s="8"/>
      <c r="L439" s="8"/>
      <c r="M439" s="27"/>
      <c r="N439" s="10"/>
      <c r="O439" s="10"/>
      <c r="P439" s="27"/>
      <c r="R439" s="25"/>
      <c r="S439" s="25"/>
      <c r="T439" s="25"/>
    </row>
    <row r="440" spans="10:20" x14ac:dyDescent="0.3">
      <c r="J440" s="8"/>
      <c r="K440" s="8"/>
      <c r="L440" s="8"/>
      <c r="M440" s="27"/>
      <c r="N440" s="10"/>
      <c r="O440" s="10"/>
      <c r="P440" s="27"/>
      <c r="R440" s="25"/>
      <c r="S440" s="25"/>
      <c r="T440" s="25"/>
    </row>
    <row r="441" spans="10:20" x14ac:dyDescent="0.3">
      <c r="J441" s="8"/>
      <c r="K441" s="8"/>
      <c r="L441" s="8"/>
      <c r="M441" s="27"/>
      <c r="N441" s="10"/>
      <c r="O441" s="10"/>
      <c r="P441" s="27"/>
      <c r="R441" s="25"/>
      <c r="S441" s="25"/>
      <c r="T441" s="25"/>
    </row>
    <row r="442" spans="10:20" x14ac:dyDescent="0.3">
      <c r="J442" s="8"/>
      <c r="K442" s="8"/>
      <c r="L442" s="8"/>
      <c r="M442" s="27"/>
      <c r="N442" s="10"/>
      <c r="O442" s="10"/>
      <c r="P442" s="27"/>
      <c r="R442" s="25"/>
      <c r="S442" s="25"/>
      <c r="T442" s="25"/>
    </row>
    <row r="443" spans="10:20" x14ac:dyDescent="0.3">
      <c r="J443" s="8"/>
      <c r="K443" s="8"/>
      <c r="L443" s="8"/>
      <c r="M443" s="26"/>
      <c r="N443" s="151"/>
      <c r="O443" s="151"/>
      <c r="P443" s="26"/>
      <c r="R443" s="25"/>
      <c r="S443" s="25"/>
      <c r="T443" s="25"/>
    </row>
    <row r="444" spans="10:20" x14ac:dyDescent="0.3">
      <c r="J444" s="152"/>
      <c r="K444" s="152"/>
      <c r="L444" s="152"/>
      <c r="M444" s="25"/>
      <c r="N444" s="10"/>
      <c r="O444" s="10"/>
      <c r="P444" s="25"/>
      <c r="R444" s="25"/>
      <c r="S444" s="25"/>
      <c r="T444" s="25"/>
    </row>
    <row r="445" spans="10:20" x14ac:dyDescent="0.3">
      <c r="M445" s="25"/>
      <c r="P445" s="25"/>
      <c r="R445" s="25"/>
      <c r="S445" s="25"/>
      <c r="T445" s="25"/>
    </row>
    <row r="446" spans="10:20" x14ac:dyDescent="0.3">
      <c r="M446" s="25"/>
      <c r="P446" s="25"/>
      <c r="R446" s="25"/>
      <c r="S446" s="25"/>
      <c r="T446" s="25"/>
    </row>
    <row r="447" spans="10:20" x14ac:dyDescent="0.3">
      <c r="M447" s="25"/>
      <c r="P447" s="25"/>
      <c r="R447" s="25"/>
      <c r="S447" s="25"/>
      <c r="T447" s="25"/>
    </row>
    <row r="448" spans="10:20" x14ac:dyDescent="0.3">
      <c r="M448" s="25"/>
      <c r="P448" s="25"/>
      <c r="R448" s="25"/>
      <c r="S448" s="25"/>
      <c r="T448" s="25"/>
    </row>
    <row r="449" spans="1:20" x14ac:dyDescent="0.3">
      <c r="M449" s="25"/>
      <c r="P449" s="25"/>
      <c r="R449" s="25"/>
      <c r="S449" s="25"/>
      <c r="T449" s="25"/>
    </row>
    <row r="450" spans="1:20" x14ac:dyDescent="0.3">
      <c r="M450" s="25"/>
      <c r="P450" s="25"/>
      <c r="R450" s="25"/>
      <c r="S450" s="25"/>
      <c r="T450" s="25"/>
    </row>
    <row r="451" spans="1:20" x14ac:dyDescent="0.3">
      <c r="M451" s="25"/>
      <c r="P451" s="25"/>
      <c r="R451" s="25"/>
      <c r="S451" s="25"/>
      <c r="T451" s="25"/>
    </row>
    <row r="452" spans="1:20" x14ac:dyDescent="0.3">
      <c r="M452" s="25"/>
      <c r="P452" s="25"/>
      <c r="R452" s="25"/>
      <c r="S452" s="25"/>
      <c r="T452" s="25"/>
    </row>
    <row r="453" spans="1:20" x14ac:dyDescent="0.3">
      <c r="M453" s="25"/>
      <c r="P453" s="25"/>
      <c r="R453" s="25"/>
      <c r="S453" s="25"/>
      <c r="T453" s="25"/>
    </row>
    <row r="454" spans="1:20" x14ac:dyDescent="0.3">
      <c r="M454" s="25"/>
      <c r="P454" s="25"/>
      <c r="R454" s="25"/>
      <c r="S454" s="25"/>
      <c r="T454" s="25"/>
    </row>
    <row r="455" spans="1:20" x14ac:dyDescent="0.3">
      <c r="K455" s="15"/>
      <c r="M455" s="25"/>
      <c r="P455" s="25"/>
      <c r="R455" s="25"/>
      <c r="S455" s="25"/>
      <c r="T455" s="25"/>
    </row>
    <row r="456" spans="1:20" x14ac:dyDescent="0.3">
      <c r="K456" s="15"/>
      <c r="M456" s="25"/>
      <c r="P456" s="25"/>
      <c r="R456" s="25"/>
      <c r="S456" s="25"/>
      <c r="T456" s="25"/>
    </row>
    <row r="457" spans="1:20" x14ac:dyDescent="0.3">
      <c r="K457" s="15"/>
      <c r="M457" s="25"/>
      <c r="P457" s="148"/>
      <c r="R457" s="25"/>
      <c r="S457" s="25"/>
      <c r="T457" s="25"/>
    </row>
    <row r="458" spans="1:20" x14ac:dyDescent="0.3">
      <c r="M458" s="25"/>
      <c r="P458" s="25"/>
      <c r="R458" s="25"/>
      <c r="S458" s="25"/>
      <c r="T458" s="25"/>
    </row>
    <row r="459" spans="1:20" x14ac:dyDescent="0.3">
      <c r="J459" s="19"/>
      <c r="K459" s="19"/>
      <c r="L459" s="19"/>
      <c r="M459" s="153"/>
      <c r="N459" s="19"/>
      <c r="O459" s="19"/>
      <c r="P459" s="146"/>
      <c r="R459" s="25"/>
      <c r="S459" s="25"/>
      <c r="T459" s="25"/>
    </row>
    <row r="460" spans="1:20" x14ac:dyDescent="0.3">
      <c r="A460" s="19"/>
      <c r="B460" s="15"/>
      <c r="C460" s="15"/>
      <c r="D460" s="15"/>
      <c r="E460" s="15"/>
      <c r="F460" s="15"/>
      <c r="G460" s="15"/>
      <c r="H460" s="15"/>
      <c r="I460" s="15"/>
      <c r="J460" s="19"/>
      <c r="K460" s="19"/>
      <c r="L460" s="19"/>
      <c r="M460" s="146"/>
      <c r="N460" s="19"/>
      <c r="O460" s="19"/>
      <c r="P460" s="146"/>
      <c r="R460" s="25"/>
      <c r="S460" s="25"/>
      <c r="T460" s="25"/>
    </row>
    <row r="461" spans="1:2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54"/>
      <c r="N461" s="2"/>
      <c r="O461" s="2"/>
      <c r="P461" s="154"/>
      <c r="R461" s="25"/>
      <c r="S461" s="25"/>
      <c r="T461" s="25"/>
    </row>
    <row r="462" spans="1:20" x14ac:dyDescent="0.3">
      <c r="A462" s="19"/>
      <c r="B462" s="15"/>
      <c r="C462" s="15"/>
      <c r="D462" s="15"/>
      <c r="E462" s="15"/>
      <c r="F462" s="15"/>
      <c r="G462" s="15"/>
      <c r="H462" s="15"/>
      <c r="I462" s="15"/>
      <c r="J462" s="19"/>
      <c r="K462" s="19"/>
      <c r="L462" s="19"/>
      <c r="M462" s="146"/>
      <c r="N462" s="19"/>
      <c r="O462" s="19"/>
      <c r="P462" s="146"/>
      <c r="R462" s="25"/>
      <c r="S462" s="25"/>
      <c r="T462" s="25"/>
    </row>
    <row r="463" spans="1:20" x14ac:dyDescent="0.3">
      <c r="A463" s="19"/>
      <c r="B463" s="15"/>
      <c r="C463" s="15"/>
      <c r="D463" s="15"/>
      <c r="E463" s="15"/>
      <c r="F463" s="15"/>
      <c r="G463" s="15"/>
      <c r="H463" s="15"/>
      <c r="I463" s="15"/>
      <c r="J463" s="19"/>
      <c r="K463" s="19"/>
      <c r="L463" s="19"/>
      <c r="M463" s="146"/>
      <c r="N463" s="19"/>
      <c r="O463" s="19"/>
      <c r="P463" s="146"/>
      <c r="R463" s="25"/>
      <c r="S463" s="25"/>
      <c r="T463" s="25"/>
    </row>
    <row r="464" spans="1:20" x14ac:dyDescent="0.3">
      <c r="B464" s="15"/>
      <c r="C464" s="15"/>
      <c r="D464" s="15"/>
      <c r="E464" s="15"/>
      <c r="F464" s="15"/>
      <c r="G464" s="15"/>
      <c r="H464" s="15"/>
      <c r="I464" s="15"/>
      <c r="M464" s="25"/>
      <c r="P464" s="25"/>
      <c r="R464" s="25"/>
      <c r="S464" s="25"/>
      <c r="T464" s="25"/>
    </row>
    <row r="465" spans="10:20" x14ac:dyDescent="0.3">
      <c r="R465" s="25"/>
      <c r="S465" s="25"/>
      <c r="T465" s="25"/>
    </row>
    <row r="466" spans="10:20" x14ac:dyDescent="0.3">
      <c r="R466" s="25"/>
      <c r="S466" s="25"/>
      <c r="T466" s="25"/>
    </row>
    <row r="467" spans="10:20" x14ac:dyDescent="0.3">
      <c r="M467" s="25"/>
      <c r="P467" s="25"/>
      <c r="R467" s="25"/>
      <c r="S467" s="25"/>
      <c r="T467" s="25"/>
    </row>
    <row r="468" spans="10:20" x14ac:dyDescent="0.3">
      <c r="M468" s="25"/>
      <c r="P468" s="25"/>
      <c r="R468" s="25"/>
      <c r="S468" s="25"/>
      <c r="T468" s="25"/>
    </row>
    <row r="469" spans="10:20" x14ac:dyDescent="0.3">
      <c r="M469" s="25"/>
      <c r="P469" s="25"/>
      <c r="R469" s="25"/>
      <c r="S469" s="25"/>
      <c r="T469" s="25"/>
    </row>
    <row r="470" spans="10:20" x14ac:dyDescent="0.3">
      <c r="M470" s="25"/>
      <c r="P470" s="25"/>
      <c r="R470" s="25"/>
      <c r="S470" s="25"/>
      <c r="T470" s="25"/>
    </row>
    <row r="471" spans="10:20" x14ac:dyDescent="0.3">
      <c r="J471" s="8"/>
      <c r="K471" s="8"/>
      <c r="L471" s="8"/>
      <c r="M471" s="27"/>
      <c r="N471" s="10"/>
      <c r="O471" s="10"/>
      <c r="P471" s="27"/>
      <c r="R471" s="25"/>
      <c r="S471" s="25"/>
      <c r="T471" s="25"/>
    </row>
    <row r="472" spans="10:20" x14ac:dyDescent="0.3">
      <c r="J472" s="8"/>
      <c r="K472" s="8"/>
      <c r="L472" s="8"/>
      <c r="M472" s="27"/>
      <c r="N472" s="10"/>
      <c r="O472" s="10"/>
      <c r="P472" s="27"/>
      <c r="R472" s="25"/>
      <c r="S472" s="25"/>
      <c r="T472" s="25"/>
    </row>
    <row r="473" spans="10:20" x14ac:dyDescent="0.3">
      <c r="J473" s="8"/>
      <c r="K473" s="8"/>
      <c r="L473" s="8"/>
      <c r="M473" s="27"/>
      <c r="N473" s="10"/>
      <c r="O473" s="10"/>
      <c r="P473" s="27"/>
      <c r="R473" s="25"/>
      <c r="S473" s="25"/>
      <c r="T473" s="25"/>
    </row>
    <row r="474" spans="10:20" x14ac:dyDescent="0.3">
      <c r="J474" s="8"/>
      <c r="K474" s="8"/>
      <c r="L474" s="8"/>
      <c r="M474" s="27"/>
      <c r="N474" s="10"/>
      <c r="O474" s="10"/>
      <c r="P474" s="27"/>
      <c r="R474" s="25"/>
      <c r="S474" s="25"/>
      <c r="T474" s="25"/>
    </row>
    <row r="475" spans="10:20" x14ac:dyDescent="0.3">
      <c r="J475" s="8"/>
      <c r="K475" s="8"/>
      <c r="L475" s="8"/>
      <c r="M475" s="27"/>
      <c r="N475" s="10"/>
      <c r="O475" s="10"/>
      <c r="P475" s="27"/>
      <c r="R475" s="25"/>
      <c r="S475" s="25"/>
      <c r="T475" s="25"/>
    </row>
    <row r="476" spans="10:20" x14ac:dyDescent="0.3">
      <c r="J476" s="8"/>
      <c r="K476" s="8"/>
      <c r="L476" s="8"/>
      <c r="M476" s="27"/>
      <c r="N476" s="10"/>
      <c r="O476" s="10"/>
      <c r="P476" s="27"/>
      <c r="R476" s="25"/>
      <c r="S476" s="25"/>
      <c r="T476" s="25"/>
    </row>
    <row r="477" spans="10:20" x14ac:dyDescent="0.3">
      <c r="J477" s="8"/>
      <c r="K477" s="8"/>
      <c r="L477" s="8"/>
      <c r="M477" s="27"/>
      <c r="N477" s="10"/>
      <c r="O477" s="10"/>
      <c r="P477" s="27"/>
      <c r="R477" s="25"/>
      <c r="S477" s="25"/>
      <c r="T477" s="25"/>
    </row>
    <row r="478" spans="10:20" x14ac:dyDescent="0.3">
      <c r="J478" s="8"/>
      <c r="K478" s="8"/>
      <c r="L478" s="8"/>
      <c r="M478" s="27"/>
      <c r="N478" s="10"/>
      <c r="O478" s="10"/>
      <c r="P478" s="27"/>
      <c r="R478" s="25"/>
      <c r="S478" s="25"/>
      <c r="T478" s="25"/>
    </row>
    <row r="479" spans="10:20" x14ac:dyDescent="0.3">
      <c r="J479" s="8"/>
      <c r="K479" s="8"/>
      <c r="L479" s="8"/>
      <c r="M479" s="27"/>
      <c r="N479" s="10"/>
      <c r="O479" s="10"/>
      <c r="P479" s="27"/>
      <c r="R479" s="25"/>
      <c r="S479" s="25"/>
      <c r="T479" s="25"/>
    </row>
    <row r="480" spans="10:20" x14ac:dyDescent="0.3">
      <c r="J480" s="8"/>
      <c r="K480" s="8"/>
      <c r="L480" s="8"/>
      <c r="M480" s="27"/>
      <c r="N480" s="10"/>
      <c r="O480" s="10"/>
      <c r="P480" s="27"/>
      <c r="R480" s="25"/>
      <c r="S480" s="25"/>
      <c r="T480" s="25"/>
    </row>
    <row r="481" spans="10:20" x14ac:dyDescent="0.3">
      <c r="J481" s="8"/>
      <c r="K481" s="8"/>
      <c r="L481" s="8"/>
      <c r="M481" s="27"/>
      <c r="N481" s="10"/>
      <c r="O481" s="10"/>
      <c r="P481" s="27"/>
      <c r="R481" s="25"/>
      <c r="S481" s="25"/>
      <c r="T481" s="25"/>
    </row>
    <row r="482" spans="10:20" x14ac:dyDescent="0.3">
      <c r="J482" s="8"/>
      <c r="K482" s="8"/>
      <c r="L482" s="8"/>
      <c r="M482" s="26"/>
      <c r="N482" s="151"/>
      <c r="O482" s="151"/>
      <c r="P482" s="26"/>
      <c r="R482" s="25"/>
      <c r="S482" s="25"/>
      <c r="T482" s="25"/>
    </row>
    <row r="483" spans="10:20" x14ac:dyDescent="0.3">
      <c r="J483" s="8"/>
      <c r="K483" s="8"/>
      <c r="L483" s="8"/>
      <c r="M483" s="25"/>
      <c r="N483" s="10"/>
      <c r="O483" s="10"/>
      <c r="P483" s="25"/>
      <c r="R483" s="25"/>
      <c r="S483" s="25"/>
      <c r="T483" s="25"/>
    </row>
    <row r="484" spans="10:20" x14ac:dyDescent="0.3">
      <c r="J484" s="8"/>
      <c r="K484" s="8"/>
      <c r="L484" s="8"/>
      <c r="M484" s="25"/>
      <c r="P484" s="25"/>
      <c r="R484" s="25"/>
      <c r="S484" s="25"/>
      <c r="T484" s="25"/>
    </row>
    <row r="485" spans="10:20" x14ac:dyDescent="0.3">
      <c r="J485" s="8"/>
      <c r="K485" s="8"/>
      <c r="L485" s="8"/>
      <c r="M485" s="25"/>
      <c r="P485" s="25"/>
      <c r="R485" s="25"/>
      <c r="S485" s="25"/>
      <c r="T485" s="25"/>
    </row>
    <row r="486" spans="10:20" x14ac:dyDescent="0.3">
      <c r="J486" s="8"/>
      <c r="K486" s="8"/>
      <c r="L486" s="8"/>
      <c r="M486" s="25"/>
      <c r="P486" s="25"/>
      <c r="R486" s="25"/>
      <c r="S486" s="25"/>
      <c r="T486" s="25"/>
    </row>
    <row r="487" spans="10:20" x14ac:dyDescent="0.3">
      <c r="J487" s="8"/>
      <c r="K487" s="8"/>
      <c r="L487" s="8"/>
      <c r="M487" s="27"/>
      <c r="N487" s="10"/>
      <c r="O487" s="10"/>
      <c r="P487" s="27"/>
      <c r="R487" s="25"/>
      <c r="S487" s="25"/>
      <c r="T487" s="25"/>
    </row>
    <row r="488" spans="10:20" x14ac:dyDescent="0.3">
      <c r="J488" s="8"/>
      <c r="K488" s="8"/>
      <c r="L488" s="8"/>
      <c r="M488" s="27"/>
      <c r="N488" s="10"/>
      <c r="O488" s="10"/>
      <c r="P488" s="27"/>
      <c r="R488" s="25"/>
      <c r="S488" s="25"/>
      <c r="T488" s="25"/>
    </row>
    <row r="489" spans="10:20" x14ac:dyDescent="0.3">
      <c r="J489" s="8"/>
      <c r="K489" s="8"/>
      <c r="L489" s="8"/>
      <c r="M489" s="27"/>
      <c r="N489" s="10"/>
      <c r="O489" s="10"/>
      <c r="P489" s="27"/>
      <c r="R489" s="25"/>
      <c r="S489" s="25"/>
      <c r="T489" s="25"/>
    </row>
    <row r="490" spans="10:20" x14ac:dyDescent="0.3">
      <c r="J490" s="8"/>
      <c r="K490" s="8"/>
      <c r="L490" s="8"/>
      <c r="M490" s="27"/>
      <c r="N490" s="10"/>
      <c r="O490" s="10"/>
      <c r="P490" s="27"/>
      <c r="R490" s="25"/>
      <c r="S490" s="25"/>
      <c r="T490" s="25"/>
    </row>
    <row r="491" spans="10:20" x14ac:dyDescent="0.3">
      <c r="J491" s="8"/>
      <c r="K491" s="8"/>
      <c r="L491" s="8"/>
      <c r="M491" s="27"/>
      <c r="N491" s="10"/>
      <c r="O491" s="10"/>
      <c r="P491" s="27"/>
      <c r="R491" s="25"/>
      <c r="S491" s="25"/>
      <c r="T491" s="25"/>
    </row>
    <row r="492" spans="10:20" x14ac:dyDescent="0.3">
      <c r="J492" s="8"/>
      <c r="K492" s="8"/>
      <c r="L492" s="8"/>
      <c r="M492" s="27"/>
      <c r="N492" s="10"/>
      <c r="O492" s="10"/>
      <c r="P492" s="27"/>
      <c r="R492" s="25"/>
      <c r="S492" s="25"/>
      <c r="T492" s="25"/>
    </row>
    <row r="493" spans="10:20" x14ac:dyDescent="0.3">
      <c r="J493" s="8"/>
      <c r="K493" s="8"/>
      <c r="L493" s="8"/>
      <c r="M493" s="27"/>
      <c r="N493" s="10"/>
      <c r="O493" s="10"/>
      <c r="P493" s="27"/>
      <c r="R493" s="25"/>
      <c r="S493" s="25"/>
      <c r="T493" s="25"/>
    </row>
    <row r="494" spans="10:20" x14ac:dyDescent="0.3">
      <c r="J494" s="8"/>
      <c r="K494" s="8"/>
      <c r="L494" s="8"/>
      <c r="M494" s="27"/>
      <c r="N494" s="10"/>
      <c r="O494" s="10"/>
      <c r="P494" s="27"/>
      <c r="R494" s="25"/>
      <c r="S494" s="25"/>
      <c r="T494" s="25"/>
    </row>
    <row r="495" spans="10:20" x14ac:dyDescent="0.3">
      <c r="J495" s="8"/>
      <c r="K495" s="8"/>
      <c r="L495" s="8"/>
      <c r="M495" s="27"/>
      <c r="N495" s="10"/>
      <c r="O495" s="10"/>
      <c r="P495" s="27"/>
      <c r="R495" s="25"/>
      <c r="S495" s="25"/>
      <c r="T495" s="25"/>
    </row>
    <row r="496" spans="10:20" x14ac:dyDescent="0.3">
      <c r="J496" s="8"/>
      <c r="K496" s="8"/>
      <c r="L496" s="8"/>
      <c r="M496" s="27"/>
      <c r="N496" s="10"/>
      <c r="O496" s="10"/>
      <c r="P496" s="27"/>
      <c r="R496" s="25"/>
      <c r="S496" s="25"/>
      <c r="T496" s="25"/>
    </row>
    <row r="497" spans="10:20" x14ac:dyDescent="0.3">
      <c r="J497" s="8"/>
      <c r="K497" s="8"/>
      <c r="L497" s="8"/>
      <c r="M497" s="27"/>
      <c r="N497" s="10"/>
      <c r="O497" s="10"/>
      <c r="P497" s="27"/>
      <c r="R497" s="25"/>
      <c r="S497" s="25"/>
      <c r="T497" s="25"/>
    </row>
    <row r="498" spans="10:20" x14ac:dyDescent="0.3">
      <c r="J498" s="8"/>
      <c r="K498" s="8"/>
      <c r="L498" s="8"/>
      <c r="M498" s="26"/>
      <c r="N498" s="151"/>
      <c r="O498" s="151"/>
      <c r="P498" s="26"/>
      <c r="R498" s="25"/>
      <c r="S498" s="25"/>
      <c r="T498" s="25"/>
    </row>
    <row r="499" spans="10:20" x14ac:dyDescent="0.3">
      <c r="J499" s="152"/>
      <c r="K499" s="152"/>
      <c r="L499" s="152"/>
      <c r="M499" s="25"/>
      <c r="N499" s="10"/>
      <c r="O499" s="10"/>
      <c r="P499" s="25"/>
      <c r="R499" s="25"/>
      <c r="S499" s="25"/>
      <c r="T499" s="25"/>
    </row>
    <row r="500" spans="10:20" x14ac:dyDescent="0.3">
      <c r="M500" s="25"/>
      <c r="P500" s="25"/>
      <c r="R500" s="25"/>
      <c r="S500" s="25"/>
      <c r="T500" s="25"/>
    </row>
    <row r="501" spans="10:20" x14ac:dyDescent="0.3">
      <c r="M501" s="25"/>
      <c r="P501" s="25"/>
      <c r="R501" s="25"/>
      <c r="S501" s="25"/>
      <c r="T501" s="25"/>
    </row>
    <row r="502" spans="10:20" x14ac:dyDescent="0.3">
      <c r="M502" s="25"/>
      <c r="P502" s="25"/>
      <c r="R502" s="25"/>
      <c r="S502" s="25"/>
      <c r="T502" s="25"/>
    </row>
    <row r="503" spans="10:20" x14ac:dyDescent="0.3">
      <c r="M503" s="25"/>
      <c r="P503" s="25"/>
      <c r="R503" s="25"/>
      <c r="S503" s="25"/>
      <c r="T503" s="25"/>
    </row>
    <row r="504" spans="10:20" x14ac:dyDescent="0.3">
      <c r="M504" s="25"/>
      <c r="P504" s="25"/>
      <c r="R504" s="25"/>
      <c r="S504" s="25"/>
      <c r="T504" s="25"/>
    </row>
    <row r="505" spans="10:20" x14ac:dyDescent="0.3">
      <c r="M505" s="25"/>
      <c r="P505" s="25"/>
      <c r="R505" s="25"/>
      <c r="S505" s="25"/>
      <c r="T505" s="25"/>
    </row>
    <row r="506" spans="10:20" x14ac:dyDescent="0.3">
      <c r="M506" s="25"/>
      <c r="P506" s="25"/>
      <c r="R506" s="25"/>
      <c r="S506" s="25"/>
      <c r="T506" s="25"/>
    </row>
    <row r="507" spans="10:20" x14ac:dyDescent="0.3">
      <c r="M507" s="25"/>
      <c r="P507" s="25"/>
      <c r="R507" s="25"/>
      <c r="S507" s="25"/>
      <c r="T507" s="25"/>
    </row>
    <row r="508" spans="10:20" x14ac:dyDescent="0.3">
      <c r="M508" s="25"/>
      <c r="P508" s="25"/>
      <c r="R508" s="25"/>
      <c r="S508" s="25"/>
      <c r="T508" s="25"/>
    </row>
    <row r="509" spans="10:20" x14ac:dyDescent="0.3">
      <c r="M509" s="25"/>
      <c r="P509" s="25"/>
      <c r="R509" s="25"/>
      <c r="S509" s="25"/>
      <c r="T509" s="25"/>
    </row>
    <row r="510" spans="10:20" x14ac:dyDescent="0.3">
      <c r="K510" s="15"/>
      <c r="M510" s="25"/>
      <c r="P510" s="25"/>
      <c r="R510" s="25"/>
      <c r="S510" s="25"/>
      <c r="T510" s="25"/>
    </row>
    <row r="511" spans="10:20" x14ac:dyDescent="0.3">
      <c r="K511" s="15"/>
      <c r="M511" s="25"/>
      <c r="P511" s="25"/>
      <c r="R511" s="25"/>
      <c r="S511" s="25"/>
      <c r="T511" s="25"/>
    </row>
    <row r="512" spans="10:20" x14ac:dyDescent="0.3">
      <c r="K512" s="15"/>
      <c r="M512" s="25"/>
      <c r="P512" s="148"/>
      <c r="R512" s="25"/>
      <c r="S512" s="25"/>
      <c r="T512" s="25"/>
    </row>
    <row r="513" spans="1:21" x14ac:dyDescent="0.3">
      <c r="M513" s="25"/>
      <c r="P513" s="25"/>
      <c r="R513" s="25"/>
      <c r="S513" s="25"/>
      <c r="T513" s="25"/>
    </row>
    <row r="514" spans="1:21" x14ac:dyDescent="0.3">
      <c r="J514" s="19"/>
      <c r="K514" s="19"/>
      <c r="L514" s="19"/>
      <c r="M514" s="153"/>
      <c r="N514" s="19"/>
      <c r="O514" s="19"/>
      <c r="P514" s="146"/>
      <c r="R514" s="25"/>
      <c r="S514" s="25"/>
      <c r="T514" s="25"/>
    </row>
    <row r="515" spans="1:21" x14ac:dyDescent="0.3">
      <c r="A515" s="19"/>
      <c r="B515" s="15"/>
      <c r="C515" s="15"/>
      <c r="D515" s="15"/>
      <c r="E515" s="15"/>
      <c r="F515" s="15"/>
      <c r="G515" s="15"/>
      <c r="H515" s="15"/>
      <c r="I515" s="15"/>
      <c r="J515" s="19"/>
      <c r="K515" s="19"/>
      <c r="L515" s="19"/>
      <c r="M515" s="146"/>
      <c r="N515" s="19"/>
      <c r="O515" s="19"/>
      <c r="P515" s="146"/>
      <c r="R515" s="25"/>
      <c r="S515" s="25"/>
      <c r="T515" s="25"/>
    </row>
    <row r="516" spans="1:2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54"/>
      <c r="N516" s="2"/>
      <c r="O516" s="2"/>
      <c r="P516" s="154"/>
      <c r="R516" s="25"/>
      <c r="S516" s="25"/>
      <c r="T516" s="25"/>
    </row>
    <row r="517" spans="1:21" x14ac:dyDescent="0.3">
      <c r="A517" s="19"/>
      <c r="B517" s="15"/>
      <c r="C517" s="15"/>
      <c r="D517" s="15"/>
      <c r="E517" s="15"/>
      <c r="F517" s="15"/>
      <c r="G517" s="15"/>
      <c r="H517" s="15"/>
      <c r="I517" s="15"/>
      <c r="J517" s="19"/>
      <c r="K517" s="19"/>
      <c r="L517" s="19"/>
      <c r="M517" s="146"/>
      <c r="N517" s="19"/>
      <c r="O517" s="19"/>
      <c r="P517" s="146"/>
      <c r="R517" s="25"/>
      <c r="S517" s="25"/>
      <c r="T517" s="25"/>
    </row>
    <row r="518" spans="1:21" x14ac:dyDescent="0.3">
      <c r="A518" s="19"/>
      <c r="B518" s="15"/>
      <c r="C518" s="15"/>
      <c r="D518" s="15"/>
      <c r="E518" s="15"/>
      <c r="F518" s="15"/>
      <c r="G518" s="15"/>
      <c r="H518" s="15"/>
      <c r="I518" s="15"/>
      <c r="J518" s="19"/>
      <c r="K518" s="19"/>
      <c r="L518" s="19"/>
      <c r="M518" s="146"/>
      <c r="N518" s="19"/>
      <c r="O518" s="19"/>
      <c r="P518" s="146"/>
      <c r="R518" s="25"/>
      <c r="S518" s="25"/>
      <c r="T518" s="25"/>
    </row>
    <row r="519" spans="1:21" x14ac:dyDescent="0.3">
      <c r="B519" s="15"/>
      <c r="C519" s="15"/>
      <c r="D519" s="15"/>
      <c r="E519" s="15"/>
      <c r="F519" s="15"/>
      <c r="G519" s="15"/>
      <c r="H519" s="15"/>
      <c r="I519" s="15"/>
      <c r="M519" s="25"/>
      <c r="P519" s="25"/>
      <c r="R519" s="25"/>
      <c r="S519" s="25"/>
      <c r="T519" s="25"/>
    </row>
    <row r="520" spans="1:21" x14ac:dyDescent="0.3">
      <c r="M520" s="25"/>
      <c r="P520" s="25"/>
      <c r="R520" s="25"/>
      <c r="S520" s="25"/>
      <c r="T520" s="25"/>
    </row>
    <row r="521" spans="1:21" x14ac:dyDescent="0.3">
      <c r="M521" s="25"/>
      <c r="P521" s="25"/>
      <c r="R521" s="25"/>
      <c r="S521" s="25"/>
      <c r="T521" s="25"/>
    </row>
    <row r="522" spans="1:21" x14ac:dyDescent="0.3">
      <c r="M522" s="25"/>
      <c r="P522" s="25"/>
      <c r="R522" s="25"/>
      <c r="S522" s="25"/>
      <c r="T522" s="25"/>
    </row>
    <row r="523" spans="1:21" x14ac:dyDescent="0.3">
      <c r="M523" s="25"/>
      <c r="P523" s="25"/>
      <c r="R523" s="25"/>
      <c r="S523" s="25"/>
      <c r="T523" s="25"/>
    </row>
    <row r="524" spans="1:21" x14ac:dyDescent="0.3">
      <c r="J524" s="157"/>
      <c r="K524" s="157"/>
      <c r="L524" s="158"/>
      <c r="M524" s="25"/>
      <c r="N524" s="10"/>
      <c r="O524" s="10"/>
      <c r="P524" s="148"/>
      <c r="R524" s="23"/>
      <c r="S524" s="23"/>
      <c r="T524" s="27"/>
      <c r="U524" s="27"/>
    </row>
    <row r="525" spans="1:21" x14ac:dyDescent="0.3">
      <c r="J525" s="157"/>
      <c r="K525" s="157"/>
      <c r="L525" s="158"/>
      <c r="M525" s="25"/>
      <c r="N525" s="10"/>
      <c r="O525" s="10"/>
      <c r="P525" s="148"/>
      <c r="R525" s="23"/>
      <c r="S525" s="23"/>
      <c r="T525" s="27"/>
      <c r="U525" s="27"/>
    </row>
    <row r="526" spans="1:21" x14ac:dyDescent="0.3">
      <c r="J526" s="157"/>
      <c r="K526" s="157"/>
      <c r="L526" s="158"/>
      <c r="M526" s="25"/>
      <c r="N526" s="10"/>
      <c r="O526" s="10"/>
      <c r="P526" s="148"/>
      <c r="R526" s="23"/>
      <c r="S526" s="23"/>
      <c r="T526" s="27"/>
      <c r="U526" s="27"/>
    </row>
    <row r="527" spans="1:21" x14ac:dyDescent="0.3">
      <c r="J527" s="157"/>
      <c r="K527" s="157"/>
      <c r="L527" s="158"/>
      <c r="M527" s="25"/>
      <c r="N527" s="10"/>
      <c r="O527" s="10"/>
      <c r="P527" s="148"/>
      <c r="R527" s="23"/>
      <c r="S527" s="23"/>
      <c r="T527" s="27"/>
      <c r="U527" s="27"/>
    </row>
    <row r="528" spans="1:21" x14ac:dyDescent="0.3">
      <c r="J528" s="157"/>
      <c r="K528" s="157"/>
      <c r="L528" s="158"/>
      <c r="M528" s="25"/>
      <c r="N528" s="10"/>
      <c r="O528" s="10"/>
      <c r="P528" s="148"/>
      <c r="R528" s="23"/>
      <c r="S528" s="23"/>
      <c r="T528" s="27"/>
      <c r="U528" s="27"/>
    </row>
    <row r="529" spans="10:21" x14ac:dyDescent="0.3">
      <c r="J529" s="157"/>
      <c r="K529" s="157"/>
      <c r="L529" s="158"/>
      <c r="M529" s="25"/>
      <c r="N529" s="10"/>
      <c r="O529" s="10"/>
      <c r="P529" s="148"/>
      <c r="R529" s="23"/>
      <c r="S529" s="23"/>
      <c r="T529" s="27"/>
      <c r="U529" s="27"/>
    </row>
    <row r="530" spans="10:21" x14ac:dyDescent="0.3">
      <c r="J530" s="157"/>
      <c r="K530" s="157"/>
      <c r="L530" s="158"/>
      <c r="M530" s="25"/>
      <c r="N530" s="10"/>
      <c r="O530" s="10"/>
      <c r="P530" s="148"/>
      <c r="R530" s="23"/>
      <c r="S530" s="23"/>
      <c r="T530" s="27"/>
      <c r="U530" s="27"/>
    </row>
    <row r="531" spans="10:21" x14ac:dyDescent="0.3">
      <c r="J531" s="157"/>
      <c r="K531" s="157"/>
      <c r="L531" s="158"/>
      <c r="M531" s="25"/>
      <c r="N531" s="10"/>
      <c r="O531" s="10"/>
      <c r="P531" s="148"/>
      <c r="R531" s="23"/>
      <c r="S531" s="23"/>
      <c r="T531" s="27"/>
      <c r="U531" s="27"/>
    </row>
    <row r="532" spans="10:21" x14ac:dyDescent="0.3">
      <c r="J532" s="157"/>
      <c r="K532" s="157"/>
      <c r="L532" s="158"/>
      <c r="M532" s="25"/>
      <c r="N532" s="10"/>
      <c r="O532" s="10"/>
      <c r="P532" s="148"/>
      <c r="R532" s="23"/>
      <c r="S532" s="23"/>
      <c r="T532" s="27"/>
      <c r="U532" s="27"/>
    </row>
    <row r="533" spans="10:21" x14ac:dyDescent="0.3">
      <c r="J533" s="157"/>
      <c r="K533" s="157"/>
      <c r="L533" s="158"/>
      <c r="M533" s="25"/>
      <c r="N533" s="10"/>
      <c r="O533" s="10"/>
      <c r="P533" s="148"/>
      <c r="R533" s="23"/>
      <c r="S533" s="23"/>
      <c r="T533" s="27"/>
      <c r="U533" s="27"/>
    </row>
    <row r="534" spans="10:21" x14ac:dyDescent="0.3">
      <c r="J534" s="157"/>
      <c r="K534" s="157"/>
      <c r="L534" s="158"/>
      <c r="M534" s="25"/>
      <c r="N534" s="10"/>
      <c r="O534" s="10"/>
      <c r="P534" s="148"/>
      <c r="R534" s="23"/>
      <c r="S534" s="23"/>
      <c r="T534" s="27"/>
      <c r="U534" s="27"/>
    </row>
    <row r="535" spans="10:21" x14ac:dyDescent="0.3">
      <c r="J535" s="157"/>
      <c r="K535" s="157"/>
      <c r="L535" s="158"/>
      <c r="M535" s="159"/>
      <c r="N535" s="151"/>
      <c r="O535" s="151"/>
      <c r="P535" s="150"/>
      <c r="R535" s="24"/>
      <c r="S535" s="24"/>
      <c r="T535" s="26"/>
      <c r="U535" s="26"/>
    </row>
    <row r="536" spans="10:21" x14ac:dyDescent="0.3">
      <c r="M536" s="25"/>
      <c r="N536" s="10"/>
      <c r="O536" s="10"/>
      <c r="P536" s="25"/>
      <c r="R536" s="25"/>
      <c r="S536" s="25"/>
      <c r="T536" s="25"/>
      <c r="U536" s="25"/>
    </row>
    <row r="537" spans="10:21" x14ac:dyDescent="0.3">
      <c r="R537" s="25"/>
      <c r="S537" s="25"/>
      <c r="T537" s="25"/>
    </row>
    <row r="538" spans="10:21" x14ac:dyDescent="0.3">
      <c r="J538" s="8"/>
      <c r="K538" s="8"/>
      <c r="L538" s="8"/>
      <c r="M538" s="25"/>
      <c r="P538" s="25"/>
      <c r="R538" s="25"/>
      <c r="S538" s="25"/>
      <c r="T538" s="25"/>
    </row>
    <row r="539" spans="10:21" x14ac:dyDescent="0.3">
      <c r="J539" s="8"/>
      <c r="K539" s="8"/>
      <c r="L539" s="8"/>
      <c r="M539" s="25"/>
      <c r="P539" s="25"/>
      <c r="R539" s="25"/>
      <c r="S539" s="25"/>
      <c r="T539" s="25"/>
    </row>
    <row r="540" spans="10:21" x14ac:dyDescent="0.3">
      <c r="J540" s="8"/>
      <c r="K540" s="8"/>
      <c r="L540" s="8"/>
      <c r="M540" s="25"/>
      <c r="N540" s="10"/>
      <c r="O540" s="10"/>
      <c r="P540" s="27"/>
      <c r="R540" s="23"/>
      <c r="S540" s="23"/>
      <c r="T540" s="23"/>
      <c r="U540" s="23"/>
    </row>
    <row r="541" spans="10:21" x14ac:dyDescent="0.3">
      <c r="J541" s="8"/>
      <c r="K541" s="8"/>
      <c r="L541" s="8"/>
      <c r="M541" s="25"/>
      <c r="N541" s="10"/>
      <c r="O541" s="10"/>
      <c r="P541" s="27"/>
      <c r="R541" s="23"/>
      <c r="S541" s="23"/>
      <c r="T541" s="23"/>
      <c r="U541" s="23"/>
    </row>
    <row r="542" spans="10:21" x14ac:dyDescent="0.3">
      <c r="J542" s="8"/>
      <c r="K542" s="8"/>
      <c r="L542" s="8"/>
      <c r="M542" s="25"/>
      <c r="N542" s="10"/>
      <c r="O542" s="10"/>
      <c r="P542" s="27"/>
      <c r="R542" s="23"/>
      <c r="S542" s="23"/>
      <c r="T542" s="23"/>
      <c r="U542" s="23"/>
    </row>
    <row r="543" spans="10:21" x14ac:dyDescent="0.3">
      <c r="J543" s="8"/>
      <c r="K543" s="8"/>
      <c r="L543" s="8"/>
      <c r="M543" s="25"/>
      <c r="N543" s="10"/>
      <c r="O543" s="10"/>
      <c r="P543" s="27"/>
      <c r="R543" s="23"/>
      <c r="S543" s="23"/>
      <c r="T543" s="23"/>
      <c r="U543" s="23"/>
    </row>
    <row r="544" spans="10:21" x14ac:dyDescent="0.3">
      <c r="J544" s="8"/>
      <c r="K544" s="8"/>
      <c r="L544" s="8"/>
      <c r="M544" s="25"/>
      <c r="N544" s="10"/>
      <c r="O544" s="10"/>
      <c r="P544" s="27"/>
      <c r="R544" s="23"/>
      <c r="S544" s="23"/>
      <c r="T544" s="23"/>
      <c r="U544" s="23"/>
    </row>
    <row r="545" spans="10:21" x14ac:dyDescent="0.3">
      <c r="J545" s="8"/>
      <c r="K545" s="8"/>
      <c r="L545" s="8"/>
      <c r="M545" s="25"/>
      <c r="N545" s="10"/>
      <c r="O545" s="10"/>
      <c r="P545" s="27"/>
      <c r="R545" s="23"/>
      <c r="S545" s="23"/>
      <c r="T545" s="23"/>
      <c r="U545" s="23"/>
    </row>
    <row r="546" spans="10:21" x14ac:dyDescent="0.3">
      <c r="J546" s="8"/>
      <c r="K546" s="8"/>
      <c r="L546" s="8"/>
      <c r="M546" s="25"/>
      <c r="N546" s="10"/>
      <c r="O546" s="10"/>
      <c r="P546" s="27"/>
      <c r="R546" s="23"/>
      <c r="S546" s="23"/>
      <c r="T546" s="23"/>
      <c r="U546" s="23"/>
    </row>
    <row r="547" spans="10:21" x14ac:dyDescent="0.3">
      <c r="J547" s="8"/>
      <c r="K547" s="8"/>
      <c r="L547" s="8"/>
      <c r="M547" s="25"/>
      <c r="N547" s="10"/>
      <c r="O547" s="10"/>
      <c r="P547" s="27"/>
      <c r="R547" s="23"/>
      <c r="S547" s="23"/>
      <c r="T547" s="23"/>
      <c r="U547" s="23"/>
    </row>
    <row r="548" spans="10:21" x14ac:dyDescent="0.3">
      <c r="J548" s="8"/>
      <c r="K548" s="8"/>
      <c r="L548" s="8"/>
      <c r="M548" s="25"/>
      <c r="N548" s="10"/>
      <c r="O548" s="10"/>
      <c r="P548" s="27"/>
      <c r="R548" s="23"/>
      <c r="S548" s="23"/>
      <c r="T548" s="23"/>
      <c r="U548" s="23"/>
    </row>
    <row r="549" spans="10:21" x14ac:dyDescent="0.3">
      <c r="J549" s="8"/>
      <c r="K549" s="8"/>
      <c r="L549" s="8"/>
      <c r="M549" s="25"/>
      <c r="N549" s="10"/>
      <c r="O549" s="10"/>
      <c r="P549" s="27"/>
      <c r="R549" s="23"/>
      <c r="S549" s="23"/>
      <c r="T549" s="23"/>
      <c r="U549" s="23"/>
    </row>
    <row r="550" spans="10:21" x14ac:dyDescent="0.3">
      <c r="J550" s="8"/>
      <c r="K550" s="8"/>
      <c r="L550" s="8"/>
      <c r="M550" s="25"/>
      <c r="N550" s="10"/>
      <c r="O550" s="10"/>
      <c r="P550" s="27"/>
      <c r="R550" s="23"/>
      <c r="S550" s="23"/>
      <c r="T550" s="23"/>
      <c r="U550" s="23"/>
    </row>
    <row r="551" spans="10:21" x14ac:dyDescent="0.3">
      <c r="J551" s="8"/>
      <c r="K551" s="8"/>
      <c r="L551" s="8"/>
      <c r="M551" s="159"/>
      <c r="N551" s="151"/>
      <c r="O551" s="151"/>
      <c r="P551" s="26"/>
      <c r="R551" s="24"/>
      <c r="S551" s="24"/>
      <c r="T551" s="24"/>
      <c r="U551" s="24"/>
    </row>
    <row r="552" spans="10:21" x14ac:dyDescent="0.3">
      <c r="J552" s="152"/>
      <c r="K552" s="152"/>
      <c r="L552" s="152"/>
      <c r="M552" s="25"/>
      <c r="N552" s="10"/>
      <c r="O552" s="10"/>
      <c r="P552" s="25"/>
      <c r="R552" s="25"/>
      <c r="S552" s="25"/>
      <c r="T552" s="25"/>
      <c r="U552" s="25"/>
    </row>
    <row r="553" spans="10:21" x14ac:dyDescent="0.3">
      <c r="R553" s="25"/>
      <c r="S553" s="25"/>
      <c r="T553" s="25"/>
    </row>
    <row r="554" spans="10:21" x14ac:dyDescent="0.3">
      <c r="R554" s="25"/>
      <c r="S554" s="25"/>
      <c r="T554" s="25"/>
    </row>
    <row r="555" spans="10:21" x14ac:dyDescent="0.3">
      <c r="R555" s="25"/>
      <c r="S555" s="25"/>
      <c r="T555" s="25"/>
    </row>
    <row r="556" spans="10:21" x14ac:dyDescent="0.3">
      <c r="R556" s="25"/>
      <c r="S556" s="25"/>
      <c r="T556" s="25"/>
    </row>
    <row r="557" spans="10:21" x14ac:dyDescent="0.3">
      <c r="R557" s="25"/>
      <c r="S557" s="25"/>
      <c r="T557" s="25"/>
    </row>
    <row r="558" spans="10:21" x14ac:dyDescent="0.3">
      <c r="R558" s="25"/>
      <c r="S558" s="25"/>
      <c r="T558" s="25"/>
    </row>
    <row r="559" spans="10:21" x14ac:dyDescent="0.3">
      <c r="R559" s="25"/>
      <c r="S559" s="25"/>
      <c r="T559" s="25"/>
    </row>
    <row r="560" spans="10:21" x14ac:dyDescent="0.3">
      <c r="R560" s="25"/>
      <c r="S560" s="25"/>
      <c r="T560" s="25"/>
    </row>
    <row r="561" spans="1:20" x14ac:dyDescent="0.3">
      <c r="R561" s="25"/>
      <c r="S561" s="25"/>
      <c r="T561" s="25"/>
    </row>
    <row r="562" spans="1:20" x14ac:dyDescent="0.3">
      <c r="R562" s="25"/>
      <c r="S562" s="25"/>
      <c r="T562" s="25"/>
    </row>
    <row r="563" spans="1:20" x14ac:dyDescent="0.3">
      <c r="R563" s="25"/>
      <c r="S563" s="25"/>
      <c r="T563" s="25"/>
    </row>
    <row r="564" spans="1:20" x14ac:dyDescent="0.3">
      <c r="R564" s="25"/>
      <c r="S564" s="25"/>
      <c r="T564" s="25"/>
    </row>
    <row r="565" spans="1:20" x14ac:dyDescent="0.3">
      <c r="J565" s="15"/>
      <c r="M565" s="25"/>
      <c r="P565" s="25"/>
      <c r="R565" s="25"/>
      <c r="S565" s="25"/>
      <c r="T565" s="25"/>
    </row>
    <row r="566" spans="1:20" x14ac:dyDescent="0.3">
      <c r="J566" s="15"/>
      <c r="M566" s="25"/>
      <c r="P566" s="25"/>
      <c r="R566" s="25"/>
      <c r="S566" s="25"/>
      <c r="T566" s="25"/>
    </row>
    <row r="567" spans="1:20" x14ac:dyDescent="0.3">
      <c r="J567" s="15"/>
      <c r="M567" s="25"/>
      <c r="P567" s="148"/>
      <c r="R567" s="25"/>
      <c r="S567" s="25"/>
      <c r="T567" s="25"/>
    </row>
    <row r="568" spans="1:20" ht="7" customHeight="1" x14ac:dyDescent="0.3">
      <c r="M568" s="25"/>
      <c r="P568" s="25"/>
      <c r="R568" s="25"/>
      <c r="S568" s="25"/>
      <c r="T568" s="25"/>
    </row>
    <row r="569" spans="1:20" x14ac:dyDescent="0.3">
      <c r="L569" s="19"/>
      <c r="M569" s="19"/>
      <c r="P569" s="25"/>
      <c r="R569" s="25"/>
      <c r="S569" s="25"/>
      <c r="T569" s="25"/>
    </row>
    <row r="570" spans="1:20" x14ac:dyDescent="0.3">
      <c r="J570" s="15"/>
      <c r="L570" s="19"/>
      <c r="M570" s="19"/>
      <c r="N570" s="19"/>
      <c r="O570" s="19"/>
      <c r="P570" s="25"/>
      <c r="R570" s="25"/>
      <c r="S570" s="25"/>
      <c r="T570" s="25"/>
    </row>
    <row r="571" spans="1:20" x14ac:dyDescent="0.3">
      <c r="A571" s="19"/>
      <c r="B571" s="15"/>
      <c r="C571" s="15"/>
      <c r="D571" s="15"/>
      <c r="E571" s="15"/>
      <c r="F571" s="15"/>
      <c r="G571" s="15"/>
      <c r="H571" s="15"/>
      <c r="I571" s="15"/>
      <c r="J571" s="15"/>
      <c r="L571" s="19"/>
      <c r="M571" s="19"/>
      <c r="N571" s="19"/>
      <c r="O571" s="19"/>
      <c r="P571" s="25"/>
      <c r="R571" s="25"/>
      <c r="S571" s="25"/>
      <c r="T571" s="25"/>
    </row>
    <row r="572" spans="1:20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6"/>
      <c r="L572" s="2"/>
      <c r="M572" s="2"/>
      <c r="N572" s="2"/>
      <c r="O572" s="2"/>
      <c r="P572" s="25"/>
      <c r="R572" s="25"/>
      <c r="S572" s="25"/>
      <c r="T572" s="25"/>
    </row>
    <row r="573" spans="1:20" ht="9" customHeight="1" x14ac:dyDescent="0.3">
      <c r="A573" s="19"/>
      <c r="B573" s="15"/>
      <c r="C573" s="15"/>
      <c r="D573" s="15"/>
      <c r="E573" s="15"/>
      <c r="F573" s="15"/>
      <c r="G573" s="15"/>
      <c r="H573" s="15"/>
      <c r="I573" s="15"/>
      <c r="J573" s="15"/>
      <c r="L573" s="19"/>
      <c r="M573" s="19"/>
      <c r="N573" s="19"/>
      <c r="O573" s="19"/>
      <c r="P573" s="25"/>
      <c r="R573" s="25"/>
      <c r="S573" s="25"/>
      <c r="T573" s="25"/>
    </row>
    <row r="574" spans="1:20" x14ac:dyDescent="0.3">
      <c r="J574" s="15"/>
      <c r="L574" s="19"/>
      <c r="M574" s="19"/>
      <c r="N574" s="19"/>
      <c r="O574" s="19"/>
      <c r="P574" s="25"/>
      <c r="R574" s="25"/>
      <c r="S574" s="25"/>
      <c r="T574" s="25"/>
    </row>
    <row r="575" spans="1:20" ht="7" customHeight="1" x14ac:dyDescent="0.3">
      <c r="P575" s="25"/>
      <c r="R575" s="25"/>
      <c r="S575" s="25"/>
      <c r="T575" s="25"/>
    </row>
    <row r="576" spans="1:20" x14ac:dyDescent="0.3">
      <c r="L576" s="10"/>
      <c r="M576" s="10"/>
      <c r="N576" s="10"/>
      <c r="O576" s="10"/>
      <c r="P576" s="25"/>
      <c r="R576" s="25"/>
      <c r="S576" s="25"/>
      <c r="T576" s="25"/>
    </row>
    <row r="577" spans="2:20" x14ac:dyDescent="0.3">
      <c r="L577" s="151"/>
      <c r="M577" s="151"/>
      <c r="N577" s="151"/>
      <c r="O577" s="151"/>
      <c r="P577" s="25"/>
      <c r="R577" s="25"/>
      <c r="S577" s="25"/>
      <c r="T577" s="25"/>
    </row>
    <row r="578" spans="2:20" x14ac:dyDescent="0.3">
      <c r="L578" s="10"/>
      <c r="M578" s="10"/>
      <c r="N578" s="10"/>
      <c r="O578" s="10"/>
      <c r="P578" s="25"/>
      <c r="R578" s="25"/>
      <c r="S578" s="25"/>
      <c r="T578" s="25"/>
    </row>
    <row r="579" spans="2:20" ht="4.5" customHeight="1" x14ac:dyDescent="0.3">
      <c r="L579" s="10"/>
      <c r="M579" s="10"/>
      <c r="N579" s="10"/>
      <c r="O579" s="10"/>
      <c r="P579" s="25"/>
      <c r="R579" s="25"/>
      <c r="S579" s="25"/>
      <c r="T579" s="25"/>
    </row>
    <row r="580" spans="2:20" x14ac:dyDescent="0.3">
      <c r="B580" s="15"/>
      <c r="C580" s="15"/>
      <c r="D580" s="15"/>
      <c r="E580" s="15"/>
      <c r="F580" s="15"/>
      <c r="G580" s="15"/>
      <c r="H580" s="15"/>
      <c r="I580" s="15"/>
      <c r="L580" s="10"/>
      <c r="M580" s="10"/>
      <c r="N580" s="10"/>
      <c r="O580" s="10"/>
      <c r="P580" s="25"/>
      <c r="R580" s="25"/>
      <c r="S580" s="25"/>
      <c r="T580" s="25"/>
    </row>
    <row r="581" spans="2:20" ht="4.5" customHeight="1" x14ac:dyDescent="0.3">
      <c r="L581" s="10"/>
      <c r="M581" s="10"/>
      <c r="N581" s="10"/>
      <c r="O581" s="10"/>
      <c r="P581" s="25"/>
      <c r="R581" s="25"/>
      <c r="S581" s="25"/>
      <c r="T581" s="25"/>
    </row>
    <row r="582" spans="2:20" x14ac:dyDescent="0.3">
      <c r="B582" s="15"/>
      <c r="C582" s="15"/>
      <c r="D582" s="15"/>
      <c r="E582" s="15"/>
      <c r="F582" s="15"/>
      <c r="G582" s="15"/>
      <c r="H582" s="15"/>
      <c r="I582" s="15"/>
      <c r="L582" s="10"/>
      <c r="M582" s="10"/>
      <c r="N582" s="10"/>
      <c r="O582" s="10"/>
      <c r="P582" s="25"/>
      <c r="R582" s="25"/>
      <c r="S582" s="25"/>
      <c r="T582" s="25"/>
    </row>
    <row r="583" spans="2:20" x14ac:dyDescent="0.3">
      <c r="B583" s="15"/>
      <c r="C583" s="15"/>
      <c r="D583" s="15"/>
      <c r="E583" s="15"/>
      <c r="F583" s="15"/>
      <c r="G583" s="15"/>
      <c r="H583" s="15"/>
      <c r="I583" s="15"/>
      <c r="L583" s="10"/>
      <c r="M583" s="10"/>
      <c r="N583" s="10"/>
      <c r="O583" s="10"/>
      <c r="P583" s="25"/>
      <c r="R583" s="25"/>
      <c r="S583" s="25"/>
      <c r="T583" s="25"/>
    </row>
    <row r="584" spans="2:20" x14ac:dyDescent="0.3">
      <c r="B584" s="15"/>
      <c r="C584" s="15"/>
      <c r="D584" s="15"/>
      <c r="E584" s="15"/>
      <c r="F584" s="15"/>
      <c r="G584" s="15"/>
      <c r="H584" s="15"/>
      <c r="I584" s="15"/>
      <c r="L584" s="10"/>
      <c r="M584" s="10"/>
      <c r="N584" s="10"/>
      <c r="O584" s="10"/>
      <c r="P584" s="25"/>
      <c r="R584" s="25"/>
      <c r="S584" s="25"/>
      <c r="T584" s="25"/>
    </row>
    <row r="585" spans="2:20" x14ac:dyDescent="0.3">
      <c r="B585" s="15"/>
      <c r="C585" s="15"/>
      <c r="D585" s="15"/>
      <c r="E585" s="15"/>
      <c r="F585" s="15"/>
      <c r="G585" s="15"/>
      <c r="H585" s="15"/>
      <c r="I585" s="15"/>
      <c r="L585" s="10"/>
      <c r="M585" s="10"/>
      <c r="N585" s="10"/>
      <c r="O585" s="10"/>
      <c r="P585" s="10"/>
      <c r="R585" s="25"/>
      <c r="S585" s="25"/>
      <c r="T585" s="25"/>
    </row>
    <row r="586" spans="2:20" x14ac:dyDescent="0.3">
      <c r="B586" s="15"/>
      <c r="C586" s="15"/>
      <c r="D586" s="15"/>
      <c r="E586" s="15"/>
      <c r="F586" s="15"/>
      <c r="G586" s="15"/>
      <c r="H586" s="15"/>
      <c r="I586" s="15"/>
      <c r="L586" s="10"/>
      <c r="M586" s="10"/>
      <c r="N586" s="10"/>
      <c r="O586" s="10"/>
      <c r="P586" s="10"/>
      <c r="R586" s="25"/>
      <c r="S586" s="25"/>
      <c r="T586" s="25"/>
    </row>
    <row r="587" spans="2:20" x14ac:dyDescent="0.3">
      <c r="B587" s="15"/>
      <c r="C587" s="15"/>
      <c r="D587" s="15"/>
      <c r="E587" s="15"/>
      <c r="F587" s="15"/>
      <c r="G587" s="15"/>
      <c r="H587" s="15"/>
      <c r="I587" s="15"/>
      <c r="L587" s="10"/>
      <c r="M587" s="10"/>
      <c r="N587" s="10"/>
      <c r="O587" s="10"/>
      <c r="P587" s="10"/>
      <c r="R587" s="25"/>
      <c r="S587" s="25"/>
      <c r="T587" s="25"/>
    </row>
    <row r="588" spans="2:20" x14ac:dyDescent="0.3">
      <c r="B588" s="15"/>
      <c r="C588" s="15"/>
      <c r="D588" s="15"/>
      <c r="E588" s="15"/>
      <c r="F588" s="15"/>
      <c r="G588" s="15"/>
      <c r="H588" s="15"/>
      <c r="I588" s="15"/>
      <c r="L588" s="10"/>
      <c r="M588" s="10"/>
      <c r="N588" s="10"/>
      <c r="O588" s="10"/>
      <c r="P588" s="10"/>
      <c r="R588" s="25"/>
      <c r="S588" s="25"/>
      <c r="T588" s="25"/>
    </row>
    <row r="589" spans="2:20" x14ac:dyDescent="0.3">
      <c r="B589" s="15"/>
      <c r="C589" s="15"/>
      <c r="D589" s="15"/>
      <c r="E589" s="15"/>
      <c r="F589" s="15"/>
      <c r="G589" s="15"/>
      <c r="H589" s="15"/>
      <c r="I589" s="15"/>
      <c r="L589" s="10"/>
      <c r="M589" s="10"/>
      <c r="N589" s="10"/>
      <c r="O589" s="10"/>
      <c r="P589" s="10"/>
      <c r="R589" s="25"/>
      <c r="S589" s="25"/>
      <c r="T589" s="25"/>
    </row>
    <row r="590" spans="2:20" x14ac:dyDescent="0.3">
      <c r="B590" s="15"/>
      <c r="C590" s="15"/>
      <c r="D590" s="15"/>
      <c r="E590" s="15"/>
      <c r="F590" s="15"/>
      <c r="G590" s="15"/>
      <c r="H590" s="15"/>
      <c r="I590" s="15"/>
      <c r="L590" s="10"/>
      <c r="M590" s="10"/>
      <c r="N590" s="10"/>
      <c r="O590" s="10"/>
      <c r="P590" s="10"/>
      <c r="R590" s="25"/>
      <c r="S590" s="25"/>
      <c r="T590" s="25"/>
    </row>
    <row r="591" spans="2:20" x14ac:dyDescent="0.3">
      <c r="B591" s="15"/>
      <c r="C591" s="15"/>
      <c r="D591" s="15"/>
      <c r="E591" s="15"/>
      <c r="F591" s="15"/>
      <c r="G591" s="15"/>
      <c r="H591" s="15"/>
      <c r="I591" s="15"/>
      <c r="R591" s="25"/>
      <c r="S591" s="25"/>
      <c r="T591" s="25"/>
    </row>
    <row r="592" spans="2:20" x14ac:dyDescent="0.3">
      <c r="B592" s="15"/>
      <c r="C592" s="15"/>
      <c r="D592" s="15"/>
      <c r="E592" s="15"/>
      <c r="F592" s="15"/>
      <c r="G592" s="15"/>
      <c r="H592" s="15"/>
      <c r="I592" s="15"/>
      <c r="L592" s="10"/>
      <c r="M592" s="10"/>
      <c r="N592" s="10"/>
      <c r="O592" s="10"/>
      <c r="R592" s="25"/>
      <c r="S592" s="25"/>
      <c r="T592" s="25"/>
    </row>
    <row r="593" spans="2:20" x14ac:dyDescent="0.3">
      <c r="B593" s="15"/>
      <c r="C593" s="15"/>
      <c r="D593" s="15"/>
      <c r="E593" s="15"/>
      <c r="F593" s="15"/>
      <c r="G593" s="15"/>
      <c r="H593" s="15"/>
      <c r="I593" s="15"/>
      <c r="L593" s="10"/>
      <c r="N593" s="10"/>
      <c r="O593" s="10"/>
      <c r="R593" s="25"/>
      <c r="S593" s="25"/>
      <c r="T593" s="25"/>
    </row>
    <row r="594" spans="2:20" x14ac:dyDescent="0.3">
      <c r="B594" s="15"/>
      <c r="C594" s="15"/>
      <c r="D594" s="15"/>
      <c r="E594" s="15"/>
      <c r="F594" s="15"/>
      <c r="G594" s="15"/>
      <c r="H594" s="15"/>
      <c r="I594" s="15"/>
      <c r="L594" s="10"/>
      <c r="N594" s="10"/>
      <c r="O594" s="10"/>
      <c r="R594" s="25"/>
      <c r="S594" s="25"/>
      <c r="T594" s="25"/>
    </row>
    <row r="595" spans="2:20" x14ac:dyDescent="0.3">
      <c r="B595" s="15"/>
      <c r="C595" s="15"/>
      <c r="D595" s="15"/>
      <c r="E595" s="15"/>
      <c r="F595" s="15"/>
      <c r="G595" s="15"/>
      <c r="H595" s="15"/>
      <c r="I595" s="15"/>
      <c r="L595" s="151"/>
      <c r="M595" s="151"/>
      <c r="N595" s="151"/>
      <c r="O595" s="151"/>
      <c r="R595" s="25"/>
      <c r="S595" s="25"/>
      <c r="T595" s="25"/>
    </row>
    <row r="596" spans="2:20" ht="9.65" customHeight="1" x14ac:dyDescent="0.3">
      <c r="R596" s="25"/>
      <c r="S596" s="25"/>
      <c r="T596" s="25"/>
    </row>
    <row r="597" spans="2:20" x14ac:dyDescent="0.3">
      <c r="L597" s="10"/>
      <c r="M597" s="10"/>
      <c r="N597" s="10"/>
      <c r="O597" s="10"/>
      <c r="P597" s="10"/>
      <c r="R597" s="25"/>
      <c r="S597" s="25"/>
      <c r="T597" s="25"/>
    </row>
    <row r="598" spans="2:20" ht="5.25" customHeight="1" x14ac:dyDescent="0.3">
      <c r="L598" s="10"/>
      <c r="M598" s="10"/>
      <c r="N598" s="10"/>
      <c r="O598" s="10"/>
      <c r="P598" s="10"/>
      <c r="R598" s="25"/>
      <c r="S598" s="25"/>
      <c r="T598" s="25"/>
    </row>
    <row r="599" spans="2:20" x14ac:dyDescent="0.3">
      <c r="B599" s="15"/>
      <c r="C599" s="15"/>
      <c r="D599" s="15"/>
      <c r="E599" s="15"/>
      <c r="F599" s="15"/>
      <c r="G599" s="15"/>
      <c r="H599" s="15"/>
      <c r="I599" s="15"/>
      <c r="L599" s="10"/>
      <c r="M599" s="10"/>
      <c r="N599" s="10"/>
      <c r="O599" s="10"/>
      <c r="P599" s="10"/>
      <c r="R599" s="25"/>
      <c r="S599" s="25"/>
      <c r="T599" s="25"/>
    </row>
    <row r="600" spans="2:20" ht="3.75" customHeight="1" x14ac:dyDescent="0.3">
      <c r="B600" s="15"/>
      <c r="C600" s="15"/>
      <c r="D600" s="15"/>
      <c r="E600" s="15"/>
      <c r="F600" s="15"/>
      <c r="G600" s="15"/>
      <c r="H600" s="15"/>
      <c r="I600" s="15"/>
      <c r="L600" s="10"/>
      <c r="M600" s="10"/>
      <c r="N600" s="10"/>
      <c r="O600" s="10"/>
      <c r="P600" s="10"/>
      <c r="R600" s="25"/>
      <c r="S600" s="25"/>
      <c r="T600" s="25"/>
    </row>
    <row r="601" spans="2:20" x14ac:dyDescent="0.3">
      <c r="B601" s="15"/>
      <c r="C601" s="15"/>
      <c r="D601" s="15"/>
      <c r="E601" s="15"/>
      <c r="F601" s="15"/>
      <c r="G601" s="15"/>
      <c r="H601" s="15"/>
      <c r="I601" s="15"/>
      <c r="L601" s="10"/>
      <c r="M601" s="160"/>
      <c r="N601" s="160"/>
      <c r="O601" s="160"/>
      <c r="P601" s="10"/>
      <c r="R601" s="25"/>
      <c r="S601" s="25"/>
      <c r="T601" s="25"/>
    </row>
    <row r="602" spans="2:20" x14ac:dyDescent="0.3">
      <c r="B602" s="15"/>
      <c r="C602" s="15"/>
      <c r="D602" s="15"/>
      <c r="E602" s="15"/>
      <c r="F602" s="15"/>
      <c r="G602" s="15"/>
      <c r="H602" s="15"/>
      <c r="I602" s="15"/>
      <c r="L602" s="10"/>
      <c r="M602" s="160"/>
      <c r="N602" s="160"/>
      <c r="O602" s="160"/>
      <c r="P602" s="10"/>
      <c r="R602" s="25"/>
      <c r="S602" s="25"/>
      <c r="T602" s="25"/>
    </row>
    <row r="603" spans="2:20" x14ac:dyDescent="0.3">
      <c r="B603" s="15"/>
      <c r="C603" s="15"/>
      <c r="D603" s="15"/>
      <c r="E603" s="15"/>
      <c r="F603" s="15"/>
      <c r="G603" s="15"/>
      <c r="H603" s="15"/>
      <c r="I603" s="15"/>
      <c r="L603" s="10"/>
      <c r="M603" s="160"/>
      <c r="N603" s="160"/>
      <c r="O603" s="160"/>
      <c r="P603" s="10"/>
      <c r="R603" s="25"/>
      <c r="S603" s="25"/>
      <c r="T603" s="25"/>
    </row>
    <row r="604" spans="2:20" x14ac:dyDescent="0.3">
      <c r="B604" s="15"/>
      <c r="C604" s="15"/>
      <c r="D604" s="15"/>
      <c r="E604" s="15"/>
      <c r="F604" s="15"/>
      <c r="G604" s="15"/>
      <c r="H604" s="15"/>
      <c r="I604" s="15"/>
      <c r="L604" s="10"/>
      <c r="M604" s="160"/>
      <c r="N604" s="160"/>
      <c r="O604" s="160"/>
      <c r="P604" s="10"/>
      <c r="R604" s="25"/>
      <c r="S604" s="25"/>
      <c r="T604" s="25"/>
    </row>
    <row r="605" spans="2:20" x14ac:dyDescent="0.3">
      <c r="B605" s="15"/>
      <c r="C605" s="15"/>
      <c r="D605" s="15"/>
      <c r="E605" s="15"/>
      <c r="F605" s="15"/>
      <c r="G605" s="15"/>
      <c r="H605" s="15"/>
      <c r="I605" s="15"/>
      <c r="L605" s="10"/>
      <c r="M605" s="160"/>
      <c r="N605" s="160"/>
      <c r="O605" s="160"/>
      <c r="P605" s="10"/>
      <c r="R605" s="25"/>
      <c r="S605" s="25"/>
      <c r="T605" s="25"/>
    </row>
    <row r="606" spans="2:20" x14ac:dyDescent="0.3">
      <c r="B606" s="15"/>
      <c r="C606" s="15"/>
      <c r="D606" s="15"/>
      <c r="E606" s="15"/>
      <c r="F606" s="15"/>
      <c r="G606" s="15"/>
      <c r="H606" s="15"/>
      <c r="I606" s="15"/>
      <c r="L606" s="10"/>
      <c r="M606" s="160"/>
      <c r="N606" s="160"/>
      <c r="O606" s="160"/>
      <c r="P606" s="10"/>
      <c r="R606" s="25"/>
      <c r="S606" s="25"/>
      <c r="T606" s="25"/>
    </row>
    <row r="607" spans="2:20" x14ac:dyDescent="0.3">
      <c r="B607" s="15"/>
      <c r="C607" s="15"/>
      <c r="D607" s="15"/>
      <c r="E607" s="15"/>
      <c r="F607" s="15"/>
      <c r="G607" s="15"/>
      <c r="H607" s="15"/>
      <c r="I607" s="15"/>
      <c r="L607" s="10"/>
      <c r="M607" s="160"/>
      <c r="N607" s="160"/>
      <c r="O607" s="160"/>
      <c r="P607" s="10"/>
      <c r="R607" s="25"/>
      <c r="S607" s="25"/>
      <c r="T607" s="25"/>
    </row>
    <row r="608" spans="2:20" x14ac:dyDescent="0.3">
      <c r="B608" s="15"/>
      <c r="C608" s="15"/>
      <c r="D608" s="15"/>
      <c r="E608" s="15"/>
      <c r="F608" s="15"/>
      <c r="G608" s="15"/>
      <c r="H608" s="15"/>
      <c r="I608" s="15"/>
      <c r="L608" s="10"/>
      <c r="M608" s="160"/>
      <c r="N608" s="160"/>
      <c r="O608" s="160"/>
      <c r="P608" s="10"/>
      <c r="R608" s="25"/>
      <c r="S608" s="25"/>
      <c r="T608" s="25"/>
    </row>
    <row r="609" spans="1:20" x14ac:dyDescent="0.3">
      <c r="B609" s="15"/>
      <c r="C609" s="15"/>
      <c r="D609" s="15"/>
      <c r="E609" s="15"/>
      <c r="F609" s="15"/>
      <c r="G609" s="15"/>
      <c r="H609" s="15"/>
      <c r="I609" s="15"/>
      <c r="L609" s="10"/>
      <c r="M609" s="160"/>
      <c r="N609" s="160"/>
      <c r="O609" s="160"/>
      <c r="P609" s="10"/>
      <c r="R609" s="25"/>
      <c r="S609" s="25"/>
      <c r="T609" s="25"/>
    </row>
    <row r="610" spans="1:20" x14ac:dyDescent="0.3">
      <c r="B610" s="15"/>
      <c r="C610" s="15"/>
      <c r="D610" s="15"/>
      <c r="E610" s="15"/>
      <c r="F610" s="15"/>
      <c r="G610" s="15"/>
      <c r="H610" s="15"/>
      <c r="I610" s="15"/>
      <c r="L610" s="161"/>
      <c r="M610" s="160"/>
      <c r="N610" s="160"/>
      <c r="O610" s="160"/>
      <c r="R610" s="25"/>
      <c r="S610" s="25"/>
      <c r="T610" s="25"/>
    </row>
    <row r="611" spans="1:20" x14ac:dyDescent="0.3">
      <c r="B611" s="15"/>
      <c r="C611" s="15"/>
      <c r="D611" s="15"/>
      <c r="E611" s="15"/>
      <c r="F611" s="15"/>
      <c r="G611" s="15"/>
      <c r="H611" s="15"/>
      <c r="I611" s="15"/>
      <c r="L611" s="10"/>
      <c r="M611" s="160"/>
      <c r="N611" s="160"/>
      <c r="O611" s="160"/>
      <c r="R611" s="25"/>
      <c r="S611" s="25"/>
      <c r="T611" s="25"/>
    </row>
    <row r="612" spans="1:20" x14ac:dyDescent="0.3">
      <c r="B612" s="15"/>
      <c r="C612" s="15"/>
      <c r="D612" s="15"/>
      <c r="E612" s="15"/>
      <c r="F612" s="15"/>
      <c r="G612" s="15"/>
      <c r="H612" s="15"/>
      <c r="I612" s="15"/>
      <c r="L612" s="10"/>
      <c r="M612" s="160"/>
      <c r="N612" s="160"/>
      <c r="O612" s="160"/>
      <c r="R612" s="25"/>
      <c r="S612" s="25"/>
      <c r="T612" s="25"/>
    </row>
    <row r="613" spans="1:20" x14ac:dyDescent="0.3">
      <c r="B613" s="15"/>
      <c r="C613" s="15"/>
      <c r="D613" s="15"/>
      <c r="E613" s="15"/>
      <c r="F613" s="15"/>
      <c r="G613" s="15"/>
      <c r="H613" s="15"/>
      <c r="I613" s="15"/>
      <c r="J613" s="15"/>
      <c r="L613" s="10"/>
      <c r="M613" s="160"/>
      <c r="N613" s="160"/>
      <c r="O613" s="160"/>
      <c r="R613" s="25"/>
      <c r="S613" s="25"/>
      <c r="T613" s="25"/>
    </row>
    <row r="614" spans="1:20" x14ac:dyDescent="0.3">
      <c r="B614" s="15"/>
      <c r="C614" s="15"/>
      <c r="D614" s="15"/>
      <c r="E614" s="15"/>
      <c r="F614" s="15"/>
      <c r="G614" s="15"/>
      <c r="H614" s="15"/>
      <c r="I614" s="15"/>
      <c r="L614" s="10"/>
      <c r="M614" s="160"/>
      <c r="N614" s="160"/>
      <c r="O614" s="160"/>
      <c r="R614" s="25"/>
      <c r="S614" s="25"/>
      <c r="T614" s="25"/>
    </row>
    <row r="615" spans="1:20" x14ac:dyDescent="0.3">
      <c r="B615" s="15"/>
      <c r="C615" s="15"/>
      <c r="D615" s="15"/>
      <c r="E615" s="15"/>
      <c r="F615" s="15"/>
      <c r="G615" s="15"/>
      <c r="H615" s="15"/>
      <c r="I615" s="15"/>
      <c r="L615" s="151"/>
      <c r="M615" s="162"/>
      <c r="N615" s="162"/>
      <c r="O615" s="162"/>
      <c r="R615" s="25"/>
      <c r="S615" s="25"/>
      <c r="T615" s="25"/>
    </row>
    <row r="616" spans="1:20" x14ac:dyDescent="0.3">
      <c r="L616" s="151"/>
      <c r="M616" s="162"/>
      <c r="N616" s="162"/>
      <c r="O616" s="162"/>
      <c r="P616" s="10"/>
      <c r="R616" s="25"/>
      <c r="S616" s="25"/>
      <c r="T616" s="25"/>
    </row>
    <row r="617" spans="1:20" x14ac:dyDescent="0.3">
      <c r="L617" s="10"/>
      <c r="M617" s="160"/>
      <c r="N617" s="160"/>
      <c r="O617" s="160"/>
      <c r="P617" s="10"/>
      <c r="R617" s="25"/>
      <c r="S617" s="25"/>
      <c r="T617" s="25"/>
    </row>
    <row r="618" spans="1:20" x14ac:dyDescent="0.3">
      <c r="L618" s="151"/>
      <c r="M618" s="162"/>
      <c r="N618" s="162"/>
      <c r="O618" s="162"/>
      <c r="P618" s="10"/>
      <c r="R618" s="25"/>
      <c r="S618" s="25"/>
      <c r="T618" s="25"/>
    </row>
    <row r="619" spans="1:20" x14ac:dyDescent="0.3">
      <c r="L619" s="163"/>
      <c r="M619" s="160"/>
      <c r="N619" s="160"/>
      <c r="O619" s="160"/>
      <c r="R619" s="25"/>
      <c r="S619" s="25"/>
      <c r="T619" s="25"/>
    </row>
    <row r="620" spans="1:20" x14ac:dyDescent="0.3">
      <c r="B620" s="5"/>
      <c r="C620" s="5"/>
      <c r="D620" s="5"/>
      <c r="E620" s="5"/>
      <c r="F620" s="5"/>
      <c r="G620" s="5"/>
      <c r="H620" s="5"/>
      <c r="I620" s="5"/>
      <c r="L620" s="151"/>
      <c r="R620" s="25"/>
      <c r="S620" s="25"/>
      <c r="T620" s="25"/>
    </row>
    <row r="621" spans="1:20" x14ac:dyDescent="0.3">
      <c r="L621" s="164"/>
      <c r="R621" s="25"/>
      <c r="S621" s="25"/>
      <c r="T621" s="25"/>
    </row>
    <row r="622" spans="1:20" x14ac:dyDescent="0.3">
      <c r="R622" s="25"/>
      <c r="S622" s="25"/>
      <c r="T622" s="25"/>
    </row>
    <row r="623" spans="1:20" x14ac:dyDescent="0.3">
      <c r="R623" s="25"/>
      <c r="S623" s="25"/>
      <c r="T623" s="25"/>
    </row>
    <row r="624" spans="1:20" x14ac:dyDescent="0.3">
      <c r="A624" s="20"/>
      <c r="R624" s="25"/>
      <c r="S624" s="25"/>
      <c r="T624" s="25"/>
    </row>
    <row r="625" spans="11:20" x14ac:dyDescent="0.3">
      <c r="K625" s="20"/>
      <c r="L625" s="20"/>
      <c r="M625" s="20"/>
      <c r="R625" s="25"/>
      <c r="S625" s="25"/>
      <c r="T625" s="25"/>
    </row>
    <row r="626" spans="11:20" x14ac:dyDescent="0.3">
      <c r="K626" s="165"/>
      <c r="L626" s="166"/>
      <c r="M626" s="165"/>
      <c r="N626" s="25"/>
      <c r="O626" s="25"/>
      <c r="R626" s="25"/>
      <c r="S626" s="25"/>
      <c r="T626" s="25"/>
    </row>
    <row r="627" spans="11:20" x14ac:dyDescent="0.3">
      <c r="K627" s="165"/>
      <c r="L627" s="166"/>
      <c r="M627" s="165"/>
      <c r="R627" s="25"/>
      <c r="S627" s="25"/>
      <c r="T627" s="25"/>
    </row>
    <row r="628" spans="11:20" x14ac:dyDescent="0.3">
      <c r="K628" s="165"/>
      <c r="L628" s="166"/>
      <c r="M628" s="165"/>
      <c r="R628" s="25"/>
      <c r="S628" s="25"/>
      <c r="T628" s="25"/>
    </row>
    <row r="630" spans="11:20" x14ac:dyDescent="0.3">
      <c r="K630" s="25"/>
    </row>
    <row r="631" spans="11:20" x14ac:dyDescent="0.3">
      <c r="K631" s="25"/>
    </row>
    <row r="635" spans="11:20" x14ac:dyDescent="0.3">
      <c r="K635" s="25"/>
    </row>
    <row r="640" spans="11:20" x14ac:dyDescent="0.3">
      <c r="K640" s="25"/>
    </row>
  </sheetData>
  <mergeCells count="4">
    <mergeCell ref="A1:J1"/>
    <mergeCell ref="A2:J2"/>
    <mergeCell ref="A3:J3"/>
    <mergeCell ref="A10:J10"/>
  </mergeCells>
  <printOptions horizontalCentered="1"/>
  <pageMargins left="0.75" right="0.25" top="1" bottom="0" header="0.5" footer="0.5"/>
  <pageSetup scale="60" orientation="portrait" r:id="rId1"/>
  <headerFooter alignWithMargins="0"/>
  <ignoredErrors>
    <ignoredError sqref="D18:J52 J17 D54:J57 E53:J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 codeName="Sheet2"/>
  <dimension ref="A1:T398"/>
  <sheetViews>
    <sheetView zoomScale="87" zoomScaleNormal="87" zoomScaleSheetLayoutView="70" workbookViewId="0">
      <selection sqref="A1:J1"/>
    </sheetView>
  </sheetViews>
  <sheetFormatPr defaultColWidth="7" defaultRowHeight="15" x14ac:dyDescent="0.35"/>
  <cols>
    <col min="1" max="1" width="7" style="31" customWidth="1"/>
    <col min="2" max="2" width="54.5546875" style="31" customWidth="1"/>
    <col min="3" max="3" width="19.5546875" style="31" bestFit="1" customWidth="1"/>
    <col min="4" max="4" width="20.77734375" style="31" bestFit="1" customWidth="1"/>
    <col min="5" max="5" width="22.21875" style="31" bestFit="1" customWidth="1"/>
    <col min="6" max="6" width="17.77734375" style="31" customWidth="1"/>
    <col min="7" max="8" width="16.5546875" style="31" bestFit="1" customWidth="1"/>
    <col min="9" max="9" width="18.44140625" style="31" bestFit="1" customWidth="1"/>
    <col min="10" max="14" width="16.44140625" style="31" bestFit="1" customWidth="1"/>
    <col min="15" max="15" width="16.44140625" style="31" customWidth="1"/>
    <col min="16" max="16" width="18" style="31" customWidth="1"/>
    <col min="17" max="17" width="23.5546875" style="31" bestFit="1" customWidth="1"/>
    <col min="18" max="16384" width="7" style="31"/>
  </cols>
  <sheetData>
    <row r="1" spans="1:18" ht="15.45" x14ac:dyDescent="0.4">
      <c r="A1" s="472" t="s">
        <v>41</v>
      </c>
      <c r="B1" s="472"/>
      <c r="C1" s="472"/>
      <c r="D1" s="472"/>
      <c r="E1" s="472"/>
      <c r="F1" s="472"/>
      <c r="G1" s="472"/>
      <c r="H1" s="472"/>
      <c r="I1" s="472"/>
      <c r="J1" s="472"/>
      <c r="K1" s="35"/>
      <c r="L1" s="35"/>
      <c r="M1" s="35"/>
      <c r="N1" s="35"/>
      <c r="O1" s="35"/>
      <c r="P1" s="35"/>
    </row>
    <row r="2" spans="1:18" ht="15.45" x14ac:dyDescent="0.4">
      <c r="A2" s="472" t="s">
        <v>155</v>
      </c>
      <c r="B2" s="472"/>
      <c r="C2" s="472"/>
      <c r="D2" s="472"/>
      <c r="E2" s="472"/>
      <c r="F2" s="472"/>
      <c r="G2" s="472"/>
      <c r="H2" s="472"/>
      <c r="I2" s="472"/>
      <c r="J2" s="472"/>
      <c r="K2" s="35"/>
      <c r="L2" s="35"/>
      <c r="M2" s="35"/>
      <c r="N2" s="35"/>
      <c r="O2" s="35"/>
      <c r="P2" s="35"/>
    </row>
    <row r="3" spans="1:18" ht="15.45" x14ac:dyDescent="0.4">
      <c r="A3" s="473" t="str">
        <f>A!A3</f>
        <v>For the 6 Months Ended August 31, 2024</v>
      </c>
      <c r="B3" s="473"/>
      <c r="C3" s="473"/>
      <c r="D3" s="473"/>
      <c r="E3" s="473"/>
      <c r="F3" s="473"/>
      <c r="G3" s="473"/>
      <c r="H3" s="473"/>
      <c r="I3" s="473"/>
      <c r="J3" s="473"/>
      <c r="K3" s="174"/>
      <c r="L3" s="174"/>
      <c r="M3" s="174"/>
      <c r="N3" s="174"/>
      <c r="O3" s="174"/>
      <c r="P3" s="174"/>
    </row>
    <row r="4" spans="1:18" ht="15.45" x14ac:dyDescent="0.4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174"/>
      <c r="L4" s="174"/>
      <c r="M4" s="174"/>
      <c r="N4" s="174"/>
      <c r="O4" s="174"/>
      <c r="P4" s="174"/>
    </row>
    <row r="6" spans="1:18" ht="15.45" x14ac:dyDescent="0.4">
      <c r="A6" s="75" t="s">
        <v>180</v>
      </c>
      <c r="C6" s="32"/>
      <c r="D6" s="32"/>
      <c r="E6" s="32"/>
      <c r="F6" s="32"/>
    </row>
    <row r="7" spans="1:18" ht="15.45" x14ac:dyDescent="0.4">
      <c r="A7" s="75" t="s">
        <v>181</v>
      </c>
      <c r="C7" s="32"/>
      <c r="D7" s="32"/>
      <c r="E7" s="32"/>
      <c r="F7" s="32"/>
    </row>
    <row r="8" spans="1:18" ht="15.45" x14ac:dyDescent="0.4">
      <c r="A8" s="75" t="s">
        <v>64</v>
      </c>
      <c r="C8" s="32"/>
      <c r="D8" s="32"/>
      <c r="E8" s="32"/>
      <c r="F8" s="32"/>
      <c r="J8" s="71" t="s">
        <v>283</v>
      </c>
    </row>
    <row r="9" spans="1:18" ht="15.45" x14ac:dyDescent="0.4">
      <c r="A9" s="332" t="str">
        <f>A!A8</f>
        <v>6 Mos Forecasted</v>
      </c>
      <c r="B9" s="32"/>
      <c r="C9" s="32"/>
      <c r="D9" s="33"/>
      <c r="E9" s="32"/>
      <c r="F9" s="41"/>
      <c r="G9" s="42"/>
      <c r="H9" s="41"/>
      <c r="I9" s="30"/>
      <c r="J9" s="72" t="s">
        <v>311</v>
      </c>
      <c r="K9" s="41"/>
      <c r="L9" s="41"/>
      <c r="M9" s="41"/>
      <c r="N9" s="41"/>
      <c r="O9" s="41"/>
      <c r="Q9" s="32"/>
      <c r="R9" s="32"/>
    </row>
    <row r="10" spans="1:18" ht="15.45" x14ac:dyDescent="0.4">
      <c r="A10" s="76"/>
      <c r="B10" s="32"/>
      <c r="C10" s="32"/>
      <c r="D10" s="33"/>
      <c r="E10" s="32"/>
      <c r="F10" s="41"/>
      <c r="G10" s="42"/>
      <c r="H10" s="41"/>
      <c r="I10" s="30"/>
      <c r="J10" s="72"/>
      <c r="K10" s="41"/>
      <c r="L10" s="41"/>
      <c r="M10" s="41"/>
      <c r="N10" s="41"/>
      <c r="O10" s="41"/>
      <c r="Q10" s="32"/>
      <c r="R10" s="32"/>
    </row>
    <row r="11" spans="1:18" ht="15.45" x14ac:dyDescent="0.4">
      <c r="A11" s="474" t="str">
        <f>A!A10</f>
        <v>Base Period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1"/>
      <c r="L11" s="41"/>
      <c r="M11" s="41"/>
      <c r="N11" s="41"/>
      <c r="O11" s="41"/>
      <c r="P11" s="41"/>
      <c r="Q11" s="32"/>
      <c r="R11" s="32"/>
    </row>
    <row r="12" spans="1:18" ht="15.45" x14ac:dyDescent="0.4">
      <c r="A12" s="32" t="s">
        <v>11</v>
      </c>
      <c r="B12" s="32"/>
      <c r="C12" s="32"/>
      <c r="D12" s="33"/>
      <c r="E12" s="32"/>
      <c r="F12" s="41"/>
      <c r="G12" s="42"/>
      <c r="H12" s="41"/>
      <c r="I12" s="30"/>
      <c r="J12" s="41"/>
      <c r="K12" s="41"/>
      <c r="L12" s="41"/>
      <c r="M12" s="41"/>
      <c r="N12" s="41"/>
      <c r="O12" s="41"/>
      <c r="P12" s="41"/>
      <c r="Q12" s="34"/>
      <c r="R12" s="34"/>
    </row>
    <row r="13" spans="1:18" ht="15.45" x14ac:dyDescent="0.4">
      <c r="A13" s="43" t="s">
        <v>13</v>
      </c>
      <c r="B13" s="43" t="s">
        <v>14</v>
      </c>
      <c r="C13" s="43" t="s">
        <v>152</v>
      </c>
      <c r="D13" s="45" t="str">
        <f>A!D12</f>
        <v>Mar-24</v>
      </c>
      <c r="E13" s="45" t="str">
        <f>A!E12</f>
        <v>Apr-24</v>
      </c>
      <c r="F13" s="45" t="str">
        <f>A!F12</f>
        <v>May-24</v>
      </c>
      <c r="G13" s="45" t="str">
        <f>A!G12</f>
        <v>Jun-24</v>
      </c>
      <c r="H13" s="45" t="str">
        <f>A!H12</f>
        <v>Jul-24</v>
      </c>
      <c r="I13" s="45" t="str">
        <f>A!I12</f>
        <v>Aug-24</v>
      </c>
      <c r="J13" s="45" t="s">
        <v>15</v>
      </c>
      <c r="M13" s="46"/>
    </row>
    <row r="14" spans="1:18" ht="15.45" x14ac:dyDescent="0.4">
      <c r="A14" s="32"/>
      <c r="B14" s="34" t="s">
        <v>49</v>
      </c>
      <c r="C14" s="34" t="s">
        <v>50</v>
      </c>
      <c r="D14" s="120" t="s">
        <v>56</v>
      </c>
      <c r="E14" s="48" t="s">
        <v>57</v>
      </c>
      <c r="F14" s="48" t="s">
        <v>58</v>
      </c>
      <c r="G14" s="48" t="s">
        <v>59</v>
      </c>
      <c r="H14" s="48" t="s">
        <v>60</v>
      </c>
      <c r="I14" s="48" t="s">
        <v>61</v>
      </c>
      <c r="J14" s="48" t="s">
        <v>62</v>
      </c>
      <c r="M14" s="34"/>
    </row>
    <row r="15" spans="1:18" ht="15.45" x14ac:dyDescent="0.4">
      <c r="A15" s="32"/>
      <c r="B15" s="34"/>
      <c r="C15" s="34"/>
      <c r="D15" s="48"/>
      <c r="E15" s="48"/>
      <c r="F15" s="48"/>
      <c r="G15" s="48"/>
      <c r="H15" s="48"/>
      <c r="I15" s="48"/>
      <c r="J15" s="48"/>
      <c r="M15" s="34"/>
    </row>
    <row r="16" spans="1:18" ht="15.45" x14ac:dyDescent="0.4">
      <c r="A16" s="64">
        <v>1</v>
      </c>
      <c r="B16" s="35" t="s">
        <v>199</v>
      </c>
      <c r="C16" s="34"/>
      <c r="D16" s="48"/>
      <c r="E16" s="48"/>
      <c r="F16" s="48"/>
      <c r="G16" s="48"/>
      <c r="H16" s="48"/>
      <c r="I16" s="48"/>
      <c r="J16" s="48"/>
      <c r="M16" s="34"/>
    </row>
    <row r="17" spans="1:13" ht="15.45" x14ac:dyDescent="0.4">
      <c r="A17" s="64">
        <f>A16+1</f>
        <v>2</v>
      </c>
      <c r="B17" s="52" t="s">
        <v>249</v>
      </c>
      <c r="C17" s="80"/>
      <c r="D17" s="395">
        <v>113388</v>
      </c>
      <c r="E17" s="395">
        <v>112996</v>
      </c>
      <c r="F17" s="395">
        <v>112355</v>
      </c>
      <c r="G17" s="395">
        <v>111582</v>
      </c>
      <c r="H17" s="395">
        <v>111051</v>
      </c>
      <c r="I17" s="395">
        <v>110682</v>
      </c>
      <c r="J17" s="397">
        <f>SUM(D17:I17)</f>
        <v>672054</v>
      </c>
      <c r="L17" s="21"/>
      <c r="M17" s="34"/>
    </row>
    <row r="18" spans="1:13" ht="15.45" x14ac:dyDescent="0.4">
      <c r="A18" s="64">
        <f>A17+1</f>
        <v>3</v>
      </c>
      <c r="B18" s="52" t="s">
        <v>202</v>
      </c>
      <c r="C18" s="80" t="s">
        <v>300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36">
        <f>SUM(D18:I18)</f>
        <v>0</v>
      </c>
      <c r="M18" s="34"/>
    </row>
    <row r="19" spans="1:13" ht="15.45" x14ac:dyDescent="0.4">
      <c r="A19" s="64">
        <f>A18+1</f>
        <v>4</v>
      </c>
      <c r="B19" s="52" t="s">
        <v>250</v>
      </c>
      <c r="C19" s="80"/>
      <c r="D19" s="218">
        <v>1505</v>
      </c>
      <c r="E19" s="218">
        <v>1710</v>
      </c>
      <c r="F19" s="218">
        <v>1754</v>
      </c>
      <c r="G19" s="218">
        <v>1994</v>
      </c>
      <c r="H19" s="218">
        <v>2073</v>
      </c>
      <c r="I19" s="218">
        <v>2217</v>
      </c>
      <c r="J19" s="51">
        <f>SUM(D19:I19)</f>
        <v>11253</v>
      </c>
      <c r="L19" s="21"/>
      <c r="M19" s="34"/>
    </row>
    <row r="20" spans="1:13" ht="15.45" x14ac:dyDescent="0.4">
      <c r="A20" s="64">
        <f>A19+1</f>
        <v>5</v>
      </c>
      <c r="B20" s="52" t="s">
        <v>218</v>
      </c>
      <c r="C20" s="80"/>
      <c r="D20" s="108">
        <f t="shared" ref="D20:J20" si="0">SUM(D17:D19)</f>
        <v>114893</v>
      </c>
      <c r="E20" s="108">
        <f t="shared" si="0"/>
        <v>114706</v>
      </c>
      <c r="F20" s="108">
        <f t="shared" si="0"/>
        <v>114109</v>
      </c>
      <c r="G20" s="108">
        <f t="shared" si="0"/>
        <v>113576</v>
      </c>
      <c r="H20" s="108">
        <f t="shared" si="0"/>
        <v>113124</v>
      </c>
      <c r="I20" s="108">
        <f t="shared" si="0"/>
        <v>112899</v>
      </c>
      <c r="J20" s="108">
        <f t="shared" si="0"/>
        <v>683307</v>
      </c>
      <c r="M20" s="34"/>
    </row>
    <row r="21" spans="1:13" x14ac:dyDescent="0.35">
      <c r="B21" s="50"/>
      <c r="D21" s="77"/>
      <c r="E21" s="77"/>
      <c r="F21" s="77"/>
      <c r="G21" s="77"/>
      <c r="H21" s="77"/>
      <c r="I21" s="77"/>
      <c r="J21" s="60"/>
    </row>
    <row r="22" spans="1:13" ht="15.45" x14ac:dyDescent="0.4">
      <c r="A22" s="64">
        <f>A20+1</f>
        <v>6</v>
      </c>
      <c r="B22" s="35" t="s">
        <v>200</v>
      </c>
      <c r="C22" s="34"/>
      <c r="D22" s="48"/>
      <c r="E22" s="48"/>
      <c r="F22" s="48"/>
      <c r="G22" s="48"/>
      <c r="H22" s="48"/>
      <c r="I22" s="48"/>
      <c r="J22" s="48"/>
      <c r="M22" s="34"/>
    </row>
    <row r="23" spans="1:13" ht="15.45" x14ac:dyDescent="0.4">
      <c r="A23" s="64">
        <f>A22+1</f>
        <v>7</v>
      </c>
      <c r="B23" s="52" t="s">
        <v>249</v>
      </c>
      <c r="C23" s="80"/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397">
        <f>SUM(D23:I23)</f>
        <v>0</v>
      </c>
      <c r="M23" s="34"/>
    </row>
    <row r="24" spans="1:13" ht="15.45" x14ac:dyDescent="0.4">
      <c r="A24" s="64">
        <f>A23+1</f>
        <v>8</v>
      </c>
      <c r="B24" s="52" t="s">
        <v>202</v>
      </c>
      <c r="C24" s="80" t="s">
        <v>300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36">
        <f>SUM(D24:I24)</f>
        <v>0</v>
      </c>
      <c r="M24" s="34"/>
    </row>
    <row r="25" spans="1:13" ht="15.45" x14ac:dyDescent="0.4">
      <c r="A25" s="64">
        <f>A24+1</f>
        <v>9</v>
      </c>
      <c r="B25" s="52" t="s">
        <v>250</v>
      </c>
      <c r="C25" s="80"/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51">
        <f>SUM(D25:I25)</f>
        <v>0</v>
      </c>
      <c r="M25" s="34"/>
    </row>
    <row r="26" spans="1:13" ht="15.45" x14ac:dyDescent="0.4">
      <c r="A26" s="64">
        <f>A25+1</f>
        <v>10</v>
      </c>
      <c r="B26" s="52" t="s">
        <v>218</v>
      </c>
      <c r="C26" s="80"/>
      <c r="D26" s="108">
        <f t="shared" ref="D26:J26" si="1">SUM(D23:D25)</f>
        <v>0</v>
      </c>
      <c r="E26" s="108">
        <f t="shared" si="1"/>
        <v>0</v>
      </c>
      <c r="F26" s="108">
        <f t="shared" si="1"/>
        <v>0</v>
      </c>
      <c r="G26" s="108">
        <f t="shared" si="1"/>
        <v>0</v>
      </c>
      <c r="H26" s="108">
        <f t="shared" si="1"/>
        <v>0</v>
      </c>
      <c r="I26" s="108">
        <f t="shared" si="1"/>
        <v>0</v>
      </c>
      <c r="J26" s="108">
        <f t="shared" si="1"/>
        <v>0</v>
      </c>
      <c r="M26" s="34"/>
    </row>
    <row r="27" spans="1:13" ht="15.45" x14ac:dyDescent="0.4">
      <c r="A27" s="64"/>
      <c r="B27" s="52"/>
      <c r="C27" s="80"/>
      <c r="D27" s="108"/>
      <c r="E27" s="108"/>
      <c r="F27" s="108"/>
      <c r="G27" s="108"/>
      <c r="H27" s="108"/>
      <c r="I27" s="108"/>
      <c r="J27" s="108"/>
      <c r="M27" s="34"/>
    </row>
    <row r="28" spans="1:13" ht="15.45" x14ac:dyDescent="0.4">
      <c r="A28" s="64">
        <f>A26+1</f>
        <v>11</v>
      </c>
      <c r="B28" s="35" t="s">
        <v>201</v>
      </c>
      <c r="C28" s="34"/>
      <c r="D28" s="48"/>
      <c r="E28" s="48"/>
      <c r="F28" s="48"/>
      <c r="G28" s="48"/>
      <c r="H28" s="48"/>
      <c r="I28" s="48"/>
      <c r="J28" s="48"/>
      <c r="M28" s="34"/>
    </row>
    <row r="29" spans="1:13" ht="15.45" x14ac:dyDescent="0.4">
      <c r="A29" s="64">
        <f>A28+1</f>
        <v>12</v>
      </c>
      <c r="B29" s="52" t="s">
        <v>249</v>
      </c>
      <c r="C29" s="80"/>
      <c r="D29" s="395">
        <v>2</v>
      </c>
      <c r="E29" s="395">
        <v>2</v>
      </c>
      <c r="F29" s="395">
        <v>2</v>
      </c>
      <c r="G29" s="395">
        <v>2</v>
      </c>
      <c r="H29" s="395">
        <v>2</v>
      </c>
      <c r="I29" s="395">
        <v>2</v>
      </c>
      <c r="J29" s="397">
        <f>SUM(D29:I29)</f>
        <v>12</v>
      </c>
      <c r="L29" s="21"/>
      <c r="M29" s="34"/>
    </row>
    <row r="30" spans="1:13" ht="15.45" x14ac:dyDescent="0.4">
      <c r="A30" s="64">
        <f>A29+1</f>
        <v>13</v>
      </c>
      <c r="B30" s="52" t="s">
        <v>202</v>
      </c>
      <c r="C30" s="80" t="s">
        <v>300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36">
        <f>SUM(D30:I30)</f>
        <v>0</v>
      </c>
      <c r="M30" s="34"/>
    </row>
    <row r="31" spans="1:13" ht="15.45" x14ac:dyDescent="0.4">
      <c r="A31" s="64">
        <f>A30+1</f>
        <v>14</v>
      </c>
      <c r="B31" s="52" t="s">
        <v>250</v>
      </c>
      <c r="C31" s="80"/>
      <c r="D31" s="218">
        <v>0</v>
      </c>
      <c r="E31" s="218">
        <v>0</v>
      </c>
      <c r="F31" s="218">
        <v>0</v>
      </c>
      <c r="G31" s="218">
        <v>0</v>
      </c>
      <c r="H31" s="218">
        <v>0</v>
      </c>
      <c r="I31" s="218">
        <v>0</v>
      </c>
      <c r="J31" s="51">
        <f>SUM(D31:I31)</f>
        <v>0</v>
      </c>
      <c r="L31" s="21"/>
      <c r="M31" s="34"/>
    </row>
    <row r="32" spans="1:13" ht="15.45" x14ac:dyDescent="0.4">
      <c r="A32" s="64">
        <f>A31+1</f>
        <v>15</v>
      </c>
      <c r="B32" s="52" t="s">
        <v>218</v>
      </c>
      <c r="C32" s="80"/>
      <c r="D32" s="108">
        <f t="shared" ref="D32:J32" si="2">SUM(D29:D31)</f>
        <v>2</v>
      </c>
      <c r="E32" s="108">
        <f t="shared" si="2"/>
        <v>2</v>
      </c>
      <c r="F32" s="108">
        <f t="shared" si="2"/>
        <v>2</v>
      </c>
      <c r="G32" s="108">
        <f t="shared" si="2"/>
        <v>2</v>
      </c>
      <c r="H32" s="108">
        <f t="shared" si="2"/>
        <v>2</v>
      </c>
      <c r="I32" s="108">
        <f t="shared" si="2"/>
        <v>2</v>
      </c>
      <c r="J32" s="108">
        <f t="shared" si="2"/>
        <v>12</v>
      </c>
      <c r="M32" s="34"/>
    </row>
    <row r="33" spans="1:13" ht="15.45" x14ac:dyDescent="0.4">
      <c r="A33" s="64"/>
      <c r="B33" s="52"/>
      <c r="C33" s="80"/>
      <c r="D33" s="398"/>
      <c r="E33" s="398"/>
      <c r="F33" s="398"/>
      <c r="G33" s="398"/>
      <c r="H33" s="398"/>
      <c r="I33" s="398"/>
      <c r="J33" s="398"/>
      <c r="M33" s="34"/>
    </row>
    <row r="34" spans="1:13" ht="15.45" x14ac:dyDescent="0.4">
      <c r="A34" s="64">
        <f>A32+1</f>
        <v>16</v>
      </c>
      <c r="B34" s="35" t="s">
        <v>203</v>
      </c>
      <c r="C34" s="34"/>
      <c r="D34" s="48"/>
      <c r="E34" s="48"/>
      <c r="F34" s="48"/>
      <c r="G34" s="48"/>
      <c r="H34" s="48"/>
      <c r="I34" s="48"/>
      <c r="J34" s="48"/>
      <c r="M34" s="34"/>
    </row>
    <row r="35" spans="1:13" ht="15.45" x14ac:dyDescent="0.4">
      <c r="A35" s="64">
        <f>A34+1</f>
        <v>17</v>
      </c>
      <c r="B35" s="52" t="s">
        <v>249</v>
      </c>
      <c r="C35" s="80"/>
      <c r="D35" s="395">
        <v>7</v>
      </c>
      <c r="E35" s="395">
        <v>7</v>
      </c>
      <c r="F35" s="395">
        <v>7</v>
      </c>
      <c r="G35" s="395">
        <v>7</v>
      </c>
      <c r="H35" s="395">
        <v>7</v>
      </c>
      <c r="I35" s="395">
        <v>7</v>
      </c>
      <c r="J35" s="397">
        <f>SUM(D35:I35)</f>
        <v>42</v>
      </c>
      <c r="L35" s="21"/>
      <c r="M35" s="34"/>
    </row>
    <row r="36" spans="1:13" ht="15.45" x14ac:dyDescent="0.4">
      <c r="A36" s="64">
        <f>A35+1</f>
        <v>18</v>
      </c>
      <c r="B36" s="52" t="s">
        <v>202</v>
      </c>
      <c r="C36" s="80" t="s">
        <v>300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36">
        <f>SUM(D36:I36)</f>
        <v>0</v>
      </c>
      <c r="M36" s="34"/>
    </row>
    <row r="37" spans="1:13" ht="15.45" x14ac:dyDescent="0.4">
      <c r="A37" s="64">
        <f>A36+1</f>
        <v>19</v>
      </c>
      <c r="B37" s="52" t="s">
        <v>250</v>
      </c>
      <c r="C37" s="80"/>
      <c r="D37" s="218">
        <v>0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51">
        <f>SUM(D37:I37)</f>
        <v>0</v>
      </c>
      <c r="L37" s="21"/>
      <c r="M37" s="34"/>
    </row>
    <row r="38" spans="1:13" ht="15.45" x14ac:dyDescent="0.4">
      <c r="A38" s="64">
        <f>A37+1</f>
        <v>20</v>
      </c>
      <c r="B38" s="52" t="s">
        <v>218</v>
      </c>
      <c r="C38" s="80"/>
      <c r="D38" s="108">
        <f t="shared" ref="D38:J38" si="3">SUM(D35:D37)</f>
        <v>7</v>
      </c>
      <c r="E38" s="108">
        <f t="shared" si="3"/>
        <v>7</v>
      </c>
      <c r="F38" s="108">
        <f t="shared" si="3"/>
        <v>7</v>
      </c>
      <c r="G38" s="108">
        <f t="shared" si="3"/>
        <v>7</v>
      </c>
      <c r="H38" s="108">
        <f t="shared" si="3"/>
        <v>7</v>
      </c>
      <c r="I38" s="108">
        <f t="shared" si="3"/>
        <v>7</v>
      </c>
      <c r="J38" s="108">
        <f t="shared" si="3"/>
        <v>42</v>
      </c>
      <c r="M38" s="34"/>
    </row>
    <row r="39" spans="1:13" ht="15.45" x14ac:dyDescent="0.4">
      <c r="A39" s="64"/>
      <c r="B39" s="52"/>
      <c r="C39" s="80"/>
      <c r="D39" s="108"/>
      <c r="E39" s="108"/>
      <c r="F39" s="108"/>
      <c r="G39" s="108"/>
      <c r="H39" s="108"/>
      <c r="I39" s="108"/>
      <c r="J39" s="108"/>
      <c r="M39" s="34"/>
    </row>
    <row r="40" spans="1:13" ht="15.45" x14ac:dyDescent="0.4">
      <c r="A40" s="64">
        <f>A38+1</f>
        <v>21</v>
      </c>
      <c r="B40" s="35" t="s">
        <v>204</v>
      </c>
      <c r="C40" s="34"/>
      <c r="D40" s="48"/>
      <c r="E40" s="48"/>
      <c r="F40" s="48"/>
      <c r="G40" s="48"/>
      <c r="H40" s="48"/>
      <c r="I40" s="48"/>
      <c r="J40" s="48"/>
      <c r="M40" s="34"/>
    </row>
    <row r="41" spans="1:13" ht="15.45" x14ac:dyDescent="0.4">
      <c r="A41" s="64">
        <f>A40+1</f>
        <v>22</v>
      </c>
      <c r="B41" s="52" t="s">
        <v>249</v>
      </c>
      <c r="C41" s="80"/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36">
        <f>SUM(D41:I41)</f>
        <v>0</v>
      </c>
      <c r="M41" s="34"/>
    </row>
    <row r="42" spans="1:13" ht="15.45" x14ac:dyDescent="0.4">
      <c r="A42" s="64">
        <f>A41+1</f>
        <v>23</v>
      </c>
      <c r="B42" s="52" t="s">
        <v>202</v>
      </c>
      <c r="C42" s="80" t="s">
        <v>300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36">
        <f>SUM(D42:I42)</f>
        <v>0</v>
      </c>
      <c r="M42" s="34"/>
    </row>
    <row r="43" spans="1:13" ht="15.45" x14ac:dyDescent="0.4">
      <c r="A43" s="64">
        <f>A42+1</f>
        <v>24</v>
      </c>
      <c r="B43" s="52" t="s">
        <v>250</v>
      </c>
      <c r="C43" s="80"/>
      <c r="D43" s="218">
        <v>0</v>
      </c>
      <c r="E43" s="218">
        <v>0</v>
      </c>
      <c r="F43" s="218">
        <v>0</v>
      </c>
      <c r="G43" s="218">
        <v>0</v>
      </c>
      <c r="H43" s="218">
        <v>0</v>
      </c>
      <c r="I43" s="218">
        <v>0</v>
      </c>
      <c r="J43" s="51">
        <f>SUM(D43:I43)</f>
        <v>0</v>
      </c>
      <c r="M43" s="34"/>
    </row>
    <row r="44" spans="1:13" ht="15.45" x14ac:dyDescent="0.4">
      <c r="A44" s="64">
        <f>A43+1</f>
        <v>25</v>
      </c>
      <c r="B44" s="52" t="s">
        <v>218</v>
      </c>
      <c r="C44" s="80"/>
      <c r="D44" s="36">
        <f t="shared" ref="D44:J44" si="4">SUM(D41:D43)</f>
        <v>0</v>
      </c>
      <c r="E44" s="36">
        <f t="shared" si="4"/>
        <v>0</v>
      </c>
      <c r="F44" s="36">
        <f t="shared" si="4"/>
        <v>0</v>
      </c>
      <c r="G44" s="36">
        <f t="shared" si="4"/>
        <v>0</v>
      </c>
      <c r="H44" s="36">
        <f t="shared" si="4"/>
        <v>0</v>
      </c>
      <c r="I44" s="36">
        <f t="shared" si="4"/>
        <v>0</v>
      </c>
      <c r="J44" s="36">
        <f t="shared" si="4"/>
        <v>0</v>
      </c>
      <c r="M44" s="34"/>
    </row>
    <row r="45" spans="1:13" ht="15.45" x14ac:dyDescent="0.4">
      <c r="A45" s="64"/>
      <c r="B45" s="52"/>
      <c r="C45" s="80"/>
      <c r="D45" s="108"/>
      <c r="E45" s="108"/>
      <c r="F45" s="108"/>
      <c r="G45" s="108"/>
      <c r="H45" s="108"/>
      <c r="I45" s="108"/>
      <c r="J45" s="108"/>
      <c r="M45" s="34"/>
    </row>
    <row r="46" spans="1:13" ht="15.45" x14ac:dyDescent="0.4">
      <c r="A46" s="64">
        <f>A44+1</f>
        <v>26</v>
      </c>
      <c r="B46" s="35" t="s">
        <v>205</v>
      </c>
      <c r="C46" s="34"/>
      <c r="D46" s="48"/>
      <c r="E46" s="48"/>
      <c r="F46" s="48"/>
      <c r="G46" s="48"/>
      <c r="H46" s="48"/>
      <c r="I46" s="48"/>
      <c r="J46" s="48"/>
      <c r="M46" s="34"/>
    </row>
    <row r="47" spans="1:13" ht="15.45" x14ac:dyDescent="0.4">
      <c r="A47" s="64">
        <f>A46+1</f>
        <v>27</v>
      </c>
      <c r="B47" s="52" t="s">
        <v>249</v>
      </c>
      <c r="C47" s="80"/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36">
        <f>SUM(D47:I47)</f>
        <v>0</v>
      </c>
      <c r="L47" s="21"/>
      <c r="M47" s="34"/>
    </row>
    <row r="48" spans="1:13" ht="15.45" x14ac:dyDescent="0.4">
      <c r="A48" s="64">
        <f>A47+1</f>
        <v>28</v>
      </c>
      <c r="B48" s="52" t="s">
        <v>202</v>
      </c>
      <c r="C48" s="80" t="s">
        <v>300</v>
      </c>
      <c r="D48" s="119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36">
        <f>SUM(D48:I48)</f>
        <v>0</v>
      </c>
      <c r="M48" s="34"/>
    </row>
    <row r="49" spans="1:19" ht="15.45" x14ac:dyDescent="0.4">
      <c r="A49" s="64">
        <f>A48+1</f>
        <v>29</v>
      </c>
      <c r="B49" s="52" t="s">
        <v>250</v>
      </c>
      <c r="C49" s="80"/>
      <c r="D49" s="218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51">
        <f>SUM(D49:I49)</f>
        <v>0</v>
      </c>
      <c r="L49" s="21"/>
      <c r="M49" s="34"/>
    </row>
    <row r="50" spans="1:19" ht="15.45" x14ac:dyDescent="0.4">
      <c r="A50" s="64">
        <f>A49+1</f>
        <v>30</v>
      </c>
      <c r="B50" s="52" t="s">
        <v>218</v>
      </c>
      <c r="C50" s="80"/>
      <c r="D50" s="36">
        <f t="shared" ref="D50:J50" si="5">SUM(D47:D49)</f>
        <v>0</v>
      </c>
      <c r="E50" s="36">
        <f t="shared" si="5"/>
        <v>0</v>
      </c>
      <c r="F50" s="36">
        <f t="shared" si="5"/>
        <v>0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36">
        <f t="shared" si="5"/>
        <v>0</v>
      </c>
      <c r="M50" s="34"/>
    </row>
    <row r="51" spans="1:19" ht="15.45" x14ac:dyDescent="0.4">
      <c r="A51" s="64"/>
      <c r="B51" s="52"/>
      <c r="C51" s="80"/>
      <c r="D51" s="108"/>
      <c r="E51" s="108"/>
      <c r="F51" s="108"/>
      <c r="G51" s="108"/>
      <c r="H51" s="108"/>
      <c r="I51" s="108"/>
      <c r="J51" s="108"/>
      <c r="M51" s="34"/>
    </row>
    <row r="52" spans="1:19" ht="15.45" x14ac:dyDescent="0.4">
      <c r="A52" s="64">
        <f>A50+1</f>
        <v>31</v>
      </c>
      <c r="B52" s="35" t="s">
        <v>206</v>
      </c>
      <c r="C52" s="34"/>
      <c r="D52" s="48"/>
      <c r="E52" s="48"/>
      <c r="F52" s="48"/>
      <c r="G52" s="48"/>
      <c r="H52" s="48"/>
      <c r="I52" s="48"/>
      <c r="J52" s="48"/>
      <c r="M52" s="34"/>
    </row>
    <row r="53" spans="1:19" ht="15.45" x14ac:dyDescent="0.4">
      <c r="A53" s="64">
        <f>A52+1</f>
        <v>32</v>
      </c>
      <c r="B53" s="52" t="s">
        <v>249</v>
      </c>
      <c r="C53" s="80"/>
      <c r="D53" s="395">
        <v>2</v>
      </c>
      <c r="E53" s="395">
        <v>2</v>
      </c>
      <c r="F53" s="395">
        <v>2</v>
      </c>
      <c r="G53" s="395">
        <v>2</v>
      </c>
      <c r="H53" s="395">
        <v>2</v>
      </c>
      <c r="I53" s="395">
        <v>2</v>
      </c>
      <c r="J53" s="397">
        <f>SUM(D53:I53)</f>
        <v>12</v>
      </c>
      <c r="L53" s="21"/>
      <c r="M53" s="34"/>
    </row>
    <row r="54" spans="1:19" ht="15.45" x14ac:dyDescent="0.4">
      <c r="A54" s="64">
        <f>A53+1</f>
        <v>33</v>
      </c>
      <c r="B54" s="52" t="s">
        <v>202</v>
      </c>
      <c r="C54" s="80" t="s">
        <v>300</v>
      </c>
      <c r="D54" s="119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36">
        <f>SUM(D54:I54)</f>
        <v>0</v>
      </c>
      <c r="M54" s="34"/>
    </row>
    <row r="55" spans="1:19" ht="15.45" x14ac:dyDescent="0.4">
      <c r="A55" s="64">
        <f>A54+1</f>
        <v>34</v>
      </c>
      <c r="B55" s="52" t="s">
        <v>250</v>
      </c>
      <c r="C55" s="80"/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51">
        <f>SUM(D55:I55)</f>
        <v>0</v>
      </c>
      <c r="L55" s="21"/>
      <c r="M55" s="34"/>
    </row>
    <row r="56" spans="1:19" ht="15.45" x14ac:dyDescent="0.4">
      <c r="A56" s="64">
        <f>A55+1</f>
        <v>35</v>
      </c>
      <c r="B56" s="52" t="s">
        <v>218</v>
      </c>
      <c r="C56" s="80"/>
      <c r="D56" s="108">
        <f t="shared" ref="D56:J56" si="6">SUM(D53:D55)</f>
        <v>2</v>
      </c>
      <c r="E56" s="108">
        <f t="shared" si="6"/>
        <v>2</v>
      </c>
      <c r="F56" s="108">
        <f t="shared" si="6"/>
        <v>2</v>
      </c>
      <c r="G56" s="108">
        <f t="shared" si="6"/>
        <v>2</v>
      </c>
      <c r="H56" s="108">
        <f t="shared" si="6"/>
        <v>2</v>
      </c>
      <c r="I56" s="108">
        <f t="shared" si="6"/>
        <v>2</v>
      </c>
      <c r="J56" s="108">
        <f t="shared" si="6"/>
        <v>12</v>
      </c>
      <c r="M56" s="34"/>
    </row>
    <row r="57" spans="1:19" ht="15.45" x14ac:dyDescent="0.4">
      <c r="A57" s="64"/>
      <c r="B57" s="52"/>
      <c r="C57" s="8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S57" s="34"/>
    </row>
    <row r="58" spans="1:19" ht="15.45" x14ac:dyDescent="0.4">
      <c r="A58" s="64">
        <f>A56+1</f>
        <v>36</v>
      </c>
      <c r="B58" s="35" t="s">
        <v>207</v>
      </c>
      <c r="C58" s="34"/>
      <c r="D58" s="48"/>
      <c r="E58" s="48"/>
      <c r="F58" s="48"/>
      <c r="G58" s="48"/>
      <c r="H58" s="48"/>
      <c r="I58" s="48"/>
      <c r="J58" s="48"/>
      <c r="K58" s="108"/>
      <c r="L58" s="108"/>
      <c r="M58" s="108"/>
      <c r="N58" s="108"/>
      <c r="O58" s="108"/>
      <c r="P58" s="109"/>
      <c r="S58" s="34"/>
    </row>
    <row r="59" spans="1:19" ht="15.45" x14ac:dyDescent="0.4">
      <c r="A59" s="64">
        <f>A58+1</f>
        <v>37</v>
      </c>
      <c r="B59" s="52" t="s">
        <v>249</v>
      </c>
      <c r="C59" s="80"/>
      <c r="D59" s="395">
        <v>1</v>
      </c>
      <c r="E59" s="395">
        <v>1</v>
      </c>
      <c r="F59" s="395">
        <v>1</v>
      </c>
      <c r="G59" s="395">
        <v>1</v>
      </c>
      <c r="H59" s="395">
        <v>1</v>
      </c>
      <c r="I59" s="395">
        <v>1</v>
      </c>
      <c r="J59" s="397">
        <f>SUM(D59:I59)</f>
        <v>6</v>
      </c>
      <c r="K59" s="108"/>
      <c r="L59" s="21"/>
      <c r="M59" s="108"/>
      <c r="N59" s="108"/>
      <c r="O59" s="108"/>
      <c r="P59" s="109"/>
      <c r="S59" s="34"/>
    </row>
    <row r="60" spans="1:19" ht="15.45" x14ac:dyDescent="0.4">
      <c r="A60" s="64">
        <f t="shared" ref="A60:A62" si="7">A59+1</f>
        <v>38</v>
      </c>
      <c r="B60" s="52" t="s">
        <v>202</v>
      </c>
      <c r="C60" s="80" t="s">
        <v>300</v>
      </c>
      <c r="D60" s="119">
        <v>0</v>
      </c>
      <c r="E60" s="119">
        <v>0</v>
      </c>
      <c r="F60" s="119">
        <v>0</v>
      </c>
      <c r="G60" s="119">
        <v>0</v>
      </c>
      <c r="H60" s="119">
        <v>0</v>
      </c>
      <c r="I60" s="119">
        <v>0</v>
      </c>
      <c r="J60" s="36">
        <f>SUM(D60:I60)</f>
        <v>0</v>
      </c>
      <c r="K60" s="108"/>
      <c r="L60" s="108"/>
      <c r="M60" s="108"/>
      <c r="N60" s="108"/>
      <c r="O60" s="108"/>
      <c r="P60" s="109"/>
      <c r="S60" s="34"/>
    </row>
    <row r="61" spans="1:19" ht="15.45" x14ac:dyDescent="0.4">
      <c r="A61" s="64">
        <f t="shared" si="7"/>
        <v>39</v>
      </c>
      <c r="B61" s="52" t="s">
        <v>250</v>
      </c>
      <c r="C61" s="80"/>
      <c r="D61" s="218">
        <v>0</v>
      </c>
      <c r="E61" s="218">
        <v>0</v>
      </c>
      <c r="F61" s="218">
        <v>0</v>
      </c>
      <c r="G61" s="218">
        <v>0</v>
      </c>
      <c r="H61" s="218">
        <v>0</v>
      </c>
      <c r="I61" s="218">
        <v>0</v>
      </c>
      <c r="J61" s="51">
        <f>SUM(D61:I61)</f>
        <v>0</v>
      </c>
      <c r="K61" s="108"/>
      <c r="L61" s="21"/>
      <c r="M61" s="108"/>
      <c r="N61" s="108"/>
      <c r="O61" s="108"/>
      <c r="P61" s="109"/>
      <c r="S61" s="34"/>
    </row>
    <row r="62" spans="1:19" ht="15.45" x14ac:dyDescent="0.4">
      <c r="A62" s="64">
        <f t="shared" si="7"/>
        <v>40</v>
      </c>
      <c r="B62" s="52" t="s">
        <v>218</v>
      </c>
      <c r="C62" s="80"/>
      <c r="D62" s="108">
        <f t="shared" ref="D62:J62" si="8">SUM(D59:D61)</f>
        <v>1</v>
      </c>
      <c r="E62" s="108">
        <f t="shared" si="8"/>
        <v>1</v>
      </c>
      <c r="F62" s="108">
        <f t="shared" si="8"/>
        <v>1</v>
      </c>
      <c r="G62" s="108">
        <f t="shared" si="8"/>
        <v>1</v>
      </c>
      <c r="H62" s="108">
        <f t="shared" si="8"/>
        <v>1</v>
      </c>
      <c r="I62" s="108">
        <f t="shared" si="8"/>
        <v>1</v>
      </c>
      <c r="J62" s="108">
        <f t="shared" si="8"/>
        <v>6</v>
      </c>
      <c r="K62" s="108"/>
      <c r="L62" s="108"/>
      <c r="M62" s="108"/>
      <c r="N62" s="108"/>
      <c r="O62" s="108"/>
      <c r="P62" s="109"/>
      <c r="S62" s="34"/>
    </row>
    <row r="63" spans="1:19" ht="15.45" x14ac:dyDescent="0.4">
      <c r="A63" s="64"/>
      <c r="B63" s="52"/>
      <c r="C63" s="8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9"/>
      <c r="S63" s="34"/>
    </row>
    <row r="64" spans="1:19" ht="15.45" x14ac:dyDescent="0.4">
      <c r="A64" s="64"/>
      <c r="B64" s="52"/>
      <c r="C64" s="8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9"/>
      <c r="S64" s="34"/>
    </row>
    <row r="65" spans="1:19" ht="15.45" x14ac:dyDescent="0.4">
      <c r="A65" s="64"/>
      <c r="B65" s="52"/>
      <c r="C65" s="8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9"/>
      <c r="S65" s="34"/>
    </row>
    <row r="66" spans="1:19" ht="15.45" x14ac:dyDescent="0.4">
      <c r="A66" s="64"/>
      <c r="B66" s="52"/>
      <c r="C66" s="8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9"/>
      <c r="S66" s="34"/>
    </row>
    <row r="67" spans="1:19" ht="15.45" x14ac:dyDescent="0.4">
      <c r="A67" s="472" t="s">
        <v>41</v>
      </c>
      <c r="B67" s="472"/>
      <c r="C67" s="472"/>
      <c r="D67" s="472"/>
      <c r="E67" s="472"/>
      <c r="F67" s="472"/>
      <c r="G67" s="472"/>
      <c r="H67" s="472"/>
      <c r="I67" s="472"/>
      <c r="J67" s="472"/>
      <c r="K67" s="35"/>
      <c r="L67" s="35"/>
      <c r="M67" s="35"/>
      <c r="N67" s="35"/>
      <c r="O67" s="35"/>
      <c r="P67" s="35"/>
    </row>
    <row r="68" spans="1:19" ht="15.45" x14ac:dyDescent="0.4">
      <c r="A68" s="472" t="s">
        <v>155</v>
      </c>
      <c r="B68" s="472"/>
      <c r="C68" s="472"/>
      <c r="D68" s="472"/>
      <c r="E68" s="472"/>
      <c r="F68" s="472"/>
      <c r="G68" s="472"/>
      <c r="H68" s="472"/>
      <c r="I68" s="472"/>
      <c r="J68" s="472"/>
      <c r="K68" s="35"/>
      <c r="L68" s="35"/>
      <c r="M68" s="35"/>
      <c r="N68" s="35"/>
      <c r="O68" s="35"/>
      <c r="P68" s="35"/>
    </row>
    <row r="69" spans="1:19" ht="15.45" x14ac:dyDescent="0.4">
      <c r="A69" s="472" t="str">
        <f>TYDESC</f>
        <v>For the 6 Months Ended August 31, 2024</v>
      </c>
      <c r="B69" s="472"/>
      <c r="C69" s="472"/>
      <c r="D69" s="472"/>
      <c r="E69" s="472"/>
      <c r="F69" s="472"/>
      <c r="G69" s="472"/>
      <c r="H69" s="472"/>
      <c r="I69" s="472"/>
      <c r="J69" s="472"/>
      <c r="K69" s="35"/>
      <c r="L69" s="35"/>
      <c r="M69" s="35"/>
      <c r="N69" s="35"/>
      <c r="O69" s="35"/>
      <c r="P69" s="35"/>
    </row>
    <row r="70" spans="1:19" ht="15.45" x14ac:dyDescent="0.4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5"/>
      <c r="L70" s="35"/>
      <c r="M70" s="35"/>
      <c r="N70" s="35"/>
      <c r="O70" s="35"/>
      <c r="P70" s="35"/>
    </row>
    <row r="72" spans="1:19" ht="15.45" x14ac:dyDescent="0.4">
      <c r="A72" s="75" t="s">
        <v>180</v>
      </c>
      <c r="C72" s="32"/>
      <c r="D72" s="32"/>
      <c r="E72" s="32"/>
      <c r="F72" s="32"/>
    </row>
    <row r="73" spans="1:19" ht="15.45" x14ac:dyDescent="0.4">
      <c r="A73" s="75" t="s">
        <v>181</v>
      </c>
      <c r="C73" s="32"/>
      <c r="D73" s="32"/>
      <c r="E73" s="32"/>
      <c r="F73" s="32"/>
    </row>
    <row r="74" spans="1:19" ht="15.45" x14ac:dyDescent="0.4">
      <c r="A74" s="75" t="s">
        <v>64</v>
      </c>
      <c r="C74" s="32"/>
      <c r="D74" s="32"/>
      <c r="E74" s="32"/>
      <c r="F74" s="32"/>
      <c r="J74" s="71" t="str">
        <f>$J$8</f>
        <v>Workpaper WPM-B.1</v>
      </c>
    </row>
    <row r="75" spans="1:19" ht="15.45" x14ac:dyDescent="0.4">
      <c r="A75" s="102" t="str">
        <f>$A$9</f>
        <v>6 Mos Forecasted</v>
      </c>
      <c r="B75" s="32"/>
      <c r="C75" s="32"/>
      <c r="D75" s="33"/>
      <c r="E75" s="32"/>
      <c r="F75" s="41"/>
      <c r="G75" s="42"/>
      <c r="H75" s="41"/>
      <c r="I75" s="30"/>
      <c r="J75" s="72" t="s">
        <v>312</v>
      </c>
      <c r="K75" s="41"/>
      <c r="L75" s="41"/>
      <c r="M75" s="41"/>
      <c r="N75" s="41"/>
      <c r="O75" s="41"/>
      <c r="Q75" s="32"/>
      <c r="R75" s="32"/>
    </row>
    <row r="76" spans="1:19" ht="15.45" x14ac:dyDescent="0.4">
      <c r="A76" s="102"/>
      <c r="B76" s="32"/>
      <c r="C76" s="32"/>
      <c r="D76" s="33"/>
      <c r="E76" s="32"/>
      <c r="F76" s="41"/>
      <c r="G76" s="42"/>
      <c r="H76" s="41"/>
      <c r="I76" s="30"/>
      <c r="J76" s="72"/>
      <c r="K76" s="41"/>
      <c r="L76" s="41"/>
      <c r="M76" s="41"/>
      <c r="N76" s="41"/>
      <c r="O76" s="41"/>
      <c r="Q76" s="32"/>
      <c r="R76" s="32"/>
    </row>
    <row r="77" spans="1:19" ht="15.45" x14ac:dyDescent="0.4">
      <c r="A77" s="64"/>
      <c r="B77" s="52"/>
      <c r="C77" s="8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9"/>
      <c r="S77" s="34"/>
    </row>
    <row r="78" spans="1:19" ht="15.45" x14ac:dyDescent="0.4">
      <c r="A78" s="32" t="s">
        <v>11</v>
      </c>
      <c r="B78" s="32"/>
      <c r="C78" s="32"/>
      <c r="D78" s="33"/>
      <c r="E78" s="32"/>
      <c r="F78" s="41"/>
      <c r="G78" s="42"/>
      <c r="H78" s="41"/>
      <c r="I78" s="30"/>
      <c r="J78" s="41"/>
      <c r="K78" s="41"/>
      <c r="L78" s="41"/>
      <c r="M78" s="41"/>
      <c r="N78" s="41"/>
      <c r="O78" s="41"/>
      <c r="P78" s="41"/>
      <c r="Q78" s="34"/>
      <c r="R78" s="34"/>
    </row>
    <row r="79" spans="1:19" ht="15.45" x14ac:dyDescent="0.4">
      <c r="A79" s="43" t="s">
        <v>13</v>
      </c>
      <c r="B79" s="43" t="s">
        <v>14</v>
      </c>
      <c r="C79" s="43" t="s">
        <v>152</v>
      </c>
      <c r="D79" s="45" t="str">
        <f>$D$13</f>
        <v>Mar-24</v>
      </c>
      <c r="E79" s="45" t="str">
        <f>$E$13</f>
        <v>Apr-24</v>
      </c>
      <c r="F79" s="45" t="str">
        <f>$F$13</f>
        <v>May-24</v>
      </c>
      <c r="G79" s="45" t="str">
        <f>$G$13</f>
        <v>Jun-24</v>
      </c>
      <c r="H79" s="45" t="str">
        <f>$H$13</f>
        <v>Jul-24</v>
      </c>
      <c r="I79" s="45" t="str">
        <f>$I$13</f>
        <v>Aug-24</v>
      </c>
      <c r="J79" s="45" t="s">
        <v>15</v>
      </c>
      <c r="M79" s="46"/>
    </row>
    <row r="80" spans="1:19" ht="15.45" x14ac:dyDescent="0.4">
      <c r="A80" s="32"/>
      <c r="B80" s="34" t="s">
        <v>49</v>
      </c>
      <c r="C80" s="34" t="s">
        <v>50</v>
      </c>
      <c r="D80" s="120" t="s">
        <v>56</v>
      </c>
      <c r="E80" s="48" t="s">
        <v>57</v>
      </c>
      <c r="F80" s="48" t="s">
        <v>58</v>
      </c>
      <c r="G80" s="48" t="s">
        <v>59</v>
      </c>
      <c r="H80" s="48" t="s">
        <v>60</v>
      </c>
      <c r="I80" s="48" t="s">
        <v>61</v>
      </c>
      <c r="J80" s="48" t="s">
        <v>62</v>
      </c>
      <c r="M80" s="34"/>
    </row>
    <row r="81" spans="1:13" ht="15.45" x14ac:dyDescent="0.4">
      <c r="A81" s="32"/>
      <c r="B81" s="34"/>
      <c r="C81" s="34"/>
      <c r="D81" s="48"/>
      <c r="E81" s="48"/>
      <c r="F81" s="48"/>
      <c r="G81" s="48"/>
      <c r="H81" s="48"/>
      <c r="I81" s="48"/>
      <c r="J81" s="48"/>
      <c r="M81" s="34"/>
    </row>
    <row r="82" spans="1:13" ht="15.45" x14ac:dyDescent="0.4">
      <c r="A82" s="32"/>
      <c r="B82" s="34"/>
      <c r="C82" s="34"/>
      <c r="D82" s="48"/>
      <c r="E82" s="48"/>
      <c r="F82" s="48"/>
      <c r="G82" s="48"/>
      <c r="H82" s="48"/>
      <c r="I82" s="48"/>
      <c r="J82" s="48"/>
      <c r="M82" s="34"/>
    </row>
    <row r="83" spans="1:13" ht="15.45" x14ac:dyDescent="0.4">
      <c r="A83" s="64">
        <v>1</v>
      </c>
      <c r="B83" s="35" t="s">
        <v>208</v>
      </c>
      <c r="C83" s="34"/>
      <c r="D83" s="48"/>
      <c r="E83" s="48"/>
      <c r="F83" s="48"/>
      <c r="G83" s="48"/>
      <c r="H83" s="48"/>
      <c r="I83" s="48"/>
      <c r="J83" s="48"/>
      <c r="M83" s="34"/>
    </row>
    <row r="84" spans="1:13" ht="15.45" x14ac:dyDescent="0.4">
      <c r="A84" s="64">
        <f>A83+1</f>
        <v>2</v>
      </c>
      <c r="B84" s="52" t="s">
        <v>249</v>
      </c>
      <c r="C84" s="80"/>
      <c r="D84" s="119">
        <v>0</v>
      </c>
      <c r="E84" s="119">
        <v>0</v>
      </c>
      <c r="F84" s="119">
        <v>0</v>
      </c>
      <c r="G84" s="119">
        <v>0</v>
      </c>
      <c r="H84" s="119">
        <v>0</v>
      </c>
      <c r="I84" s="119">
        <v>0</v>
      </c>
      <c r="J84" s="36">
        <f>SUM(D84:I84)</f>
        <v>0</v>
      </c>
      <c r="M84" s="34"/>
    </row>
    <row r="85" spans="1:13" ht="15.45" x14ac:dyDescent="0.4">
      <c r="A85" s="64">
        <f>A84+1</f>
        <v>3</v>
      </c>
      <c r="B85" s="52" t="s">
        <v>202</v>
      </c>
      <c r="C85" s="80" t="s">
        <v>300</v>
      </c>
      <c r="D85" s="119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36">
        <f>SUM(D85:I85)</f>
        <v>0</v>
      </c>
      <c r="M85" s="34"/>
    </row>
    <row r="86" spans="1:13" ht="15.45" x14ac:dyDescent="0.4">
      <c r="A86" s="64">
        <f>A85+1</f>
        <v>4</v>
      </c>
      <c r="B86" s="52" t="s">
        <v>250</v>
      </c>
      <c r="C86" s="80"/>
      <c r="D86" s="218">
        <v>0</v>
      </c>
      <c r="E86" s="218">
        <v>0</v>
      </c>
      <c r="F86" s="218">
        <v>0</v>
      </c>
      <c r="G86" s="218">
        <v>0</v>
      </c>
      <c r="H86" s="218">
        <v>0</v>
      </c>
      <c r="I86" s="218">
        <v>0</v>
      </c>
      <c r="J86" s="51">
        <f>SUM(D86:I86)</f>
        <v>0</v>
      </c>
      <c r="M86" s="34"/>
    </row>
    <row r="87" spans="1:13" ht="15.45" x14ac:dyDescent="0.4">
      <c r="A87" s="64">
        <f>A86+1</f>
        <v>5</v>
      </c>
      <c r="B87" s="52" t="s">
        <v>218</v>
      </c>
      <c r="C87" s="80"/>
      <c r="D87" s="36">
        <f t="shared" ref="D87:J87" si="9">SUM(D84:D86)</f>
        <v>0</v>
      </c>
      <c r="E87" s="36">
        <f t="shared" si="9"/>
        <v>0</v>
      </c>
      <c r="F87" s="36">
        <f t="shared" si="9"/>
        <v>0</v>
      </c>
      <c r="G87" s="36">
        <f t="shared" si="9"/>
        <v>0</v>
      </c>
      <c r="H87" s="36">
        <f t="shared" si="9"/>
        <v>0</v>
      </c>
      <c r="I87" s="36">
        <f t="shared" si="9"/>
        <v>0</v>
      </c>
      <c r="J87" s="36">
        <f t="shared" si="9"/>
        <v>0</v>
      </c>
      <c r="M87" s="34"/>
    </row>
    <row r="88" spans="1:13" ht="15.45" x14ac:dyDescent="0.4">
      <c r="A88" s="64"/>
      <c r="B88" s="52"/>
      <c r="C88" s="80"/>
      <c r="D88" s="108"/>
      <c r="E88" s="108"/>
      <c r="F88" s="108"/>
      <c r="G88" s="108"/>
      <c r="H88" s="108"/>
      <c r="I88" s="108"/>
      <c r="J88" s="108"/>
      <c r="M88" s="34"/>
    </row>
    <row r="89" spans="1:13" ht="15.45" x14ac:dyDescent="0.4">
      <c r="A89" s="64">
        <f>A87+1</f>
        <v>6</v>
      </c>
      <c r="B89" s="35" t="s">
        <v>209</v>
      </c>
      <c r="C89" s="34"/>
      <c r="D89" s="48"/>
      <c r="E89" s="48"/>
      <c r="F89" s="48"/>
      <c r="G89" s="48"/>
      <c r="H89" s="48"/>
      <c r="I89" s="48"/>
      <c r="J89" s="48"/>
      <c r="M89" s="34"/>
    </row>
    <row r="90" spans="1:13" ht="15.45" x14ac:dyDescent="0.4">
      <c r="A90" s="64">
        <f>A89+1</f>
        <v>7</v>
      </c>
      <c r="B90" s="52" t="s">
        <v>249</v>
      </c>
      <c r="C90" s="80"/>
      <c r="D90" s="395">
        <v>1</v>
      </c>
      <c r="E90" s="395">
        <v>1</v>
      </c>
      <c r="F90" s="395">
        <v>1</v>
      </c>
      <c r="G90" s="395">
        <v>1</v>
      </c>
      <c r="H90" s="395">
        <v>1</v>
      </c>
      <c r="I90" s="395">
        <v>1</v>
      </c>
      <c r="J90" s="397">
        <f>SUM(D90:I90)</f>
        <v>6</v>
      </c>
      <c r="L90" s="21"/>
      <c r="M90" s="34"/>
    </row>
    <row r="91" spans="1:13" ht="15.45" x14ac:dyDescent="0.4">
      <c r="A91" s="64">
        <f>A90+1</f>
        <v>8</v>
      </c>
      <c r="B91" s="52" t="s">
        <v>202</v>
      </c>
      <c r="C91" s="80" t="s">
        <v>300</v>
      </c>
      <c r="D91" s="119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36">
        <f>SUM(D91:I91)</f>
        <v>0</v>
      </c>
      <c r="L91" s="108"/>
      <c r="M91" s="34"/>
    </row>
    <row r="92" spans="1:13" ht="15.45" x14ac:dyDescent="0.4">
      <c r="A92" s="64">
        <f>A91+1</f>
        <v>9</v>
      </c>
      <c r="B92" s="52" t="s">
        <v>250</v>
      </c>
      <c r="C92" s="80"/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51">
        <f>SUM(D92:I92)</f>
        <v>0</v>
      </c>
      <c r="L92" s="21"/>
      <c r="M92" s="34"/>
    </row>
    <row r="93" spans="1:13" ht="15.45" x14ac:dyDescent="0.4">
      <c r="A93" s="64">
        <f>A92+1</f>
        <v>10</v>
      </c>
      <c r="B93" s="52" t="s">
        <v>218</v>
      </c>
      <c r="C93" s="80"/>
      <c r="D93" s="108">
        <f t="shared" ref="D93:J93" si="10">SUM(D90:D92)</f>
        <v>1</v>
      </c>
      <c r="E93" s="108">
        <f t="shared" si="10"/>
        <v>1</v>
      </c>
      <c r="F93" s="108">
        <f t="shared" si="10"/>
        <v>1</v>
      </c>
      <c r="G93" s="108">
        <f t="shared" si="10"/>
        <v>1</v>
      </c>
      <c r="H93" s="108">
        <f t="shared" si="10"/>
        <v>1</v>
      </c>
      <c r="I93" s="108">
        <f t="shared" si="10"/>
        <v>1</v>
      </c>
      <c r="J93" s="108">
        <f t="shared" si="10"/>
        <v>6</v>
      </c>
      <c r="M93" s="34"/>
    </row>
    <row r="94" spans="1:13" ht="15.45" x14ac:dyDescent="0.4">
      <c r="A94" s="64"/>
      <c r="B94" s="52"/>
      <c r="C94" s="80"/>
      <c r="D94" s="108"/>
      <c r="E94" s="108"/>
      <c r="F94" s="108"/>
      <c r="G94" s="108"/>
      <c r="H94" s="108"/>
      <c r="I94" s="108"/>
      <c r="J94" s="108"/>
      <c r="M94" s="34"/>
    </row>
    <row r="95" spans="1:13" ht="15.45" x14ac:dyDescent="0.4">
      <c r="A95" s="64">
        <f>A93+1</f>
        <v>11</v>
      </c>
      <c r="B95" s="35" t="s">
        <v>212</v>
      </c>
      <c r="C95" s="34"/>
      <c r="D95" s="48"/>
      <c r="E95" s="48"/>
      <c r="F95" s="48"/>
      <c r="G95" s="48"/>
      <c r="H95" s="48"/>
      <c r="I95" s="48"/>
      <c r="J95" s="48"/>
      <c r="M95" s="34"/>
    </row>
    <row r="96" spans="1:13" ht="15.45" x14ac:dyDescent="0.4">
      <c r="A96" s="64">
        <f>A95+1</f>
        <v>12</v>
      </c>
      <c r="B96" s="52" t="s">
        <v>249</v>
      </c>
      <c r="C96" s="80"/>
      <c r="D96" s="119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397">
        <f>SUM(D96:I96)</f>
        <v>0</v>
      </c>
      <c r="L96" s="21"/>
      <c r="M96" s="34"/>
    </row>
    <row r="97" spans="1:13" ht="15.45" x14ac:dyDescent="0.4">
      <c r="A97" s="64">
        <f>A96+1</f>
        <v>13</v>
      </c>
      <c r="B97" s="52" t="s">
        <v>202</v>
      </c>
      <c r="C97" s="80" t="s">
        <v>300</v>
      </c>
      <c r="D97" s="119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36">
        <f>SUM(D97:I97)</f>
        <v>0</v>
      </c>
      <c r="L97" s="108"/>
      <c r="M97" s="34"/>
    </row>
    <row r="98" spans="1:13" ht="15.45" x14ac:dyDescent="0.4">
      <c r="A98" s="64">
        <f>A97+1</f>
        <v>14</v>
      </c>
      <c r="B98" s="52" t="s">
        <v>250</v>
      </c>
      <c r="C98" s="80"/>
      <c r="D98" s="218">
        <v>0</v>
      </c>
      <c r="E98" s="218">
        <v>0</v>
      </c>
      <c r="F98" s="218">
        <v>0</v>
      </c>
      <c r="G98" s="218">
        <v>0</v>
      </c>
      <c r="H98" s="218">
        <v>0</v>
      </c>
      <c r="I98" s="218">
        <v>0</v>
      </c>
      <c r="J98" s="51">
        <f>SUM(D98:I98)</f>
        <v>0</v>
      </c>
      <c r="L98" s="21"/>
      <c r="M98" s="34"/>
    </row>
    <row r="99" spans="1:13" ht="15.45" x14ac:dyDescent="0.4">
      <c r="A99" s="64">
        <f>A98+1</f>
        <v>15</v>
      </c>
      <c r="B99" s="52" t="s">
        <v>218</v>
      </c>
      <c r="C99" s="80"/>
      <c r="D99" s="36">
        <f t="shared" ref="D99:J99" si="11">SUM(D96:D98)</f>
        <v>0</v>
      </c>
      <c r="E99" s="36">
        <f t="shared" si="11"/>
        <v>0</v>
      </c>
      <c r="F99" s="36">
        <f t="shared" si="11"/>
        <v>0</v>
      </c>
      <c r="G99" s="36">
        <f t="shared" si="11"/>
        <v>0</v>
      </c>
      <c r="H99" s="36">
        <f t="shared" si="11"/>
        <v>0</v>
      </c>
      <c r="I99" s="36">
        <f t="shared" si="11"/>
        <v>0</v>
      </c>
      <c r="J99" s="36">
        <f t="shared" si="11"/>
        <v>0</v>
      </c>
      <c r="M99" s="34"/>
    </row>
    <row r="100" spans="1:13" ht="15.45" x14ac:dyDescent="0.4">
      <c r="A100" s="64"/>
      <c r="B100" s="52"/>
      <c r="C100" s="80"/>
      <c r="D100" s="108"/>
      <c r="E100" s="108"/>
      <c r="F100" s="108"/>
      <c r="G100" s="108"/>
      <c r="H100" s="108"/>
      <c r="I100" s="108"/>
      <c r="J100" s="108"/>
      <c r="M100" s="34"/>
    </row>
    <row r="101" spans="1:13" ht="15.45" x14ac:dyDescent="0.4">
      <c r="A101" s="64">
        <f>A99+1</f>
        <v>16</v>
      </c>
      <c r="B101" s="35" t="s">
        <v>213</v>
      </c>
      <c r="C101" s="34"/>
      <c r="D101" s="48"/>
      <c r="E101" s="48"/>
      <c r="F101" s="48"/>
      <c r="G101" s="48"/>
      <c r="H101" s="48"/>
      <c r="I101" s="48"/>
      <c r="J101" s="48"/>
      <c r="M101" s="34"/>
    </row>
    <row r="102" spans="1:13" ht="15.45" x14ac:dyDescent="0.4">
      <c r="A102" s="64">
        <f>A101+1</f>
        <v>17</v>
      </c>
      <c r="B102" s="52" t="s">
        <v>249</v>
      </c>
      <c r="C102" s="80"/>
      <c r="D102" s="395">
        <f>115+12029</f>
        <v>12144</v>
      </c>
      <c r="E102" s="395">
        <f>109+11965</f>
        <v>12074</v>
      </c>
      <c r="F102" s="395">
        <f>94+11895</f>
        <v>11989</v>
      </c>
      <c r="G102" s="395">
        <f>109+11790</f>
        <v>11899</v>
      </c>
      <c r="H102" s="395">
        <f>125+11707</f>
        <v>11832</v>
      </c>
      <c r="I102" s="395">
        <f>130+11651</f>
        <v>11781</v>
      </c>
      <c r="J102" s="397">
        <f>SUM(D102:I102)</f>
        <v>71719</v>
      </c>
      <c r="L102" s="171"/>
      <c r="M102" s="34"/>
    </row>
    <row r="103" spans="1:13" ht="15.45" x14ac:dyDescent="0.4">
      <c r="A103" s="64">
        <f>A102+1</f>
        <v>18</v>
      </c>
      <c r="B103" s="52" t="s">
        <v>202</v>
      </c>
      <c r="C103" s="80" t="s">
        <v>300</v>
      </c>
      <c r="D103" s="36">
        <f>'D pg 1'!D19</f>
        <v>0</v>
      </c>
      <c r="E103" s="36">
        <f>'D pg 1'!E19</f>
        <v>0</v>
      </c>
      <c r="F103" s="36">
        <f>'D pg 1'!F19</f>
        <v>0</v>
      </c>
      <c r="G103" s="36">
        <f>'D pg 1'!G19</f>
        <v>0</v>
      </c>
      <c r="H103" s="36">
        <f>'D pg 1'!H19</f>
        <v>0</v>
      </c>
      <c r="I103" s="36">
        <f>'D pg 1'!I19</f>
        <v>0</v>
      </c>
      <c r="J103" s="36">
        <f>SUM(D103:I103)</f>
        <v>0</v>
      </c>
      <c r="M103" s="34"/>
    </row>
    <row r="104" spans="1:13" ht="15.45" x14ac:dyDescent="0.4">
      <c r="A104" s="64">
        <f>A103+1</f>
        <v>19</v>
      </c>
      <c r="B104" s="52" t="s">
        <v>250</v>
      </c>
      <c r="C104" s="80"/>
      <c r="D104" s="218">
        <v>101</v>
      </c>
      <c r="E104" s="218">
        <v>154</v>
      </c>
      <c r="F104" s="218">
        <v>154</v>
      </c>
      <c r="G104" s="218">
        <v>170</v>
      </c>
      <c r="H104" s="218">
        <v>141</v>
      </c>
      <c r="I104" s="218">
        <v>143</v>
      </c>
      <c r="J104" s="51">
        <f>SUM(D104:I104)</f>
        <v>863</v>
      </c>
      <c r="L104" s="21"/>
      <c r="M104" s="34"/>
    </row>
    <row r="105" spans="1:13" x14ac:dyDescent="0.35">
      <c r="A105" s="64">
        <f>A104+1</f>
        <v>20</v>
      </c>
      <c r="B105" s="52" t="s">
        <v>218</v>
      </c>
      <c r="C105" s="80"/>
      <c r="D105" s="108">
        <f t="shared" ref="D105:J105" si="12">SUM(D102:D104)</f>
        <v>12245</v>
      </c>
      <c r="E105" s="108">
        <f t="shared" si="12"/>
        <v>12228</v>
      </c>
      <c r="F105" s="108">
        <f t="shared" si="12"/>
        <v>12143</v>
      </c>
      <c r="G105" s="108">
        <f t="shared" si="12"/>
        <v>12069</v>
      </c>
      <c r="H105" s="108">
        <f t="shared" si="12"/>
        <v>11973</v>
      </c>
      <c r="I105" s="108">
        <f t="shared" si="12"/>
        <v>11924</v>
      </c>
      <c r="J105" s="108">
        <f t="shared" si="12"/>
        <v>72582</v>
      </c>
    </row>
    <row r="106" spans="1:13" ht="15.45" x14ac:dyDescent="0.4">
      <c r="A106" s="64"/>
      <c r="B106" s="52"/>
      <c r="C106" s="80"/>
      <c r="D106" s="108"/>
      <c r="E106" s="108"/>
      <c r="F106" s="108"/>
      <c r="G106" s="108"/>
      <c r="H106" s="108"/>
      <c r="I106" s="108"/>
      <c r="J106" s="108"/>
      <c r="M106" s="34"/>
    </row>
    <row r="107" spans="1:13" ht="15.45" x14ac:dyDescent="0.4">
      <c r="A107" s="64">
        <f>A105+1</f>
        <v>21</v>
      </c>
      <c r="B107" s="35" t="s">
        <v>223</v>
      </c>
      <c r="C107" s="34"/>
      <c r="D107" s="48"/>
      <c r="E107" s="48"/>
      <c r="F107" s="48"/>
      <c r="G107" s="48"/>
      <c r="H107" s="48"/>
      <c r="I107" s="48"/>
      <c r="J107" s="48"/>
      <c r="M107" s="34"/>
    </row>
    <row r="108" spans="1:13" ht="15.45" x14ac:dyDescent="0.4">
      <c r="A108" s="64">
        <f>A107+1</f>
        <v>22</v>
      </c>
      <c r="B108" s="52" t="s">
        <v>249</v>
      </c>
      <c r="C108" s="80"/>
      <c r="D108" s="395">
        <f>50+1</f>
        <v>51</v>
      </c>
      <c r="E108" s="395">
        <f>50+1</f>
        <v>51</v>
      </c>
      <c r="F108" s="395">
        <f>49+1</f>
        <v>50</v>
      </c>
      <c r="G108" s="395">
        <f>49+1</f>
        <v>50</v>
      </c>
      <c r="H108" s="395">
        <f>50+1</f>
        <v>51</v>
      </c>
      <c r="I108" s="395">
        <f>51+1</f>
        <v>52</v>
      </c>
      <c r="J108" s="397">
        <f>SUM(D108:I108)</f>
        <v>305</v>
      </c>
      <c r="M108" s="34"/>
    </row>
    <row r="109" spans="1:13" ht="15.45" x14ac:dyDescent="0.4">
      <c r="A109" s="64">
        <f>A108+1</f>
        <v>23</v>
      </c>
      <c r="B109" s="52" t="s">
        <v>202</v>
      </c>
      <c r="C109" s="80" t="s">
        <v>300</v>
      </c>
      <c r="D109" s="36">
        <f>'D pg 1'!D20</f>
        <v>0</v>
      </c>
      <c r="E109" s="36">
        <f>'D pg 1'!E20</f>
        <v>0</v>
      </c>
      <c r="F109" s="36">
        <f>'D pg 1'!F20</f>
        <v>0</v>
      </c>
      <c r="G109" s="36">
        <f>'D pg 1'!G20</f>
        <v>0</v>
      </c>
      <c r="H109" s="36">
        <f>'D pg 1'!H20</f>
        <v>0</v>
      </c>
      <c r="I109" s="36">
        <f>'D pg 1'!I20</f>
        <v>0</v>
      </c>
      <c r="J109" s="36">
        <f>SUM(D109:I109)</f>
        <v>0</v>
      </c>
      <c r="M109" s="34"/>
    </row>
    <row r="110" spans="1:13" ht="15.45" x14ac:dyDescent="0.4">
      <c r="A110" s="64">
        <f>A109+1</f>
        <v>24</v>
      </c>
      <c r="B110" s="52" t="s">
        <v>250</v>
      </c>
      <c r="C110" s="80"/>
      <c r="D110" s="218">
        <v>0</v>
      </c>
      <c r="E110" s="218">
        <v>1</v>
      </c>
      <c r="F110" s="218">
        <v>0</v>
      </c>
      <c r="G110" s="218">
        <v>1</v>
      </c>
      <c r="H110" s="218">
        <v>1</v>
      </c>
      <c r="I110" s="218">
        <v>0</v>
      </c>
      <c r="J110" s="51">
        <f>SUM(D110:I110)</f>
        <v>3</v>
      </c>
      <c r="L110" s="21"/>
      <c r="M110" s="34"/>
    </row>
    <row r="111" spans="1:13" ht="15.45" x14ac:dyDescent="0.4">
      <c r="A111" s="64">
        <f>A110+1</f>
        <v>25</v>
      </c>
      <c r="B111" s="52" t="s">
        <v>218</v>
      </c>
      <c r="C111" s="80"/>
      <c r="D111" s="108">
        <f t="shared" ref="D111:J111" si="13">SUM(D108:D110)</f>
        <v>51</v>
      </c>
      <c r="E111" s="108">
        <f t="shared" si="13"/>
        <v>52</v>
      </c>
      <c r="F111" s="108">
        <f t="shared" si="13"/>
        <v>50</v>
      </c>
      <c r="G111" s="108">
        <f t="shared" si="13"/>
        <v>51</v>
      </c>
      <c r="H111" s="108">
        <f t="shared" si="13"/>
        <v>52</v>
      </c>
      <c r="I111" s="108">
        <f t="shared" si="13"/>
        <v>52</v>
      </c>
      <c r="J111" s="108">
        <f t="shared" si="13"/>
        <v>308</v>
      </c>
      <c r="M111" s="34"/>
    </row>
    <row r="112" spans="1:13" ht="15.45" x14ac:dyDescent="0.4">
      <c r="A112" s="64"/>
      <c r="B112" s="52"/>
      <c r="C112" s="80"/>
      <c r="D112" s="108"/>
      <c r="E112" s="108"/>
      <c r="F112" s="108"/>
      <c r="G112" s="108"/>
      <c r="H112" s="108"/>
      <c r="I112" s="108"/>
      <c r="J112" s="108"/>
      <c r="M112" s="34"/>
    </row>
    <row r="113" spans="1:19" ht="15.45" x14ac:dyDescent="0.4">
      <c r="A113" s="64">
        <f>A111+1</f>
        <v>26</v>
      </c>
      <c r="B113" s="35" t="s">
        <v>243</v>
      </c>
      <c r="C113" s="34"/>
      <c r="D113" s="48"/>
      <c r="E113" s="48"/>
      <c r="F113" s="48"/>
      <c r="G113" s="48"/>
      <c r="H113" s="48"/>
      <c r="I113" s="48"/>
      <c r="J113" s="48"/>
      <c r="M113" s="34"/>
    </row>
    <row r="114" spans="1:19" ht="15.45" x14ac:dyDescent="0.4">
      <c r="A114" s="64">
        <f>A113+1</f>
        <v>27</v>
      </c>
      <c r="B114" s="52" t="s">
        <v>249</v>
      </c>
      <c r="C114" s="80"/>
      <c r="D114" s="119">
        <v>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36">
        <f>SUM(D114:I114)</f>
        <v>0</v>
      </c>
      <c r="M114" s="34"/>
    </row>
    <row r="115" spans="1:19" ht="15.45" x14ac:dyDescent="0.4">
      <c r="A115" s="64">
        <f>A114+1</f>
        <v>28</v>
      </c>
      <c r="B115" s="52" t="s">
        <v>202</v>
      </c>
      <c r="C115" s="80" t="s">
        <v>300</v>
      </c>
      <c r="D115" s="119"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36">
        <f>SUM(D115:I115)</f>
        <v>0</v>
      </c>
      <c r="M115" s="34"/>
    </row>
    <row r="116" spans="1:19" ht="15.45" x14ac:dyDescent="0.4">
      <c r="A116" s="64">
        <f>A115+1</f>
        <v>29</v>
      </c>
      <c r="B116" s="52" t="s">
        <v>250</v>
      </c>
      <c r="C116" s="80"/>
      <c r="D116" s="218">
        <v>0</v>
      </c>
      <c r="E116" s="218">
        <v>0</v>
      </c>
      <c r="F116" s="218">
        <v>0</v>
      </c>
      <c r="G116" s="218">
        <v>0</v>
      </c>
      <c r="H116" s="218">
        <v>0</v>
      </c>
      <c r="I116" s="218">
        <v>0</v>
      </c>
      <c r="J116" s="51">
        <f>SUM(D116:I116)</f>
        <v>0</v>
      </c>
      <c r="M116" s="34"/>
    </row>
    <row r="117" spans="1:19" ht="15.45" x14ac:dyDescent="0.4">
      <c r="A117" s="64">
        <f>A116+1</f>
        <v>30</v>
      </c>
      <c r="B117" s="52" t="s">
        <v>218</v>
      </c>
      <c r="C117" s="80"/>
      <c r="D117" s="36">
        <f t="shared" ref="D117:J117" si="14">SUM(D114:D116)</f>
        <v>0</v>
      </c>
      <c r="E117" s="36">
        <f t="shared" si="14"/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M117" s="34"/>
    </row>
    <row r="118" spans="1:19" ht="15.45" x14ac:dyDescent="0.4">
      <c r="A118" s="64"/>
      <c r="B118" s="52"/>
      <c r="C118" s="80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9"/>
      <c r="S118" s="34"/>
    </row>
    <row r="119" spans="1:19" ht="15.45" x14ac:dyDescent="0.4">
      <c r="A119" s="64">
        <f>A117+1</f>
        <v>31</v>
      </c>
      <c r="B119" s="35" t="s">
        <v>224</v>
      </c>
      <c r="C119" s="34"/>
      <c r="D119" s="48"/>
      <c r="E119" s="48"/>
      <c r="F119" s="48"/>
      <c r="G119" s="48"/>
      <c r="H119" s="48"/>
      <c r="I119" s="48"/>
      <c r="J119" s="48"/>
      <c r="K119" s="108"/>
      <c r="L119" s="108"/>
      <c r="M119" s="108"/>
      <c r="N119" s="108"/>
      <c r="O119" s="108"/>
      <c r="P119" s="109"/>
      <c r="S119" s="34"/>
    </row>
    <row r="120" spans="1:19" ht="15.45" x14ac:dyDescent="0.4">
      <c r="A120" s="64">
        <f>A119+1</f>
        <v>32</v>
      </c>
      <c r="B120" s="52" t="s">
        <v>249</v>
      </c>
      <c r="C120" s="80"/>
      <c r="D120" s="395">
        <v>2</v>
      </c>
      <c r="E120" s="395">
        <v>2</v>
      </c>
      <c r="F120" s="395">
        <v>2</v>
      </c>
      <c r="G120" s="395">
        <v>2</v>
      </c>
      <c r="H120" s="395">
        <v>2</v>
      </c>
      <c r="I120" s="395">
        <v>2</v>
      </c>
      <c r="J120" s="36">
        <f>SUM(D120:I120)</f>
        <v>12</v>
      </c>
      <c r="K120" s="108"/>
      <c r="L120" s="21"/>
      <c r="M120" s="108"/>
      <c r="N120" s="108"/>
      <c r="O120" s="108"/>
      <c r="P120" s="109"/>
      <c r="S120" s="34"/>
    </row>
    <row r="121" spans="1:19" ht="15.45" x14ac:dyDescent="0.4">
      <c r="A121" s="64">
        <f t="shared" ref="A121:A123" si="15">A120+1</f>
        <v>33</v>
      </c>
      <c r="B121" s="52" t="s">
        <v>202</v>
      </c>
      <c r="C121" s="80" t="s">
        <v>300</v>
      </c>
      <c r="D121" s="119">
        <v>0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36">
        <f>SUM(D121:I121)</f>
        <v>0</v>
      </c>
      <c r="K121" s="108"/>
      <c r="L121" s="108"/>
      <c r="M121" s="108"/>
      <c r="N121" s="108"/>
      <c r="O121" s="108"/>
      <c r="P121" s="109"/>
      <c r="S121" s="34"/>
    </row>
    <row r="122" spans="1:19" ht="15.45" x14ac:dyDescent="0.4">
      <c r="A122" s="64">
        <f t="shared" si="15"/>
        <v>34</v>
      </c>
      <c r="B122" s="52" t="s">
        <v>250</v>
      </c>
      <c r="C122" s="80"/>
      <c r="D122" s="218">
        <v>0</v>
      </c>
      <c r="E122" s="218">
        <v>0</v>
      </c>
      <c r="F122" s="218">
        <v>0</v>
      </c>
      <c r="G122" s="218">
        <v>0</v>
      </c>
      <c r="H122" s="218">
        <v>0</v>
      </c>
      <c r="I122" s="218">
        <v>0</v>
      </c>
      <c r="J122" s="51">
        <f>SUM(D122:I122)</f>
        <v>0</v>
      </c>
      <c r="K122" s="108"/>
      <c r="L122" s="21"/>
      <c r="M122" s="108"/>
      <c r="N122" s="108"/>
      <c r="O122" s="108"/>
      <c r="P122" s="109"/>
      <c r="S122" s="34"/>
    </row>
    <row r="123" spans="1:19" ht="15.45" x14ac:dyDescent="0.4">
      <c r="A123" s="64">
        <f t="shared" si="15"/>
        <v>35</v>
      </c>
      <c r="B123" s="52" t="s">
        <v>218</v>
      </c>
      <c r="C123" s="80"/>
      <c r="D123" s="108">
        <f t="shared" ref="D123:J123" si="16">SUM(D120:D122)</f>
        <v>2</v>
      </c>
      <c r="E123" s="108">
        <f t="shared" si="16"/>
        <v>2</v>
      </c>
      <c r="F123" s="108">
        <f t="shared" si="16"/>
        <v>2</v>
      </c>
      <c r="G123" s="108">
        <f t="shared" si="16"/>
        <v>2</v>
      </c>
      <c r="H123" s="108">
        <f t="shared" si="16"/>
        <v>2</v>
      </c>
      <c r="I123" s="108">
        <f t="shared" si="16"/>
        <v>2</v>
      </c>
      <c r="J123" s="36">
        <f t="shared" si="16"/>
        <v>12</v>
      </c>
      <c r="K123" s="108"/>
      <c r="L123" s="108"/>
      <c r="M123" s="108"/>
      <c r="N123" s="108"/>
      <c r="O123" s="108"/>
      <c r="P123" s="109"/>
      <c r="S123" s="34"/>
    </row>
    <row r="124" spans="1:19" ht="15.45" x14ac:dyDescent="0.4">
      <c r="A124" s="64"/>
      <c r="B124" s="52"/>
      <c r="C124" s="80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9"/>
      <c r="S124" s="34"/>
    </row>
    <row r="125" spans="1:19" ht="15.45" x14ac:dyDescent="0.4">
      <c r="A125" s="64"/>
      <c r="B125" s="52"/>
      <c r="C125" s="80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9"/>
      <c r="S125" s="34"/>
    </row>
    <row r="126" spans="1:19" ht="15.45" x14ac:dyDescent="0.4">
      <c r="A126" s="64"/>
      <c r="B126" s="52"/>
      <c r="C126" s="80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9"/>
      <c r="S126" s="34"/>
    </row>
    <row r="127" spans="1:19" ht="15.45" x14ac:dyDescent="0.4">
      <c r="A127" s="64"/>
      <c r="B127" s="52"/>
      <c r="C127" s="80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9"/>
      <c r="S127" s="34"/>
    </row>
    <row r="128" spans="1:19" ht="15.45" x14ac:dyDescent="0.4">
      <c r="A128" s="64"/>
      <c r="B128" s="52"/>
      <c r="C128" s="80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9"/>
      <c r="S128" s="34"/>
    </row>
    <row r="129" spans="1:19" ht="15.45" x14ac:dyDescent="0.4">
      <c r="A129" s="472" t="s">
        <v>41</v>
      </c>
      <c r="B129" s="472"/>
      <c r="C129" s="472"/>
      <c r="D129" s="472"/>
      <c r="E129" s="472"/>
      <c r="F129" s="472"/>
      <c r="G129" s="472"/>
      <c r="H129" s="472"/>
      <c r="I129" s="472"/>
      <c r="J129" s="472"/>
      <c r="K129" s="35"/>
      <c r="L129" s="35"/>
      <c r="M129" s="35"/>
      <c r="N129" s="35"/>
      <c r="O129" s="35"/>
      <c r="P129" s="35"/>
      <c r="S129" s="34"/>
    </row>
    <row r="130" spans="1:19" ht="15.45" x14ac:dyDescent="0.4">
      <c r="A130" s="472" t="s">
        <v>155</v>
      </c>
      <c r="B130" s="472"/>
      <c r="C130" s="472"/>
      <c r="D130" s="472"/>
      <c r="E130" s="472"/>
      <c r="F130" s="472"/>
      <c r="G130" s="472"/>
      <c r="H130" s="472"/>
      <c r="I130" s="472"/>
      <c r="J130" s="472"/>
      <c r="K130" s="35"/>
      <c r="L130" s="35"/>
      <c r="M130" s="35"/>
      <c r="N130" s="35"/>
      <c r="O130" s="35"/>
      <c r="P130" s="35"/>
      <c r="S130" s="34"/>
    </row>
    <row r="131" spans="1:19" ht="15.45" x14ac:dyDescent="0.4">
      <c r="A131" s="472" t="str">
        <f>TYDESC</f>
        <v>For the 6 Months Ended August 31, 2024</v>
      </c>
      <c r="B131" s="472"/>
      <c r="C131" s="472"/>
      <c r="D131" s="472"/>
      <c r="E131" s="472"/>
      <c r="F131" s="472"/>
      <c r="G131" s="472"/>
      <c r="H131" s="472"/>
      <c r="I131" s="472"/>
      <c r="J131" s="472"/>
      <c r="K131" s="35"/>
      <c r="L131" s="35"/>
      <c r="M131" s="35"/>
      <c r="N131" s="35"/>
      <c r="O131" s="35"/>
      <c r="P131" s="35"/>
      <c r="S131" s="34"/>
    </row>
    <row r="132" spans="1:19" ht="15.45" x14ac:dyDescent="0.4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5"/>
      <c r="L132" s="35"/>
      <c r="M132" s="35"/>
      <c r="N132" s="35"/>
      <c r="O132" s="35"/>
      <c r="P132" s="35"/>
      <c r="S132" s="34"/>
    </row>
    <row r="133" spans="1:19" ht="15.45" x14ac:dyDescent="0.4">
      <c r="S133" s="34"/>
    </row>
    <row r="134" spans="1:19" ht="15.45" x14ac:dyDescent="0.4">
      <c r="A134" s="75" t="s">
        <v>180</v>
      </c>
      <c r="C134" s="32"/>
      <c r="D134" s="32"/>
      <c r="E134" s="32"/>
      <c r="F134" s="32"/>
      <c r="S134" s="34"/>
    </row>
    <row r="135" spans="1:19" ht="15.45" x14ac:dyDescent="0.4">
      <c r="A135" s="75" t="s">
        <v>181</v>
      </c>
      <c r="C135" s="32"/>
      <c r="D135" s="32"/>
      <c r="E135" s="32"/>
      <c r="F135" s="32"/>
      <c r="S135" s="34"/>
    </row>
    <row r="136" spans="1:19" ht="15.45" x14ac:dyDescent="0.4">
      <c r="A136" s="75" t="s">
        <v>64</v>
      </c>
      <c r="C136" s="32"/>
      <c r="D136" s="32"/>
      <c r="E136" s="32"/>
      <c r="F136" s="32"/>
      <c r="J136" s="71" t="str">
        <f>$J$8</f>
        <v>Workpaper WPM-B.1</v>
      </c>
      <c r="S136" s="34"/>
    </row>
    <row r="137" spans="1:19" ht="15.45" x14ac:dyDescent="0.4">
      <c r="A137" s="102" t="str">
        <f>$A$9</f>
        <v>6 Mos Forecasted</v>
      </c>
      <c r="B137" s="32"/>
      <c r="C137" s="32"/>
      <c r="D137" s="33"/>
      <c r="E137" s="32"/>
      <c r="F137" s="41"/>
      <c r="G137" s="42"/>
      <c r="H137" s="41"/>
      <c r="I137" s="30"/>
      <c r="J137" s="72" t="s">
        <v>313</v>
      </c>
      <c r="K137" s="41"/>
      <c r="L137" s="41"/>
      <c r="M137" s="41"/>
      <c r="N137" s="41"/>
      <c r="O137" s="41"/>
      <c r="S137" s="34"/>
    </row>
    <row r="138" spans="1:19" ht="15.45" x14ac:dyDescent="0.4">
      <c r="A138" s="102"/>
      <c r="B138" s="32"/>
      <c r="C138" s="32"/>
      <c r="D138" s="33"/>
      <c r="E138" s="32"/>
      <c r="F138" s="41"/>
      <c r="G138" s="42"/>
      <c r="H138" s="41"/>
      <c r="I138" s="30"/>
      <c r="J138" s="72"/>
      <c r="K138" s="41"/>
      <c r="L138" s="41"/>
      <c r="M138" s="41"/>
      <c r="N138" s="41"/>
      <c r="O138" s="41"/>
      <c r="S138" s="34"/>
    </row>
    <row r="139" spans="1:19" ht="15.45" x14ac:dyDescent="0.4">
      <c r="A139" s="64"/>
      <c r="B139" s="52"/>
      <c r="C139" s="80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9"/>
      <c r="S139" s="34"/>
    </row>
    <row r="140" spans="1:19" ht="15.45" x14ac:dyDescent="0.4">
      <c r="A140" s="32" t="s">
        <v>11</v>
      </c>
      <c r="B140" s="32"/>
      <c r="C140" s="32"/>
      <c r="D140" s="33"/>
      <c r="E140" s="32"/>
      <c r="F140" s="41"/>
      <c r="G140" s="42"/>
      <c r="H140" s="41"/>
      <c r="I140" s="30"/>
      <c r="J140" s="41"/>
      <c r="K140" s="41"/>
      <c r="L140" s="41"/>
      <c r="M140" s="41"/>
      <c r="N140" s="41"/>
      <c r="O140" s="41"/>
      <c r="P140" s="41"/>
      <c r="S140" s="34"/>
    </row>
    <row r="141" spans="1:19" ht="15.45" x14ac:dyDescent="0.4">
      <c r="A141" s="43" t="s">
        <v>13</v>
      </c>
      <c r="B141" s="43" t="s">
        <v>14</v>
      </c>
      <c r="C141" s="43" t="s">
        <v>152</v>
      </c>
      <c r="D141" s="45" t="str">
        <f>$D$13</f>
        <v>Mar-24</v>
      </c>
      <c r="E141" s="45" t="str">
        <f>$E$13</f>
        <v>Apr-24</v>
      </c>
      <c r="F141" s="45" t="str">
        <f>$F$13</f>
        <v>May-24</v>
      </c>
      <c r="G141" s="45" t="str">
        <f>$G$13</f>
        <v>Jun-24</v>
      </c>
      <c r="H141" s="45" t="str">
        <f>$H$13</f>
        <v>Jul-24</v>
      </c>
      <c r="I141" s="45" t="str">
        <f>$I$13</f>
        <v>Aug-24</v>
      </c>
      <c r="J141" s="45" t="s">
        <v>15</v>
      </c>
      <c r="M141" s="34"/>
    </row>
    <row r="142" spans="1:19" ht="15.45" x14ac:dyDescent="0.4">
      <c r="A142" s="32"/>
      <c r="B142" s="34" t="s">
        <v>49</v>
      </c>
      <c r="C142" s="34" t="s">
        <v>50</v>
      </c>
      <c r="D142" s="120" t="s">
        <v>56</v>
      </c>
      <c r="E142" s="48" t="s">
        <v>57</v>
      </c>
      <c r="F142" s="48" t="s">
        <v>58</v>
      </c>
      <c r="G142" s="48" t="s">
        <v>59</v>
      </c>
      <c r="H142" s="48" t="s">
        <v>60</v>
      </c>
      <c r="I142" s="48" t="s">
        <v>61</v>
      </c>
      <c r="J142" s="48" t="s">
        <v>62</v>
      </c>
      <c r="M142" s="34"/>
    </row>
    <row r="143" spans="1:19" ht="15.9" thickBot="1" x14ac:dyDescent="0.45">
      <c r="B143" s="35"/>
      <c r="C143" s="399"/>
      <c r="D143" s="36"/>
    </row>
    <row r="144" spans="1:19" ht="15.45" x14ac:dyDescent="0.4">
      <c r="A144" s="104">
        <v>1</v>
      </c>
      <c r="B144" s="96" t="s">
        <v>16</v>
      </c>
      <c r="C144" s="400"/>
      <c r="D144" s="112"/>
      <c r="E144" s="97"/>
      <c r="F144" s="97"/>
      <c r="G144" s="97"/>
      <c r="H144" s="97"/>
      <c r="I144" s="97"/>
      <c r="J144" s="105"/>
    </row>
    <row r="145" spans="1:13" x14ac:dyDescent="0.35">
      <c r="A145" s="100"/>
      <c r="C145" s="401"/>
      <c r="D145" s="36"/>
      <c r="J145" s="99"/>
    </row>
    <row r="146" spans="1:13" ht="15.45" x14ac:dyDescent="0.4">
      <c r="A146" s="100">
        <f>A144+1</f>
        <v>2</v>
      </c>
      <c r="B146" s="35" t="s">
        <v>17</v>
      </c>
      <c r="C146" s="36"/>
      <c r="D146" s="36"/>
      <c r="J146" s="99"/>
    </row>
    <row r="147" spans="1:13" ht="15.45" x14ac:dyDescent="0.4">
      <c r="A147" s="100">
        <f>A146+1</f>
        <v>3</v>
      </c>
      <c r="B147" s="52" t="s">
        <v>249</v>
      </c>
      <c r="C147" s="80"/>
      <c r="D147" s="108">
        <f>D17+D29+D35+D47+D53+D59+D90+D96</f>
        <v>113401</v>
      </c>
      <c r="E147" s="108">
        <f t="shared" ref="D147:I149" si="17">E17+E29+E35+E47+E53+E59+E90+E96</f>
        <v>113009</v>
      </c>
      <c r="F147" s="108">
        <f t="shared" si="17"/>
        <v>112368</v>
      </c>
      <c r="G147" s="108">
        <f t="shared" si="17"/>
        <v>111595</v>
      </c>
      <c r="H147" s="108">
        <f t="shared" si="17"/>
        <v>111064</v>
      </c>
      <c r="I147" s="108">
        <f t="shared" si="17"/>
        <v>110695</v>
      </c>
      <c r="J147" s="107">
        <f>SUM(D147:I147)</f>
        <v>672132</v>
      </c>
      <c r="L147" s="21"/>
      <c r="M147" s="34"/>
    </row>
    <row r="148" spans="1:13" ht="15.45" x14ac:dyDescent="0.4">
      <c r="A148" s="100">
        <f>A147+1</f>
        <v>4</v>
      </c>
      <c r="B148" s="52" t="s">
        <v>202</v>
      </c>
      <c r="C148" s="80"/>
      <c r="D148" s="36">
        <f t="shared" si="17"/>
        <v>0</v>
      </c>
      <c r="E148" s="36">
        <f t="shared" si="17"/>
        <v>0</v>
      </c>
      <c r="F148" s="36">
        <f t="shared" si="17"/>
        <v>0</v>
      </c>
      <c r="G148" s="36">
        <f t="shared" si="17"/>
        <v>0</v>
      </c>
      <c r="H148" s="36">
        <f t="shared" si="17"/>
        <v>0</v>
      </c>
      <c r="I148" s="36">
        <f t="shared" si="17"/>
        <v>0</v>
      </c>
      <c r="J148" s="107">
        <f>SUM(D148:I148)</f>
        <v>0</v>
      </c>
      <c r="M148" s="34"/>
    </row>
    <row r="149" spans="1:13" ht="17.600000000000001" x14ac:dyDescent="0.65">
      <c r="A149" s="100">
        <f>A148+1</f>
        <v>5</v>
      </c>
      <c r="B149" s="52" t="s">
        <v>250</v>
      </c>
      <c r="C149" s="80"/>
      <c r="D149" s="212">
        <f t="shared" si="17"/>
        <v>1505</v>
      </c>
      <c r="E149" s="212">
        <f t="shared" si="17"/>
        <v>1710</v>
      </c>
      <c r="F149" s="212">
        <f t="shared" si="17"/>
        <v>1754</v>
      </c>
      <c r="G149" s="212">
        <f t="shared" si="17"/>
        <v>1994</v>
      </c>
      <c r="H149" s="212">
        <f t="shared" si="17"/>
        <v>2073</v>
      </c>
      <c r="I149" s="212">
        <f t="shared" si="17"/>
        <v>2217</v>
      </c>
      <c r="J149" s="213">
        <f>SUM(D149:I149)</f>
        <v>11253</v>
      </c>
      <c r="L149" s="21"/>
      <c r="M149" s="34"/>
    </row>
    <row r="150" spans="1:13" ht="15.45" x14ac:dyDescent="0.4">
      <c r="A150" s="100">
        <f>A149+1</f>
        <v>6</v>
      </c>
      <c r="B150" s="52" t="s">
        <v>218</v>
      </c>
      <c r="C150" s="80"/>
      <c r="D150" s="108">
        <f t="shared" ref="D150:J150" si="18">SUM(D147:D149)</f>
        <v>114906</v>
      </c>
      <c r="E150" s="108">
        <f t="shared" si="18"/>
        <v>114719</v>
      </c>
      <c r="F150" s="108">
        <f t="shared" si="18"/>
        <v>114122</v>
      </c>
      <c r="G150" s="108">
        <f t="shared" si="18"/>
        <v>113589</v>
      </c>
      <c r="H150" s="108">
        <f t="shared" si="18"/>
        <v>113137</v>
      </c>
      <c r="I150" s="108">
        <f t="shared" si="18"/>
        <v>112912</v>
      </c>
      <c r="J150" s="107">
        <f t="shared" si="18"/>
        <v>683385</v>
      </c>
      <c r="M150" s="34"/>
    </row>
    <row r="151" spans="1:13" x14ac:dyDescent="0.35">
      <c r="A151" s="100"/>
      <c r="C151" s="36"/>
      <c r="D151" s="36"/>
      <c r="J151" s="99"/>
    </row>
    <row r="152" spans="1:13" ht="15.45" x14ac:dyDescent="0.4">
      <c r="A152" s="100">
        <f>A150+1</f>
        <v>7</v>
      </c>
      <c r="B152" s="35" t="s">
        <v>18</v>
      </c>
      <c r="C152" s="36"/>
      <c r="D152" s="36"/>
      <c r="J152" s="99"/>
    </row>
    <row r="153" spans="1:13" ht="15.45" x14ac:dyDescent="0.4">
      <c r="A153" s="100">
        <f>A152+1</f>
        <v>8</v>
      </c>
      <c r="B153" s="52" t="s">
        <v>249</v>
      </c>
      <c r="C153" s="80"/>
      <c r="D153" s="108">
        <f>D23+D41+D84+D102</f>
        <v>12144</v>
      </c>
      <c r="E153" s="108">
        <f t="shared" ref="D153:J155" si="19">E23+E41+E84+E102</f>
        <v>12074</v>
      </c>
      <c r="F153" s="108">
        <f t="shared" si="19"/>
        <v>11989</v>
      </c>
      <c r="G153" s="108">
        <f t="shared" si="19"/>
        <v>11899</v>
      </c>
      <c r="H153" s="108">
        <f t="shared" si="19"/>
        <v>11832</v>
      </c>
      <c r="I153" s="108">
        <f t="shared" si="19"/>
        <v>11781</v>
      </c>
      <c r="J153" s="209">
        <f t="shared" si="19"/>
        <v>71719</v>
      </c>
      <c r="L153" s="21"/>
      <c r="M153" s="34"/>
    </row>
    <row r="154" spans="1:13" ht="15.45" x14ac:dyDescent="0.4">
      <c r="A154" s="100">
        <f>A153+1</f>
        <v>9</v>
      </c>
      <c r="B154" s="52" t="s">
        <v>202</v>
      </c>
      <c r="C154" s="80"/>
      <c r="D154" s="108">
        <f t="shared" si="19"/>
        <v>0</v>
      </c>
      <c r="E154" s="108">
        <f t="shared" si="19"/>
        <v>0</v>
      </c>
      <c r="F154" s="108">
        <f t="shared" si="19"/>
        <v>0</v>
      </c>
      <c r="G154" s="108">
        <f t="shared" si="19"/>
        <v>0</v>
      </c>
      <c r="H154" s="108">
        <f t="shared" si="19"/>
        <v>0</v>
      </c>
      <c r="I154" s="108">
        <f t="shared" si="19"/>
        <v>0</v>
      </c>
      <c r="J154" s="209">
        <f t="shared" si="19"/>
        <v>0</v>
      </c>
      <c r="M154" s="34"/>
    </row>
    <row r="155" spans="1:13" ht="17.600000000000001" x14ac:dyDescent="0.65">
      <c r="A155" s="100">
        <f>A154+1</f>
        <v>10</v>
      </c>
      <c r="B155" s="52" t="s">
        <v>250</v>
      </c>
      <c r="C155" s="80"/>
      <c r="D155" s="212">
        <f t="shared" si="19"/>
        <v>101</v>
      </c>
      <c r="E155" s="212">
        <f t="shared" si="19"/>
        <v>154</v>
      </c>
      <c r="F155" s="212">
        <f t="shared" si="19"/>
        <v>154</v>
      </c>
      <c r="G155" s="212">
        <f t="shared" si="19"/>
        <v>170</v>
      </c>
      <c r="H155" s="212">
        <f t="shared" si="19"/>
        <v>141</v>
      </c>
      <c r="I155" s="212">
        <f t="shared" si="19"/>
        <v>143</v>
      </c>
      <c r="J155" s="214">
        <f t="shared" si="19"/>
        <v>863</v>
      </c>
      <c r="L155" s="21"/>
      <c r="M155" s="34"/>
    </row>
    <row r="156" spans="1:13" ht="15.45" x14ac:dyDescent="0.4">
      <c r="A156" s="100">
        <f>A155+1</f>
        <v>11</v>
      </c>
      <c r="B156" s="52" t="s">
        <v>218</v>
      </c>
      <c r="C156" s="80"/>
      <c r="D156" s="108">
        <f t="shared" ref="D156:J156" si="20">SUM(D153:D155)</f>
        <v>12245</v>
      </c>
      <c r="E156" s="108">
        <f t="shared" si="20"/>
        <v>12228</v>
      </c>
      <c r="F156" s="108">
        <f t="shared" si="20"/>
        <v>12143</v>
      </c>
      <c r="G156" s="108">
        <f t="shared" si="20"/>
        <v>12069</v>
      </c>
      <c r="H156" s="108">
        <f t="shared" si="20"/>
        <v>11973</v>
      </c>
      <c r="I156" s="108">
        <f t="shared" si="20"/>
        <v>11924</v>
      </c>
      <c r="J156" s="107">
        <f t="shared" si="20"/>
        <v>72582</v>
      </c>
      <c r="M156" s="34"/>
    </row>
    <row r="157" spans="1:13" x14ac:dyDescent="0.35">
      <c r="A157" s="100"/>
      <c r="C157" s="36"/>
      <c r="D157" s="36"/>
      <c r="J157" s="99"/>
    </row>
    <row r="158" spans="1:13" ht="15.45" x14ac:dyDescent="0.4">
      <c r="A158" s="100">
        <f>A156+1</f>
        <v>12</v>
      </c>
      <c r="B158" s="35" t="s">
        <v>19</v>
      </c>
      <c r="C158" s="36"/>
      <c r="D158" s="51"/>
      <c r="J158" s="99"/>
    </row>
    <row r="159" spans="1:13" ht="15.45" x14ac:dyDescent="0.4">
      <c r="A159" s="100">
        <f>A158+1</f>
        <v>13</v>
      </c>
      <c r="B159" s="52" t="s">
        <v>249</v>
      </c>
      <c r="C159" s="80"/>
      <c r="D159" s="108">
        <f t="shared" ref="D159:J161" si="21">D108+D114</f>
        <v>51</v>
      </c>
      <c r="E159" s="108">
        <f t="shared" si="21"/>
        <v>51</v>
      </c>
      <c r="F159" s="108">
        <f t="shared" si="21"/>
        <v>50</v>
      </c>
      <c r="G159" s="108">
        <f t="shared" si="21"/>
        <v>50</v>
      </c>
      <c r="H159" s="108">
        <f t="shared" si="21"/>
        <v>51</v>
      </c>
      <c r="I159" s="108">
        <f t="shared" si="21"/>
        <v>52</v>
      </c>
      <c r="J159" s="209">
        <f t="shared" si="21"/>
        <v>305</v>
      </c>
      <c r="L159" s="21"/>
      <c r="M159" s="34"/>
    </row>
    <row r="160" spans="1:13" ht="15.45" x14ac:dyDescent="0.4">
      <c r="A160" s="100">
        <f>A159+1</f>
        <v>14</v>
      </c>
      <c r="B160" s="52" t="s">
        <v>202</v>
      </c>
      <c r="C160" s="80"/>
      <c r="D160" s="36">
        <f t="shared" si="21"/>
        <v>0</v>
      </c>
      <c r="E160" s="36">
        <f t="shared" si="21"/>
        <v>0</v>
      </c>
      <c r="F160" s="36">
        <f t="shared" si="21"/>
        <v>0</v>
      </c>
      <c r="G160" s="36">
        <f t="shared" si="21"/>
        <v>0</v>
      </c>
      <c r="H160" s="36">
        <f t="shared" si="21"/>
        <v>0</v>
      </c>
      <c r="I160" s="36">
        <f t="shared" si="21"/>
        <v>0</v>
      </c>
      <c r="J160" s="107">
        <f t="shared" si="21"/>
        <v>0</v>
      </c>
      <c r="M160" s="34"/>
    </row>
    <row r="161" spans="1:14" ht="15.45" x14ac:dyDescent="0.4">
      <c r="A161" s="100">
        <f>A160+1</f>
        <v>15</v>
      </c>
      <c r="B161" s="52" t="s">
        <v>250</v>
      </c>
      <c r="C161" s="80"/>
      <c r="D161" s="51">
        <f t="shared" si="21"/>
        <v>0</v>
      </c>
      <c r="E161" s="51">
        <f t="shared" si="21"/>
        <v>1</v>
      </c>
      <c r="F161" s="51">
        <f t="shared" si="21"/>
        <v>0</v>
      </c>
      <c r="G161" s="51">
        <f t="shared" si="21"/>
        <v>1</v>
      </c>
      <c r="H161" s="51">
        <f t="shared" si="21"/>
        <v>1</v>
      </c>
      <c r="I161" s="51">
        <f t="shared" si="21"/>
        <v>0</v>
      </c>
      <c r="J161" s="215">
        <f t="shared" si="21"/>
        <v>3</v>
      </c>
      <c r="L161" s="21"/>
      <c r="M161" s="34"/>
    </row>
    <row r="162" spans="1:14" ht="15.45" x14ac:dyDescent="0.4">
      <c r="A162" s="100">
        <f>A161+1</f>
        <v>16</v>
      </c>
      <c r="B162" s="52" t="s">
        <v>218</v>
      </c>
      <c r="C162" s="80"/>
      <c r="D162" s="108">
        <f t="shared" ref="D162:J162" si="22">SUM(D159:D161)</f>
        <v>51</v>
      </c>
      <c r="E162" s="108">
        <f t="shared" si="22"/>
        <v>52</v>
      </c>
      <c r="F162" s="108">
        <f t="shared" si="22"/>
        <v>50</v>
      </c>
      <c r="G162" s="108">
        <f t="shared" si="22"/>
        <v>51</v>
      </c>
      <c r="H162" s="108">
        <f t="shared" si="22"/>
        <v>52</v>
      </c>
      <c r="I162" s="108">
        <f t="shared" si="22"/>
        <v>52</v>
      </c>
      <c r="J162" s="107">
        <f t="shared" si="22"/>
        <v>308</v>
      </c>
      <c r="M162" s="34"/>
    </row>
    <row r="163" spans="1:14" x14ac:dyDescent="0.35">
      <c r="A163" s="100"/>
      <c r="C163" s="36"/>
      <c r="D163" s="51"/>
      <c r="J163" s="99"/>
    </row>
    <row r="164" spans="1:14" ht="15.45" x14ac:dyDescent="0.4">
      <c r="A164" s="100">
        <f>A162+1</f>
        <v>17</v>
      </c>
      <c r="B164" s="35" t="s">
        <v>66</v>
      </c>
      <c r="C164" s="51"/>
      <c r="D164" s="51"/>
      <c r="J164" s="99"/>
    </row>
    <row r="165" spans="1:14" ht="15.45" x14ac:dyDescent="0.4">
      <c r="A165" s="100">
        <f>A164+1</f>
        <v>18</v>
      </c>
      <c r="B165" s="52" t="s">
        <v>249</v>
      </c>
      <c r="C165" s="80"/>
      <c r="D165" s="108">
        <f t="shared" ref="D165:I167" si="23">D120</f>
        <v>2</v>
      </c>
      <c r="E165" s="108">
        <f t="shared" si="23"/>
        <v>2</v>
      </c>
      <c r="F165" s="108">
        <f t="shared" si="23"/>
        <v>2</v>
      </c>
      <c r="G165" s="108">
        <f t="shared" si="23"/>
        <v>2</v>
      </c>
      <c r="H165" s="108">
        <f t="shared" si="23"/>
        <v>2</v>
      </c>
      <c r="I165" s="108">
        <f t="shared" si="23"/>
        <v>2</v>
      </c>
      <c r="J165" s="107">
        <f>SUM(D165:I165)</f>
        <v>12</v>
      </c>
      <c r="L165" s="21"/>
      <c r="M165" s="34"/>
    </row>
    <row r="166" spans="1:14" ht="15.45" x14ac:dyDescent="0.4">
      <c r="A166" s="100">
        <f>A165+1</f>
        <v>19</v>
      </c>
      <c r="B166" s="52" t="s">
        <v>202</v>
      </c>
      <c r="C166" s="80"/>
      <c r="D166" s="36">
        <f t="shared" si="23"/>
        <v>0</v>
      </c>
      <c r="E166" s="36">
        <f t="shared" si="23"/>
        <v>0</v>
      </c>
      <c r="F166" s="36">
        <f t="shared" si="23"/>
        <v>0</v>
      </c>
      <c r="G166" s="36">
        <f t="shared" si="23"/>
        <v>0</v>
      </c>
      <c r="H166" s="36">
        <f t="shared" si="23"/>
        <v>0</v>
      </c>
      <c r="I166" s="36">
        <f t="shared" si="23"/>
        <v>0</v>
      </c>
      <c r="J166" s="107">
        <f>SUM(D166:I166)</f>
        <v>0</v>
      </c>
      <c r="M166" s="34"/>
    </row>
    <row r="167" spans="1:14" ht="15.45" x14ac:dyDescent="0.4">
      <c r="A167" s="100">
        <f>A166+1</f>
        <v>20</v>
      </c>
      <c r="B167" s="52" t="s">
        <v>250</v>
      </c>
      <c r="C167" s="80"/>
      <c r="D167" s="51">
        <f t="shared" si="23"/>
        <v>0</v>
      </c>
      <c r="E167" s="51">
        <f t="shared" si="23"/>
        <v>0</v>
      </c>
      <c r="F167" s="51">
        <f t="shared" si="23"/>
        <v>0</v>
      </c>
      <c r="G167" s="51">
        <f t="shared" si="23"/>
        <v>0</v>
      </c>
      <c r="H167" s="51">
        <f t="shared" si="23"/>
        <v>0</v>
      </c>
      <c r="I167" s="51">
        <f t="shared" si="23"/>
        <v>0</v>
      </c>
      <c r="J167" s="215">
        <f>SUM(D167:I167)</f>
        <v>0</v>
      </c>
      <c r="M167" s="34"/>
    </row>
    <row r="168" spans="1:14" ht="15.45" x14ac:dyDescent="0.4">
      <c r="A168" s="100">
        <f>A167+1</f>
        <v>21</v>
      </c>
      <c r="B168" s="52" t="s">
        <v>218</v>
      </c>
      <c r="C168" s="80"/>
      <c r="D168" s="108">
        <f t="shared" ref="D168:J168" si="24">SUM(D165:D167)</f>
        <v>2</v>
      </c>
      <c r="E168" s="108">
        <f t="shared" si="24"/>
        <v>2</v>
      </c>
      <c r="F168" s="108">
        <f t="shared" si="24"/>
        <v>2</v>
      </c>
      <c r="G168" s="108">
        <f t="shared" si="24"/>
        <v>2</v>
      </c>
      <c r="H168" s="108">
        <f t="shared" si="24"/>
        <v>2</v>
      </c>
      <c r="I168" s="108">
        <f t="shared" si="24"/>
        <v>2</v>
      </c>
      <c r="J168" s="107">
        <f t="shared" si="24"/>
        <v>12</v>
      </c>
      <c r="M168" s="34"/>
    </row>
    <row r="169" spans="1:14" x14ac:dyDescent="0.35">
      <c r="A169" s="100"/>
      <c r="C169" s="36"/>
      <c r="D169" s="36"/>
      <c r="J169" s="99"/>
    </row>
    <row r="170" spans="1:14" ht="15.45" x14ac:dyDescent="0.4">
      <c r="A170" s="100">
        <f>A168+1</f>
        <v>22</v>
      </c>
      <c r="B170" s="35" t="s">
        <v>20</v>
      </c>
      <c r="C170" s="36"/>
      <c r="D170" s="36"/>
      <c r="J170" s="99"/>
    </row>
    <row r="171" spans="1:14" ht="15.45" x14ac:dyDescent="0.4">
      <c r="A171" s="100">
        <f>A170+1</f>
        <v>23</v>
      </c>
      <c r="B171" s="52" t="s">
        <v>249</v>
      </c>
      <c r="C171" s="80"/>
      <c r="D171" s="108">
        <f t="shared" ref="D171:I171" si="25">D147+D153+D159+D165</f>
        <v>125598</v>
      </c>
      <c r="E171" s="108">
        <f t="shared" si="25"/>
        <v>125136</v>
      </c>
      <c r="F171" s="108">
        <f t="shared" si="25"/>
        <v>124409</v>
      </c>
      <c r="G171" s="108">
        <f t="shared" si="25"/>
        <v>123546</v>
      </c>
      <c r="H171" s="108">
        <f t="shared" si="25"/>
        <v>122949</v>
      </c>
      <c r="I171" s="108">
        <f t="shared" si="25"/>
        <v>122530</v>
      </c>
      <c r="J171" s="107">
        <f>SUM(D171:I171)</f>
        <v>744168</v>
      </c>
      <c r="M171" s="34"/>
    </row>
    <row r="172" spans="1:14" ht="15.9" thickBot="1" x14ac:dyDescent="0.45">
      <c r="A172" s="100">
        <f>A171+1</f>
        <v>24</v>
      </c>
      <c r="B172" s="52" t="s">
        <v>202</v>
      </c>
      <c r="C172" s="80"/>
      <c r="D172" s="36">
        <f t="shared" ref="D172:I172" si="26">D148+D154+D160+D166</f>
        <v>0</v>
      </c>
      <c r="E172" s="36">
        <f t="shared" si="26"/>
        <v>0</v>
      </c>
      <c r="F172" s="36">
        <f t="shared" si="26"/>
        <v>0</v>
      </c>
      <c r="G172" s="36">
        <f t="shared" si="26"/>
        <v>0</v>
      </c>
      <c r="H172" s="36">
        <f t="shared" si="26"/>
        <v>0</v>
      </c>
      <c r="I172" s="36">
        <f t="shared" si="26"/>
        <v>0</v>
      </c>
      <c r="J172" s="107">
        <f>SUM(D172:I172)</f>
        <v>0</v>
      </c>
      <c r="M172" s="34"/>
    </row>
    <row r="173" spans="1:14" ht="17.600000000000001" x14ac:dyDescent="0.65">
      <c r="A173" s="100">
        <f>A172+1</f>
        <v>25</v>
      </c>
      <c r="B173" s="52" t="s">
        <v>250</v>
      </c>
      <c r="C173" s="80"/>
      <c r="D173" s="212">
        <f t="shared" ref="D173:I173" si="27">D149+D155+D161+D167</f>
        <v>1606</v>
      </c>
      <c r="E173" s="212">
        <f t="shared" si="27"/>
        <v>1865</v>
      </c>
      <c r="F173" s="212">
        <f t="shared" si="27"/>
        <v>1908</v>
      </c>
      <c r="G173" s="212">
        <f t="shared" si="27"/>
        <v>2165</v>
      </c>
      <c r="H173" s="212">
        <f t="shared" si="27"/>
        <v>2215</v>
      </c>
      <c r="I173" s="212">
        <f t="shared" si="27"/>
        <v>2360</v>
      </c>
      <c r="J173" s="213">
        <f>SUM(D173:I173)</f>
        <v>12119</v>
      </c>
      <c r="M173" s="468" t="s">
        <v>364</v>
      </c>
      <c r="N173" s="469"/>
    </row>
    <row r="174" spans="1:14" ht="15.45" thickBot="1" x14ac:dyDescent="0.4">
      <c r="A174" s="101">
        <f>A173+1</f>
        <v>26</v>
      </c>
      <c r="B174" s="210" t="s">
        <v>218</v>
      </c>
      <c r="C174" s="106"/>
      <c r="D174" s="211">
        <f t="shared" ref="D174:J174" si="28">SUM(D171:D173)</f>
        <v>127204</v>
      </c>
      <c r="E174" s="211">
        <f t="shared" si="28"/>
        <v>127001</v>
      </c>
      <c r="F174" s="211">
        <f t="shared" si="28"/>
        <v>126317</v>
      </c>
      <c r="G174" s="211">
        <f t="shared" si="28"/>
        <v>125711</v>
      </c>
      <c r="H174" s="211">
        <f t="shared" si="28"/>
        <v>125164</v>
      </c>
      <c r="I174" s="211">
        <f t="shared" si="28"/>
        <v>124890</v>
      </c>
      <c r="J174" s="118">
        <f t="shared" si="28"/>
        <v>756287</v>
      </c>
      <c r="M174" s="339">
        <f>J20+J26+J32+J38+J44+J50+J56+J62+J87+J93+J99+J105+J111+J117+J123</f>
        <v>756287</v>
      </c>
      <c r="N174" s="219">
        <f>J174-M174</f>
        <v>0</v>
      </c>
    </row>
    <row r="175" spans="1:14" x14ac:dyDescent="0.35">
      <c r="A175" s="64"/>
      <c r="C175" s="36"/>
      <c r="D175" s="36"/>
      <c r="E175" s="36"/>
      <c r="F175" s="36"/>
      <c r="G175" s="36"/>
      <c r="H175" s="36"/>
      <c r="I175" s="36"/>
      <c r="J175" s="36"/>
    </row>
    <row r="176" spans="1:14" x14ac:dyDescent="0.35">
      <c r="A176" s="64"/>
      <c r="C176" s="36"/>
      <c r="D176" s="36"/>
      <c r="E176" s="36"/>
      <c r="F176" s="36"/>
      <c r="G176" s="36"/>
      <c r="H176" s="36"/>
      <c r="I176" s="36"/>
      <c r="J176" s="36"/>
    </row>
    <row r="177" spans="1:19" ht="15.45" x14ac:dyDescent="0.4">
      <c r="A177" s="472" t="s">
        <v>41</v>
      </c>
      <c r="B177" s="472"/>
      <c r="C177" s="472"/>
      <c r="D177" s="472"/>
      <c r="E177" s="472"/>
      <c r="F177" s="472"/>
      <c r="G177" s="472"/>
      <c r="H177" s="472"/>
      <c r="I177" s="472"/>
      <c r="J177" s="472"/>
      <c r="K177" s="35"/>
      <c r="L177" s="35"/>
      <c r="M177" s="35"/>
      <c r="N177" s="35"/>
      <c r="O177" s="35"/>
      <c r="P177" s="35"/>
    </row>
    <row r="178" spans="1:19" ht="15.45" x14ac:dyDescent="0.4">
      <c r="A178" s="472" t="s">
        <v>155</v>
      </c>
      <c r="B178" s="472"/>
      <c r="C178" s="472"/>
      <c r="D178" s="472"/>
      <c r="E178" s="472"/>
      <c r="F178" s="472"/>
      <c r="G178" s="472"/>
      <c r="H178" s="472"/>
      <c r="I178" s="472"/>
      <c r="J178" s="472"/>
      <c r="K178" s="35"/>
      <c r="L178" s="35"/>
      <c r="M178" s="35"/>
      <c r="N178" s="35"/>
      <c r="O178" s="35"/>
      <c r="P178" s="35"/>
    </row>
    <row r="179" spans="1:19" ht="15.45" x14ac:dyDescent="0.4">
      <c r="A179" s="472" t="str">
        <f>TYDESC</f>
        <v>For the 6 Months Ended August 31, 2024</v>
      </c>
      <c r="B179" s="472"/>
      <c r="C179" s="472"/>
      <c r="D179" s="472"/>
      <c r="E179" s="472"/>
      <c r="F179" s="472"/>
      <c r="G179" s="472"/>
      <c r="H179" s="472"/>
      <c r="I179" s="472"/>
      <c r="J179" s="472"/>
      <c r="K179" s="35"/>
      <c r="L179" s="35"/>
      <c r="M179" s="35"/>
      <c r="N179" s="35"/>
      <c r="O179" s="35"/>
      <c r="P179" s="35"/>
    </row>
    <row r="181" spans="1:19" ht="15.45" x14ac:dyDescent="0.4">
      <c r="A181" s="75" t="s">
        <v>180</v>
      </c>
      <c r="C181" s="32"/>
      <c r="D181" s="32"/>
      <c r="E181" s="32"/>
      <c r="F181" s="32"/>
    </row>
    <row r="182" spans="1:19" ht="15.45" x14ac:dyDescent="0.4">
      <c r="A182" s="75" t="s">
        <v>181</v>
      </c>
      <c r="C182" s="32"/>
      <c r="D182" s="32"/>
      <c r="E182" s="32"/>
      <c r="F182" s="32"/>
    </row>
    <row r="183" spans="1:19" ht="15.45" x14ac:dyDescent="0.4">
      <c r="A183" s="75" t="s">
        <v>64</v>
      </c>
      <c r="C183" s="32"/>
      <c r="D183" s="32"/>
      <c r="E183" s="32"/>
      <c r="F183" s="32"/>
      <c r="J183" s="71" t="str">
        <f>$J$8</f>
        <v>Workpaper WPM-B.1</v>
      </c>
    </row>
    <row r="184" spans="1:19" ht="15.45" x14ac:dyDescent="0.4">
      <c r="A184" s="102" t="str">
        <f>$A$9</f>
        <v>6 Mos Forecasted</v>
      </c>
      <c r="B184" s="32"/>
      <c r="C184" s="32"/>
      <c r="D184" s="33"/>
      <c r="E184" s="32"/>
      <c r="F184" s="41"/>
      <c r="G184" s="42"/>
      <c r="H184" s="41"/>
      <c r="I184" s="30"/>
      <c r="J184" s="72" t="s">
        <v>316</v>
      </c>
      <c r="K184" s="41"/>
      <c r="L184" s="41"/>
      <c r="M184" s="41"/>
      <c r="N184" s="41"/>
      <c r="O184" s="41"/>
      <c r="Q184" s="32"/>
      <c r="R184" s="32"/>
    </row>
    <row r="185" spans="1:19" ht="15.45" x14ac:dyDescent="0.4">
      <c r="A185" s="64"/>
      <c r="B185" s="52"/>
      <c r="C185" s="80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9"/>
      <c r="S185" s="34"/>
    </row>
    <row r="186" spans="1:19" ht="15.45" x14ac:dyDescent="0.4">
      <c r="A186" s="32" t="s">
        <v>11</v>
      </c>
      <c r="B186" s="32"/>
      <c r="C186" s="32"/>
      <c r="D186" s="33"/>
      <c r="E186" s="32"/>
      <c r="F186" s="41"/>
      <c r="G186" s="42"/>
      <c r="H186" s="41"/>
      <c r="I186" s="30"/>
      <c r="J186" s="41"/>
      <c r="K186" s="41"/>
      <c r="L186" s="41"/>
      <c r="M186" s="41"/>
      <c r="N186" s="41"/>
      <c r="O186" s="41"/>
      <c r="P186" s="41"/>
      <c r="Q186" s="34"/>
      <c r="R186" s="34"/>
    </row>
    <row r="187" spans="1:19" ht="15.45" x14ac:dyDescent="0.4">
      <c r="A187" s="43" t="s">
        <v>13</v>
      </c>
      <c r="B187" s="43" t="s">
        <v>14</v>
      </c>
      <c r="C187" s="43" t="s">
        <v>152</v>
      </c>
      <c r="D187" s="45" t="str">
        <f>$D$13</f>
        <v>Mar-24</v>
      </c>
      <c r="E187" s="45" t="str">
        <f>$E$13</f>
        <v>Apr-24</v>
      </c>
      <c r="F187" s="45" t="str">
        <f>$F$13</f>
        <v>May-24</v>
      </c>
      <c r="G187" s="45" t="str">
        <f>$G$13</f>
        <v>Jun-24</v>
      </c>
      <c r="H187" s="45" t="str">
        <f>$H$13</f>
        <v>Jul-24</v>
      </c>
      <c r="I187" s="45" t="str">
        <f>$I$13</f>
        <v>Aug-24</v>
      </c>
      <c r="J187" s="45" t="s">
        <v>15</v>
      </c>
      <c r="M187" s="46"/>
    </row>
    <row r="188" spans="1:19" ht="15.45" x14ac:dyDescent="0.4">
      <c r="A188" s="32"/>
      <c r="B188" s="34" t="s">
        <v>49</v>
      </c>
      <c r="C188" s="34" t="s">
        <v>50</v>
      </c>
      <c r="D188" s="120" t="s">
        <v>56</v>
      </c>
      <c r="E188" s="48" t="s">
        <v>57</v>
      </c>
      <c r="F188" s="48" t="s">
        <v>58</v>
      </c>
      <c r="G188" s="48" t="s">
        <v>59</v>
      </c>
      <c r="H188" s="48" t="s">
        <v>60</v>
      </c>
      <c r="I188" s="48" t="s">
        <v>61</v>
      </c>
      <c r="J188" s="48" t="s">
        <v>62</v>
      </c>
      <c r="M188" s="34"/>
    </row>
    <row r="189" spans="1:19" ht="15.45" x14ac:dyDescent="0.4">
      <c r="A189" s="32"/>
      <c r="B189" s="34"/>
      <c r="C189" s="34"/>
      <c r="D189" s="48"/>
      <c r="E189" s="48"/>
      <c r="F189" s="48"/>
      <c r="G189" s="48"/>
      <c r="H189" s="48"/>
      <c r="I189" s="48"/>
      <c r="J189" s="48"/>
      <c r="M189" s="34"/>
    </row>
    <row r="190" spans="1:19" ht="15.45" x14ac:dyDescent="0.4">
      <c r="A190" s="64">
        <f>A188+1</f>
        <v>1</v>
      </c>
      <c r="B190" s="35" t="s">
        <v>225</v>
      </c>
      <c r="C190" s="34"/>
      <c r="D190" s="48"/>
      <c r="E190" s="48"/>
      <c r="F190" s="48"/>
      <c r="G190" s="48"/>
      <c r="H190" s="48"/>
      <c r="I190" s="48"/>
      <c r="J190" s="48"/>
      <c r="M190" s="34"/>
    </row>
    <row r="191" spans="1:19" ht="15.45" x14ac:dyDescent="0.4">
      <c r="A191" s="64">
        <f>A190+1</f>
        <v>2</v>
      </c>
      <c r="B191" s="52" t="s">
        <v>249</v>
      </c>
      <c r="C191" s="80"/>
      <c r="D191" s="395">
        <v>11447</v>
      </c>
      <c r="E191" s="395">
        <v>11447</v>
      </c>
      <c r="F191" s="395">
        <v>11447</v>
      </c>
      <c r="G191" s="395">
        <v>11447</v>
      </c>
      <c r="H191" s="395">
        <v>11447</v>
      </c>
      <c r="I191" s="395">
        <v>11447</v>
      </c>
      <c r="J191" s="36">
        <f>SUM(D191:I191)</f>
        <v>68682</v>
      </c>
      <c r="L191" s="21"/>
      <c r="M191" s="34"/>
    </row>
    <row r="192" spans="1:19" ht="15.45" x14ac:dyDescent="0.4">
      <c r="A192" s="64">
        <f>A191+1</f>
        <v>3</v>
      </c>
      <c r="B192" s="52" t="s">
        <v>202</v>
      </c>
      <c r="C192" s="80" t="s">
        <v>300</v>
      </c>
      <c r="D192" s="119">
        <v>0</v>
      </c>
      <c r="E192" s="119">
        <v>0</v>
      </c>
      <c r="F192" s="119">
        <v>0</v>
      </c>
      <c r="G192" s="119">
        <v>0</v>
      </c>
      <c r="H192" s="119">
        <v>0</v>
      </c>
      <c r="I192" s="119">
        <v>0</v>
      </c>
      <c r="J192" s="36">
        <f>SUM(D192:I192)</f>
        <v>0</v>
      </c>
      <c r="M192" s="34"/>
    </row>
    <row r="193" spans="1:13" ht="15.45" x14ac:dyDescent="0.4">
      <c r="A193" s="64">
        <f>A192+1</f>
        <v>4</v>
      </c>
      <c r="B193" s="52" t="s">
        <v>250</v>
      </c>
      <c r="C193" s="80"/>
      <c r="D193" s="218">
        <v>72</v>
      </c>
      <c r="E193" s="218">
        <v>65</v>
      </c>
      <c r="F193" s="218">
        <v>73</v>
      </c>
      <c r="G193" s="218">
        <v>61</v>
      </c>
      <c r="H193" s="218">
        <v>71</v>
      </c>
      <c r="I193" s="218">
        <v>78</v>
      </c>
      <c r="J193" s="51">
        <f>SUM(D193:I193)</f>
        <v>420</v>
      </c>
      <c r="L193" s="21"/>
      <c r="M193" s="34"/>
    </row>
    <row r="194" spans="1:13" ht="15.45" x14ac:dyDescent="0.4">
      <c r="A194" s="64">
        <f>A193+1</f>
        <v>5</v>
      </c>
      <c r="B194" s="52" t="s">
        <v>218</v>
      </c>
      <c r="C194" s="80"/>
      <c r="D194" s="108">
        <f t="shared" ref="D194:J194" si="29">SUM(D191:D193)</f>
        <v>11519</v>
      </c>
      <c r="E194" s="108">
        <f t="shared" si="29"/>
        <v>11512</v>
      </c>
      <c r="F194" s="108">
        <f t="shared" si="29"/>
        <v>11520</v>
      </c>
      <c r="G194" s="108">
        <f t="shared" si="29"/>
        <v>11508</v>
      </c>
      <c r="H194" s="108">
        <f t="shared" si="29"/>
        <v>11518</v>
      </c>
      <c r="I194" s="108">
        <f t="shared" si="29"/>
        <v>11525</v>
      </c>
      <c r="J194" s="36">
        <f t="shared" si="29"/>
        <v>69102</v>
      </c>
      <c r="M194" s="34"/>
    </row>
    <row r="195" spans="1:13" ht="15.45" x14ac:dyDescent="0.4">
      <c r="A195" s="64"/>
      <c r="B195" s="35"/>
      <c r="C195" s="110"/>
      <c r="D195" s="36"/>
    </row>
    <row r="196" spans="1:13" ht="15.45" x14ac:dyDescent="0.4">
      <c r="A196" s="64">
        <f>A194+1</f>
        <v>6</v>
      </c>
      <c r="B196" s="35" t="s">
        <v>226</v>
      </c>
      <c r="C196" s="34"/>
      <c r="D196" s="48"/>
      <c r="E196" s="48"/>
      <c r="F196" s="48"/>
      <c r="G196" s="48"/>
      <c r="H196" s="48"/>
      <c r="I196" s="48"/>
      <c r="J196" s="48"/>
      <c r="M196" s="34"/>
    </row>
    <row r="197" spans="1:13" x14ac:dyDescent="0.35">
      <c r="A197" s="64">
        <f>A196+1</f>
        <v>7</v>
      </c>
      <c r="B197" s="52" t="s">
        <v>249</v>
      </c>
      <c r="C197" s="80"/>
      <c r="D197" s="395">
        <f>-64+1922</f>
        <v>1858</v>
      </c>
      <c r="E197" s="395">
        <f>-58+1916</f>
        <v>1858</v>
      </c>
      <c r="F197" s="395">
        <f>-51+1909</f>
        <v>1858</v>
      </c>
      <c r="G197" s="395">
        <f>-37+1895</f>
        <v>1858</v>
      </c>
      <c r="H197" s="395">
        <f>-30+1888</f>
        <v>1858</v>
      </c>
      <c r="I197" s="395">
        <f>-25+1883</f>
        <v>1858</v>
      </c>
      <c r="J197" s="36">
        <f>SUM(D197:I197)</f>
        <v>11148</v>
      </c>
    </row>
    <row r="198" spans="1:13" ht="15.45" x14ac:dyDescent="0.4">
      <c r="A198" s="64">
        <f>A197+1</f>
        <v>8</v>
      </c>
      <c r="B198" s="52" t="s">
        <v>202</v>
      </c>
      <c r="C198" s="80" t="s">
        <v>300</v>
      </c>
      <c r="D198" s="119">
        <v>0</v>
      </c>
      <c r="E198" s="119">
        <v>0</v>
      </c>
      <c r="F198" s="119">
        <v>0</v>
      </c>
      <c r="G198" s="119">
        <v>0</v>
      </c>
      <c r="H198" s="119">
        <v>0</v>
      </c>
      <c r="I198" s="119">
        <v>0</v>
      </c>
      <c r="J198" s="36">
        <f>SUM(D198:I198)</f>
        <v>0</v>
      </c>
      <c r="M198" s="34"/>
    </row>
    <row r="199" spans="1:13" ht="15.45" x14ac:dyDescent="0.4">
      <c r="A199" s="64">
        <f>A198+1</f>
        <v>9</v>
      </c>
      <c r="B199" s="52" t="s">
        <v>250</v>
      </c>
      <c r="C199" s="80"/>
      <c r="D199" s="218">
        <v>4</v>
      </c>
      <c r="E199" s="218">
        <v>4</v>
      </c>
      <c r="F199" s="218">
        <v>5</v>
      </c>
      <c r="G199" s="218">
        <v>6</v>
      </c>
      <c r="H199" s="218">
        <v>5</v>
      </c>
      <c r="I199" s="218">
        <v>7</v>
      </c>
      <c r="J199" s="51">
        <f>SUM(D199:I199)</f>
        <v>31</v>
      </c>
      <c r="L199" s="21"/>
      <c r="M199" s="34"/>
    </row>
    <row r="200" spans="1:13" ht="15.45" x14ac:dyDescent="0.4">
      <c r="A200" s="64">
        <f>A199+1</f>
        <v>10</v>
      </c>
      <c r="B200" s="52" t="s">
        <v>218</v>
      </c>
      <c r="C200" s="80"/>
      <c r="D200" s="108">
        <f t="shared" ref="D200:J200" si="30">SUM(D197:D199)</f>
        <v>1862</v>
      </c>
      <c r="E200" s="108">
        <f t="shared" si="30"/>
        <v>1862</v>
      </c>
      <c r="F200" s="108">
        <f t="shared" si="30"/>
        <v>1863</v>
      </c>
      <c r="G200" s="108">
        <f t="shared" si="30"/>
        <v>1864</v>
      </c>
      <c r="H200" s="108">
        <f t="shared" si="30"/>
        <v>1863</v>
      </c>
      <c r="I200" s="108">
        <f t="shared" si="30"/>
        <v>1865</v>
      </c>
      <c r="J200" s="36">
        <f t="shared" si="30"/>
        <v>11179</v>
      </c>
      <c r="L200" s="36"/>
      <c r="M200" s="34"/>
    </row>
    <row r="201" spans="1:13" ht="15.45" x14ac:dyDescent="0.4">
      <c r="A201" s="64"/>
      <c r="B201" s="35"/>
      <c r="C201" s="110"/>
      <c r="D201" s="36"/>
    </row>
    <row r="202" spans="1:13" ht="15.45" x14ac:dyDescent="0.4">
      <c r="A202" s="64">
        <f>A200+1</f>
        <v>11</v>
      </c>
      <c r="B202" s="35" t="s">
        <v>227</v>
      </c>
      <c r="C202" s="34"/>
      <c r="D202" s="48"/>
      <c r="E202" s="48"/>
      <c r="F202" s="48"/>
      <c r="G202" s="48"/>
      <c r="H202" s="48"/>
      <c r="I202" s="48"/>
      <c r="J202" s="48"/>
      <c r="M202" s="34"/>
    </row>
    <row r="203" spans="1:13" ht="15.45" x14ac:dyDescent="0.4">
      <c r="A203" s="64">
        <f>A202+1</f>
        <v>12</v>
      </c>
      <c r="B203" s="52" t="s">
        <v>249</v>
      </c>
      <c r="C203" s="80"/>
      <c r="D203" s="395">
        <v>13</v>
      </c>
      <c r="E203" s="395">
        <v>13</v>
      </c>
      <c r="F203" s="395">
        <v>13</v>
      </c>
      <c r="G203" s="395">
        <v>13</v>
      </c>
      <c r="H203" s="395">
        <v>12</v>
      </c>
      <c r="I203" s="395">
        <v>12</v>
      </c>
      <c r="J203" s="36">
        <f>SUM(D203:I203)</f>
        <v>76</v>
      </c>
      <c r="L203" s="21"/>
      <c r="M203" s="34"/>
    </row>
    <row r="204" spans="1:13" ht="15.45" x14ac:dyDescent="0.4">
      <c r="A204" s="64">
        <f>A203+1</f>
        <v>13</v>
      </c>
      <c r="B204" s="52" t="s">
        <v>202</v>
      </c>
      <c r="C204" s="80" t="s">
        <v>300</v>
      </c>
      <c r="D204" s="119">
        <v>0</v>
      </c>
      <c r="E204" s="119">
        <v>0</v>
      </c>
      <c r="F204" s="119">
        <v>0</v>
      </c>
      <c r="G204" s="119">
        <v>0</v>
      </c>
      <c r="H204" s="119">
        <v>0</v>
      </c>
      <c r="I204" s="119">
        <v>0</v>
      </c>
      <c r="J204" s="36">
        <f>SUM(D204:I204)</f>
        <v>0</v>
      </c>
      <c r="M204" s="34"/>
    </row>
    <row r="205" spans="1:13" ht="15.45" x14ac:dyDescent="0.4">
      <c r="A205" s="64">
        <f>A204+1</f>
        <v>14</v>
      </c>
      <c r="B205" s="52" t="s">
        <v>250</v>
      </c>
      <c r="C205" s="80"/>
      <c r="D205" s="218">
        <v>0</v>
      </c>
      <c r="E205" s="218">
        <v>0</v>
      </c>
      <c r="F205" s="218">
        <v>0</v>
      </c>
      <c r="G205" s="218">
        <v>0</v>
      </c>
      <c r="H205" s="218">
        <v>0</v>
      </c>
      <c r="I205" s="218">
        <v>0</v>
      </c>
      <c r="J205" s="51">
        <f>SUM(D205:I205)</f>
        <v>0</v>
      </c>
      <c r="L205" s="21"/>
      <c r="M205" s="34"/>
    </row>
    <row r="206" spans="1:13" ht="15.45" x14ac:dyDescent="0.4">
      <c r="A206" s="64">
        <f>A205+1</f>
        <v>15</v>
      </c>
      <c r="B206" s="52" t="s">
        <v>218</v>
      </c>
      <c r="C206" s="80"/>
      <c r="D206" s="108">
        <f t="shared" ref="D206:J206" si="31">SUM(D203:D205)</f>
        <v>13</v>
      </c>
      <c r="E206" s="108">
        <f t="shared" si="31"/>
        <v>13</v>
      </c>
      <c r="F206" s="108">
        <f t="shared" si="31"/>
        <v>13</v>
      </c>
      <c r="G206" s="108">
        <f t="shared" si="31"/>
        <v>13</v>
      </c>
      <c r="H206" s="108">
        <f t="shared" si="31"/>
        <v>12</v>
      </c>
      <c r="I206" s="108">
        <f t="shared" si="31"/>
        <v>12</v>
      </c>
      <c r="J206" s="36">
        <f t="shared" si="31"/>
        <v>76</v>
      </c>
      <c r="M206" s="34"/>
    </row>
    <row r="207" spans="1:13" ht="15.45" x14ac:dyDescent="0.4">
      <c r="A207" s="64"/>
      <c r="B207" s="52"/>
      <c r="C207" s="80"/>
      <c r="D207" s="108"/>
      <c r="E207" s="108"/>
      <c r="F207" s="108"/>
      <c r="G207" s="108"/>
      <c r="H207" s="108"/>
      <c r="I207" s="108"/>
      <c r="J207" s="108"/>
      <c r="M207" s="34"/>
    </row>
    <row r="208" spans="1:13" ht="15.45" x14ac:dyDescent="0.4">
      <c r="A208" s="64">
        <f>A206+1</f>
        <v>16</v>
      </c>
      <c r="B208" s="35" t="s">
        <v>219</v>
      </c>
      <c r="C208" s="34"/>
      <c r="D208" s="48"/>
      <c r="E208" s="48"/>
      <c r="F208" s="48"/>
      <c r="G208" s="48"/>
      <c r="H208" s="48"/>
      <c r="I208" s="48"/>
      <c r="J208" s="48"/>
    </row>
    <row r="209" spans="1:13" ht="15.45" x14ac:dyDescent="0.4">
      <c r="A209" s="64">
        <f>A208+1</f>
        <v>17</v>
      </c>
      <c r="B209" s="52" t="s">
        <v>249</v>
      </c>
      <c r="C209" s="80"/>
      <c r="D209" s="395">
        <v>22</v>
      </c>
      <c r="E209" s="395">
        <v>22</v>
      </c>
      <c r="F209" s="395">
        <v>22</v>
      </c>
      <c r="G209" s="395">
        <v>22</v>
      </c>
      <c r="H209" s="395">
        <v>22</v>
      </c>
      <c r="I209" s="395">
        <v>22</v>
      </c>
      <c r="J209" s="36">
        <f>SUM(D209:I209)</f>
        <v>132</v>
      </c>
      <c r="L209" s="21"/>
      <c r="M209" s="34"/>
    </row>
    <row r="210" spans="1:13" ht="15.45" x14ac:dyDescent="0.4">
      <c r="A210" s="64">
        <f>A209+1</f>
        <v>18</v>
      </c>
      <c r="B210" s="52" t="s">
        <v>202</v>
      </c>
      <c r="C210" s="80" t="s">
        <v>300</v>
      </c>
      <c r="D210" s="119">
        <v>0</v>
      </c>
      <c r="E210" s="119">
        <v>0</v>
      </c>
      <c r="F210" s="119">
        <v>0</v>
      </c>
      <c r="G210" s="119">
        <v>0</v>
      </c>
      <c r="H210" s="119">
        <v>0</v>
      </c>
      <c r="I210" s="119">
        <v>0</v>
      </c>
      <c r="J210" s="36">
        <f>SUM(D210:I210)</f>
        <v>0</v>
      </c>
      <c r="M210" s="34"/>
    </row>
    <row r="211" spans="1:13" ht="15.45" x14ac:dyDescent="0.4">
      <c r="A211" s="64">
        <f>A210+1</f>
        <v>19</v>
      </c>
      <c r="B211" s="52" t="s">
        <v>250</v>
      </c>
      <c r="C211" s="80"/>
      <c r="D211" s="218">
        <v>0</v>
      </c>
      <c r="E211" s="218">
        <v>1</v>
      </c>
      <c r="F211" s="218">
        <v>0</v>
      </c>
      <c r="G211" s="218">
        <v>0</v>
      </c>
      <c r="H211" s="218">
        <v>0</v>
      </c>
      <c r="I211" s="218">
        <v>0</v>
      </c>
      <c r="J211" s="51">
        <f>SUM(D211:I211)</f>
        <v>1</v>
      </c>
      <c r="L211" s="21"/>
      <c r="M211" s="34"/>
    </row>
    <row r="212" spans="1:13" ht="15.45" x14ac:dyDescent="0.4">
      <c r="A212" s="64">
        <f>A211+1</f>
        <v>20</v>
      </c>
      <c r="B212" s="52" t="s">
        <v>218</v>
      </c>
      <c r="C212" s="80"/>
      <c r="D212" s="108">
        <f t="shared" ref="D212:J212" si="32">SUM(D209:D211)</f>
        <v>22</v>
      </c>
      <c r="E212" s="108">
        <f t="shared" si="32"/>
        <v>23</v>
      </c>
      <c r="F212" s="108">
        <f t="shared" si="32"/>
        <v>22</v>
      </c>
      <c r="G212" s="108">
        <f t="shared" si="32"/>
        <v>22</v>
      </c>
      <c r="H212" s="108">
        <f t="shared" si="32"/>
        <v>22</v>
      </c>
      <c r="I212" s="108">
        <f t="shared" si="32"/>
        <v>22</v>
      </c>
      <c r="J212" s="36">
        <f t="shared" si="32"/>
        <v>133</v>
      </c>
      <c r="M212" s="34"/>
    </row>
    <row r="213" spans="1:13" ht="15.45" x14ac:dyDescent="0.4">
      <c r="A213" s="64"/>
      <c r="B213" s="35"/>
      <c r="C213" s="110"/>
      <c r="D213" s="36"/>
    </row>
    <row r="214" spans="1:13" ht="15.45" x14ac:dyDescent="0.4">
      <c r="A214" s="64">
        <f>A212+1</f>
        <v>21</v>
      </c>
      <c r="B214" s="35" t="s">
        <v>221</v>
      </c>
      <c r="C214" s="34"/>
      <c r="D214" s="48"/>
      <c r="E214" s="48"/>
      <c r="F214" s="48"/>
      <c r="G214" s="48"/>
      <c r="H214" s="48"/>
      <c r="I214" s="48"/>
      <c r="J214" s="48"/>
      <c r="M214" s="34"/>
    </row>
    <row r="215" spans="1:13" ht="15.45" x14ac:dyDescent="0.4">
      <c r="A215" s="64">
        <f>A214+1</f>
        <v>22</v>
      </c>
      <c r="B215" s="52" t="s">
        <v>249</v>
      </c>
      <c r="C215" s="80"/>
      <c r="D215" s="395">
        <v>40</v>
      </c>
      <c r="E215" s="395">
        <v>40</v>
      </c>
      <c r="F215" s="395">
        <v>40</v>
      </c>
      <c r="G215" s="395">
        <v>40</v>
      </c>
      <c r="H215" s="395">
        <v>40</v>
      </c>
      <c r="I215" s="395">
        <v>40</v>
      </c>
      <c r="J215" s="36">
        <f>SUM(D215:I215)</f>
        <v>240</v>
      </c>
      <c r="L215" s="21"/>
      <c r="M215" s="34"/>
    </row>
    <row r="216" spans="1:13" ht="15.45" x14ac:dyDescent="0.4">
      <c r="A216" s="64">
        <f>A215+1</f>
        <v>23</v>
      </c>
      <c r="B216" s="52" t="s">
        <v>202</v>
      </c>
      <c r="C216" s="80" t="s">
        <v>300</v>
      </c>
      <c r="D216" s="36">
        <f>'D pg 1'!D22</f>
        <v>0</v>
      </c>
      <c r="E216" s="36">
        <f>'D pg 1'!E22</f>
        <v>0</v>
      </c>
      <c r="F216" s="36">
        <f>'D pg 1'!F22</f>
        <v>0</v>
      </c>
      <c r="G216" s="36">
        <f>'D pg 1'!G22</f>
        <v>0</v>
      </c>
      <c r="H216" s="36">
        <f>'D pg 1'!H22</f>
        <v>0</v>
      </c>
      <c r="I216" s="36">
        <f>'D pg 1'!I22</f>
        <v>0</v>
      </c>
      <c r="J216" s="36">
        <f>SUM(D216:I216)</f>
        <v>0</v>
      </c>
      <c r="M216" s="34"/>
    </row>
    <row r="217" spans="1:13" ht="15.45" x14ac:dyDescent="0.4">
      <c r="A217" s="64">
        <f>A216+1</f>
        <v>24</v>
      </c>
      <c r="B217" s="52" t="s">
        <v>250</v>
      </c>
      <c r="C217" s="80"/>
      <c r="D217" s="218">
        <v>0</v>
      </c>
      <c r="E217" s="218">
        <v>0</v>
      </c>
      <c r="F217" s="218">
        <v>0</v>
      </c>
      <c r="G217" s="218">
        <v>0</v>
      </c>
      <c r="H217" s="218">
        <v>0</v>
      </c>
      <c r="I217" s="218">
        <v>0</v>
      </c>
      <c r="J217" s="51">
        <f>SUM(D217:I217)</f>
        <v>0</v>
      </c>
      <c r="L217" s="21"/>
      <c r="M217" s="34"/>
    </row>
    <row r="218" spans="1:13" ht="15.45" x14ac:dyDescent="0.4">
      <c r="A218" s="64">
        <f>A217+1</f>
        <v>25</v>
      </c>
      <c r="B218" s="52" t="s">
        <v>218</v>
      </c>
      <c r="C218" s="80"/>
      <c r="D218" s="108">
        <f t="shared" ref="D218:J218" si="33">SUM(D215:D217)</f>
        <v>40</v>
      </c>
      <c r="E218" s="108">
        <f t="shared" si="33"/>
        <v>40</v>
      </c>
      <c r="F218" s="108">
        <f t="shared" si="33"/>
        <v>40</v>
      </c>
      <c r="G218" s="108">
        <f t="shared" si="33"/>
        <v>40</v>
      </c>
      <c r="H218" s="108">
        <f t="shared" si="33"/>
        <v>40</v>
      </c>
      <c r="I218" s="108">
        <f t="shared" si="33"/>
        <v>40</v>
      </c>
      <c r="J218" s="36">
        <f t="shared" si="33"/>
        <v>240</v>
      </c>
      <c r="M218" s="34"/>
    </row>
    <row r="219" spans="1:13" ht="15.45" x14ac:dyDescent="0.4">
      <c r="A219" s="64"/>
      <c r="B219" s="35"/>
      <c r="C219" s="110"/>
      <c r="D219" s="36"/>
    </row>
    <row r="220" spans="1:13" ht="15.45" x14ac:dyDescent="0.4">
      <c r="A220" s="64">
        <f>A218+1</f>
        <v>26</v>
      </c>
      <c r="B220" s="35" t="s">
        <v>230</v>
      </c>
      <c r="C220" s="34"/>
      <c r="D220" s="48"/>
      <c r="E220" s="48"/>
      <c r="F220" s="48"/>
      <c r="G220" s="48"/>
      <c r="H220" s="48"/>
      <c r="I220" s="48"/>
      <c r="J220" s="48"/>
      <c r="M220" s="34"/>
    </row>
    <row r="221" spans="1:13" ht="15.45" x14ac:dyDescent="0.4">
      <c r="A221" s="64">
        <f>A220+1</f>
        <v>27</v>
      </c>
      <c r="B221" s="52" t="s">
        <v>249</v>
      </c>
      <c r="C221" s="80"/>
      <c r="D221" s="395">
        <v>16</v>
      </c>
      <c r="E221" s="395">
        <v>16</v>
      </c>
      <c r="F221" s="395">
        <v>16</v>
      </c>
      <c r="G221" s="395">
        <v>16</v>
      </c>
      <c r="H221" s="395">
        <v>16</v>
      </c>
      <c r="I221" s="395">
        <v>16</v>
      </c>
      <c r="J221" s="36">
        <f>SUM(D221:I221)</f>
        <v>96</v>
      </c>
      <c r="L221" s="21"/>
      <c r="M221" s="34"/>
    </row>
    <row r="222" spans="1:13" ht="15.45" x14ac:dyDescent="0.4">
      <c r="A222" s="64">
        <f>A221+1</f>
        <v>28</v>
      </c>
      <c r="B222" s="52" t="s">
        <v>202</v>
      </c>
      <c r="C222" s="80" t="s">
        <v>300</v>
      </c>
      <c r="D222" s="402">
        <f>'D pg 1'!D21</f>
        <v>0</v>
      </c>
      <c r="E222" s="402">
        <f>'D pg 1'!E21</f>
        <v>0</v>
      </c>
      <c r="F222" s="402">
        <f>'D pg 1'!F21</f>
        <v>0</v>
      </c>
      <c r="G222" s="402">
        <f>'D pg 1'!G21</f>
        <v>0</v>
      </c>
      <c r="H222" s="402">
        <f>'D pg 1'!H21</f>
        <v>0</v>
      </c>
      <c r="I222" s="402">
        <f>'D pg 1'!I21</f>
        <v>0</v>
      </c>
      <c r="J222" s="36">
        <f>SUM(D222:I222)</f>
        <v>0</v>
      </c>
      <c r="M222" s="34"/>
    </row>
    <row r="223" spans="1:13" ht="15.45" x14ac:dyDescent="0.4">
      <c r="A223" s="64">
        <f>A222+1</f>
        <v>29</v>
      </c>
      <c r="B223" s="52" t="s">
        <v>250</v>
      </c>
      <c r="C223" s="80"/>
      <c r="D223" s="218">
        <v>0</v>
      </c>
      <c r="E223" s="218">
        <v>0</v>
      </c>
      <c r="F223" s="218">
        <v>0</v>
      </c>
      <c r="G223" s="218">
        <v>0</v>
      </c>
      <c r="H223" s="218">
        <v>0</v>
      </c>
      <c r="I223" s="218">
        <v>0</v>
      </c>
      <c r="J223" s="51">
        <f>SUM(D223:I223)</f>
        <v>0</v>
      </c>
      <c r="L223" s="21"/>
      <c r="M223" s="34"/>
    </row>
    <row r="224" spans="1:13" ht="15.45" x14ac:dyDescent="0.4">
      <c r="A224" s="64">
        <f>A223+1</f>
        <v>30</v>
      </c>
      <c r="B224" s="52" t="s">
        <v>218</v>
      </c>
      <c r="C224" s="80"/>
      <c r="D224" s="108">
        <f t="shared" ref="D224:J224" si="34">SUM(D221:D223)</f>
        <v>16</v>
      </c>
      <c r="E224" s="108">
        <f t="shared" si="34"/>
        <v>16</v>
      </c>
      <c r="F224" s="108">
        <f t="shared" si="34"/>
        <v>16</v>
      </c>
      <c r="G224" s="108">
        <f t="shared" si="34"/>
        <v>16</v>
      </c>
      <c r="H224" s="108">
        <f t="shared" si="34"/>
        <v>16</v>
      </c>
      <c r="I224" s="108">
        <f t="shared" si="34"/>
        <v>16</v>
      </c>
      <c r="J224" s="36">
        <f t="shared" si="34"/>
        <v>96</v>
      </c>
      <c r="M224" s="34"/>
    </row>
    <row r="225" spans="1:13" ht="15.45" x14ac:dyDescent="0.4">
      <c r="A225" s="64"/>
      <c r="B225" s="52"/>
      <c r="C225" s="80"/>
      <c r="D225" s="108"/>
      <c r="E225" s="108"/>
      <c r="F225" s="108"/>
      <c r="G225" s="108"/>
      <c r="H225" s="108"/>
      <c r="I225" s="108"/>
      <c r="J225" s="108"/>
      <c r="M225" s="34"/>
    </row>
    <row r="226" spans="1:13" ht="15.45" x14ac:dyDescent="0.4">
      <c r="A226" s="64">
        <f>A224+1</f>
        <v>31</v>
      </c>
      <c r="B226" s="35" t="s">
        <v>220</v>
      </c>
      <c r="C226" s="34"/>
      <c r="D226" s="48"/>
      <c r="E226" s="48"/>
      <c r="F226" s="48"/>
      <c r="G226" s="48"/>
      <c r="H226" s="48"/>
      <c r="I226" s="48"/>
      <c r="J226" s="48"/>
      <c r="M226" s="34"/>
    </row>
    <row r="227" spans="1:13" ht="15.45" x14ac:dyDescent="0.4">
      <c r="A227" s="64">
        <f>A226+1</f>
        <v>32</v>
      </c>
      <c r="B227" s="52" t="s">
        <v>249</v>
      </c>
      <c r="C227" s="80"/>
      <c r="D227" s="395">
        <v>3</v>
      </c>
      <c r="E227" s="395">
        <v>3</v>
      </c>
      <c r="F227" s="395">
        <v>3</v>
      </c>
      <c r="G227" s="395">
        <v>3</v>
      </c>
      <c r="H227" s="395">
        <v>3</v>
      </c>
      <c r="I227" s="395">
        <v>3</v>
      </c>
      <c r="J227" s="36">
        <f>SUM(D227:I227)</f>
        <v>18</v>
      </c>
      <c r="L227" s="21"/>
      <c r="M227" s="34"/>
    </row>
    <row r="228" spans="1:13" ht="15.45" x14ac:dyDescent="0.4">
      <c r="A228" s="64">
        <f>A227+1</f>
        <v>33</v>
      </c>
      <c r="B228" s="52" t="s">
        <v>202</v>
      </c>
      <c r="C228" s="80" t="s">
        <v>300</v>
      </c>
      <c r="D228" s="119">
        <v>0</v>
      </c>
      <c r="E228" s="119">
        <v>0</v>
      </c>
      <c r="F228" s="119">
        <v>0</v>
      </c>
      <c r="G228" s="119">
        <v>0</v>
      </c>
      <c r="H228" s="119">
        <v>0</v>
      </c>
      <c r="I228" s="119">
        <v>0</v>
      </c>
      <c r="J228" s="36">
        <f>SUM(D228:I228)</f>
        <v>0</v>
      </c>
      <c r="M228" s="34"/>
    </row>
    <row r="229" spans="1:13" ht="15.45" x14ac:dyDescent="0.4">
      <c r="A229" s="64">
        <f>A228+1</f>
        <v>34</v>
      </c>
      <c r="B229" s="52" t="s">
        <v>250</v>
      </c>
      <c r="C229" s="80"/>
      <c r="D229" s="218">
        <v>0</v>
      </c>
      <c r="E229" s="218">
        <v>0</v>
      </c>
      <c r="F229" s="218">
        <v>0</v>
      </c>
      <c r="G229" s="218">
        <v>0</v>
      </c>
      <c r="H229" s="218">
        <v>0</v>
      </c>
      <c r="I229" s="218">
        <v>0</v>
      </c>
      <c r="J229" s="51">
        <f>SUM(D229:I229)</f>
        <v>0</v>
      </c>
      <c r="L229" s="21"/>
      <c r="M229" s="34"/>
    </row>
    <row r="230" spans="1:13" ht="15.45" x14ac:dyDescent="0.4">
      <c r="A230" s="64">
        <f>A229+1</f>
        <v>35</v>
      </c>
      <c r="B230" s="52" t="s">
        <v>218</v>
      </c>
      <c r="C230" s="80"/>
      <c r="D230" s="108">
        <f t="shared" ref="D230:J230" si="35">SUM(D227:D229)</f>
        <v>3</v>
      </c>
      <c r="E230" s="108">
        <f t="shared" si="35"/>
        <v>3</v>
      </c>
      <c r="F230" s="108">
        <f t="shared" si="35"/>
        <v>3</v>
      </c>
      <c r="G230" s="108">
        <f t="shared" si="35"/>
        <v>3</v>
      </c>
      <c r="H230" s="108">
        <f t="shared" si="35"/>
        <v>3</v>
      </c>
      <c r="I230" s="108">
        <f t="shared" si="35"/>
        <v>3</v>
      </c>
      <c r="J230" s="36">
        <f t="shared" si="35"/>
        <v>18</v>
      </c>
      <c r="M230" s="34"/>
    </row>
    <row r="231" spans="1:13" ht="15.45" x14ac:dyDescent="0.4">
      <c r="A231" s="64"/>
      <c r="B231" s="52"/>
      <c r="C231" s="80"/>
      <c r="D231" s="108"/>
      <c r="E231" s="108"/>
      <c r="F231" s="108"/>
      <c r="G231" s="108"/>
      <c r="H231" s="108"/>
      <c r="I231" s="108"/>
      <c r="J231" s="36"/>
      <c r="M231" s="34"/>
    </row>
    <row r="232" spans="1:13" ht="15.45" x14ac:dyDescent="0.4">
      <c r="A232" s="64">
        <f>A230+1</f>
        <v>36</v>
      </c>
      <c r="B232" s="35" t="s">
        <v>231</v>
      </c>
      <c r="C232" s="34"/>
      <c r="D232" s="48"/>
      <c r="E232" s="48"/>
      <c r="F232" s="48"/>
      <c r="G232" s="48"/>
      <c r="H232" s="48"/>
      <c r="I232" s="48"/>
      <c r="J232" s="48"/>
      <c r="M232" s="34"/>
    </row>
    <row r="233" spans="1:13" ht="15.45" x14ac:dyDescent="0.4">
      <c r="A233" s="64">
        <f>A232+1</f>
        <v>37</v>
      </c>
      <c r="B233" s="52" t="s">
        <v>249</v>
      </c>
      <c r="C233" s="80"/>
      <c r="D233" s="395">
        <v>3</v>
      </c>
      <c r="E233" s="395">
        <v>3</v>
      </c>
      <c r="F233" s="395">
        <v>3</v>
      </c>
      <c r="G233" s="395">
        <v>3</v>
      </c>
      <c r="H233" s="395">
        <v>3</v>
      </c>
      <c r="I233" s="395">
        <v>3</v>
      </c>
      <c r="J233" s="36">
        <f>SUM(D233:I233)</f>
        <v>18</v>
      </c>
      <c r="L233" s="21"/>
      <c r="M233" s="34"/>
    </row>
    <row r="234" spans="1:13" ht="15.45" x14ac:dyDescent="0.4">
      <c r="A234" s="64">
        <f t="shared" ref="A234:A236" si="36">A233+1</f>
        <v>38</v>
      </c>
      <c r="B234" s="52" t="s">
        <v>202</v>
      </c>
      <c r="C234" s="80" t="s">
        <v>300</v>
      </c>
      <c r="D234" s="119">
        <v>0</v>
      </c>
      <c r="E234" s="119">
        <v>0</v>
      </c>
      <c r="F234" s="119">
        <v>0</v>
      </c>
      <c r="G234" s="119">
        <v>0</v>
      </c>
      <c r="H234" s="119">
        <v>0</v>
      </c>
      <c r="I234" s="119">
        <v>0</v>
      </c>
      <c r="J234" s="36">
        <f>SUM(D234:I234)</f>
        <v>0</v>
      </c>
      <c r="M234" s="34"/>
    </row>
    <row r="235" spans="1:13" ht="15.45" x14ac:dyDescent="0.4">
      <c r="A235" s="64">
        <f t="shared" si="36"/>
        <v>39</v>
      </c>
      <c r="B235" s="52" t="s">
        <v>250</v>
      </c>
      <c r="C235" s="80"/>
      <c r="D235" s="218">
        <v>0</v>
      </c>
      <c r="E235" s="218">
        <v>0</v>
      </c>
      <c r="F235" s="218">
        <v>0</v>
      </c>
      <c r="G235" s="218">
        <v>0</v>
      </c>
      <c r="H235" s="218">
        <v>0</v>
      </c>
      <c r="I235" s="218">
        <v>0</v>
      </c>
      <c r="J235" s="51">
        <f>SUM(D235:I235)</f>
        <v>0</v>
      </c>
      <c r="L235" s="21"/>
      <c r="M235" s="34"/>
    </row>
    <row r="236" spans="1:13" ht="15.45" x14ac:dyDescent="0.4">
      <c r="A236" s="64">
        <f t="shared" si="36"/>
        <v>40</v>
      </c>
      <c r="B236" s="52" t="s">
        <v>218</v>
      </c>
      <c r="C236" s="80"/>
      <c r="D236" s="108">
        <f t="shared" ref="D236:J236" si="37">SUM(D233:D235)</f>
        <v>3</v>
      </c>
      <c r="E236" s="108">
        <f t="shared" si="37"/>
        <v>3</v>
      </c>
      <c r="F236" s="108">
        <f t="shared" si="37"/>
        <v>3</v>
      </c>
      <c r="G236" s="108">
        <f t="shared" si="37"/>
        <v>3</v>
      </c>
      <c r="H236" s="108">
        <f t="shared" si="37"/>
        <v>3</v>
      </c>
      <c r="I236" s="108">
        <f t="shared" si="37"/>
        <v>3</v>
      </c>
      <c r="J236" s="36">
        <f t="shared" si="37"/>
        <v>18</v>
      </c>
      <c r="M236" s="34"/>
    </row>
    <row r="237" spans="1:13" ht="15.45" x14ac:dyDescent="0.4">
      <c r="A237" s="64"/>
      <c r="B237" s="52"/>
      <c r="C237" s="80"/>
      <c r="D237" s="108"/>
      <c r="E237" s="108"/>
      <c r="F237" s="108"/>
      <c r="G237" s="108"/>
      <c r="H237" s="108"/>
      <c r="I237" s="108"/>
      <c r="J237" s="36"/>
      <c r="M237" s="34"/>
    </row>
    <row r="238" spans="1:13" ht="15.45" x14ac:dyDescent="0.4">
      <c r="A238" s="64"/>
      <c r="B238" s="52"/>
      <c r="C238" s="80"/>
      <c r="D238" s="108"/>
      <c r="E238" s="108"/>
      <c r="F238" s="108"/>
      <c r="G238" s="108"/>
      <c r="H238" s="108"/>
      <c r="I238" s="108"/>
      <c r="J238" s="36"/>
      <c r="M238" s="34"/>
    </row>
    <row r="239" spans="1:13" ht="15.45" x14ac:dyDescent="0.4">
      <c r="A239" s="64"/>
      <c r="B239" s="52"/>
      <c r="C239" s="80"/>
      <c r="D239" s="108"/>
      <c r="E239" s="108"/>
      <c r="F239" s="108"/>
      <c r="G239" s="108"/>
      <c r="H239" s="108"/>
      <c r="I239" s="108"/>
      <c r="J239" s="36"/>
      <c r="M239" s="34"/>
    </row>
    <row r="240" spans="1:13" ht="15.45" x14ac:dyDescent="0.4">
      <c r="A240" s="64"/>
      <c r="B240" s="52"/>
      <c r="C240" s="80"/>
      <c r="D240" s="108"/>
      <c r="E240" s="108"/>
      <c r="F240" s="108"/>
      <c r="G240" s="108"/>
      <c r="H240" s="108"/>
      <c r="I240" s="108"/>
      <c r="J240" s="36"/>
      <c r="M240" s="34"/>
    </row>
    <row r="241" spans="1:19" ht="15.45" x14ac:dyDescent="0.4">
      <c r="A241" s="64"/>
      <c r="B241" s="52"/>
      <c r="C241" s="80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9"/>
      <c r="S241" s="34"/>
    </row>
    <row r="242" spans="1:19" ht="15.45" x14ac:dyDescent="0.4">
      <c r="A242" s="64"/>
      <c r="B242" s="35"/>
      <c r="C242" s="110"/>
      <c r="D242" s="36"/>
      <c r="E242" s="36"/>
      <c r="F242" s="36"/>
      <c r="G242" s="36"/>
      <c r="H242" s="36"/>
      <c r="I242" s="36"/>
      <c r="J242" s="36"/>
    </row>
    <row r="243" spans="1:19" ht="15.45" x14ac:dyDescent="0.4">
      <c r="A243" s="472" t="s">
        <v>41</v>
      </c>
      <c r="B243" s="472"/>
      <c r="C243" s="472"/>
      <c r="D243" s="472"/>
      <c r="E243" s="472"/>
      <c r="F243" s="472"/>
      <c r="G243" s="472"/>
      <c r="H243" s="472"/>
      <c r="I243" s="472"/>
      <c r="J243" s="472"/>
      <c r="K243" s="35"/>
      <c r="L243" s="35"/>
      <c r="M243" s="35"/>
      <c r="N243" s="35"/>
      <c r="O243" s="35"/>
      <c r="P243" s="35"/>
    </row>
    <row r="244" spans="1:19" ht="15.45" x14ac:dyDescent="0.4">
      <c r="A244" s="472" t="s">
        <v>155</v>
      </c>
      <c r="B244" s="472"/>
      <c r="C244" s="472"/>
      <c r="D244" s="472"/>
      <c r="E244" s="472"/>
      <c r="F244" s="472"/>
      <c r="G244" s="472"/>
      <c r="H244" s="472"/>
      <c r="I244" s="472"/>
      <c r="J244" s="472"/>
      <c r="K244" s="35"/>
      <c r="L244" s="35"/>
      <c r="M244" s="35"/>
      <c r="N244" s="35"/>
      <c r="O244" s="35"/>
      <c r="P244" s="35"/>
    </row>
    <row r="245" spans="1:19" ht="15.45" x14ac:dyDescent="0.4">
      <c r="A245" s="472" t="str">
        <f>TYDESC</f>
        <v>For the 6 Months Ended August 31, 2024</v>
      </c>
      <c r="B245" s="472"/>
      <c r="C245" s="472"/>
      <c r="D245" s="472"/>
      <c r="E245" s="472"/>
      <c r="F245" s="472"/>
      <c r="G245" s="472"/>
      <c r="H245" s="472"/>
      <c r="I245" s="472"/>
      <c r="J245" s="472"/>
      <c r="K245" s="35"/>
      <c r="L245" s="35"/>
      <c r="M245" s="35"/>
      <c r="N245" s="35"/>
      <c r="O245" s="35"/>
      <c r="P245" s="35"/>
    </row>
    <row r="246" spans="1:19" ht="15.45" x14ac:dyDescent="0.4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5"/>
      <c r="L246" s="35"/>
      <c r="M246" s="35"/>
      <c r="N246" s="35"/>
      <c r="O246" s="35"/>
      <c r="P246" s="35"/>
    </row>
    <row r="248" spans="1:19" ht="15.45" x14ac:dyDescent="0.4">
      <c r="A248" s="75" t="s">
        <v>180</v>
      </c>
      <c r="C248" s="32"/>
      <c r="D248" s="32"/>
      <c r="E248" s="32"/>
      <c r="F248" s="32"/>
    </row>
    <row r="249" spans="1:19" ht="15.45" x14ac:dyDescent="0.4">
      <c r="A249" s="75" t="s">
        <v>181</v>
      </c>
      <c r="C249" s="32"/>
      <c r="D249" s="32"/>
      <c r="E249" s="32"/>
      <c r="F249" s="32"/>
    </row>
    <row r="250" spans="1:19" ht="15.45" x14ac:dyDescent="0.4">
      <c r="A250" s="75" t="s">
        <v>64</v>
      </c>
      <c r="C250" s="32"/>
      <c r="D250" s="32"/>
      <c r="E250" s="32"/>
      <c r="F250" s="32"/>
      <c r="J250" s="71" t="str">
        <f>$J$8</f>
        <v>Workpaper WPM-B.1</v>
      </c>
    </row>
    <row r="251" spans="1:19" ht="15.45" x14ac:dyDescent="0.4">
      <c r="A251" s="102" t="str">
        <f>$A$9</f>
        <v>6 Mos Forecasted</v>
      </c>
      <c r="B251" s="32"/>
      <c r="C251" s="32"/>
      <c r="D251" s="33"/>
      <c r="E251" s="32"/>
      <c r="F251" s="41"/>
      <c r="G251" s="42"/>
      <c r="H251" s="41"/>
      <c r="I251" s="30"/>
      <c r="J251" s="72" t="s">
        <v>314</v>
      </c>
      <c r="K251" s="41"/>
      <c r="L251" s="41"/>
      <c r="M251" s="41"/>
      <c r="N251" s="41"/>
      <c r="O251" s="41"/>
      <c r="Q251" s="32"/>
      <c r="R251" s="32"/>
    </row>
    <row r="252" spans="1:19" ht="15.45" x14ac:dyDescent="0.4">
      <c r="A252" s="102"/>
      <c r="B252" s="32"/>
      <c r="C252" s="32"/>
      <c r="D252" s="33"/>
      <c r="E252" s="32"/>
      <c r="F252" s="41"/>
      <c r="G252" s="42"/>
      <c r="H252" s="41"/>
      <c r="I252" s="30"/>
      <c r="J252" s="72"/>
      <c r="K252" s="41"/>
      <c r="L252" s="41"/>
      <c r="M252" s="41"/>
      <c r="N252" s="41"/>
      <c r="O252" s="41"/>
      <c r="Q252" s="32"/>
      <c r="R252" s="32"/>
    </row>
    <row r="253" spans="1:19" ht="15.45" x14ac:dyDescent="0.4">
      <c r="A253" s="64"/>
      <c r="B253" s="52"/>
      <c r="C253" s="80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9"/>
      <c r="S253" s="34"/>
    </row>
    <row r="254" spans="1:19" ht="15.45" x14ac:dyDescent="0.4">
      <c r="A254" s="32" t="s">
        <v>11</v>
      </c>
      <c r="B254" s="32"/>
      <c r="C254" s="32"/>
      <c r="D254" s="33"/>
      <c r="E254" s="32"/>
      <c r="F254" s="41"/>
      <c r="G254" s="42"/>
      <c r="H254" s="41"/>
      <c r="I254" s="30"/>
      <c r="J254" s="41"/>
      <c r="K254" s="41"/>
      <c r="L254" s="41"/>
      <c r="M254" s="41"/>
      <c r="N254" s="41"/>
      <c r="O254" s="41"/>
      <c r="P254" s="41"/>
      <c r="Q254" s="34"/>
      <c r="R254" s="34"/>
    </row>
    <row r="255" spans="1:19" ht="15.45" x14ac:dyDescent="0.4">
      <c r="A255" s="43" t="s">
        <v>13</v>
      </c>
      <c r="B255" s="43" t="s">
        <v>14</v>
      </c>
      <c r="C255" s="43" t="s">
        <v>152</v>
      </c>
      <c r="D255" s="45" t="str">
        <f>$D$13</f>
        <v>Mar-24</v>
      </c>
      <c r="E255" s="45" t="str">
        <f>$E$13</f>
        <v>Apr-24</v>
      </c>
      <c r="F255" s="45" t="str">
        <f>$F$13</f>
        <v>May-24</v>
      </c>
      <c r="G255" s="45" t="str">
        <f>$G$13</f>
        <v>Jun-24</v>
      </c>
      <c r="H255" s="45" t="str">
        <f>$H$13</f>
        <v>Jul-24</v>
      </c>
      <c r="I255" s="45" t="str">
        <f>$I$13</f>
        <v>Aug-24</v>
      </c>
      <c r="J255" s="45" t="s">
        <v>15</v>
      </c>
      <c r="M255" s="46"/>
    </row>
    <row r="256" spans="1:19" ht="15.45" x14ac:dyDescent="0.4">
      <c r="A256" s="32"/>
      <c r="B256" s="34" t="s">
        <v>49</v>
      </c>
      <c r="C256" s="34" t="s">
        <v>50</v>
      </c>
      <c r="D256" s="120" t="s">
        <v>56</v>
      </c>
      <c r="E256" s="48" t="s">
        <v>57</v>
      </c>
      <c r="F256" s="48" t="s">
        <v>58</v>
      </c>
      <c r="G256" s="48" t="s">
        <v>59</v>
      </c>
      <c r="H256" s="48" t="s">
        <v>60</v>
      </c>
      <c r="I256" s="48" t="s">
        <v>61</v>
      </c>
      <c r="J256" s="48" t="s">
        <v>62</v>
      </c>
      <c r="M256" s="34"/>
    </row>
    <row r="257" spans="1:13" ht="15.45" x14ac:dyDescent="0.4">
      <c r="A257" s="32"/>
      <c r="B257" s="34"/>
      <c r="C257" s="34"/>
      <c r="D257" s="48"/>
      <c r="E257" s="48"/>
      <c r="F257" s="48"/>
      <c r="G257" s="48"/>
      <c r="H257" s="48"/>
      <c r="I257" s="48"/>
      <c r="J257" s="48"/>
      <c r="M257" s="34"/>
    </row>
    <row r="258" spans="1:13" ht="15.45" x14ac:dyDescent="0.4">
      <c r="A258" s="64">
        <v>1</v>
      </c>
      <c r="B258" s="35" t="s">
        <v>232</v>
      </c>
      <c r="C258" s="34"/>
      <c r="D258" s="48"/>
      <c r="E258" s="48"/>
      <c r="F258" s="48"/>
      <c r="G258" s="48"/>
      <c r="H258" s="48"/>
      <c r="I258" s="48"/>
      <c r="J258" s="48"/>
      <c r="M258" s="34"/>
    </row>
    <row r="259" spans="1:13" ht="15.45" x14ac:dyDescent="0.4">
      <c r="A259" s="64">
        <f>A258+1</f>
        <v>2</v>
      </c>
      <c r="B259" s="52" t="s">
        <v>249</v>
      </c>
      <c r="C259" s="80"/>
      <c r="D259" s="119">
        <v>0</v>
      </c>
      <c r="E259" s="119">
        <v>0</v>
      </c>
      <c r="F259" s="119">
        <v>0</v>
      </c>
      <c r="G259" s="119">
        <v>0</v>
      </c>
      <c r="H259" s="119">
        <v>0</v>
      </c>
      <c r="I259" s="119">
        <v>0</v>
      </c>
      <c r="J259" s="36">
        <f>SUM(D259:I259)</f>
        <v>0</v>
      </c>
      <c r="M259" s="34"/>
    </row>
    <row r="260" spans="1:13" ht="15.45" x14ac:dyDescent="0.4">
      <c r="A260" s="64">
        <f>A259+1</f>
        <v>3</v>
      </c>
      <c r="B260" s="52" t="s">
        <v>202</v>
      </c>
      <c r="C260" s="80" t="s">
        <v>300</v>
      </c>
      <c r="D260" s="119">
        <v>0</v>
      </c>
      <c r="E260" s="119">
        <v>0</v>
      </c>
      <c r="F260" s="119">
        <v>0</v>
      </c>
      <c r="G260" s="119">
        <v>0</v>
      </c>
      <c r="H260" s="119">
        <v>0</v>
      </c>
      <c r="I260" s="119">
        <v>0</v>
      </c>
      <c r="J260" s="36">
        <f>SUM(D260:I260)</f>
        <v>0</v>
      </c>
      <c r="M260" s="34"/>
    </row>
    <row r="261" spans="1:13" ht="15.45" x14ac:dyDescent="0.4">
      <c r="A261" s="64">
        <f>A260+1</f>
        <v>4</v>
      </c>
      <c r="B261" s="52" t="s">
        <v>250</v>
      </c>
      <c r="C261" s="80"/>
      <c r="D261" s="218">
        <v>0</v>
      </c>
      <c r="E261" s="218">
        <v>0</v>
      </c>
      <c r="F261" s="218">
        <v>0</v>
      </c>
      <c r="G261" s="218">
        <v>0</v>
      </c>
      <c r="H261" s="218">
        <v>0</v>
      </c>
      <c r="I261" s="218">
        <v>0</v>
      </c>
      <c r="J261" s="51">
        <f>SUM(D261:I261)</f>
        <v>0</v>
      </c>
      <c r="M261" s="34"/>
    </row>
    <row r="262" spans="1:13" ht="15.45" x14ac:dyDescent="0.4">
      <c r="A262" s="64">
        <f>A261+1</f>
        <v>5</v>
      </c>
      <c r="B262" s="52" t="s">
        <v>218</v>
      </c>
      <c r="C262" s="80"/>
      <c r="D262" s="36">
        <f t="shared" ref="D262:J262" si="38">SUM(D259:D261)</f>
        <v>0</v>
      </c>
      <c r="E262" s="36">
        <f t="shared" si="38"/>
        <v>0</v>
      </c>
      <c r="F262" s="36">
        <f t="shared" si="38"/>
        <v>0</v>
      </c>
      <c r="G262" s="36">
        <f t="shared" si="38"/>
        <v>0</v>
      </c>
      <c r="H262" s="36">
        <f t="shared" si="38"/>
        <v>0</v>
      </c>
      <c r="I262" s="36">
        <f t="shared" si="38"/>
        <v>0</v>
      </c>
      <c r="J262" s="36">
        <f t="shared" si="38"/>
        <v>0</v>
      </c>
      <c r="M262" s="34"/>
    </row>
    <row r="263" spans="1:13" ht="15.45" x14ac:dyDescent="0.4">
      <c r="A263" s="64"/>
      <c r="B263" s="52"/>
      <c r="C263" s="80"/>
      <c r="D263" s="108"/>
      <c r="E263" s="108"/>
      <c r="F263" s="108"/>
      <c r="G263" s="108"/>
      <c r="H263" s="108"/>
      <c r="I263" s="108"/>
      <c r="J263" s="109"/>
      <c r="M263" s="34"/>
    </row>
    <row r="264" spans="1:13" ht="15.45" x14ac:dyDescent="0.4">
      <c r="A264" s="64">
        <f>A262+1</f>
        <v>6</v>
      </c>
      <c r="B264" s="35" t="s">
        <v>233</v>
      </c>
      <c r="C264" s="34"/>
      <c r="D264" s="48"/>
      <c r="E264" s="48"/>
      <c r="F264" s="48"/>
      <c r="G264" s="48"/>
      <c r="H264" s="48"/>
      <c r="I264" s="48"/>
      <c r="J264" s="48"/>
      <c r="M264" s="34"/>
    </row>
    <row r="265" spans="1:13" ht="15.45" x14ac:dyDescent="0.4">
      <c r="A265" s="64">
        <f>A264+1</f>
        <v>7</v>
      </c>
      <c r="B265" s="52" t="s">
        <v>249</v>
      </c>
      <c r="C265" s="80"/>
      <c r="D265" s="119">
        <v>0</v>
      </c>
      <c r="E265" s="119">
        <v>0</v>
      </c>
      <c r="F265" s="119">
        <v>0</v>
      </c>
      <c r="G265" s="119">
        <v>0</v>
      </c>
      <c r="H265" s="119">
        <v>0</v>
      </c>
      <c r="I265" s="119">
        <v>0</v>
      </c>
      <c r="J265" s="36">
        <f>SUM(D265:I265)</f>
        <v>0</v>
      </c>
      <c r="M265" s="34"/>
    </row>
    <row r="266" spans="1:13" ht="15.45" x14ac:dyDescent="0.4">
      <c r="A266" s="64">
        <f>A265+1</f>
        <v>8</v>
      </c>
      <c r="B266" s="52" t="s">
        <v>202</v>
      </c>
      <c r="C266" s="80" t="s">
        <v>300</v>
      </c>
      <c r="D266" s="119">
        <v>0</v>
      </c>
      <c r="E266" s="119">
        <v>0</v>
      </c>
      <c r="F266" s="119">
        <v>0</v>
      </c>
      <c r="G266" s="119">
        <v>0</v>
      </c>
      <c r="H266" s="119">
        <v>0</v>
      </c>
      <c r="I266" s="119">
        <v>0</v>
      </c>
      <c r="J266" s="36">
        <f>SUM(D266:I266)</f>
        <v>0</v>
      </c>
      <c r="M266" s="34"/>
    </row>
    <row r="267" spans="1:13" ht="15.45" x14ac:dyDescent="0.4">
      <c r="A267" s="64">
        <f>A266+1</f>
        <v>9</v>
      </c>
      <c r="B267" s="52" t="s">
        <v>250</v>
      </c>
      <c r="C267" s="80"/>
      <c r="D267" s="218">
        <v>0</v>
      </c>
      <c r="E267" s="218">
        <v>0</v>
      </c>
      <c r="F267" s="218">
        <v>0</v>
      </c>
      <c r="G267" s="218">
        <v>0</v>
      </c>
      <c r="H267" s="218">
        <v>0</v>
      </c>
      <c r="I267" s="218">
        <v>0</v>
      </c>
      <c r="J267" s="51">
        <f>SUM(D267:I267)</f>
        <v>0</v>
      </c>
      <c r="M267" s="34"/>
    </row>
    <row r="268" spans="1:13" ht="15.45" x14ac:dyDescent="0.4">
      <c r="A268" s="64">
        <f>A267+1</f>
        <v>10</v>
      </c>
      <c r="B268" s="52" t="s">
        <v>218</v>
      </c>
      <c r="C268" s="80"/>
      <c r="D268" s="36">
        <f t="shared" ref="D268:J268" si="39">SUM(D265:D267)</f>
        <v>0</v>
      </c>
      <c r="E268" s="36">
        <f t="shared" si="39"/>
        <v>0</v>
      </c>
      <c r="F268" s="36">
        <f t="shared" si="39"/>
        <v>0</v>
      </c>
      <c r="G268" s="36">
        <f t="shared" si="39"/>
        <v>0</v>
      </c>
      <c r="H268" s="36">
        <f t="shared" si="39"/>
        <v>0</v>
      </c>
      <c r="I268" s="36">
        <f t="shared" si="39"/>
        <v>0</v>
      </c>
      <c r="J268" s="36">
        <f t="shared" si="39"/>
        <v>0</v>
      </c>
      <c r="M268" s="34"/>
    </row>
    <row r="269" spans="1:13" ht="15.45" x14ac:dyDescent="0.4">
      <c r="A269" s="64"/>
      <c r="B269" s="52"/>
      <c r="C269" s="80"/>
      <c r="D269" s="108"/>
      <c r="E269" s="108"/>
      <c r="F269" s="108"/>
      <c r="G269" s="108"/>
      <c r="H269" s="108"/>
      <c r="I269" s="108"/>
      <c r="J269" s="109"/>
      <c r="M269" s="34"/>
    </row>
    <row r="270" spans="1:13" ht="15.45" x14ac:dyDescent="0.4">
      <c r="A270" s="64">
        <f>A268+1</f>
        <v>11</v>
      </c>
      <c r="B270" s="35" t="s">
        <v>234</v>
      </c>
      <c r="C270" s="34"/>
      <c r="D270" s="48"/>
      <c r="E270" s="48"/>
      <c r="F270" s="48"/>
      <c r="G270" s="48"/>
      <c r="H270" s="48"/>
      <c r="I270" s="48"/>
      <c r="J270" s="48"/>
      <c r="M270" s="34"/>
    </row>
    <row r="271" spans="1:13" ht="15.45" x14ac:dyDescent="0.4">
      <c r="A271" s="64">
        <f>A270+1</f>
        <v>12</v>
      </c>
      <c r="B271" s="52" t="s">
        <v>249</v>
      </c>
      <c r="C271" s="80"/>
      <c r="D271" s="395">
        <v>3</v>
      </c>
      <c r="E271" s="395">
        <v>3</v>
      </c>
      <c r="F271" s="395">
        <v>3</v>
      </c>
      <c r="G271" s="395">
        <v>3</v>
      </c>
      <c r="H271" s="395">
        <v>3</v>
      </c>
      <c r="I271" s="395">
        <v>3</v>
      </c>
      <c r="J271" s="36">
        <f>SUM(D271:I271)</f>
        <v>18</v>
      </c>
      <c r="L271" s="21"/>
      <c r="M271" s="34"/>
    </row>
    <row r="272" spans="1:13" ht="15.45" x14ac:dyDescent="0.4">
      <c r="A272" s="64">
        <f>A271+1</f>
        <v>13</v>
      </c>
      <c r="B272" s="52" t="s">
        <v>202</v>
      </c>
      <c r="C272" s="80" t="s">
        <v>300</v>
      </c>
      <c r="D272" s="119">
        <v>0</v>
      </c>
      <c r="E272" s="119">
        <v>0</v>
      </c>
      <c r="F272" s="119">
        <v>0</v>
      </c>
      <c r="G272" s="119">
        <v>0</v>
      </c>
      <c r="H272" s="119">
        <v>0</v>
      </c>
      <c r="I272" s="119">
        <v>0</v>
      </c>
      <c r="J272" s="36">
        <f>SUM(D272:I272)</f>
        <v>0</v>
      </c>
      <c r="M272" s="34"/>
    </row>
    <row r="273" spans="1:13" ht="15.45" x14ac:dyDescent="0.4">
      <c r="A273" s="64">
        <f>A272+1</f>
        <v>14</v>
      </c>
      <c r="B273" s="52" t="s">
        <v>250</v>
      </c>
      <c r="C273" s="80"/>
      <c r="D273" s="218">
        <v>0</v>
      </c>
      <c r="E273" s="218">
        <v>0</v>
      </c>
      <c r="F273" s="218">
        <v>0</v>
      </c>
      <c r="G273" s="218">
        <v>0</v>
      </c>
      <c r="H273" s="218">
        <v>0</v>
      </c>
      <c r="I273" s="218">
        <v>0</v>
      </c>
      <c r="J273" s="51">
        <f>SUM(D273:I273)</f>
        <v>0</v>
      </c>
      <c r="L273" s="21"/>
      <c r="M273" s="34"/>
    </row>
    <row r="274" spans="1:13" ht="15.45" x14ac:dyDescent="0.4">
      <c r="A274" s="64">
        <f>A273+1</f>
        <v>15</v>
      </c>
      <c r="B274" s="52" t="s">
        <v>218</v>
      </c>
      <c r="C274" s="80"/>
      <c r="D274" s="108">
        <f t="shared" ref="D274:J274" si="40">SUM(D271:D273)</f>
        <v>3</v>
      </c>
      <c r="E274" s="108">
        <f t="shared" si="40"/>
        <v>3</v>
      </c>
      <c r="F274" s="108">
        <f t="shared" si="40"/>
        <v>3</v>
      </c>
      <c r="G274" s="108">
        <f t="shared" si="40"/>
        <v>3</v>
      </c>
      <c r="H274" s="108">
        <f t="shared" si="40"/>
        <v>3</v>
      </c>
      <c r="I274" s="108">
        <f t="shared" si="40"/>
        <v>3</v>
      </c>
      <c r="J274" s="36">
        <f t="shared" si="40"/>
        <v>18</v>
      </c>
      <c r="M274" s="34"/>
    </row>
    <row r="275" spans="1:13" ht="15.45" x14ac:dyDescent="0.4">
      <c r="A275" s="64"/>
      <c r="B275" s="52"/>
      <c r="C275" s="80"/>
      <c r="D275" s="108"/>
      <c r="E275" s="108"/>
      <c r="F275" s="108"/>
      <c r="G275" s="108"/>
      <c r="H275" s="108"/>
      <c r="I275" s="108"/>
      <c r="J275" s="109"/>
      <c r="M275" s="34"/>
    </row>
    <row r="276" spans="1:13" ht="15.45" x14ac:dyDescent="0.4">
      <c r="A276" s="64">
        <f>A274+1</f>
        <v>16</v>
      </c>
      <c r="B276" s="35" t="s">
        <v>235</v>
      </c>
      <c r="C276" s="34"/>
      <c r="D276" s="48"/>
      <c r="E276" s="48"/>
      <c r="F276" s="48"/>
      <c r="G276" s="48"/>
      <c r="H276" s="48"/>
      <c r="I276" s="48"/>
      <c r="J276" s="48"/>
      <c r="M276" s="34"/>
    </row>
    <row r="277" spans="1:13" ht="15.45" x14ac:dyDescent="0.4">
      <c r="A277" s="64">
        <f>A276+1</f>
        <v>17</v>
      </c>
      <c r="B277" s="52" t="s">
        <v>249</v>
      </c>
      <c r="C277" s="80"/>
      <c r="D277" s="119">
        <v>0</v>
      </c>
      <c r="E277" s="119">
        <v>0</v>
      </c>
      <c r="F277" s="119">
        <v>0</v>
      </c>
      <c r="G277" s="119">
        <v>0</v>
      </c>
      <c r="H277" s="119">
        <v>0</v>
      </c>
      <c r="I277" s="119">
        <v>0</v>
      </c>
      <c r="J277" s="36">
        <f>SUM(D277:I277)</f>
        <v>0</v>
      </c>
      <c r="M277" s="34"/>
    </row>
    <row r="278" spans="1:13" ht="15.45" x14ac:dyDescent="0.4">
      <c r="A278" s="64">
        <f>A277+1</f>
        <v>18</v>
      </c>
      <c r="B278" s="52" t="s">
        <v>202</v>
      </c>
      <c r="C278" s="80" t="s">
        <v>300</v>
      </c>
      <c r="D278" s="119">
        <v>0</v>
      </c>
      <c r="E278" s="119">
        <v>0</v>
      </c>
      <c r="F278" s="119">
        <v>0</v>
      </c>
      <c r="G278" s="119">
        <v>0</v>
      </c>
      <c r="H278" s="119">
        <v>0</v>
      </c>
      <c r="I278" s="119">
        <v>0</v>
      </c>
      <c r="J278" s="36">
        <f>SUM(D278:I278)</f>
        <v>0</v>
      </c>
      <c r="M278" s="34"/>
    </row>
    <row r="279" spans="1:13" ht="15.45" x14ac:dyDescent="0.4">
      <c r="A279" s="64">
        <f>A278+1</f>
        <v>19</v>
      </c>
      <c r="B279" s="52" t="s">
        <v>250</v>
      </c>
      <c r="C279" s="80"/>
      <c r="D279" s="218">
        <v>0</v>
      </c>
      <c r="E279" s="218">
        <v>0</v>
      </c>
      <c r="F279" s="218">
        <v>0</v>
      </c>
      <c r="G279" s="218">
        <v>0</v>
      </c>
      <c r="H279" s="218">
        <v>0</v>
      </c>
      <c r="I279" s="218">
        <v>0</v>
      </c>
      <c r="J279" s="51">
        <f>SUM(D279:I279)</f>
        <v>0</v>
      </c>
      <c r="M279" s="34"/>
    </row>
    <row r="280" spans="1:13" ht="15.45" x14ac:dyDescent="0.4">
      <c r="A280" s="64">
        <f>A279+1</f>
        <v>20</v>
      </c>
      <c r="B280" s="52" t="s">
        <v>218</v>
      </c>
      <c r="C280" s="80"/>
      <c r="D280" s="36">
        <f t="shared" ref="D280:J280" si="41">SUM(D277:D279)</f>
        <v>0</v>
      </c>
      <c r="E280" s="36">
        <f t="shared" si="41"/>
        <v>0</v>
      </c>
      <c r="F280" s="36">
        <f t="shared" si="41"/>
        <v>0</v>
      </c>
      <c r="G280" s="36">
        <f t="shared" si="41"/>
        <v>0</v>
      </c>
      <c r="H280" s="36">
        <f t="shared" si="41"/>
        <v>0</v>
      </c>
      <c r="I280" s="36">
        <f t="shared" si="41"/>
        <v>0</v>
      </c>
      <c r="J280" s="36">
        <f t="shared" si="41"/>
        <v>0</v>
      </c>
      <c r="M280" s="34"/>
    </row>
    <row r="281" spans="1:13" ht="15.45" x14ac:dyDescent="0.4">
      <c r="A281" s="64"/>
      <c r="B281" s="52"/>
      <c r="C281" s="80"/>
      <c r="D281" s="108"/>
      <c r="E281" s="108"/>
      <c r="F281" s="108"/>
      <c r="G281" s="108"/>
      <c r="H281" s="108"/>
      <c r="I281" s="108"/>
      <c r="J281" s="109"/>
      <c r="M281" s="34"/>
    </row>
    <row r="282" spans="1:13" ht="15.45" x14ac:dyDescent="0.4">
      <c r="A282" s="64">
        <f>A280+1</f>
        <v>21</v>
      </c>
      <c r="B282" s="35" t="s">
        <v>238</v>
      </c>
      <c r="C282" s="34"/>
      <c r="D282" s="48"/>
      <c r="E282" s="48"/>
      <c r="F282" s="48"/>
      <c r="G282" s="48"/>
      <c r="H282" s="48"/>
      <c r="I282" s="48"/>
      <c r="J282" s="48"/>
      <c r="M282" s="34"/>
    </row>
    <row r="283" spans="1:13" ht="15.45" x14ac:dyDescent="0.4">
      <c r="A283" s="64">
        <f>A282+1</f>
        <v>22</v>
      </c>
      <c r="B283" s="52" t="s">
        <v>249</v>
      </c>
      <c r="C283" s="80"/>
      <c r="D283" s="119">
        <v>0</v>
      </c>
      <c r="E283" s="119">
        <v>0</v>
      </c>
      <c r="F283" s="119">
        <v>0</v>
      </c>
      <c r="G283" s="119">
        <v>0</v>
      </c>
      <c r="H283" s="119">
        <v>0</v>
      </c>
      <c r="I283" s="119">
        <v>0</v>
      </c>
      <c r="J283" s="36">
        <f>SUM(D283:I283)</f>
        <v>0</v>
      </c>
      <c r="M283" s="34"/>
    </row>
    <row r="284" spans="1:13" ht="15.45" x14ac:dyDescent="0.4">
      <c r="A284" s="64">
        <f>A283+1</f>
        <v>23</v>
      </c>
      <c r="B284" s="52" t="s">
        <v>202</v>
      </c>
      <c r="C284" s="80" t="s">
        <v>300</v>
      </c>
      <c r="D284" s="119">
        <v>0</v>
      </c>
      <c r="E284" s="119">
        <v>0</v>
      </c>
      <c r="F284" s="119">
        <v>0</v>
      </c>
      <c r="G284" s="119">
        <v>0</v>
      </c>
      <c r="H284" s="119">
        <v>0</v>
      </c>
      <c r="I284" s="119">
        <v>0</v>
      </c>
      <c r="J284" s="36">
        <f>SUM(D284:I284)</f>
        <v>0</v>
      </c>
      <c r="M284" s="34"/>
    </row>
    <row r="285" spans="1:13" ht="15.45" x14ac:dyDescent="0.4">
      <c r="A285" s="64">
        <f>A284+1</f>
        <v>24</v>
      </c>
      <c r="B285" s="52" t="s">
        <v>250</v>
      </c>
      <c r="C285" s="80"/>
      <c r="D285" s="218">
        <v>0</v>
      </c>
      <c r="E285" s="218">
        <v>0</v>
      </c>
      <c r="F285" s="218">
        <v>0</v>
      </c>
      <c r="G285" s="218">
        <v>0</v>
      </c>
      <c r="H285" s="218">
        <v>0</v>
      </c>
      <c r="I285" s="218">
        <v>0</v>
      </c>
      <c r="J285" s="51">
        <f>SUM(D285:I285)</f>
        <v>0</v>
      </c>
      <c r="M285" s="34"/>
    </row>
    <row r="286" spans="1:13" ht="15.45" x14ac:dyDescent="0.4">
      <c r="A286" s="64">
        <f>A285+1</f>
        <v>25</v>
      </c>
      <c r="B286" s="52" t="s">
        <v>218</v>
      </c>
      <c r="C286" s="80"/>
      <c r="D286" s="36">
        <f t="shared" ref="D286:J286" si="42">SUM(D283:D285)</f>
        <v>0</v>
      </c>
      <c r="E286" s="36">
        <f t="shared" si="42"/>
        <v>0</v>
      </c>
      <c r="F286" s="36">
        <f t="shared" si="42"/>
        <v>0</v>
      </c>
      <c r="G286" s="36">
        <f t="shared" si="42"/>
        <v>0</v>
      </c>
      <c r="H286" s="36">
        <f t="shared" si="42"/>
        <v>0</v>
      </c>
      <c r="I286" s="36">
        <f t="shared" si="42"/>
        <v>0</v>
      </c>
      <c r="J286" s="36">
        <f t="shared" si="42"/>
        <v>0</v>
      </c>
      <c r="M286" s="34"/>
    </row>
    <row r="287" spans="1:13" ht="15.45" x14ac:dyDescent="0.4">
      <c r="A287" s="64"/>
      <c r="B287" s="52"/>
      <c r="C287" s="80"/>
      <c r="D287" s="108"/>
      <c r="E287" s="108"/>
      <c r="F287" s="108"/>
      <c r="G287" s="108"/>
      <c r="H287" s="108"/>
      <c r="I287" s="108"/>
      <c r="J287" s="109"/>
      <c r="M287" s="34"/>
    </row>
    <row r="288" spans="1:13" ht="15.45" x14ac:dyDescent="0.4">
      <c r="A288" s="64">
        <f>A286+1</f>
        <v>26</v>
      </c>
      <c r="B288" s="35" t="s">
        <v>239</v>
      </c>
      <c r="C288" s="34"/>
      <c r="D288" s="48"/>
      <c r="E288" s="48"/>
      <c r="F288" s="48"/>
      <c r="G288" s="48"/>
      <c r="H288" s="48"/>
      <c r="I288" s="48"/>
      <c r="J288" s="48"/>
      <c r="M288" s="34"/>
    </row>
    <row r="289" spans="1:19" ht="15.45" x14ac:dyDescent="0.4">
      <c r="A289" s="64">
        <f>A288+1</f>
        <v>27</v>
      </c>
      <c r="B289" s="52" t="s">
        <v>249</v>
      </c>
      <c r="C289" s="80"/>
      <c r="D289" s="119">
        <v>0</v>
      </c>
      <c r="E289" s="119">
        <v>0</v>
      </c>
      <c r="F289" s="119">
        <v>0</v>
      </c>
      <c r="G289" s="119">
        <v>0</v>
      </c>
      <c r="H289" s="119">
        <v>0</v>
      </c>
      <c r="I289" s="119">
        <v>0</v>
      </c>
      <c r="J289" s="36">
        <f>SUM(D289:I289)</f>
        <v>0</v>
      </c>
      <c r="M289" s="34"/>
    </row>
    <row r="290" spans="1:19" ht="15.45" x14ac:dyDescent="0.4">
      <c r="A290" s="64">
        <f>A289+1</f>
        <v>28</v>
      </c>
      <c r="B290" s="52" t="s">
        <v>202</v>
      </c>
      <c r="C290" s="80" t="s">
        <v>300</v>
      </c>
      <c r="D290" s="119">
        <v>0</v>
      </c>
      <c r="E290" s="119">
        <v>0</v>
      </c>
      <c r="F290" s="119">
        <v>0</v>
      </c>
      <c r="G290" s="119">
        <v>0</v>
      </c>
      <c r="H290" s="119">
        <v>0</v>
      </c>
      <c r="I290" s="119">
        <v>0</v>
      </c>
      <c r="J290" s="36">
        <f>SUM(D290:I290)</f>
        <v>0</v>
      </c>
      <c r="M290" s="34"/>
    </row>
    <row r="291" spans="1:19" ht="15.45" x14ac:dyDescent="0.4">
      <c r="A291" s="64">
        <f>A290+1</f>
        <v>29</v>
      </c>
      <c r="B291" s="52" t="s">
        <v>250</v>
      </c>
      <c r="C291" s="80"/>
      <c r="D291" s="218">
        <v>0</v>
      </c>
      <c r="E291" s="218">
        <v>0</v>
      </c>
      <c r="F291" s="218">
        <v>0</v>
      </c>
      <c r="G291" s="218">
        <v>0</v>
      </c>
      <c r="H291" s="218">
        <v>0</v>
      </c>
      <c r="I291" s="218">
        <v>0</v>
      </c>
      <c r="J291" s="51">
        <f>SUM(D291:I291)</f>
        <v>0</v>
      </c>
      <c r="M291" s="34"/>
    </row>
    <row r="292" spans="1:19" ht="15.45" x14ac:dyDescent="0.4">
      <c r="A292" s="64">
        <f>A291+1</f>
        <v>30</v>
      </c>
      <c r="B292" s="52" t="s">
        <v>218</v>
      </c>
      <c r="C292" s="80"/>
      <c r="D292" s="36">
        <f t="shared" ref="D292:J292" si="43">SUM(D289:D291)</f>
        <v>0</v>
      </c>
      <c r="E292" s="36">
        <f t="shared" si="43"/>
        <v>0</v>
      </c>
      <c r="F292" s="36">
        <f t="shared" si="43"/>
        <v>0</v>
      </c>
      <c r="G292" s="36">
        <f t="shared" si="43"/>
        <v>0</v>
      </c>
      <c r="H292" s="36">
        <f t="shared" si="43"/>
        <v>0</v>
      </c>
      <c r="I292" s="36">
        <f t="shared" si="43"/>
        <v>0</v>
      </c>
      <c r="J292" s="36">
        <f t="shared" si="43"/>
        <v>0</v>
      </c>
      <c r="M292" s="34"/>
    </row>
    <row r="293" spans="1:19" ht="15.45" x14ac:dyDescent="0.4">
      <c r="A293" s="64"/>
      <c r="B293" s="52"/>
      <c r="C293" s="80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9"/>
      <c r="S293" s="34"/>
    </row>
    <row r="294" spans="1:19" ht="15.45" x14ac:dyDescent="0.4">
      <c r="A294" s="64"/>
      <c r="B294" s="52"/>
      <c r="C294" s="80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9"/>
      <c r="S294" s="34"/>
    </row>
    <row r="295" spans="1:19" ht="15.45" x14ac:dyDescent="0.4">
      <c r="A295" s="472" t="s">
        <v>41</v>
      </c>
      <c r="B295" s="472"/>
      <c r="C295" s="472"/>
      <c r="D295" s="472"/>
      <c r="E295" s="472"/>
      <c r="F295" s="472"/>
      <c r="G295" s="472"/>
      <c r="H295" s="472"/>
      <c r="I295" s="472"/>
      <c r="J295" s="472"/>
      <c r="K295" s="35"/>
      <c r="L295" s="35"/>
      <c r="M295" s="35"/>
      <c r="N295" s="35"/>
      <c r="O295" s="35"/>
      <c r="P295" s="35"/>
    </row>
    <row r="296" spans="1:19" ht="15.45" x14ac:dyDescent="0.4">
      <c r="A296" s="472" t="s">
        <v>155</v>
      </c>
      <c r="B296" s="472"/>
      <c r="C296" s="472"/>
      <c r="D296" s="472"/>
      <c r="E296" s="472"/>
      <c r="F296" s="472"/>
      <c r="G296" s="472"/>
      <c r="H296" s="472"/>
      <c r="I296" s="472"/>
      <c r="J296" s="472"/>
      <c r="K296" s="35"/>
      <c r="L296" s="35"/>
      <c r="M296" s="35"/>
      <c r="N296" s="35"/>
      <c r="O296" s="35"/>
      <c r="P296" s="35"/>
    </row>
    <row r="297" spans="1:19" ht="15.45" x14ac:dyDescent="0.4">
      <c r="A297" s="472" t="str">
        <f>TYDESC</f>
        <v>For the 6 Months Ended August 31, 2024</v>
      </c>
      <c r="B297" s="472"/>
      <c r="C297" s="472"/>
      <c r="D297" s="472"/>
      <c r="E297" s="472"/>
      <c r="F297" s="472"/>
      <c r="G297" s="472"/>
      <c r="H297" s="472"/>
      <c r="I297" s="472"/>
      <c r="J297" s="472"/>
      <c r="K297" s="35"/>
      <c r="L297" s="35"/>
      <c r="M297" s="35"/>
      <c r="N297" s="35"/>
      <c r="O297" s="35"/>
      <c r="P297" s="35"/>
    </row>
    <row r="299" spans="1:19" ht="15.45" x14ac:dyDescent="0.4">
      <c r="A299" s="75" t="s">
        <v>180</v>
      </c>
      <c r="C299" s="32"/>
      <c r="D299" s="32"/>
      <c r="E299" s="32"/>
      <c r="F299" s="32"/>
    </row>
    <row r="300" spans="1:19" ht="15.45" x14ac:dyDescent="0.4">
      <c r="A300" s="75" t="s">
        <v>181</v>
      </c>
      <c r="C300" s="32"/>
      <c r="D300" s="32"/>
      <c r="E300" s="32"/>
      <c r="F300" s="32"/>
    </row>
    <row r="301" spans="1:19" ht="15.45" x14ac:dyDescent="0.4">
      <c r="A301" s="75" t="s">
        <v>64</v>
      </c>
      <c r="C301" s="32"/>
      <c r="D301" s="32"/>
      <c r="E301" s="32"/>
      <c r="F301" s="32"/>
      <c r="J301" s="71" t="str">
        <f>$J$8</f>
        <v>Workpaper WPM-B.1</v>
      </c>
    </row>
    <row r="302" spans="1:19" ht="15.45" x14ac:dyDescent="0.4">
      <c r="A302" s="102" t="str">
        <f>$A$9</f>
        <v>6 Mos Forecasted</v>
      </c>
      <c r="B302" s="32"/>
      <c r="C302" s="32"/>
      <c r="D302" s="33"/>
      <c r="E302" s="32"/>
      <c r="F302" s="41"/>
      <c r="G302" s="42"/>
      <c r="H302" s="41"/>
      <c r="I302" s="30"/>
      <c r="J302" s="72" t="s">
        <v>315</v>
      </c>
      <c r="K302" s="41"/>
      <c r="L302" s="41"/>
      <c r="M302" s="41"/>
      <c r="N302" s="41"/>
      <c r="O302" s="41"/>
      <c r="Q302" s="32"/>
      <c r="R302" s="32"/>
    </row>
    <row r="303" spans="1:19" ht="15.45" x14ac:dyDescent="0.4">
      <c r="A303" s="64"/>
      <c r="B303" s="52"/>
      <c r="C303" s="80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9"/>
      <c r="S303" s="34"/>
    </row>
    <row r="304" spans="1:19" ht="15.45" x14ac:dyDescent="0.4">
      <c r="A304" s="32" t="s">
        <v>11</v>
      </c>
      <c r="B304" s="32"/>
      <c r="C304" s="32"/>
      <c r="D304" s="33"/>
      <c r="E304" s="32"/>
      <c r="F304" s="41"/>
      <c r="G304" s="42"/>
      <c r="H304" s="41"/>
      <c r="I304" s="30"/>
      <c r="J304" s="41"/>
      <c r="K304" s="41"/>
      <c r="L304" s="41"/>
      <c r="M304" s="41"/>
      <c r="N304" s="41"/>
      <c r="O304" s="41"/>
      <c r="P304" s="41"/>
      <c r="Q304" s="34"/>
      <c r="R304" s="34"/>
    </row>
    <row r="305" spans="1:13" ht="15.45" x14ac:dyDescent="0.4">
      <c r="A305" s="43" t="s">
        <v>13</v>
      </c>
      <c r="B305" s="43" t="s">
        <v>14</v>
      </c>
      <c r="C305" s="43" t="s">
        <v>152</v>
      </c>
      <c r="D305" s="45" t="str">
        <f>$D$13</f>
        <v>Mar-24</v>
      </c>
      <c r="E305" s="45" t="str">
        <f>$E$13</f>
        <v>Apr-24</v>
      </c>
      <c r="F305" s="45" t="str">
        <f>$F$13</f>
        <v>May-24</v>
      </c>
      <c r="G305" s="45" t="str">
        <f>$G$13</f>
        <v>Jun-24</v>
      </c>
      <c r="H305" s="45" t="str">
        <f>$H$13</f>
        <v>Jul-24</v>
      </c>
      <c r="I305" s="45" t="str">
        <f>$I$13</f>
        <v>Aug-24</v>
      </c>
      <c r="J305" s="45" t="s">
        <v>15</v>
      </c>
      <c r="M305" s="46"/>
    </row>
    <row r="306" spans="1:13" ht="15.45" x14ac:dyDescent="0.4">
      <c r="A306" s="32"/>
      <c r="B306" s="34" t="s">
        <v>49</v>
      </c>
      <c r="C306" s="34" t="s">
        <v>50</v>
      </c>
      <c r="D306" s="120" t="s">
        <v>56</v>
      </c>
      <c r="E306" s="48" t="s">
        <v>57</v>
      </c>
      <c r="F306" s="48" t="s">
        <v>58</v>
      </c>
      <c r="G306" s="48" t="s">
        <v>59</v>
      </c>
      <c r="H306" s="48" t="s">
        <v>60</v>
      </c>
      <c r="I306" s="48" t="s">
        <v>61</v>
      </c>
      <c r="J306" s="48" t="s">
        <v>62</v>
      </c>
      <c r="M306" s="34"/>
    </row>
    <row r="307" spans="1:13" ht="15.9" thickBot="1" x14ac:dyDescent="0.45">
      <c r="A307" s="32"/>
      <c r="B307" s="34"/>
      <c r="C307" s="34"/>
      <c r="D307" s="48"/>
      <c r="E307" s="48"/>
      <c r="F307" s="48"/>
      <c r="G307" s="48"/>
      <c r="H307" s="48"/>
      <c r="I307" s="48"/>
      <c r="J307" s="48"/>
      <c r="M307" s="34"/>
    </row>
    <row r="308" spans="1:13" ht="15.45" x14ac:dyDescent="0.4">
      <c r="A308" s="104">
        <f>A305+1</f>
        <v>1</v>
      </c>
      <c r="B308" s="96" t="s">
        <v>21</v>
      </c>
      <c r="C308" s="112"/>
      <c r="D308" s="112"/>
      <c r="E308" s="97"/>
      <c r="F308" s="97"/>
      <c r="G308" s="97"/>
      <c r="H308" s="97"/>
      <c r="I308" s="97"/>
      <c r="J308" s="105"/>
    </row>
    <row r="309" spans="1:13" x14ac:dyDescent="0.35">
      <c r="A309" s="100"/>
      <c r="C309" s="36"/>
      <c r="D309" s="36"/>
      <c r="J309" s="99"/>
    </row>
    <row r="310" spans="1:13" ht="15.45" x14ac:dyDescent="0.4">
      <c r="A310" s="100">
        <f>A308+1</f>
        <v>2</v>
      </c>
      <c r="B310" s="35" t="s">
        <v>40</v>
      </c>
      <c r="C310" s="36"/>
      <c r="D310" s="36"/>
      <c r="J310" s="99"/>
    </row>
    <row r="311" spans="1:13" ht="15.45" x14ac:dyDescent="0.4">
      <c r="A311" s="100">
        <f>A310+1</f>
        <v>3</v>
      </c>
      <c r="B311" s="52" t="s">
        <v>249</v>
      </c>
      <c r="C311" s="80"/>
      <c r="D311" s="108">
        <f t="shared" ref="D311:I313" si="44">D191</f>
        <v>11447</v>
      </c>
      <c r="E311" s="108">
        <f t="shared" si="44"/>
        <v>11447</v>
      </c>
      <c r="F311" s="108">
        <f t="shared" si="44"/>
        <v>11447</v>
      </c>
      <c r="G311" s="108">
        <f t="shared" si="44"/>
        <v>11447</v>
      </c>
      <c r="H311" s="108">
        <f t="shared" si="44"/>
        <v>11447</v>
      </c>
      <c r="I311" s="108">
        <f t="shared" si="44"/>
        <v>11447</v>
      </c>
      <c r="J311" s="107">
        <f>SUM(D311:I311)</f>
        <v>68682</v>
      </c>
      <c r="L311" s="21"/>
      <c r="M311" s="34"/>
    </row>
    <row r="312" spans="1:13" ht="15.45" x14ac:dyDescent="0.4">
      <c r="A312" s="100">
        <f>A311+1</f>
        <v>4</v>
      </c>
      <c r="B312" s="52" t="s">
        <v>202</v>
      </c>
      <c r="C312" s="80"/>
      <c r="D312" s="36">
        <f t="shared" si="44"/>
        <v>0</v>
      </c>
      <c r="E312" s="36">
        <f t="shared" si="44"/>
        <v>0</v>
      </c>
      <c r="F312" s="36">
        <f t="shared" si="44"/>
        <v>0</v>
      </c>
      <c r="G312" s="36">
        <f t="shared" si="44"/>
        <v>0</v>
      </c>
      <c r="H312" s="36">
        <f t="shared" si="44"/>
        <v>0</v>
      </c>
      <c r="I312" s="36">
        <f t="shared" si="44"/>
        <v>0</v>
      </c>
      <c r="J312" s="107">
        <f>SUM(D312:I312)</f>
        <v>0</v>
      </c>
      <c r="M312" s="34"/>
    </row>
    <row r="313" spans="1:13" ht="15.45" x14ac:dyDescent="0.4">
      <c r="A313" s="100">
        <f>A312+1</f>
        <v>5</v>
      </c>
      <c r="B313" s="52" t="s">
        <v>250</v>
      </c>
      <c r="C313" s="80"/>
      <c r="D313" s="216">
        <f t="shared" si="44"/>
        <v>72</v>
      </c>
      <c r="E313" s="216">
        <f t="shared" si="44"/>
        <v>65</v>
      </c>
      <c r="F313" s="216">
        <f t="shared" si="44"/>
        <v>73</v>
      </c>
      <c r="G313" s="216">
        <f t="shared" si="44"/>
        <v>61</v>
      </c>
      <c r="H313" s="216">
        <f t="shared" si="44"/>
        <v>71</v>
      </c>
      <c r="I313" s="216">
        <f t="shared" si="44"/>
        <v>78</v>
      </c>
      <c r="J313" s="215">
        <f>SUM(D313:I313)</f>
        <v>420</v>
      </c>
      <c r="L313" s="21"/>
      <c r="M313" s="34"/>
    </row>
    <row r="314" spans="1:13" ht="15.45" x14ac:dyDescent="0.4">
      <c r="A314" s="100">
        <f>A313+1</f>
        <v>6</v>
      </c>
      <c r="B314" s="52" t="s">
        <v>218</v>
      </c>
      <c r="C314" s="80"/>
      <c r="D314" s="108">
        <f t="shared" ref="D314:J314" si="45">SUM(D311:D313)</f>
        <v>11519</v>
      </c>
      <c r="E314" s="108">
        <f t="shared" si="45"/>
        <v>11512</v>
      </c>
      <c r="F314" s="108">
        <f t="shared" si="45"/>
        <v>11520</v>
      </c>
      <c r="G314" s="108">
        <f t="shared" si="45"/>
        <v>11508</v>
      </c>
      <c r="H314" s="108">
        <f t="shared" si="45"/>
        <v>11518</v>
      </c>
      <c r="I314" s="108">
        <f t="shared" si="45"/>
        <v>11525</v>
      </c>
      <c r="J314" s="107">
        <f t="shared" si="45"/>
        <v>69102</v>
      </c>
      <c r="M314" s="34"/>
    </row>
    <row r="315" spans="1:13" x14ac:dyDescent="0.35">
      <c r="A315" s="98"/>
      <c r="C315" s="36"/>
      <c r="D315" s="36"/>
      <c r="J315" s="99"/>
    </row>
    <row r="316" spans="1:13" ht="15.45" x14ac:dyDescent="0.4">
      <c r="A316" s="100">
        <f>A314+1</f>
        <v>7</v>
      </c>
      <c r="B316" s="35" t="s">
        <v>22</v>
      </c>
      <c r="C316" s="36"/>
      <c r="D316" s="36"/>
      <c r="J316" s="99"/>
    </row>
    <row r="317" spans="1:13" ht="15.45" x14ac:dyDescent="0.4">
      <c r="A317" s="100">
        <f>A316+1</f>
        <v>8</v>
      </c>
      <c r="B317" s="52" t="s">
        <v>249</v>
      </c>
      <c r="C317" s="80"/>
      <c r="D317" s="108">
        <f>D197+D209+D221+D259+D265+D283</f>
        <v>1896</v>
      </c>
      <c r="E317" s="108">
        <f t="shared" ref="D317:I319" si="46">E197+E209+E221+E259+E265+E283</f>
        <v>1896</v>
      </c>
      <c r="F317" s="108">
        <f t="shared" si="46"/>
        <v>1896</v>
      </c>
      <c r="G317" s="108">
        <f t="shared" si="46"/>
        <v>1896</v>
      </c>
      <c r="H317" s="108">
        <f t="shared" si="46"/>
        <v>1896</v>
      </c>
      <c r="I317" s="108">
        <f t="shared" si="46"/>
        <v>1896</v>
      </c>
      <c r="J317" s="107">
        <f>SUM(D317:I317)</f>
        <v>11376</v>
      </c>
      <c r="L317" s="21"/>
      <c r="M317" s="34"/>
    </row>
    <row r="318" spans="1:13" ht="15.45" x14ac:dyDescent="0.4">
      <c r="A318" s="100">
        <f>A317+1</f>
        <v>9</v>
      </c>
      <c r="B318" s="52" t="s">
        <v>202</v>
      </c>
      <c r="C318" s="80"/>
      <c r="D318" s="36">
        <f t="shared" si="46"/>
        <v>0</v>
      </c>
      <c r="E318" s="36">
        <f t="shared" si="46"/>
        <v>0</v>
      </c>
      <c r="F318" s="36">
        <f t="shared" si="46"/>
        <v>0</v>
      </c>
      <c r="G318" s="36">
        <f t="shared" si="46"/>
        <v>0</v>
      </c>
      <c r="H318" s="36">
        <f t="shared" si="46"/>
        <v>0</v>
      </c>
      <c r="I318" s="36">
        <f t="shared" si="46"/>
        <v>0</v>
      </c>
      <c r="J318" s="107">
        <f>SUM(D318:I318)</f>
        <v>0</v>
      </c>
      <c r="M318" s="34"/>
    </row>
    <row r="319" spans="1:13" ht="15.45" x14ac:dyDescent="0.4">
      <c r="A319" s="100">
        <f>A318+1</f>
        <v>10</v>
      </c>
      <c r="B319" s="52" t="s">
        <v>250</v>
      </c>
      <c r="C319" s="80"/>
      <c r="D319" s="216">
        <f t="shared" si="46"/>
        <v>4</v>
      </c>
      <c r="E319" s="216">
        <f t="shared" si="46"/>
        <v>5</v>
      </c>
      <c r="F319" s="216">
        <f t="shared" si="46"/>
        <v>5</v>
      </c>
      <c r="G319" s="216">
        <f t="shared" si="46"/>
        <v>6</v>
      </c>
      <c r="H319" s="216">
        <f t="shared" si="46"/>
        <v>5</v>
      </c>
      <c r="I319" s="216">
        <f t="shared" si="46"/>
        <v>7</v>
      </c>
      <c r="J319" s="215">
        <f>SUM(D319:I319)</f>
        <v>32</v>
      </c>
      <c r="L319" s="21"/>
      <c r="M319" s="34"/>
    </row>
    <row r="320" spans="1:13" ht="15.45" x14ac:dyDescent="0.4">
      <c r="A320" s="100">
        <f>A319+1</f>
        <v>11</v>
      </c>
      <c r="B320" s="52" t="s">
        <v>218</v>
      </c>
      <c r="C320" s="80"/>
      <c r="D320" s="108">
        <f t="shared" ref="D320:J320" si="47">SUM(D317:D319)</f>
        <v>1900</v>
      </c>
      <c r="E320" s="108">
        <f t="shared" si="47"/>
        <v>1901</v>
      </c>
      <c r="F320" s="108">
        <f t="shared" si="47"/>
        <v>1901</v>
      </c>
      <c r="G320" s="108">
        <f t="shared" si="47"/>
        <v>1902</v>
      </c>
      <c r="H320" s="108">
        <f t="shared" si="47"/>
        <v>1901</v>
      </c>
      <c r="I320" s="108">
        <f t="shared" si="47"/>
        <v>1903</v>
      </c>
      <c r="J320" s="107">
        <f t="shared" si="47"/>
        <v>11408</v>
      </c>
      <c r="M320" s="34"/>
    </row>
    <row r="321" spans="1:15" x14ac:dyDescent="0.35">
      <c r="A321" s="98"/>
      <c r="C321" s="36"/>
      <c r="D321" s="36"/>
      <c r="J321" s="99"/>
    </row>
    <row r="322" spans="1:15" ht="15.45" x14ac:dyDescent="0.4">
      <c r="A322" s="100">
        <f>A320+1</f>
        <v>12</v>
      </c>
      <c r="B322" s="35" t="s">
        <v>23</v>
      </c>
      <c r="C322" s="51"/>
      <c r="D322" s="51"/>
      <c r="J322" s="99"/>
    </row>
    <row r="323" spans="1:15" ht="15.45" x14ac:dyDescent="0.4">
      <c r="A323" s="100">
        <f>A322+1</f>
        <v>13</v>
      </c>
      <c r="B323" s="52" t="s">
        <v>249</v>
      </c>
      <c r="C323" s="80"/>
      <c r="D323" s="108">
        <f>D203+D215+D227+D233+D271+D277+D289</f>
        <v>62</v>
      </c>
      <c r="E323" s="108">
        <f t="shared" ref="D323:I325" si="48">E203+E215+E227+E233+E271+E277+E289</f>
        <v>62</v>
      </c>
      <c r="F323" s="108">
        <f t="shared" si="48"/>
        <v>62</v>
      </c>
      <c r="G323" s="108">
        <f t="shared" si="48"/>
        <v>62</v>
      </c>
      <c r="H323" s="108">
        <f t="shared" si="48"/>
        <v>61</v>
      </c>
      <c r="I323" s="108">
        <f t="shared" si="48"/>
        <v>61</v>
      </c>
      <c r="J323" s="107">
        <f>SUM(D323:I323)</f>
        <v>370</v>
      </c>
      <c r="L323" s="21"/>
      <c r="M323" s="34"/>
    </row>
    <row r="324" spans="1:15" ht="15.45" x14ac:dyDescent="0.4">
      <c r="A324" s="100">
        <f>A323+1</f>
        <v>14</v>
      </c>
      <c r="B324" s="52" t="s">
        <v>202</v>
      </c>
      <c r="C324" s="80"/>
      <c r="D324" s="36">
        <f t="shared" si="48"/>
        <v>0</v>
      </c>
      <c r="E324" s="36">
        <f t="shared" si="48"/>
        <v>0</v>
      </c>
      <c r="F324" s="36">
        <f t="shared" si="48"/>
        <v>0</v>
      </c>
      <c r="G324" s="36">
        <f t="shared" si="48"/>
        <v>0</v>
      </c>
      <c r="H324" s="36">
        <f t="shared" si="48"/>
        <v>0</v>
      </c>
      <c r="I324" s="36">
        <f t="shared" si="48"/>
        <v>0</v>
      </c>
      <c r="J324" s="107">
        <f>SUM(D324:I324)</f>
        <v>0</v>
      </c>
      <c r="M324" s="34"/>
    </row>
    <row r="325" spans="1:15" ht="15.45" x14ac:dyDescent="0.4">
      <c r="A325" s="100">
        <f>A324+1</f>
        <v>15</v>
      </c>
      <c r="B325" s="52" t="s">
        <v>250</v>
      </c>
      <c r="C325" s="80"/>
      <c r="D325" s="51">
        <f t="shared" si="48"/>
        <v>0</v>
      </c>
      <c r="E325" s="51">
        <f t="shared" si="48"/>
        <v>0</v>
      </c>
      <c r="F325" s="51">
        <f t="shared" si="48"/>
        <v>0</v>
      </c>
      <c r="G325" s="51">
        <f t="shared" si="48"/>
        <v>0</v>
      </c>
      <c r="H325" s="51">
        <f>H205+H217+H229+H235+H273+H279+H291</f>
        <v>0</v>
      </c>
      <c r="I325" s="51">
        <f t="shared" si="48"/>
        <v>0</v>
      </c>
      <c r="J325" s="215">
        <f>SUM(D325:I325)</f>
        <v>0</v>
      </c>
      <c r="L325" s="21"/>
      <c r="M325" s="34"/>
    </row>
    <row r="326" spans="1:15" ht="15.45" x14ac:dyDescent="0.4">
      <c r="A326" s="100">
        <f>A325+1</f>
        <v>16</v>
      </c>
      <c r="B326" s="52" t="s">
        <v>218</v>
      </c>
      <c r="C326" s="80"/>
      <c r="D326" s="108">
        <f t="shared" ref="D326:J326" si="49">SUM(D323:D325)</f>
        <v>62</v>
      </c>
      <c r="E326" s="108">
        <f t="shared" si="49"/>
        <v>62</v>
      </c>
      <c r="F326" s="108">
        <f t="shared" si="49"/>
        <v>62</v>
      </c>
      <c r="G326" s="108">
        <f t="shared" si="49"/>
        <v>62</v>
      </c>
      <c r="H326" s="108">
        <f t="shared" si="49"/>
        <v>61</v>
      </c>
      <c r="I326" s="108">
        <f t="shared" si="49"/>
        <v>61</v>
      </c>
      <c r="J326" s="107">
        <f t="shared" si="49"/>
        <v>370</v>
      </c>
      <c r="M326" s="34"/>
    </row>
    <row r="327" spans="1:15" x14ac:dyDescent="0.35">
      <c r="A327" s="98"/>
      <c r="C327" s="51"/>
      <c r="D327" s="51"/>
      <c r="J327" s="99"/>
    </row>
    <row r="328" spans="1:15" ht="15.45" x14ac:dyDescent="0.4">
      <c r="A328" s="100">
        <f>A326+1</f>
        <v>17</v>
      </c>
      <c r="B328" s="35" t="s">
        <v>24</v>
      </c>
      <c r="C328" s="36"/>
      <c r="D328" s="36"/>
      <c r="J328" s="99"/>
    </row>
    <row r="329" spans="1:15" ht="15.45" x14ac:dyDescent="0.4">
      <c r="A329" s="100">
        <f>A328+1</f>
        <v>18</v>
      </c>
      <c r="B329" s="52" t="s">
        <v>249</v>
      </c>
      <c r="C329" s="80"/>
      <c r="D329" s="108">
        <f t="shared" ref="D329:I329" si="50">D311+D317+D323</f>
        <v>13405</v>
      </c>
      <c r="E329" s="108">
        <f t="shared" si="50"/>
        <v>13405</v>
      </c>
      <c r="F329" s="108">
        <f t="shared" si="50"/>
        <v>13405</v>
      </c>
      <c r="G329" s="108">
        <f t="shared" si="50"/>
        <v>13405</v>
      </c>
      <c r="H329" s="108">
        <f t="shared" si="50"/>
        <v>13404</v>
      </c>
      <c r="I329" s="108">
        <f t="shared" si="50"/>
        <v>13404</v>
      </c>
      <c r="J329" s="107">
        <f>SUM(D329:I329)</f>
        <v>80428</v>
      </c>
      <c r="L329" s="21"/>
      <c r="M329" s="34"/>
    </row>
    <row r="330" spans="1:15" ht="15.9" thickBot="1" x14ac:dyDescent="0.45">
      <c r="A330" s="100">
        <f>A329+1</f>
        <v>19</v>
      </c>
      <c r="B330" s="52" t="s">
        <v>202</v>
      </c>
      <c r="C330" s="80"/>
      <c r="D330" s="36">
        <f t="shared" ref="D330:I330" si="51">D312+D318+D324</f>
        <v>0</v>
      </c>
      <c r="E330" s="36">
        <f t="shared" si="51"/>
        <v>0</v>
      </c>
      <c r="F330" s="36">
        <f t="shared" si="51"/>
        <v>0</v>
      </c>
      <c r="G330" s="36">
        <f t="shared" si="51"/>
        <v>0</v>
      </c>
      <c r="H330" s="36">
        <f t="shared" si="51"/>
        <v>0</v>
      </c>
      <c r="I330" s="36">
        <f t="shared" si="51"/>
        <v>0</v>
      </c>
      <c r="J330" s="107">
        <f>SUM(D330:I330)</f>
        <v>0</v>
      </c>
      <c r="M330" s="34"/>
    </row>
    <row r="331" spans="1:15" ht="17.600000000000001" x14ac:dyDescent="0.65">
      <c r="A331" s="100">
        <f>A330+1</f>
        <v>20</v>
      </c>
      <c r="B331" s="52" t="s">
        <v>250</v>
      </c>
      <c r="C331" s="80"/>
      <c r="D331" s="212">
        <f t="shared" ref="D331:I331" si="52">D313+D319+D325</f>
        <v>76</v>
      </c>
      <c r="E331" s="212">
        <f t="shared" si="52"/>
        <v>70</v>
      </c>
      <c r="F331" s="212">
        <f t="shared" si="52"/>
        <v>78</v>
      </c>
      <c r="G331" s="212">
        <f t="shared" si="52"/>
        <v>67</v>
      </c>
      <c r="H331" s="212">
        <f>H313+H319+H325</f>
        <v>76</v>
      </c>
      <c r="I331" s="212">
        <f t="shared" si="52"/>
        <v>85</v>
      </c>
      <c r="J331" s="213">
        <f>SUM(D331:I331)</f>
        <v>452</v>
      </c>
      <c r="M331" s="34"/>
      <c r="N331" s="470" t="s">
        <v>364</v>
      </c>
      <c r="O331" s="471"/>
    </row>
    <row r="332" spans="1:15" ht="15.9" thickBot="1" x14ac:dyDescent="0.45">
      <c r="A332" s="101">
        <f>A331+1</f>
        <v>21</v>
      </c>
      <c r="B332" s="210" t="s">
        <v>218</v>
      </c>
      <c r="C332" s="106"/>
      <c r="D332" s="211">
        <f t="shared" ref="D332:J332" si="53">SUM(D329:D331)</f>
        <v>13481</v>
      </c>
      <c r="E332" s="211">
        <f t="shared" si="53"/>
        <v>13475</v>
      </c>
      <c r="F332" s="211">
        <f t="shared" si="53"/>
        <v>13483</v>
      </c>
      <c r="G332" s="211">
        <f t="shared" si="53"/>
        <v>13472</v>
      </c>
      <c r="H332" s="211">
        <f t="shared" si="53"/>
        <v>13480</v>
      </c>
      <c r="I332" s="211">
        <f t="shared" si="53"/>
        <v>13489</v>
      </c>
      <c r="J332" s="118">
        <f t="shared" si="53"/>
        <v>80880</v>
      </c>
      <c r="L332" s="21"/>
      <c r="M332" s="34"/>
      <c r="N332" s="340">
        <f>J194+J200+J206+J212+J218+J224+J230+J236+J262+J268+J274+J280+J286+J292</f>
        <v>80880</v>
      </c>
      <c r="O332" s="341">
        <f>N332-J332</f>
        <v>0</v>
      </c>
    </row>
    <row r="333" spans="1:15" ht="15.45" thickBot="1" x14ac:dyDescent="0.4">
      <c r="C333" s="36"/>
      <c r="D333" s="36"/>
    </row>
    <row r="334" spans="1:15" x14ac:dyDescent="0.35">
      <c r="A334" s="111"/>
      <c r="B334" s="97"/>
      <c r="C334" s="112"/>
      <c r="D334" s="112"/>
      <c r="E334" s="97"/>
      <c r="F334" s="97"/>
      <c r="G334" s="97"/>
      <c r="H334" s="97"/>
      <c r="I334" s="97"/>
      <c r="J334" s="105"/>
    </row>
    <row r="335" spans="1:15" ht="15.45" x14ac:dyDescent="0.4">
      <c r="A335" s="100">
        <f>A332+1</f>
        <v>22</v>
      </c>
      <c r="B335" s="35" t="s">
        <v>258</v>
      </c>
      <c r="C335" s="36"/>
      <c r="D335" s="36"/>
      <c r="J335" s="99"/>
    </row>
    <row r="336" spans="1:15" ht="15.45" x14ac:dyDescent="0.4">
      <c r="A336" s="100">
        <f>A335+1</f>
        <v>23</v>
      </c>
      <c r="B336" s="52" t="s">
        <v>249</v>
      </c>
      <c r="C336" s="80"/>
      <c r="D336" s="108">
        <f t="shared" ref="D336:I338" si="54">D171+D329</f>
        <v>139003</v>
      </c>
      <c r="E336" s="108">
        <f t="shared" si="54"/>
        <v>138541</v>
      </c>
      <c r="F336" s="108">
        <f t="shared" si="54"/>
        <v>137814</v>
      </c>
      <c r="G336" s="108">
        <f t="shared" si="54"/>
        <v>136951</v>
      </c>
      <c r="H336" s="108">
        <f t="shared" si="54"/>
        <v>136353</v>
      </c>
      <c r="I336" s="108">
        <f t="shared" si="54"/>
        <v>135934</v>
      </c>
      <c r="J336" s="107">
        <f>SUM(D336:I336)</f>
        <v>824596</v>
      </c>
      <c r="M336" s="34"/>
    </row>
    <row r="337" spans="1:20" ht="15.45" x14ac:dyDescent="0.4">
      <c r="A337" s="100">
        <f>A336+1</f>
        <v>24</v>
      </c>
      <c r="B337" s="52" t="s">
        <v>202</v>
      </c>
      <c r="C337" s="80"/>
      <c r="D337" s="36">
        <f t="shared" si="54"/>
        <v>0</v>
      </c>
      <c r="E337" s="36">
        <f t="shared" si="54"/>
        <v>0</v>
      </c>
      <c r="F337" s="36">
        <f t="shared" si="54"/>
        <v>0</v>
      </c>
      <c r="G337" s="36">
        <f t="shared" si="54"/>
        <v>0</v>
      </c>
      <c r="H337" s="36">
        <f>H172+H330</f>
        <v>0</v>
      </c>
      <c r="I337" s="36">
        <f t="shared" si="54"/>
        <v>0</v>
      </c>
      <c r="J337" s="107">
        <f>SUM(D337:I337)</f>
        <v>0</v>
      </c>
      <c r="M337" s="34"/>
    </row>
    <row r="338" spans="1:20" ht="17.600000000000001" x14ac:dyDescent="0.65">
      <c r="A338" s="100">
        <f>A337+1</f>
        <v>25</v>
      </c>
      <c r="B338" s="52" t="s">
        <v>250</v>
      </c>
      <c r="C338" s="80"/>
      <c r="D338" s="212">
        <f t="shared" si="54"/>
        <v>1682</v>
      </c>
      <c r="E338" s="212">
        <f t="shared" si="54"/>
        <v>1935</v>
      </c>
      <c r="F338" s="212">
        <f t="shared" si="54"/>
        <v>1986</v>
      </c>
      <c r="G338" s="212">
        <f t="shared" si="54"/>
        <v>2232</v>
      </c>
      <c r="H338" s="212">
        <f t="shared" si="54"/>
        <v>2291</v>
      </c>
      <c r="I338" s="212">
        <f t="shared" si="54"/>
        <v>2445</v>
      </c>
      <c r="J338" s="213">
        <f>SUM(D338:I338)</f>
        <v>12571</v>
      </c>
      <c r="M338" s="34"/>
    </row>
    <row r="339" spans="1:20" ht="15.45" x14ac:dyDescent="0.4">
      <c r="A339" s="100">
        <f>A338+1</f>
        <v>26</v>
      </c>
      <c r="B339" s="52" t="s">
        <v>218</v>
      </c>
      <c r="C339" s="80"/>
      <c r="D339" s="108">
        <f t="shared" ref="D339:J339" si="55">SUM(D336:D338)</f>
        <v>140685</v>
      </c>
      <c r="E339" s="108">
        <f t="shared" si="55"/>
        <v>140476</v>
      </c>
      <c r="F339" s="108">
        <f t="shared" si="55"/>
        <v>139800</v>
      </c>
      <c r="G339" s="108">
        <f t="shared" si="55"/>
        <v>139183</v>
      </c>
      <c r="H339" s="108">
        <f t="shared" si="55"/>
        <v>138644</v>
      </c>
      <c r="I339" s="108">
        <f t="shared" si="55"/>
        <v>138379</v>
      </c>
      <c r="J339" s="107">
        <f t="shared" si="55"/>
        <v>837167</v>
      </c>
      <c r="M339" s="34"/>
    </row>
    <row r="340" spans="1:20" ht="15.9" thickBot="1" x14ac:dyDescent="0.45">
      <c r="A340" s="113"/>
      <c r="B340" s="114"/>
      <c r="C340" s="114"/>
      <c r="D340" s="125"/>
      <c r="E340" s="125"/>
      <c r="F340" s="125"/>
      <c r="G340" s="125"/>
      <c r="H340" s="125"/>
      <c r="I340" s="125"/>
      <c r="J340" s="115"/>
      <c r="M340" s="34"/>
    </row>
    <row r="341" spans="1:20" ht="15.45" x14ac:dyDescent="0.4">
      <c r="A341" s="32"/>
      <c r="B341" s="34"/>
      <c r="C341" s="34"/>
      <c r="D341" s="120"/>
      <c r="E341" s="120"/>
      <c r="F341" s="120"/>
      <c r="G341" s="120"/>
      <c r="H341" s="120"/>
      <c r="I341" s="120"/>
      <c r="J341" s="48"/>
      <c r="K341" s="48"/>
      <c r="L341" s="48"/>
      <c r="M341" s="48"/>
      <c r="N341" s="48"/>
      <c r="O341" s="48"/>
      <c r="P341" s="48"/>
      <c r="S341" s="34"/>
    </row>
    <row r="342" spans="1:20" ht="15.9" thickBot="1" x14ac:dyDescent="0.45">
      <c r="A342" s="32"/>
      <c r="B342" s="34"/>
      <c r="C342" s="34"/>
      <c r="D342" s="120"/>
      <c r="E342" s="120"/>
      <c r="F342" s="120"/>
      <c r="G342" s="120"/>
      <c r="H342" s="120"/>
      <c r="I342" s="120"/>
      <c r="J342" s="48"/>
      <c r="K342" s="48"/>
      <c r="L342" s="48"/>
      <c r="M342" s="48"/>
      <c r="N342" s="48"/>
      <c r="O342" s="48"/>
      <c r="P342" s="48"/>
      <c r="S342" s="34"/>
    </row>
    <row r="343" spans="1:20" ht="15.45" x14ac:dyDescent="0.4">
      <c r="A343" s="32"/>
      <c r="B343" s="275" t="s">
        <v>348</v>
      </c>
      <c r="C343" s="276"/>
      <c r="D343" s="276"/>
      <c r="E343" s="277"/>
      <c r="F343" s="120"/>
      <c r="G343" s="120"/>
      <c r="H343" s="120"/>
      <c r="I343" s="120"/>
      <c r="J343" s="120"/>
      <c r="K343" s="48"/>
      <c r="L343" s="48"/>
      <c r="M343" s="48"/>
      <c r="N343" s="48"/>
      <c r="O343" s="48"/>
      <c r="P343" s="48"/>
      <c r="Q343" s="48"/>
      <c r="T343" s="34"/>
    </row>
    <row r="344" spans="1:20" x14ac:dyDescent="0.35">
      <c r="B344" s="278"/>
      <c r="C344" s="129" t="s">
        <v>345</v>
      </c>
      <c r="D344" s="129" t="s">
        <v>346</v>
      </c>
      <c r="E344" s="279" t="s">
        <v>347</v>
      </c>
    </row>
    <row r="345" spans="1:20" x14ac:dyDescent="0.35">
      <c r="B345" s="280" t="s">
        <v>341</v>
      </c>
      <c r="C345" s="290">
        <f>J17+J29+J35+J47+J53+J59+J90+J96</f>
        <v>672132</v>
      </c>
      <c r="D345" s="291">
        <v>672132</v>
      </c>
      <c r="E345" s="292">
        <f t="shared" ref="E345:E346" si="56">C345-D345</f>
        <v>0</v>
      </c>
      <c r="F345" s="287"/>
      <c r="G345" s="287"/>
    </row>
    <row r="346" spans="1:20" x14ac:dyDescent="0.35">
      <c r="B346" s="282" t="s">
        <v>342</v>
      </c>
      <c r="C346" s="290">
        <f>J191</f>
        <v>68682</v>
      </c>
      <c r="D346" s="291">
        <v>68682</v>
      </c>
      <c r="E346" s="292">
        <f t="shared" si="56"/>
        <v>0</v>
      </c>
      <c r="F346" s="287"/>
      <c r="G346" s="287"/>
    </row>
    <row r="347" spans="1:20" x14ac:dyDescent="0.35">
      <c r="B347" s="282" t="s">
        <v>343</v>
      </c>
      <c r="C347" s="290">
        <f>J23+J41+J84+J102+J108+J114+J120</f>
        <v>72036</v>
      </c>
      <c r="D347" s="291">
        <f>682+71354</f>
        <v>72036</v>
      </c>
      <c r="E347" s="292">
        <f>C347-D347</f>
        <v>0</v>
      </c>
      <c r="F347" s="287"/>
      <c r="G347" s="287"/>
    </row>
    <row r="348" spans="1:20" x14ac:dyDescent="0.35">
      <c r="B348" s="282" t="s">
        <v>344</v>
      </c>
      <c r="C348" s="290">
        <f>J197+J203</f>
        <v>11224</v>
      </c>
      <c r="D348" s="291">
        <f>-265+11489</f>
        <v>11224</v>
      </c>
      <c r="E348" s="292">
        <f t="shared" ref="E348:E349" si="57">C348-D348</f>
        <v>0</v>
      </c>
      <c r="F348" s="287"/>
      <c r="G348" s="287"/>
    </row>
    <row r="349" spans="1:20" ht="17.600000000000001" x14ac:dyDescent="0.65">
      <c r="B349" s="282" t="s">
        <v>268</v>
      </c>
      <c r="C349" s="293">
        <f>J209+J215+J221+J227+J233+J259+J265+J271+J277+J283+J289</f>
        <v>522</v>
      </c>
      <c r="D349" s="294">
        <v>522</v>
      </c>
      <c r="E349" s="295">
        <f t="shared" si="57"/>
        <v>0</v>
      </c>
    </row>
    <row r="350" spans="1:20" ht="15.45" thickBot="1" x14ac:dyDescent="0.4">
      <c r="B350" s="284"/>
      <c r="C350" s="296">
        <f>SUM(C345:C349)</f>
        <v>824596</v>
      </c>
      <c r="D350" s="296">
        <f>SUM(D345:D349)</f>
        <v>824596</v>
      </c>
      <c r="E350" s="297">
        <f>SUM(E345:E349)</f>
        <v>0</v>
      </c>
    </row>
    <row r="352" spans="1:20" x14ac:dyDescent="0.35">
      <c r="E352" s="287"/>
    </row>
    <row r="353" spans="2:17" x14ac:dyDescent="0.35">
      <c r="E353" s="287"/>
    </row>
    <row r="354" spans="2:17" x14ac:dyDescent="0.35">
      <c r="E354" s="287"/>
    </row>
    <row r="355" spans="2:17" x14ac:dyDescent="0.35">
      <c r="E355" s="287"/>
    </row>
    <row r="357" spans="2:17" x14ac:dyDescent="0.35">
      <c r="I357" s="171"/>
      <c r="J357" s="171"/>
    </row>
    <row r="358" spans="2:17" x14ac:dyDescent="0.35">
      <c r="H358" s="108"/>
    </row>
    <row r="361" spans="2:17" ht="15.45" x14ac:dyDescent="0.4">
      <c r="B361" s="35"/>
      <c r="C361" s="287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9"/>
    </row>
    <row r="362" spans="2:17" x14ac:dyDescent="0.35">
      <c r="B362" s="50"/>
      <c r="C362" s="288"/>
      <c r="D362" s="171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36"/>
    </row>
    <row r="363" spans="2:17" x14ac:dyDescent="0.35">
      <c r="C363" s="287"/>
      <c r="D363" s="171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36"/>
    </row>
    <row r="364" spans="2:17" x14ac:dyDescent="0.35">
      <c r="C364" s="287"/>
      <c r="D364" s="171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36"/>
    </row>
    <row r="365" spans="2:17" x14ac:dyDescent="0.35">
      <c r="C365" s="287"/>
      <c r="D365" s="171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36"/>
    </row>
    <row r="366" spans="2:17" x14ac:dyDescent="0.35">
      <c r="C366" s="287"/>
      <c r="D366" s="287"/>
      <c r="E366" s="287"/>
      <c r="F366" s="287"/>
      <c r="G366" s="287"/>
      <c r="H366" s="288"/>
      <c r="I366" s="288"/>
      <c r="J366" s="288"/>
      <c r="K366" s="287"/>
      <c r="L366" s="287"/>
      <c r="M366" s="287"/>
      <c r="N366" s="287"/>
      <c r="O366" s="287"/>
      <c r="P366" s="287"/>
      <c r="Q366" s="51"/>
    </row>
    <row r="367" spans="2:17" x14ac:dyDescent="0.35">
      <c r="C367" s="287"/>
      <c r="D367" s="287"/>
      <c r="E367" s="287"/>
      <c r="F367" s="287"/>
      <c r="G367" s="287"/>
      <c r="H367" s="287"/>
      <c r="I367" s="287"/>
      <c r="J367" s="287"/>
      <c r="K367" s="287"/>
      <c r="L367" s="287"/>
      <c r="M367" s="287"/>
      <c r="N367" s="287"/>
      <c r="O367" s="287"/>
      <c r="P367" s="287"/>
      <c r="Q367" s="36"/>
    </row>
    <row r="368" spans="2:17" x14ac:dyDescent="0.35">
      <c r="C368" s="287"/>
      <c r="D368" s="287"/>
      <c r="E368" s="287"/>
      <c r="F368" s="287"/>
      <c r="G368" s="287"/>
      <c r="H368" s="287"/>
      <c r="I368" s="287"/>
      <c r="J368" s="287"/>
      <c r="K368" s="287"/>
      <c r="L368" s="287"/>
      <c r="M368" s="287"/>
      <c r="N368" s="287"/>
      <c r="O368" s="287"/>
      <c r="P368" s="287"/>
      <c r="Q368" s="36"/>
    </row>
    <row r="369" spans="2:17" x14ac:dyDescent="0.35">
      <c r="B369" s="50"/>
      <c r="C369" s="287"/>
      <c r="D369" s="171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36"/>
    </row>
    <row r="370" spans="2:17" x14ac:dyDescent="0.35">
      <c r="C370" s="287"/>
      <c r="D370" s="171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36"/>
    </row>
    <row r="371" spans="2:17" x14ac:dyDescent="0.35">
      <c r="C371" s="287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36"/>
    </row>
    <row r="372" spans="2:17" x14ac:dyDescent="0.35">
      <c r="C372" s="287"/>
      <c r="D372" s="287"/>
      <c r="E372" s="287"/>
      <c r="F372" s="287"/>
      <c r="G372" s="287"/>
      <c r="H372" s="287"/>
      <c r="I372" s="287"/>
      <c r="J372" s="287"/>
      <c r="K372" s="287"/>
      <c r="L372" s="287"/>
      <c r="M372" s="287"/>
      <c r="N372" s="287"/>
      <c r="O372" s="287"/>
      <c r="P372" s="287"/>
      <c r="Q372" s="36"/>
    </row>
    <row r="373" spans="2:17" x14ac:dyDescent="0.35">
      <c r="C373" s="287"/>
      <c r="D373" s="287"/>
      <c r="E373" s="287"/>
      <c r="F373" s="287"/>
      <c r="G373" s="287"/>
      <c r="H373" s="289"/>
      <c r="I373" s="288"/>
      <c r="J373" s="288"/>
      <c r="K373" s="287"/>
      <c r="L373" s="287"/>
      <c r="M373" s="287"/>
      <c r="N373" s="287"/>
      <c r="O373" s="287"/>
      <c r="P373" s="287"/>
      <c r="Q373" s="36"/>
    </row>
    <row r="374" spans="2:17" x14ac:dyDescent="0.35">
      <c r="C374" s="287"/>
      <c r="D374" s="287"/>
      <c r="E374" s="287"/>
      <c r="F374" s="287"/>
      <c r="G374" s="287"/>
      <c r="H374" s="289"/>
      <c r="I374" s="287"/>
      <c r="J374" s="287"/>
      <c r="K374" s="287"/>
      <c r="L374" s="287"/>
      <c r="M374" s="287"/>
      <c r="N374" s="287"/>
      <c r="O374" s="287"/>
      <c r="P374" s="287"/>
      <c r="Q374" s="36"/>
    </row>
    <row r="375" spans="2:17" x14ac:dyDescent="0.35">
      <c r="D375" s="287"/>
      <c r="E375" s="287"/>
      <c r="F375" s="287"/>
      <c r="G375" s="287"/>
      <c r="H375" s="287"/>
      <c r="I375" s="287"/>
      <c r="J375" s="287"/>
      <c r="K375" s="287"/>
      <c r="L375" s="287"/>
      <c r="M375" s="287"/>
      <c r="N375" s="287"/>
      <c r="O375" s="287"/>
      <c r="Q375" s="37"/>
    </row>
    <row r="376" spans="2:17" x14ac:dyDescent="0.35">
      <c r="D376" s="287"/>
      <c r="E376" s="287"/>
      <c r="F376" s="287"/>
      <c r="G376" s="287"/>
      <c r="H376" s="287"/>
      <c r="I376" s="287"/>
      <c r="J376" s="287"/>
      <c r="K376" s="287"/>
      <c r="L376" s="287"/>
      <c r="M376" s="287"/>
      <c r="N376" s="287"/>
      <c r="O376" s="287"/>
      <c r="Q376" s="37"/>
    </row>
    <row r="377" spans="2:17" x14ac:dyDescent="0.35"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Q377" s="37"/>
    </row>
    <row r="378" spans="2:17" x14ac:dyDescent="0.35">
      <c r="D378" s="287"/>
      <c r="E378" s="287"/>
      <c r="F378" s="287"/>
      <c r="G378" s="287"/>
      <c r="H378" s="287"/>
      <c r="I378" s="287"/>
      <c r="J378" s="287"/>
      <c r="K378" s="287"/>
      <c r="L378" s="287"/>
      <c r="M378" s="287"/>
      <c r="N378" s="287"/>
      <c r="O378" s="287"/>
      <c r="Q378" s="37"/>
    </row>
    <row r="381" spans="2:17" ht="15.45" x14ac:dyDescent="0.4">
      <c r="B381" s="35"/>
      <c r="C381" s="287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9"/>
    </row>
    <row r="382" spans="2:17" x14ac:dyDescent="0.35">
      <c r="B382" s="50"/>
      <c r="C382" s="288"/>
      <c r="D382" s="171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36"/>
    </row>
    <row r="383" spans="2:17" x14ac:dyDescent="0.35">
      <c r="C383" s="287"/>
      <c r="D383" s="171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36"/>
    </row>
    <row r="384" spans="2:17" x14ac:dyDescent="0.35">
      <c r="C384" s="287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36"/>
    </row>
    <row r="385" spans="2:17" x14ac:dyDescent="0.35">
      <c r="C385" s="287"/>
      <c r="D385" s="171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36"/>
    </row>
    <row r="386" spans="2:17" x14ac:dyDescent="0.35">
      <c r="C386" s="287"/>
      <c r="D386" s="287"/>
      <c r="E386" s="287"/>
      <c r="F386" s="287"/>
      <c r="G386" s="287"/>
      <c r="H386" s="288"/>
      <c r="I386" s="288"/>
      <c r="J386" s="288"/>
      <c r="K386" s="287"/>
      <c r="L386" s="287"/>
      <c r="M386" s="287"/>
      <c r="N386" s="287"/>
      <c r="O386" s="287"/>
      <c r="P386" s="287"/>
      <c r="Q386" s="36"/>
    </row>
    <row r="387" spans="2:17" x14ac:dyDescent="0.35">
      <c r="C387" s="287"/>
      <c r="D387" s="287"/>
      <c r="E387" s="287"/>
      <c r="F387" s="287"/>
      <c r="G387" s="287"/>
      <c r="H387" s="287"/>
      <c r="I387" s="287"/>
      <c r="J387" s="287"/>
      <c r="K387" s="287"/>
      <c r="L387" s="287"/>
      <c r="M387" s="287"/>
      <c r="N387" s="287"/>
      <c r="O387" s="287"/>
      <c r="P387" s="287"/>
      <c r="Q387" s="36"/>
    </row>
    <row r="388" spans="2:17" x14ac:dyDescent="0.35">
      <c r="C388" s="287"/>
      <c r="D388" s="287"/>
      <c r="E388" s="287"/>
      <c r="F388" s="287"/>
      <c r="G388" s="287"/>
      <c r="H388" s="287"/>
      <c r="I388" s="287"/>
      <c r="J388" s="287"/>
      <c r="K388" s="287"/>
      <c r="L388" s="287"/>
      <c r="M388" s="287"/>
      <c r="N388" s="287"/>
      <c r="O388" s="287"/>
      <c r="P388" s="287"/>
      <c r="Q388" s="36"/>
    </row>
    <row r="389" spans="2:17" x14ac:dyDescent="0.35">
      <c r="B389" s="50"/>
      <c r="C389" s="287"/>
      <c r="D389" s="171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36"/>
    </row>
    <row r="390" spans="2:17" x14ac:dyDescent="0.35">
      <c r="C390" s="287"/>
      <c r="D390" s="171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36"/>
    </row>
    <row r="391" spans="2:17" x14ac:dyDescent="0.35">
      <c r="C391" s="287"/>
      <c r="D391" s="171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36"/>
    </row>
    <row r="392" spans="2:17" x14ac:dyDescent="0.35">
      <c r="C392" s="287"/>
      <c r="D392" s="287"/>
      <c r="E392" s="287"/>
      <c r="F392" s="287"/>
      <c r="G392" s="287"/>
      <c r="H392" s="287"/>
      <c r="I392" s="287"/>
      <c r="J392" s="287"/>
      <c r="K392" s="287"/>
      <c r="L392" s="287"/>
      <c r="M392" s="287"/>
      <c r="N392" s="287"/>
      <c r="O392" s="287"/>
      <c r="P392" s="287"/>
      <c r="Q392" s="36"/>
    </row>
    <row r="393" spans="2:17" x14ac:dyDescent="0.35">
      <c r="C393" s="287"/>
      <c r="D393" s="287"/>
      <c r="E393" s="287"/>
      <c r="F393" s="287"/>
      <c r="G393" s="287"/>
      <c r="H393" s="289"/>
      <c r="I393" s="288"/>
      <c r="J393" s="288"/>
      <c r="K393" s="287"/>
      <c r="L393" s="287"/>
      <c r="M393" s="287"/>
      <c r="N393" s="287"/>
      <c r="O393" s="287"/>
      <c r="P393" s="287"/>
      <c r="Q393" s="36"/>
    </row>
    <row r="394" spans="2:17" x14ac:dyDescent="0.35">
      <c r="C394" s="287"/>
      <c r="D394" s="287"/>
      <c r="E394" s="287"/>
      <c r="F394" s="287"/>
      <c r="G394" s="287"/>
      <c r="H394" s="289"/>
      <c r="I394" s="287"/>
      <c r="J394" s="287"/>
      <c r="K394" s="287"/>
      <c r="L394" s="287"/>
      <c r="M394" s="287"/>
      <c r="N394" s="287"/>
      <c r="O394" s="287"/>
      <c r="P394" s="287"/>
      <c r="Q394" s="36"/>
    </row>
    <row r="395" spans="2:17" x14ac:dyDescent="0.35">
      <c r="D395" s="287"/>
      <c r="E395" s="287"/>
      <c r="F395" s="287"/>
      <c r="G395" s="287"/>
      <c r="H395" s="287"/>
      <c r="I395" s="287"/>
      <c r="J395" s="287"/>
      <c r="K395" s="287"/>
      <c r="L395" s="287"/>
      <c r="M395" s="287"/>
      <c r="N395" s="287"/>
      <c r="O395" s="287"/>
      <c r="Q395" s="37"/>
    </row>
    <row r="396" spans="2:17" x14ac:dyDescent="0.35">
      <c r="D396" s="287"/>
      <c r="E396" s="287"/>
      <c r="F396" s="287"/>
      <c r="G396" s="287"/>
      <c r="H396" s="287"/>
      <c r="I396" s="287"/>
      <c r="J396" s="287"/>
      <c r="K396" s="287"/>
      <c r="L396" s="287"/>
      <c r="M396" s="287"/>
      <c r="N396" s="287"/>
      <c r="O396" s="287"/>
      <c r="Q396" s="37"/>
    </row>
    <row r="397" spans="2:17" x14ac:dyDescent="0.35">
      <c r="D397" s="287"/>
      <c r="E397" s="287"/>
      <c r="F397" s="287"/>
      <c r="G397" s="287"/>
      <c r="H397" s="287"/>
      <c r="I397" s="287"/>
      <c r="J397" s="287"/>
      <c r="K397" s="287"/>
      <c r="L397" s="287"/>
      <c r="M397" s="287"/>
      <c r="N397" s="287"/>
      <c r="O397" s="287"/>
      <c r="Q397" s="37"/>
    </row>
    <row r="398" spans="2:17" x14ac:dyDescent="0.35">
      <c r="D398" s="287"/>
      <c r="E398" s="287"/>
      <c r="F398" s="287"/>
      <c r="G398" s="287"/>
      <c r="H398" s="287"/>
      <c r="I398" s="287"/>
      <c r="J398" s="287"/>
      <c r="K398" s="287"/>
      <c r="L398" s="287"/>
      <c r="M398" s="287"/>
      <c r="N398" s="287"/>
      <c r="O398" s="287"/>
      <c r="Q398" s="37"/>
    </row>
  </sheetData>
  <mergeCells count="21">
    <mergeCell ref="A244:J244"/>
    <mergeCell ref="A245:J245"/>
    <mergeCell ref="A179:J179"/>
    <mergeCell ref="A295:J295"/>
    <mergeCell ref="A296:J296"/>
    <mergeCell ref="M173:N173"/>
    <mergeCell ref="N331:O331"/>
    <mergeCell ref="A1:J1"/>
    <mergeCell ref="A2:J2"/>
    <mergeCell ref="A3:J3"/>
    <mergeCell ref="A177:J177"/>
    <mergeCell ref="A178:J178"/>
    <mergeCell ref="A129:J129"/>
    <mergeCell ref="A130:J130"/>
    <mergeCell ref="A131:J131"/>
    <mergeCell ref="A67:J67"/>
    <mergeCell ref="A68:J68"/>
    <mergeCell ref="A69:J69"/>
    <mergeCell ref="A11:J11"/>
    <mergeCell ref="A297:J297"/>
    <mergeCell ref="A243:J243"/>
  </mergeCells>
  <phoneticPr fontId="0" type="noConversion"/>
  <printOptions horizontalCentered="1"/>
  <pageMargins left="0.75" right="0.5" top="0.75" bottom="0" header="0.5" footer="0.5"/>
  <pageSetup scale="60" orientation="portrait" r:id="rId1"/>
  <headerFooter alignWithMargins="0"/>
  <rowBreaks count="6" manualBreakCount="6">
    <brk id="66" max="9" man="1"/>
    <brk id="128" max="9" man="1"/>
    <brk id="176" max="9" man="1"/>
    <brk id="242" max="9" man="1"/>
    <brk id="294" max="9" man="1"/>
    <brk id="3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 codeName="Sheet3"/>
  <dimension ref="A1:X475"/>
  <sheetViews>
    <sheetView zoomScale="87" zoomScaleNormal="87" zoomScaleSheetLayoutView="70" workbookViewId="0">
      <selection sqref="A1:J1"/>
    </sheetView>
  </sheetViews>
  <sheetFormatPr defaultColWidth="7" defaultRowHeight="15" x14ac:dyDescent="0.35"/>
  <cols>
    <col min="1" max="1" width="8.5546875" style="64" bestFit="1" customWidth="1"/>
    <col min="2" max="2" width="51" style="31" customWidth="1"/>
    <col min="3" max="4" width="25.5546875" style="31" bestFit="1" customWidth="1"/>
    <col min="5" max="5" width="21.21875" style="31" customWidth="1"/>
    <col min="6" max="6" width="22.44140625" style="31" customWidth="1"/>
    <col min="7" max="7" width="21" style="31" customWidth="1"/>
    <col min="8" max="8" width="23.44140625" style="31" bestFit="1" customWidth="1"/>
    <col min="9" max="10" width="22.44140625" style="31" bestFit="1" customWidth="1"/>
    <col min="11" max="11" width="21.44140625" style="31" bestFit="1" customWidth="1"/>
    <col min="12" max="12" width="23.5546875" style="31" bestFit="1" customWidth="1"/>
    <col min="13" max="13" width="25.21875" style="31" bestFit="1" customWidth="1"/>
    <col min="14" max="14" width="21.21875" style="31" bestFit="1" customWidth="1"/>
    <col min="15" max="15" width="21.21875" style="31" customWidth="1"/>
    <col min="16" max="16" width="27.44140625" style="31" customWidth="1"/>
    <col min="17" max="16384" width="7" style="31"/>
  </cols>
  <sheetData>
    <row r="1" spans="1:24" ht="15.45" x14ac:dyDescent="0.4">
      <c r="A1" s="475" t="str">
        <f>CONAME</f>
        <v>Columbia Gas of Kentucky, Inc.</v>
      </c>
      <c r="B1" s="475"/>
      <c r="C1" s="475"/>
      <c r="D1" s="475"/>
      <c r="E1" s="475"/>
      <c r="F1" s="475"/>
      <c r="G1" s="475"/>
      <c r="H1" s="475"/>
      <c r="I1" s="475"/>
      <c r="J1" s="475"/>
      <c r="K1" s="110"/>
      <c r="L1" s="110"/>
      <c r="M1" s="110"/>
      <c r="N1" s="110"/>
      <c r="O1" s="110"/>
      <c r="P1" s="110"/>
    </row>
    <row r="2" spans="1:24" ht="15.45" x14ac:dyDescent="0.4">
      <c r="A2" s="475" t="s">
        <v>157</v>
      </c>
      <c r="B2" s="475"/>
      <c r="C2" s="475"/>
      <c r="D2" s="475"/>
      <c r="E2" s="475"/>
      <c r="F2" s="475"/>
      <c r="G2" s="475"/>
      <c r="H2" s="475"/>
      <c r="I2" s="475"/>
      <c r="J2" s="475"/>
      <c r="K2" s="110"/>
      <c r="L2" s="110"/>
      <c r="M2" s="110"/>
      <c r="N2" s="110"/>
      <c r="O2" s="110"/>
      <c r="P2" s="110"/>
    </row>
    <row r="3" spans="1:24" ht="15.45" x14ac:dyDescent="0.4">
      <c r="A3" s="473" t="str">
        <f>TYDESC</f>
        <v>For the 6 Months Ended August 31, 2024</v>
      </c>
      <c r="B3" s="473"/>
      <c r="C3" s="473"/>
      <c r="D3" s="473"/>
      <c r="E3" s="473"/>
      <c r="F3" s="473"/>
      <c r="G3" s="473"/>
      <c r="H3" s="473"/>
      <c r="I3" s="473"/>
      <c r="J3" s="473"/>
      <c r="K3" s="35"/>
      <c r="L3" s="35"/>
      <c r="M3" s="35"/>
      <c r="N3" s="35"/>
      <c r="O3" s="35"/>
      <c r="P3" s="35"/>
    </row>
    <row r="4" spans="1:24" ht="15.45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24" ht="15.45" x14ac:dyDescent="0.4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4" ht="15.45" x14ac:dyDescent="0.4">
      <c r="A6" s="75" t="s">
        <v>180</v>
      </c>
      <c r="C6" s="32"/>
      <c r="D6" s="32"/>
      <c r="E6" s="32"/>
      <c r="F6" s="32"/>
      <c r="J6" s="71" t="s">
        <v>284</v>
      </c>
      <c r="R6" s="35"/>
      <c r="S6" s="35"/>
      <c r="T6" s="35"/>
      <c r="U6" s="35"/>
      <c r="V6" s="35"/>
      <c r="W6" s="35"/>
      <c r="X6" s="35"/>
    </row>
    <row r="7" spans="1:24" ht="15.45" x14ac:dyDescent="0.4">
      <c r="A7" s="75" t="s">
        <v>181</v>
      </c>
      <c r="C7" s="32"/>
      <c r="D7" s="32"/>
      <c r="E7" s="32"/>
      <c r="F7" s="32"/>
      <c r="J7" s="72" t="s">
        <v>311</v>
      </c>
    </row>
    <row r="8" spans="1:24" ht="15.45" x14ac:dyDescent="0.4">
      <c r="A8" s="75" t="s">
        <v>64</v>
      </c>
      <c r="C8" s="32"/>
      <c r="D8" s="32"/>
      <c r="E8" s="32"/>
      <c r="F8" s="32"/>
      <c r="P8" s="72"/>
    </row>
    <row r="9" spans="1:24" ht="15.45" x14ac:dyDescent="0.4">
      <c r="A9" s="332" t="str">
        <f>A!A8</f>
        <v>6 Mos Forecasted</v>
      </c>
      <c r="B9" s="32"/>
      <c r="C9" s="32"/>
      <c r="D9" s="33"/>
      <c r="E9" s="32"/>
      <c r="F9" s="41"/>
      <c r="G9" s="42"/>
      <c r="H9" s="41"/>
      <c r="I9" s="30"/>
      <c r="J9" s="41"/>
      <c r="K9" s="41"/>
      <c r="L9" s="41"/>
      <c r="M9" s="41"/>
      <c r="N9" s="41"/>
      <c r="O9" s="41"/>
      <c r="P9" s="41"/>
      <c r="Q9" s="32"/>
      <c r="R9" s="32"/>
    </row>
    <row r="10" spans="1:24" ht="15.45" x14ac:dyDescent="0.4">
      <c r="A10" s="76"/>
      <c r="B10" s="32"/>
      <c r="C10" s="32"/>
      <c r="D10" s="33"/>
      <c r="E10" s="32"/>
      <c r="F10" s="41"/>
      <c r="G10" s="42"/>
      <c r="H10" s="41"/>
      <c r="I10" s="30"/>
      <c r="J10" s="41"/>
      <c r="K10" s="41"/>
      <c r="L10" s="41"/>
      <c r="M10" s="41"/>
      <c r="N10" s="41"/>
      <c r="O10" s="41"/>
      <c r="P10" s="41"/>
      <c r="Q10" s="32"/>
      <c r="R10" s="32"/>
    </row>
    <row r="11" spans="1:24" ht="15.45" x14ac:dyDescent="0.4">
      <c r="A11" s="476" t="str">
        <f>A!A8</f>
        <v>6 Mos Forecasted</v>
      </c>
      <c r="B11" s="474"/>
      <c r="C11" s="474"/>
      <c r="D11" s="474"/>
      <c r="E11" s="474"/>
      <c r="F11" s="474"/>
      <c r="G11" s="474"/>
      <c r="H11" s="474"/>
      <c r="I11" s="474"/>
      <c r="J11" s="474"/>
      <c r="K11" s="41"/>
      <c r="L11" s="41"/>
      <c r="M11" s="41"/>
      <c r="N11" s="41"/>
      <c r="O11" s="41"/>
      <c r="P11" s="41"/>
      <c r="Q11" s="32"/>
      <c r="R11" s="32"/>
    </row>
    <row r="12" spans="1:24" ht="15.45" x14ac:dyDescent="0.4">
      <c r="A12" s="32" t="s">
        <v>11</v>
      </c>
      <c r="B12" s="32"/>
      <c r="C12" s="32"/>
      <c r="D12" s="33"/>
      <c r="E12" s="32"/>
      <c r="F12" s="41"/>
      <c r="G12" s="42"/>
      <c r="H12" s="41"/>
      <c r="I12" s="30"/>
      <c r="J12" s="41"/>
      <c r="K12" s="41"/>
      <c r="L12" s="41"/>
      <c r="M12" s="41"/>
      <c r="N12" s="41"/>
      <c r="O12" s="41"/>
      <c r="P12" s="41"/>
      <c r="Q12" s="34"/>
      <c r="R12" s="34"/>
    </row>
    <row r="13" spans="1:24" ht="15.45" x14ac:dyDescent="0.4">
      <c r="A13" s="43" t="s">
        <v>13</v>
      </c>
      <c r="B13" s="43" t="s">
        <v>14</v>
      </c>
      <c r="C13" s="43" t="s">
        <v>152</v>
      </c>
      <c r="D13" s="45" t="str">
        <f>B!$D$13</f>
        <v>Mar-24</v>
      </c>
      <c r="E13" s="45" t="str">
        <f>B!$E$13</f>
        <v>Apr-24</v>
      </c>
      <c r="F13" s="45" t="str">
        <f>B!$F$13</f>
        <v>May-24</v>
      </c>
      <c r="G13" s="45" t="str">
        <f>B!$G$13</f>
        <v>Jun-24</v>
      </c>
      <c r="H13" s="45" t="str">
        <f>B!$H$13</f>
        <v>Jul-24</v>
      </c>
      <c r="I13" s="45" t="str">
        <f>B!$I$13</f>
        <v>Aug-24</v>
      </c>
      <c r="J13" s="45" t="s">
        <v>15</v>
      </c>
      <c r="M13" s="46"/>
    </row>
    <row r="14" spans="1:24" ht="15.45" x14ac:dyDescent="0.4">
      <c r="A14" s="32"/>
      <c r="B14" s="34" t="s">
        <v>49</v>
      </c>
      <c r="C14" s="34" t="s">
        <v>50</v>
      </c>
      <c r="D14" s="120" t="s">
        <v>56</v>
      </c>
      <c r="E14" s="48" t="s">
        <v>57</v>
      </c>
      <c r="F14" s="48" t="s">
        <v>58</v>
      </c>
      <c r="G14" s="48" t="s">
        <v>59</v>
      </c>
      <c r="H14" s="48" t="s">
        <v>60</v>
      </c>
      <c r="I14" s="48" t="s">
        <v>61</v>
      </c>
      <c r="J14" s="48" t="s">
        <v>62</v>
      </c>
      <c r="M14" s="34"/>
    </row>
    <row r="15" spans="1:24" ht="15.45" x14ac:dyDescent="0.4">
      <c r="A15" s="32"/>
      <c r="B15" s="34"/>
      <c r="C15" s="34"/>
      <c r="D15" s="120"/>
      <c r="E15" s="48"/>
      <c r="F15" s="48"/>
      <c r="G15" s="48"/>
      <c r="H15" s="48"/>
      <c r="I15" s="48"/>
      <c r="J15" s="48"/>
      <c r="K15" s="48"/>
      <c r="L15" s="48"/>
      <c r="M15" s="34"/>
    </row>
    <row r="16" spans="1:24" ht="15.45" x14ac:dyDescent="0.4">
      <c r="A16" s="64">
        <v>1</v>
      </c>
      <c r="B16" s="35" t="s">
        <v>199</v>
      </c>
    </row>
    <row r="17" spans="1:12" ht="15.45" x14ac:dyDescent="0.4">
      <c r="A17" s="64">
        <f>A16+1</f>
        <v>2</v>
      </c>
      <c r="B17" s="31" t="s">
        <v>295</v>
      </c>
      <c r="C17" s="64"/>
      <c r="D17" s="77">
        <v>1173075.3999999999</v>
      </c>
      <c r="E17" s="77">
        <v>708826.4</v>
      </c>
      <c r="F17" s="77">
        <v>308062.3</v>
      </c>
      <c r="G17" s="77">
        <v>142866.6</v>
      </c>
      <c r="H17" s="77">
        <v>97726.3</v>
      </c>
      <c r="I17" s="77">
        <v>97066.4</v>
      </c>
      <c r="J17" s="60">
        <f>SUM(D17:I17)</f>
        <v>2527623.3999999994</v>
      </c>
      <c r="K17" s="35"/>
      <c r="L17" s="21"/>
    </row>
    <row r="18" spans="1:12" x14ac:dyDescent="0.35">
      <c r="A18" s="64">
        <f>A17+1</f>
        <v>3</v>
      </c>
      <c r="B18" s="31" t="s">
        <v>202</v>
      </c>
      <c r="C18" s="80" t="s">
        <v>300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61">
        <f>SUM(D18:I18)</f>
        <v>0</v>
      </c>
    </row>
    <row r="19" spans="1:12" ht="15.45" x14ac:dyDescent="0.4">
      <c r="A19" s="64">
        <f>A18+1</f>
        <v>4</v>
      </c>
      <c r="B19" s="31" t="s">
        <v>222</v>
      </c>
      <c r="C19" s="32"/>
      <c r="D19" s="78">
        <f t="shared" ref="D19:I19" si="0">SUM(D17:D18)</f>
        <v>1173075.3999999999</v>
      </c>
      <c r="E19" s="78">
        <f t="shared" si="0"/>
        <v>708826.4</v>
      </c>
      <c r="F19" s="78">
        <f t="shared" si="0"/>
        <v>308062.3</v>
      </c>
      <c r="G19" s="78">
        <f t="shared" si="0"/>
        <v>142866.6</v>
      </c>
      <c r="H19" s="78">
        <f t="shared" si="0"/>
        <v>97726.3</v>
      </c>
      <c r="I19" s="78">
        <f t="shared" si="0"/>
        <v>97066.4</v>
      </c>
      <c r="J19" s="78">
        <f>SUM(D19:I19)</f>
        <v>2527623.3999999994</v>
      </c>
    </row>
    <row r="20" spans="1:12" ht="15.45" x14ac:dyDescent="0.4">
      <c r="B20" s="35"/>
      <c r="C20" s="32"/>
      <c r="D20" s="35"/>
    </row>
    <row r="21" spans="1:12" ht="15.45" x14ac:dyDescent="0.4">
      <c r="A21" s="64">
        <f>A19+1</f>
        <v>5</v>
      </c>
      <c r="B21" s="35" t="s">
        <v>200</v>
      </c>
      <c r="C21" s="64"/>
    </row>
    <row r="22" spans="1:12" x14ac:dyDescent="0.35">
      <c r="A22" s="64">
        <f>A21+1</f>
        <v>6</v>
      </c>
      <c r="B22" s="31" t="s">
        <v>295</v>
      </c>
      <c r="C22" s="64"/>
      <c r="D22" s="62">
        <v>0</v>
      </c>
      <c r="E22" s="62">
        <v>0</v>
      </c>
      <c r="F22" s="217">
        <v>0</v>
      </c>
      <c r="G22" s="217">
        <v>0</v>
      </c>
      <c r="H22" s="217">
        <v>0</v>
      </c>
      <c r="I22" s="217">
        <v>0</v>
      </c>
      <c r="J22" s="78">
        <f>SUM(D22:I22)</f>
        <v>0</v>
      </c>
    </row>
    <row r="23" spans="1:12" x14ac:dyDescent="0.35">
      <c r="A23" s="64">
        <f>A22+1</f>
        <v>7</v>
      </c>
      <c r="B23" s="31" t="s">
        <v>202</v>
      </c>
      <c r="C23" s="80" t="s">
        <v>300</v>
      </c>
      <c r="D23" s="403">
        <v>0</v>
      </c>
      <c r="E23" s="403">
        <v>0</v>
      </c>
      <c r="F23" s="403">
        <v>0</v>
      </c>
      <c r="G23" s="403">
        <v>0</v>
      </c>
      <c r="H23" s="403">
        <v>0</v>
      </c>
      <c r="I23" s="403">
        <v>0</v>
      </c>
      <c r="J23" s="61">
        <f>SUM(D23:I23)</f>
        <v>0</v>
      </c>
    </row>
    <row r="24" spans="1:12" ht="15.45" x14ac:dyDescent="0.4">
      <c r="A24" s="64">
        <f>A23+1</f>
        <v>8</v>
      </c>
      <c r="B24" s="31" t="s">
        <v>222</v>
      </c>
      <c r="C24" s="32"/>
      <c r="D24" s="78">
        <f t="shared" ref="D24:I24" si="1">SUM(D22:D23)</f>
        <v>0</v>
      </c>
      <c r="E24" s="78">
        <f t="shared" si="1"/>
        <v>0</v>
      </c>
      <c r="F24" s="78">
        <f t="shared" si="1"/>
        <v>0</v>
      </c>
      <c r="G24" s="78">
        <f t="shared" si="1"/>
        <v>0</v>
      </c>
      <c r="H24" s="78">
        <f t="shared" si="1"/>
        <v>0</v>
      </c>
      <c r="I24" s="78">
        <f t="shared" si="1"/>
        <v>0</v>
      </c>
      <c r="J24" s="78">
        <f>SUM(D24:I24)</f>
        <v>0</v>
      </c>
    </row>
    <row r="25" spans="1:12" ht="15.45" x14ac:dyDescent="0.4">
      <c r="A25" s="32"/>
      <c r="B25" s="35"/>
      <c r="C25" s="32"/>
      <c r="D25" s="35"/>
    </row>
    <row r="26" spans="1:12" ht="15.45" x14ac:dyDescent="0.4">
      <c r="A26" s="64">
        <f>A24+1</f>
        <v>9</v>
      </c>
      <c r="B26" s="35" t="s">
        <v>201</v>
      </c>
      <c r="C26" s="64"/>
    </row>
    <row r="27" spans="1:12" ht="15.45" x14ac:dyDescent="0.4">
      <c r="A27" s="64">
        <f>A26+1</f>
        <v>10</v>
      </c>
      <c r="B27" s="31" t="s">
        <v>295</v>
      </c>
      <c r="C27" s="64"/>
      <c r="D27" s="62">
        <v>34.799999999999997</v>
      </c>
      <c r="E27" s="62">
        <v>39</v>
      </c>
      <c r="F27" s="217">
        <v>18.5</v>
      </c>
      <c r="G27" s="217">
        <v>3.6</v>
      </c>
      <c r="H27" s="217">
        <v>1.8</v>
      </c>
      <c r="I27" s="217">
        <v>1.5</v>
      </c>
      <c r="J27" s="78">
        <f>SUM(D27:I27)</f>
        <v>99.199999999999989</v>
      </c>
      <c r="K27" s="35"/>
      <c r="L27" s="21"/>
    </row>
    <row r="28" spans="1:12" x14ac:dyDescent="0.35">
      <c r="A28" s="64">
        <f>A27+1</f>
        <v>11</v>
      </c>
      <c r="B28" s="31" t="s">
        <v>202</v>
      </c>
      <c r="C28" s="80" t="s">
        <v>300</v>
      </c>
      <c r="D28" s="403">
        <v>0</v>
      </c>
      <c r="E28" s="403">
        <v>0</v>
      </c>
      <c r="F28" s="403">
        <v>0</v>
      </c>
      <c r="G28" s="403">
        <v>0</v>
      </c>
      <c r="H28" s="403">
        <v>0</v>
      </c>
      <c r="I28" s="403">
        <v>0</v>
      </c>
      <c r="J28" s="61">
        <f>SUM(D28:I28)</f>
        <v>0</v>
      </c>
    </row>
    <row r="29" spans="1:12" ht="15.45" x14ac:dyDescent="0.4">
      <c r="A29" s="64">
        <f>A28+1</f>
        <v>12</v>
      </c>
      <c r="B29" s="31" t="s">
        <v>222</v>
      </c>
      <c r="C29" s="32"/>
      <c r="D29" s="78">
        <f t="shared" ref="D29:I29" si="2">SUM(D27:D28)</f>
        <v>34.799999999999997</v>
      </c>
      <c r="E29" s="78">
        <f t="shared" si="2"/>
        <v>39</v>
      </c>
      <c r="F29" s="78">
        <f t="shared" si="2"/>
        <v>18.5</v>
      </c>
      <c r="G29" s="78">
        <f t="shared" si="2"/>
        <v>3.6</v>
      </c>
      <c r="H29" s="78">
        <f t="shared" si="2"/>
        <v>1.8</v>
      </c>
      <c r="I29" s="78">
        <f t="shared" si="2"/>
        <v>1.5</v>
      </c>
      <c r="J29" s="78">
        <f>SUM(D29:I29)</f>
        <v>99.199999999999989</v>
      </c>
    </row>
    <row r="30" spans="1:12" ht="15.45" x14ac:dyDescent="0.4">
      <c r="A30" s="32"/>
      <c r="B30" s="35"/>
      <c r="C30" s="32"/>
      <c r="D30" s="35"/>
    </row>
    <row r="31" spans="1:12" ht="15.45" x14ac:dyDescent="0.4">
      <c r="A31" s="64">
        <f>A29+1</f>
        <v>13</v>
      </c>
      <c r="B31" s="35" t="s">
        <v>203</v>
      </c>
      <c r="C31" s="64"/>
    </row>
    <row r="32" spans="1:12" ht="15.45" x14ac:dyDescent="0.4">
      <c r="A32" s="64">
        <f>A31+1</f>
        <v>14</v>
      </c>
      <c r="B32" s="31" t="s">
        <v>295</v>
      </c>
      <c r="C32" s="64"/>
      <c r="D32" s="62">
        <v>180.3</v>
      </c>
      <c r="E32" s="62">
        <v>86.5</v>
      </c>
      <c r="F32" s="217">
        <v>42.7</v>
      </c>
      <c r="G32" s="217">
        <v>19</v>
      </c>
      <c r="H32" s="217">
        <v>8</v>
      </c>
      <c r="I32" s="217">
        <v>9.1</v>
      </c>
      <c r="J32" s="78">
        <f>SUM(D32:I32)</f>
        <v>345.6</v>
      </c>
      <c r="K32" s="35"/>
      <c r="L32" s="21"/>
    </row>
    <row r="33" spans="1:12" x14ac:dyDescent="0.35">
      <c r="A33" s="64">
        <f>A32+1</f>
        <v>15</v>
      </c>
      <c r="B33" s="31" t="s">
        <v>202</v>
      </c>
      <c r="C33" s="80" t="s">
        <v>300</v>
      </c>
      <c r="D33" s="403">
        <v>0</v>
      </c>
      <c r="E33" s="403">
        <v>0</v>
      </c>
      <c r="F33" s="403">
        <v>0</v>
      </c>
      <c r="G33" s="403">
        <v>0</v>
      </c>
      <c r="H33" s="403">
        <v>0</v>
      </c>
      <c r="I33" s="403">
        <v>0</v>
      </c>
      <c r="J33" s="61">
        <f>SUM(D33:I33)</f>
        <v>0</v>
      </c>
    </row>
    <row r="34" spans="1:12" ht="15.45" x14ac:dyDescent="0.4">
      <c r="A34" s="64">
        <f>A33+1</f>
        <v>16</v>
      </c>
      <c r="B34" s="31" t="s">
        <v>222</v>
      </c>
      <c r="C34" s="32"/>
      <c r="D34" s="78">
        <f t="shared" ref="D34:I34" si="3">SUM(D32:D33)</f>
        <v>180.3</v>
      </c>
      <c r="E34" s="78">
        <f t="shared" si="3"/>
        <v>86.5</v>
      </c>
      <c r="F34" s="78">
        <f t="shared" si="3"/>
        <v>42.7</v>
      </c>
      <c r="G34" s="78">
        <f t="shared" si="3"/>
        <v>19</v>
      </c>
      <c r="H34" s="78">
        <f t="shared" si="3"/>
        <v>8</v>
      </c>
      <c r="I34" s="78">
        <f t="shared" si="3"/>
        <v>9.1</v>
      </c>
      <c r="J34" s="78">
        <f>SUM(D34:I34)</f>
        <v>345.6</v>
      </c>
    </row>
    <row r="35" spans="1:12" ht="15.45" x14ac:dyDescent="0.4">
      <c r="C35" s="32"/>
      <c r="D35" s="78"/>
      <c r="E35" s="78"/>
      <c r="F35" s="78"/>
      <c r="G35" s="78"/>
      <c r="H35" s="78"/>
      <c r="I35" s="78"/>
      <c r="J35" s="78"/>
    </row>
    <row r="36" spans="1:12" ht="15.45" x14ac:dyDescent="0.4">
      <c r="A36" s="64">
        <f>A34+1</f>
        <v>17</v>
      </c>
      <c r="B36" s="35" t="s">
        <v>204</v>
      </c>
      <c r="C36" s="64"/>
    </row>
    <row r="37" spans="1:12" x14ac:dyDescent="0.35">
      <c r="A37" s="64">
        <f>A36+1</f>
        <v>18</v>
      </c>
      <c r="B37" s="31" t="s">
        <v>295</v>
      </c>
      <c r="C37" s="64"/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37">
        <f>SUM(D37:I37)</f>
        <v>0</v>
      </c>
    </row>
    <row r="38" spans="1:12" x14ac:dyDescent="0.35">
      <c r="A38" s="64">
        <f>A37+1</f>
        <v>19</v>
      </c>
      <c r="B38" s="31" t="s">
        <v>202</v>
      </c>
      <c r="C38" s="80" t="s">
        <v>300</v>
      </c>
      <c r="D38" s="403">
        <v>0</v>
      </c>
      <c r="E38" s="403">
        <v>0</v>
      </c>
      <c r="F38" s="403">
        <v>0</v>
      </c>
      <c r="G38" s="403">
        <v>0</v>
      </c>
      <c r="H38" s="403">
        <v>0</v>
      </c>
      <c r="I38" s="403">
        <v>0</v>
      </c>
      <c r="J38" s="61">
        <f>SUM(D38:I38)</f>
        <v>0</v>
      </c>
    </row>
    <row r="39" spans="1:12" ht="15.45" x14ac:dyDescent="0.4">
      <c r="A39" s="64">
        <f>A38+1</f>
        <v>20</v>
      </c>
      <c r="B39" s="31" t="s">
        <v>222</v>
      </c>
      <c r="C39" s="32"/>
      <c r="D39" s="37">
        <f t="shared" ref="D39:I39" si="4">SUM(D37:D38)</f>
        <v>0</v>
      </c>
      <c r="E39" s="37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>SUM(D39:I39)</f>
        <v>0</v>
      </c>
    </row>
    <row r="40" spans="1:12" ht="15.45" x14ac:dyDescent="0.4">
      <c r="C40" s="32"/>
      <c r="D40" s="37"/>
      <c r="E40" s="37"/>
      <c r="F40" s="37"/>
      <c r="G40" s="78"/>
      <c r="H40" s="78"/>
      <c r="I40" s="78"/>
      <c r="J40" s="78"/>
    </row>
    <row r="41" spans="1:12" ht="15.45" x14ac:dyDescent="0.4">
      <c r="A41" s="64">
        <f>A39+1</f>
        <v>21</v>
      </c>
      <c r="B41" s="35" t="s">
        <v>205</v>
      </c>
      <c r="C41" s="64"/>
    </row>
    <row r="42" spans="1:12" x14ac:dyDescent="0.35">
      <c r="A42" s="64">
        <f>A41+1</f>
        <v>22</v>
      </c>
      <c r="B42" s="31" t="s">
        <v>295</v>
      </c>
      <c r="C42" s="64"/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78">
        <f>SUM(D42:I42)</f>
        <v>0</v>
      </c>
    </row>
    <row r="43" spans="1:12" x14ac:dyDescent="0.35">
      <c r="A43" s="64">
        <f>A42+1</f>
        <v>23</v>
      </c>
      <c r="B43" s="31" t="s">
        <v>202</v>
      </c>
      <c r="C43" s="80" t="s">
        <v>300</v>
      </c>
      <c r="D43" s="403">
        <v>0</v>
      </c>
      <c r="E43" s="403">
        <v>0</v>
      </c>
      <c r="F43" s="403">
        <v>0</v>
      </c>
      <c r="G43" s="403">
        <v>0</v>
      </c>
      <c r="H43" s="403">
        <v>0</v>
      </c>
      <c r="I43" s="403">
        <v>0</v>
      </c>
      <c r="J43" s="61">
        <f>SUM(D43:I43)</f>
        <v>0</v>
      </c>
    </row>
    <row r="44" spans="1:12" ht="15.45" x14ac:dyDescent="0.4">
      <c r="A44" s="64">
        <f>A43+1</f>
        <v>24</v>
      </c>
      <c r="B44" s="31" t="s">
        <v>222</v>
      </c>
      <c r="C44" s="32"/>
      <c r="D44" s="37">
        <f t="shared" ref="D44:I44" si="5">SUM(D42:D43)</f>
        <v>0</v>
      </c>
      <c r="E44" s="37">
        <f t="shared" si="5"/>
        <v>0</v>
      </c>
      <c r="F44" s="37">
        <f t="shared" si="5"/>
        <v>0</v>
      </c>
      <c r="G44" s="37">
        <f t="shared" si="5"/>
        <v>0</v>
      </c>
      <c r="H44" s="37">
        <f t="shared" si="5"/>
        <v>0</v>
      </c>
      <c r="I44" s="37">
        <f t="shared" si="5"/>
        <v>0</v>
      </c>
      <c r="J44" s="78">
        <f>SUM(D44:I44)</f>
        <v>0</v>
      </c>
    </row>
    <row r="45" spans="1:12" ht="15.45" x14ac:dyDescent="0.4">
      <c r="C45" s="32"/>
      <c r="D45" s="37"/>
      <c r="E45" s="37"/>
      <c r="F45" s="37"/>
      <c r="G45" s="78"/>
      <c r="H45" s="78"/>
      <c r="I45" s="78"/>
      <c r="J45" s="78"/>
    </row>
    <row r="46" spans="1:12" ht="15.45" x14ac:dyDescent="0.4">
      <c r="A46" s="64">
        <f>A44+1</f>
        <v>25</v>
      </c>
      <c r="B46" s="35" t="s">
        <v>206</v>
      </c>
      <c r="C46" s="64"/>
    </row>
    <row r="47" spans="1:12" ht="15.45" x14ac:dyDescent="0.4">
      <c r="A47" s="64">
        <f>A46+1</f>
        <v>26</v>
      </c>
      <c r="B47" s="31" t="s">
        <v>295</v>
      </c>
      <c r="C47" s="64"/>
      <c r="D47" s="62">
        <v>40.6</v>
      </c>
      <c r="E47" s="62">
        <v>14.8</v>
      </c>
      <c r="F47" s="62">
        <v>6</v>
      </c>
      <c r="G47" s="217">
        <v>2.5</v>
      </c>
      <c r="H47" s="217">
        <v>1.6</v>
      </c>
      <c r="I47" s="217">
        <v>1.7</v>
      </c>
      <c r="J47" s="78">
        <f>SUM(D47:I47)</f>
        <v>67.2</v>
      </c>
      <c r="K47" s="35"/>
      <c r="L47" s="21"/>
    </row>
    <row r="48" spans="1:12" x14ac:dyDescent="0.35">
      <c r="A48" s="64">
        <f>A47+1</f>
        <v>27</v>
      </c>
      <c r="B48" s="31" t="s">
        <v>202</v>
      </c>
      <c r="C48" s="80" t="s">
        <v>300</v>
      </c>
      <c r="D48" s="403">
        <v>0</v>
      </c>
      <c r="E48" s="403">
        <v>0</v>
      </c>
      <c r="F48" s="403">
        <v>0</v>
      </c>
      <c r="G48" s="403">
        <v>0</v>
      </c>
      <c r="H48" s="403">
        <v>0</v>
      </c>
      <c r="I48" s="403">
        <v>0</v>
      </c>
      <c r="J48" s="61">
        <f>SUM(D48:I48)</f>
        <v>0</v>
      </c>
    </row>
    <row r="49" spans="1:13" ht="15.45" x14ac:dyDescent="0.4">
      <c r="A49" s="64">
        <f>A48+1</f>
        <v>28</v>
      </c>
      <c r="B49" s="31" t="s">
        <v>222</v>
      </c>
      <c r="C49" s="32"/>
      <c r="D49" s="37">
        <f t="shared" ref="D49:I49" si="6">SUM(D47:D48)</f>
        <v>40.6</v>
      </c>
      <c r="E49" s="37">
        <f t="shared" si="6"/>
        <v>14.8</v>
      </c>
      <c r="F49" s="37">
        <f t="shared" si="6"/>
        <v>6</v>
      </c>
      <c r="G49" s="78">
        <f t="shared" si="6"/>
        <v>2.5</v>
      </c>
      <c r="H49" s="78">
        <f t="shared" si="6"/>
        <v>1.6</v>
      </c>
      <c r="I49" s="78">
        <f t="shared" si="6"/>
        <v>1.7</v>
      </c>
      <c r="J49" s="78">
        <f>SUM(D49:I49)</f>
        <v>67.2</v>
      </c>
    </row>
    <row r="50" spans="1:13" ht="15.45" x14ac:dyDescent="0.4">
      <c r="A50" s="32"/>
      <c r="B50" s="34"/>
      <c r="C50" s="34"/>
      <c r="D50" s="48"/>
      <c r="E50" s="48"/>
      <c r="F50" s="48"/>
      <c r="G50" s="48"/>
      <c r="H50" s="48"/>
      <c r="I50" s="48"/>
      <c r="J50" s="48"/>
      <c r="M50" s="34"/>
    </row>
    <row r="51" spans="1:13" ht="15.45" x14ac:dyDescent="0.4">
      <c r="A51" s="64">
        <f>A49+1</f>
        <v>29</v>
      </c>
      <c r="B51" s="35" t="s">
        <v>207</v>
      </c>
      <c r="C51" s="64"/>
    </row>
    <row r="52" spans="1:13" ht="15.45" x14ac:dyDescent="0.4">
      <c r="A52" s="64">
        <f>A51+1</f>
        <v>30</v>
      </c>
      <c r="B52" s="31" t="s">
        <v>295</v>
      </c>
      <c r="C52" s="64"/>
      <c r="D52" s="62">
        <v>106.7</v>
      </c>
      <c r="E52" s="62">
        <v>27.7</v>
      </c>
      <c r="F52" s="62">
        <v>14</v>
      </c>
      <c r="G52" s="217">
        <v>4.4000000000000004</v>
      </c>
      <c r="H52" s="217">
        <v>5.2</v>
      </c>
      <c r="I52" s="217">
        <v>3.3</v>
      </c>
      <c r="J52" s="78">
        <f>SUM(D52:I52)</f>
        <v>161.30000000000001</v>
      </c>
      <c r="K52" s="35"/>
      <c r="L52" s="21"/>
    </row>
    <row r="53" spans="1:13" x14ac:dyDescent="0.35">
      <c r="A53" s="64">
        <f>A52+1</f>
        <v>31</v>
      </c>
      <c r="B53" s="31" t="s">
        <v>202</v>
      </c>
      <c r="C53" s="80" t="s">
        <v>300</v>
      </c>
      <c r="D53" s="403">
        <v>0</v>
      </c>
      <c r="E53" s="403">
        <v>0</v>
      </c>
      <c r="F53" s="403">
        <v>0</v>
      </c>
      <c r="G53" s="403">
        <v>0</v>
      </c>
      <c r="H53" s="403">
        <v>0</v>
      </c>
      <c r="I53" s="403">
        <v>0</v>
      </c>
      <c r="J53" s="61">
        <f>SUM(D53:I53)</f>
        <v>0</v>
      </c>
    </row>
    <row r="54" spans="1:13" ht="15.45" x14ac:dyDescent="0.4">
      <c r="A54" s="64">
        <f>A53+1</f>
        <v>32</v>
      </c>
      <c r="B54" s="31" t="s">
        <v>222</v>
      </c>
      <c r="C54" s="32"/>
      <c r="D54" s="37">
        <f t="shared" ref="D54:I54" si="7">SUM(D52:D53)</f>
        <v>106.7</v>
      </c>
      <c r="E54" s="37">
        <f t="shared" si="7"/>
        <v>27.7</v>
      </c>
      <c r="F54" s="37">
        <f t="shared" si="7"/>
        <v>14</v>
      </c>
      <c r="G54" s="78">
        <f t="shared" si="7"/>
        <v>4.4000000000000004</v>
      </c>
      <c r="H54" s="78">
        <f t="shared" si="7"/>
        <v>5.2</v>
      </c>
      <c r="I54" s="78">
        <f t="shared" si="7"/>
        <v>3.3</v>
      </c>
      <c r="J54" s="78">
        <f>SUM(D54:I54)</f>
        <v>161.30000000000001</v>
      </c>
    </row>
    <row r="55" spans="1:13" ht="15.45" x14ac:dyDescent="0.4">
      <c r="C55" s="32"/>
      <c r="D55" s="37"/>
      <c r="E55" s="37"/>
      <c r="F55" s="37"/>
      <c r="G55" s="78"/>
      <c r="H55" s="78"/>
      <c r="I55" s="78"/>
      <c r="J55" s="78"/>
    </row>
    <row r="56" spans="1:13" ht="15.45" x14ac:dyDescent="0.4">
      <c r="A56" s="64">
        <f>A54+1</f>
        <v>33</v>
      </c>
      <c r="B56" s="35" t="s">
        <v>208</v>
      </c>
      <c r="C56" s="64"/>
    </row>
    <row r="57" spans="1:13" x14ac:dyDescent="0.35">
      <c r="A57" s="64">
        <f>A56+1</f>
        <v>34</v>
      </c>
      <c r="B57" s="31" t="s">
        <v>295</v>
      </c>
      <c r="C57" s="64"/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37">
        <f>SUM(D57:I57)</f>
        <v>0</v>
      </c>
    </row>
    <row r="58" spans="1:13" x14ac:dyDescent="0.35">
      <c r="A58" s="64">
        <f>A57+1</f>
        <v>35</v>
      </c>
      <c r="B58" s="31" t="s">
        <v>202</v>
      </c>
      <c r="C58" s="80" t="s">
        <v>300</v>
      </c>
      <c r="D58" s="403">
        <v>0</v>
      </c>
      <c r="E58" s="403">
        <v>0</v>
      </c>
      <c r="F58" s="403">
        <v>0</v>
      </c>
      <c r="G58" s="403">
        <v>0</v>
      </c>
      <c r="H58" s="403">
        <v>0</v>
      </c>
      <c r="I58" s="403">
        <v>0</v>
      </c>
      <c r="J58" s="61">
        <f>SUM(D58:I58)</f>
        <v>0</v>
      </c>
    </row>
    <row r="59" spans="1:13" ht="15.45" x14ac:dyDescent="0.4">
      <c r="A59" s="64">
        <f>A58+1</f>
        <v>36</v>
      </c>
      <c r="B59" s="31" t="s">
        <v>222</v>
      </c>
      <c r="C59" s="32"/>
      <c r="D59" s="37">
        <f t="shared" ref="D59:J59" si="8">SUM(D57:D58)</f>
        <v>0</v>
      </c>
      <c r="E59" s="37">
        <f t="shared" si="8"/>
        <v>0</v>
      </c>
      <c r="F59" s="37">
        <f t="shared" si="8"/>
        <v>0</v>
      </c>
      <c r="G59" s="37">
        <f t="shared" si="8"/>
        <v>0</v>
      </c>
      <c r="H59" s="37">
        <f t="shared" si="8"/>
        <v>0</v>
      </c>
      <c r="I59" s="37">
        <f t="shared" si="8"/>
        <v>0</v>
      </c>
      <c r="J59" s="37">
        <f t="shared" si="8"/>
        <v>0</v>
      </c>
    </row>
    <row r="60" spans="1:13" ht="15.45" x14ac:dyDescent="0.4">
      <c r="C60" s="32"/>
      <c r="D60" s="37"/>
      <c r="E60" s="37"/>
      <c r="F60" s="37"/>
      <c r="G60" s="78"/>
      <c r="H60" s="78"/>
      <c r="I60" s="78"/>
      <c r="J60" s="78"/>
    </row>
    <row r="61" spans="1:13" ht="15.45" x14ac:dyDescent="0.4">
      <c r="A61" s="64">
        <f>A59+1</f>
        <v>37</v>
      </c>
      <c r="B61" s="35" t="s">
        <v>209</v>
      </c>
      <c r="C61" s="64"/>
    </row>
    <row r="62" spans="1:13" x14ac:dyDescent="0.35">
      <c r="A62" s="64">
        <f>A61+1</f>
        <v>38</v>
      </c>
      <c r="B62" s="31" t="s">
        <v>295</v>
      </c>
      <c r="C62" s="64"/>
      <c r="D62" s="62"/>
      <c r="E62" s="62"/>
      <c r="F62" s="62"/>
      <c r="G62" s="77"/>
      <c r="H62" s="77"/>
      <c r="I62" s="77"/>
      <c r="J62" s="60"/>
    </row>
    <row r="63" spans="1:13" x14ac:dyDescent="0.35">
      <c r="A63" s="64">
        <f>A62+1</f>
        <v>39</v>
      </c>
      <c r="B63" s="66" t="s">
        <v>210</v>
      </c>
      <c r="C63" s="64"/>
      <c r="D63" s="37">
        <v>2</v>
      </c>
      <c r="E63" s="37">
        <v>2</v>
      </c>
      <c r="F63" s="37">
        <v>2</v>
      </c>
      <c r="G63" s="60">
        <v>2</v>
      </c>
      <c r="H63" s="60">
        <v>2</v>
      </c>
      <c r="I63" s="60">
        <v>2</v>
      </c>
      <c r="J63" s="60">
        <f>SUM(D63:I63)</f>
        <v>12</v>
      </c>
      <c r="L63" s="21"/>
    </row>
    <row r="64" spans="1:13" ht="17.600000000000001" x14ac:dyDescent="0.65">
      <c r="A64" s="64">
        <f>A63+1</f>
        <v>40</v>
      </c>
      <c r="B64" s="66" t="s">
        <v>211</v>
      </c>
      <c r="C64" s="64"/>
      <c r="D64" s="404">
        <f>D65-D63</f>
        <v>33.9</v>
      </c>
      <c r="E64" s="404">
        <f t="shared" ref="E64:I64" si="9">E65-E63</f>
        <v>23</v>
      </c>
      <c r="F64" s="404">
        <f t="shared" si="9"/>
        <v>13.6</v>
      </c>
      <c r="G64" s="404">
        <f t="shared" si="9"/>
        <v>16.2</v>
      </c>
      <c r="H64" s="404">
        <f t="shared" si="9"/>
        <v>6</v>
      </c>
      <c r="I64" s="404">
        <f t="shared" si="9"/>
        <v>7.5</v>
      </c>
      <c r="J64" s="61">
        <f>SUM(D64:I64)</f>
        <v>100.2</v>
      </c>
    </row>
    <row r="65" spans="1:16" x14ac:dyDescent="0.35">
      <c r="B65" s="82"/>
      <c r="C65" s="64"/>
      <c r="D65" s="62">
        <v>35.9</v>
      </c>
      <c r="E65" s="62">
        <v>25</v>
      </c>
      <c r="F65" s="62">
        <v>15.6</v>
      </c>
      <c r="G65" s="77">
        <v>18.2</v>
      </c>
      <c r="H65" s="77">
        <v>8</v>
      </c>
      <c r="I65" s="77">
        <v>9.5</v>
      </c>
      <c r="J65" s="60">
        <f>SUM(D65:I65)</f>
        <v>112.2</v>
      </c>
    </row>
    <row r="66" spans="1:16" x14ac:dyDescent="0.35">
      <c r="A66" s="64">
        <f>A64+1</f>
        <v>41</v>
      </c>
      <c r="B66" s="31" t="s">
        <v>202</v>
      </c>
      <c r="C66" s="80" t="s">
        <v>300</v>
      </c>
    </row>
    <row r="67" spans="1:16" x14ac:dyDescent="0.35">
      <c r="A67" s="64">
        <f>A66+1</f>
        <v>42</v>
      </c>
      <c r="B67" s="31" t="str">
        <f>B63</f>
        <v xml:space="preserve">    First 2 Mcf</v>
      </c>
      <c r="C67" s="80"/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37">
        <f>SUM(D67:I67)</f>
        <v>0</v>
      </c>
    </row>
    <row r="68" spans="1:16" x14ac:dyDescent="0.35">
      <c r="A68" s="64">
        <f>A67+1</f>
        <v>43</v>
      </c>
      <c r="B68" s="31" t="str">
        <f>B64</f>
        <v xml:space="preserve">    Over 2 Mcf</v>
      </c>
      <c r="C68" s="80"/>
      <c r="D68" s="403">
        <v>0</v>
      </c>
      <c r="E68" s="403">
        <v>0</v>
      </c>
      <c r="F68" s="403">
        <v>0</v>
      </c>
      <c r="G68" s="403">
        <v>0</v>
      </c>
      <c r="H68" s="403">
        <v>0</v>
      </c>
      <c r="I68" s="403">
        <v>0</v>
      </c>
      <c r="J68" s="61">
        <f>SUM(D68:I68)</f>
        <v>0</v>
      </c>
    </row>
    <row r="69" spans="1:16" x14ac:dyDescent="0.35">
      <c r="C69" s="80"/>
      <c r="D69" s="37">
        <f t="shared" ref="D69:G69" si="10">SUM(D67:D68)</f>
        <v>0</v>
      </c>
      <c r="E69" s="37">
        <f t="shared" si="10"/>
        <v>0</v>
      </c>
      <c r="F69" s="37">
        <f t="shared" si="10"/>
        <v>0</v>
      </c>
      <c r="G69" s="37">
        <f t="shared" si="10"/>
        <v>0</v>
      </c>
      <c r="H69" s="37">
        <f>SUM(H67:H68)</f>
        <v>0</v>
      </c>
      <c r="I69" s="37">
        <f>SUM(I67:I68)</f>
        <v>0</v>
      </c>
      <c r="J69" s="37">
        <f>SUM(D69:I69)</f>
        <v>0</v>
      </c>
    </row>
    <row r="70" spans="1:16" ht="15.45" x14ac:dyDescent="0.4">
      <c r="A70" s="64">
        <f>A68+1</f>
        <v>44</v>
      </c>
      <c r="B70" s="31" t="s">
        <v>222</v>
      </c>
      <c r="C70" s="32"/>
      <c r="D70" s="78"/>
      <c r="E70" s="78"/>
      <c r="F70" s="78"/>
      <c r="G70" s="78"/>
      <c r="H70" s="78"/>
      <c r="I70" s="78"/>
      <c r="J70" s="78"/>
    </row>
    <row r="71" spans="1:16" ht="15.45" x14ac:dyDescent="0.4">
      <c r="A71" s="64">
        <f>A70+1</f>
        <v>45</v>
      </c>
      <c r="B71" s="31" t="str">
        <f>B67</f>
        <v xml:space="preserve">    First 2 Mcf</v>
      </c>
      <c r="C71" s="32"/>
      <c r="D71" s="78">
        <f t="shared" ref="D71:I71" si="11">D63+D67</f>
        <v>2</v>
      </c>
      <c r="E71" s="78">
        <f t="shared" si="11"/>
        <v>2</v>
      </c>
      <c r="F71" s="78">
        <f t="shared" si="11"/>
        <v>2</v>
      </c>
      <c r="G71" s="78">
        <f t="shared" si="11"/>
        <v>2</v>
      </c>
      <c r="H71" s="78">
        <f t="shared" si="11"/>
        <v>2</v>
      </c>
      <c r="I71" s="78">
        <f t="shared" si="11"/>
        <v>2</v>
      </c>
      <c r="J71" s="78">
        <f>SUM(D71:I71)</f>
        <v>12</v>
      </c>
    </row>
    <row r="72" spans="1:16" ht="15.45" x14ac:dyDescent="0.4">
      <c r="A72" s="64">
        <f>A71+1</f>
        <v>46</v>
      </c>
      <c r="B72" s="31" t="str">
        <f>B68</f>
        <v xml:space="preserve">    Over 2 Mcf</v>
      </c>
      <c r="C72" s="32"/>
      <c r="D72" s="405">
        <f t="shared" ref="D72:I72" si="12">D64+D68</f>
        <v>33.9</v>
      </c>
      <c r="E72" s="405">
        <f t="shared" si="12"/>
        <v>23</v>
      </c>
      <c r="F72" s="405">
        <f t="shared" si="12"/>
        <v>13.6</v>
      </c>
      <c r="G72" s="405">
        <f t="shared" si="12"/>
        <v>16.2</v>
      </c>
      <c r="H72" s="405">
        <f t="shared" si="12"/>
        <v>6</v>
      </c>
      <c r="I72" s="405">
        <f t="shared" si="12"/>
        <v>7.5</v>
      </c>
      <c r="J72" s="405">
        <f>SUM(D72:I72)</f>
        <v>100.2</v>
      </c>
    </row>
    <row r="73" spans="1:16" ht="15.45" x14ac:dyDescent="0.4">
      <c r="A73" s="64">
        <f>A72+1</f>
        <v>47</v>
      </c>
      <c r="B73" s="31" t="s">
        <v>296</v>
      </c>
      <c r="C73" s="32"/>
      <c r="D73" s="78">
        <f t="shared" ref="D73:I73" si="13">D65+D69</f>
        <v>35.9</v>
      </c>
      <c r="E73" s="78">
        <f t="shared" si="13"/>
        <v>25</v>
      </c>
      <c r="F73" s="78">
        <f t="shared" si="13"/>
        <v>15.6</v>
      </c>
      <c r="G73" s="78">
        <f t="shared" si="13"/>
        <v>18.2</v>
      </c>
      <c r="H73" s="78">
        <f t="shared" si="13"/>
        <v>8</v>
      </c>
      <c r="I73" s="78">
        <f t="shared" si="13"/>
        <v>9.5</v>
      </c>
      <c r="J73" s="37">
        <f>SUM(D73:I73)</f>
        <v>112.2</v>
      </c>
    </row>
    <row r="74" spans="1:16" ht="15.45" x14ac:dyDescent="0.4">
      <c r="C74" s="32"/>
      <c r="D74" s="37"/>
      <c r="E74" s="37"/>
      <c r="F74" s="37"/>
      <c r="G74" s="78"/>
      <c r="H74" s="78"/>
      <c r="I74" s="78"/>
      <c r="J74" s="78"/>
    </row>
    <row r="75" spans="1:16" ht="15.45" x14ac:dyDescent="0.4">
      <c r="A75" s="64">
        <f>A73+1</f>
        <v>48</v>
      </c>
      <c r="B75" s="35" t="s">
        <v>212</v>
      </c>
      <c r="C75" s="64"/>
    </row>
    <row r="76" spans="1:16" x14ac:dyDescent="0.35">
      <c r="A76" s="64">
        <f>A75+1</f>
        <v>49</v>
      </c>
      <c r="B76" s="31" t="s">
        <v>295</v>
      </c>
      <c r="C76" s="64"/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37">
        <f>SUM(D76:I76)</f>
        <v>0</v>
      </c>
      <c r="L76" s="21"/>
    </row>
    <row r="77" spans="1:16" x14ac:dyDescent="0.35">
      <c r="A77" s="64">
        <f>A76+1</f>
        <v>50</v>
      </c>
      <c r="B77" s="31" t="s">
        <v>202</v>
      </c>
      <c r="C77" s="80" t="s">
        <v>300</v>
      </c>
      <c r="D77" s="403">
        <v>0</v>
      </c>
      <c r="E77" s="403">
        <v>0</v>
      </c>
      <c r="F77" s="403">
        <v>0</v>
      </c>
      <c r="G77" s="403">
        <v>0</v>
      </c>
      <c r="H77" s="403">
        <v>0</v>
      </c>
      <c r="I77" s="403">
        <v>0</v>
      </c>
      <c r="J77" s="61">
        <f>SUM(D77:I77)</f>
        <v>0</v>
      </c>
    </row>
    <row r="78" spans="1:16" ht="15.45" x14ac:dyDescent="0.4">
      <c r="A78" s="64">
        <f>A77+1</f>
        <v>51</v>
      </c>
      <c r="B78" s="31" t="s">
        <v>222</v>
      </c>
      <c r="C78" s="32"/>
      <c r="D78" s="37">
        <f t="shared" ref="D78:I78" si="14">SUM(D76:D77)</f>
        <v>0</v>
      </c>
      <c r="E78" s="37">
        <f t="shared" si="14"/>
        <v>0</v>
      </c>
      <c r="F78" s="37">
        <f t="shared" si="14"/>
        <v>0</v>
      </c>
      <c r="G78" s="37">
        <f t="shared" si="14"/>
        <v>0</v>
      </c>
      <c r="H78" s="37">
        <f t="shared" si="14"/>
        <v>0</v>
      </c>
      <c r="I78" s="37">
        <f t="shared" si="14"/>
        <v>0</v>
      </c>
      <c r="J78" s="37">
        <f>SUM(D78:I78)</f>
        <v>0</v>
      </c>
    </row>
    <row r="79" spans="1:16" ht="15.45" x14ac:dyDescent="0.4">
      <c r="C79" s="32"/>
      <c r="D79" s="37"/>
      <c r="E79" s="37"/>
      <c r="F79" s="37"/>
      <c r="G79" s="78"/>
      <c r="H79" s="78"/>
      <c r="I79" s="78"/>
      <c r="J79" s="78"/>
    </row>
    <row r="80" spans="1:16" ht="15.45" x14ac:dyDescent="0.4">
      <c r="C80" s="32"/>
      <c r="D80" s="78"/>
      <c r="E80" s="78"/>
      <c r="F80" s="78"/>
      <c r="G80" s="37"/>
      <c r="H80" s="37"/>
      <c r="I80" s="37"/>
      <c r="J80" s="37"/>
      <c r="K80" s="37"/>
      <c r="L80" s="37"/>
      <c r="M80" s="78"/>
      <c r="N80" s="78"/>
      <c r="O80" s="78"/>
      <c r="P80" s="79"/>
    </row>
    <row r="81" spans="1:18" ht="15.75" customHeight="1" x14ac:dyDescent="0.4">
      <c r="A81" s="475" t="str">
        <f>CONAME</f>
        <v>Columbia Gas of Kentucky, Inc.</v>
      </c>
      <c r="B81" s="475"/>
      <c r="C81" s="475"/>
      <c r="D81" s="475"/>
      <c r="E81" s="475"/>
      <c r="F81" s="475"/>
      <c r="G81" s="475"/>
      <c r="H81" s="475"/>
      <c r="I81" s="475"/>
      <c r="J81" s="475"/>
      <c r="K81" s="110"/>
      <c r="L81" s="110"/>
      <c r="M81" s="110"/>
      <c r="N81" s="110"/>
      <c r="O81" s="110"/>
      <c r="P81" s="110"/>
    </row>
    <row r="82" spans="1:18" ht="15.75" customHeight="1" x14ac:dyDescent="0.4">
      <c r="A82" s="475" t="s">
        <v>157</v>
      </c>
      <c r="B82" s="475"/>
      <c r="C82" s="475"/>
      <c r="D82" s="475"/>
      <c r="E82" s="475"/>
      <c r="F82" s="475"/>
      <c r="G82" s="475"/>
      <c r="H82" s="475"/>
      <c r="I82" s="475"/>
      <c r="J82" s="475"/>
      <c r="K82" s="110"/>
      <c r="L82" s="110"/>
      <c r="M82" s="110"/>
      <c r="N82" s="110"/>
      <c r="O82" s="110"/>
      <c r="P82" s="110"/>
    </row>
    <row r="83" spans="1:18" ht="15.75" customHeight="1" x14ac:dyDescent="0.4">
      <c r="A83" s="472" t="str">
        <f>TYDESC</f>
        <v>For the 6 Months Ended August 31, 2024</v>
      </c>
      <c r="B83" s="472"/>
      <c r="C83" s="472"/>
      <c r="D83" s="472"/>
      <c r="E83" s="472"/>
      <c r="F83" s="472"/>
      <c r="G83" s="472"/>
      <c r="H83" s="472"/>
      <c r="I83" s="472"/>
      <c r="J83" s="472"/>
      <c r="K83" s="35"/>
      <c r="L83" s="35"/>
      <c r="M83" s="35"/>
      <c r="N83" s="35"/>
      <c r="O83" s="35"/>
      <c r="P83" s="35"/>
    </row>
    <row r="84" spans="1:18" ht="15.75" customHeight="1" x14ac:dyDescent="0.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8" ht="15.45" x14ac:dyDescent="0.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8" ht="15.45" x14ac:dyDescent="0.4">
      <c r="A86" s="75" t="s">
        <v>180</v>
      </c>
      <c r="C86" s="32"/>
      <c r="D86" s="32"/>
      <c r="E86" s="32"/>
      <c r="F86" s="32"/>
      <c r="J86" s="71" t="str">
        <f>$J$6</f>
        <v>Workpaper WPM-C.1</v>
      </c>
    </row>
    <row r="87" spans="1:18" ht="15.45" x14ac:dyDescent="0.4">
      <c r="A87" s="75" t="s">
        <v>181</v>
      </c>
      <c r="C87" s="32"/>
      <c r="D87" s="32"/>
      <c r="E87" s="32"/>
      <c r="F87" s="32"/>
      <c r="J87" s="72" t="s">
        <v>312</v>
      </c>
    </row>
    <row r="88" spans="1:18" ht="15.45" x14ac:dyDescent="0.4">
      <c r="A88" s="75" t="s">
        <v>64</v>
      </c>
      <c r="C88" s="32"/>
      <c r="D88" s="32"/>
      <c r="E88" s="32"/>
      <c r="F88" s="32"/>
      <c r="P88" s="72"/>
    </row>
    <row r="89" spans="1:18" ht="15.45" x14ac:dyDescent="0.4">
      <c r="A89" s="102" t="str">
        <f>$A$9</f>
        <v>6 Mos Forecasted</v>
      </c>
      <c r="B89" s="32"/>
      <c r="C89" s="32"/>
      <c r="D89" s="33"/>
      <c r="E89" s="32"/>
      <c r="F89" s="41"/>
      <c r="G89" s="42"/>
      <c r="H89" s="41"/>
      <c r="I89" s="30"/>
      <c r="J89" s="41"/>
      <c r="K89" s="41"/>
      <c r="L89" s="41"/>
      <c r="M89" s="41"/>
      <c r="N89" s="41"/>
      <c r="O89" s="41"/>
      <c r="P89" s="41"/>
      <c r="Q89" s="32"/>
      <c r="R89" s="32"/>
    </row>
    <row r="90" spans="1:18" ht="15.45" x14ac:dyDescent="0.4">
      <c r="A90" s="102"/>
      <c r="B90" s="32"/>
      <c r="C90" s="32"/>
      <c r="D90" s="33"/>
      <c r="E90" s="32"/>
      <c r="F90" s="41"/>
      <c r="G90" s="42"/>
      <c r="H90" s="41"/>
      <c r="I90" s="30"/>
      <c r="J90" s="41"/>
      <c r="K90" s="41"/>
      <c r="L90" s="41"/>
      <c r="M90" s="41"/>
      <c r="N90" s="41"/>
      <c r="O90" s="41"/>
      <c r="P90" s="41"/>
      <c r="Q90" s="32"/>
      <c r="R90" s="32"/>
    </row>
    <row r="91" spans="1:18" ht="15.45" x14ac:dyDescent="0.4">
      <c r="A91" s="406"/>
      <c r="B91" s="32"/>
      <c r="C91" s="32"/>
      <c r="D91" s="33"/>
      <c r="E91" s="32"/>
      <c r="F91" s="41"/>
      <c r="G91" s="42"/>
      <c r="H91" s="41"/>
      <c r="I91" s="30"/>
      <c r="J91" s="41"/>
      <c r="K91" s="41"/>
      <c r="L91" s="41"/>
      <c r="M91" s="41"/>
      <c r="N91" s="41"/>
      <c r="O91" s="41"/>
      <c r="P91" s="41"/>
      <c r="Q91" s="32"/>
      <c r="R91" s="32"/>
    </row>
    <row r="92" spans="1:18" ht="15.45" x14ac:dyDescent="0.4">
      <c r="A92" s="32" t="s">
        <v>11</v>
      </c>
      <c r="B92" s="32"/>
      <c r="C92" s="32"/>
      <c r="D92" s="33"/>
      <c r="E92" s="32"/>
      <c r="F92" s="41"/>
      <c r="G92" s="42"/>
      <c r="H92" s="41"/>
      <c r="I92" s="30"/>
      <c r="J92" s="41"/>
      <c r="K92" s="41"/>
      <c r="L92" s="41"/>
      <c r="M92" s="41"/>
      <c r="N92" s="41"/>
      <c r="O92" s="41"/>
      <c r="P92" s="41"/>
      <c r="Q92" s="34"/>
      <c r="R92" s="34"/>
    </row>
    <row r="93" spans="1:18" ht="15.45" x14ac:dyDescent="0.4">
      <c r="A93" s="43" t="s">
        <v>13</v>
      </c>
      <c r="B93" s="43" t="s">
        <v>14</v>
      </c>
      <c r="C93" s="43" t="s">
        <v>152</v>
      </c>
      <c r="D93" s="45" t="str">
        <f>B!$D$13</f>
        <v>Mar-24</v>
      </c>
      <c r="E93" s="45" t="str">
        <f>B!$E$13</f>
        <v>Apr-24</v>
      </c>
      <c r="F93" s="45" t="str">
        <f>B!$F$13</f>
        <v>May-24</v>
      </c>
      <c r="G93" s="45" t="str">
        <f>B!$G$13</f>
        <v>Jun-24</v>
      </c>
      <c r="H93" s="45" t="str">
        <f>B!$H$13</f>
        <v>Jul-24</v>
      </c>
      <c r="I93" s="45" t="str">
        <f>B!$I$13</f>
        <v>Aug-24</v>
      </c>
      <c r="J93" s="45" t="s">
        <v>15</v>
      </c>
      <c r="M93" s="46"/>
    </row>
    <row r="94" spans="1:18" ht="15.45" x14ac:dyDescent="0.4">
      <c r="A94" s="32"/>
      <c r="B94" s="34" t="s">
        <v>49</v>
      </c>
      <c r="C94" s="34" t="s">
        <v>50</v>
      </c>
      <c r="D94" s="120" t="s">
        <v>56</v>
      </c>
      <c r="E94" s="48" t="s">
        <v>57</v>
      </c>
      <c r="F94" s="48" t="s">
        <v>58</v>
      </c>
      <c r="G94" s="48" t="s">
        <v>59</v>
      </c>
      <c r="H94" s="48" t="s">
        <v>60</v>
      </c>
      <c r="I94" s="48" t="s">
        <v>61</v>
      </c>
      <c r="J94" s="48" t="s">
        <v>62</v>
      </c>
      <c r="M94" s="34"/>
    </row>
    <row r="95" spans="1:18" ht="15.45" x14ac:dyDescent="0.4">
      <c r="A95" s="32"/>
      <c r="B95" s="34"/>
      <c r="C95" s="34"/>
      <c r="D95" s="48"/>
      <c r="E95" s="48"/>
      <c r="F95" s="48"/>
      <c r="G95" s="48"/>
      <c r="H95" s="48"/>
      <c r="I95" s="48"/>
      <c r="J95" s="48"/>
      <c r="M95" s="34"/>
    </row>
    <row r="96" spans="1:18" ht="15.45" x14ac:dyDescent="0.4">
      <c r="C96" s="32"/>
      <c r="D96" s="37"/>
      <c r="E96" s="37"/>
      <c r="F96" s="37"/>
      <c r="G96" s="78"/>
      <c r="H96" s="78"/>
      <c r="I96" s="78"/>
      <c r="J96" s="78"/>
    </row>
    <row r="97" spans="1:13" ht="15.45" x14ac:dyDescent="0.4">
      <c r="A97" s="64">
        <v>1</v>
      </c>
      <c r="B97" s="35" t="s">
        <v>213</v>
      </c>
      <c r="C97" s="64"/>
      <c r="H97" s="37"/>
      <c r="I97" s="37"/>
    </row>
    <row r="98" spans="1:13" x14ac:dyDescent="0.35">
      <c r="A98" s="64">
        <f>A97+1</f>
        <v>2</v>
      </c>
      <c r="B98" s="31" t="s">
        <v>295</v>
      </c>
      <c r="C98" s="64"/>
      <c r="D98" s="62"/>
      <c r="E98" s="62"/>
      <c r="F98" s="62"/>
      <c r="G98" s="77"/>
      <c r="H98" s="77"/>
      <c r="I98" s="77"/>
      <c r="J98" s="60"/>
    </row>
    <row r="99" spans="1:13" x14ac:dyDescent="0.35">
      <c r="A99" s="64">
        <f>A98+1</f>
        <v>3</v>
      </c>
      <c r="B99" s="66" t="s">
        <v>214</v>
      </c>
      <c r="C99" s="64"/>
      <c r="D99" s="62">
        <v>260627.3</v>
      </c>
      <c r="E99" s="62">
        <v>201722.5</v>
      </c>
      <c r="F99" s="62">
        <v>119664.9</v>
      </c>
      <c r="G99" s="77">
        <v>77502.7</v>
      </c>
      <c r="H99" s="77">
        <v>69251.199999999997</v>
      </c>
      <c r="I99" s="77">
        <v>65968.600000000006</v>
      </c>
      <c r="J99" s="60">
        <f>SUM(D99:I99)</f>
        <v>794737.19999999984</v>
      </c>
    </row>
    <row r="100" spans="1:13" x14ac:dyDescent="0.35">
      <c r="A100" s="64">
        <f>A99+1</f>
        <v>4</v>
      </c>
      <c r="B100" s="66" t="s">
        <v>215</v>
      </c>
      <c r="C100" s="64"/>
      <c r="D100" s="62">
        <v>224102.8</v>
      </c>
      <c r="E100" s="62">
        <v>158158.70000000001</v>
      </c>
      <c r="F100" s="62">
        <v>75825.7</v>
      </c>
      <c r="G100" s="77">
        <v>55570.3</v>
      </c>
      <c r="H100" s="77">
        <v>46226.5</v>
      </c>
      <c r="I100" s="77">
        <v>41434.300000000003</v>
      </c>
      <c r="J100" s="60">
        <f>SUM(D100:I100)</f>
        <v>601318.30000000005</v>
      </c>
    </row>
    <row r="101" spans="1:13" x14ac:dyDescent="0.35">
      <c r="A101" s="64">
        <f>A100+1</f>
        <v>5</v>
      </c>
      <c r="B101" s="66" t="s">
        <v>216</v>
      </c>
      <c r="C101" s="64"/>
      <c r="D101" s="62">
        <v>49742.9</v>
      </c>
      <c r="E101" s="62">
        <v>27435.5</v>
      </c>
      <c r="F101" s="62">
        <v>11925.7</v>
      </c>
      <c r="G101" s="77">
        <v>10263.299999999999</v>
      </c>
      <c r="H101" s="77">
        <v>7718</v>
      </c>
      <c r="I101" s="77">
        <v>6478.3</v>
      </c>
      <c r="J101" s="60">
        <f>SUM(D101:I101)</f>
        <v>113563.7</v>
      </c>
    </row>
    <row r="102" spans="1:13" ht="17.600000000000001" x14ac:dyDescent="0.65">
      <c r="A102" s="64">
        <f>A101+1</f>
        <v>6</v>
      </c>
      <c r="B102" s="66" t="s">
        <v>217</v>
      </c>
      <c r="C102" s="64"/>
      <c r="D102" s="407">
        <v>25037.5</v>
      </c>
      <c r="E102" s="407">
        <v>12476.3</v>
      </c>
      <c r="F102" s="407">
        <v>9597.4</v>
      </c>
      <c r="G102" s="407">
        <v>9018.2999999999993</v>
      </c>
      <c r="H102" s="407">
        <v>6289.8</v>
      </c>
      <c r="I102" s="407">
        <v>6278.1</v>
      </c>
      <c r="J102" s="61">
        <f>SUM(D102:I102)</f>
        <v>68697.400000000009</v>
      </c>
    </row>
    <row r="103" spans="1:13" x14ac:dyDescent="0.35">
      <c r="B103" s="66"/>
      <c r="C103" s="64"/>
      <c r="D103" s="60">
        <f t="shared" ref="D103:H103" si="15">SUM(D99:D102)</f>
        <v>559510.5</v>
      </c>
      <c r="E103" s="60">
        <f t="shared" si="15"/>
        <v>399793</v>
      </c>
      <c r="F103" s="60">
        <f t="shared" si="15"/>
        <v>217013.69999999998</v>
      </c>
      <c r="G103" s="60">
        <f t="shared" si="15"/>
        <v>152354.59999999998</v>
      </c>
      <c r="H103" s="60">
        <f t="shared" si="15"/>
        <v>129485.5</v>
      </c>
      <c r="I103" s="60">
        <f>SUM(I99:I102)</f>
        <v>120159.30000000002</v>
      </c>
      <c r="J103" s="60">
        <f>SUM(D103:I103)</f>
        <v>1578316.5999999999</v>
      </c>
      <c r="L103" s="21"/>
    </row>
    <row r="104" spans="1:13" x14ac:dyDescent="0.35">
      <c r="A104" s="64">
        <f>A102+1</f>
        <v>7</v>
      </c>
      <c r="B104" s="31" t="s">
        <v>202</v>
      </c>
      <c r="C104" s="80" t="s">
        <v>300</v>
      </c>
      <c r="D104" s="62"/>
      <c r="E104" s="62"/>
      <c r="F104" s="62"/>
      <c r="G104" s="62"/>
      <c r="H104" s="62"/>
      <c r="I104" s="62"/>
      <c r="J104" s="37"/>
    </row>
    <row r="105" spans="1:13" x14ac:dyDescent="0.35">
      <c r="A105" s="64">
        <f>A104+1</f>
        <v>8</v>
      </c>
      <c r="B105" s="31" t="str">
        <f>B99</f>
        <v xml:space="preserve">    First 50 Mcf</v>
      </c>
      <c r="C105" s="80"/>
      <c r="D105" s="37">
        <f>'D pg 1'!D30</f>
        <v>0</v>
      </c>
      <c r="E105" s="37">
        <f>'D pg 1'!E30</f>
        <v>0</v>
      </c>
      <c r="F105" s="37">
        <f>'D pg 1'!F30</f>
        <v>0</v>
      </c>
      <c r="G105" s="37">
        <f>'D pg 1'!G30</f>
        <v>0</v>
      </c>
      <c r="H105" s="37">
        <f>'D pg 1'!H30</f>
        <v>0</v>
      </c>
      <c r="I105" s="37">
        <f>'D pg 1'!I30</f>
        <v>0</v>
      </c>
      <c r="J105" s="37">
        <f>SUM(D105:I105)</f>
        <v>0</v>
      </c>
    </row>
    <row r="106" spans="1:13" x14ac:dyDescent="0.35">
      <c r="A106" s="64">
        <f>A105+1</f>
        <v>9</v>
      </c>
      <c r="B106" s="31" t="str">
        <f>B100</f>
        <v xml:space="preserve">    Next 350 Mcf</v>
      </c>
      <c r="C106" s="80"/>
      <c r="D106" s="37">
        <f>'D pg 1'!D31</f>
        <v>0</v>
      </c>
      <c r="E106" s="37">
        <f>'D pg 1'!E31</f>
        <v>0</v>
      </c>
      <c r="F106" s="37">
        <f>'D pg 1'!F31</f>
        <v>0</v>
      </c>
      <c r="G106" s="37">
        <f>'D pg 1'!G31</f>
        <v>0</v>
      </c>
      <c r="H106" s="37">
        <f>'D pg 1'!H31</f>
        <v>0</v>
      </c>
      <c r="I106" s="37">
        <f>'D pg 1'!I31</f>
        <v>0</v>
      </c>
      <c r="J106" s="37">
        <f>SUM(D106:I106)</f>
        <v>0</v>
      </c>
    </row>
    <row r="107" spans="1:13" x14ac:dyDescent="0.35">
      <c r="A107" s="64">
        <f>A106+1</f>
        <v>10</v>
      </c>
      <c r="B107" s="31" t="str">
        <f>B101</f>
        <v xml:space="preserve">    Next 600 Mcf</v>
      </c>
      <c r="C107" s="80"/>
      <c r="D107" s="37">
        <f>'D pg 1'!D32</f>
        <v>0</v>
      </c>
      <c r="E107" s="37">
        <f>'D pg 1'!E32</f>
        <v>0</v>
      </c>
      <c r="F107" s="37">
        <f>'D pg 1'!F32</f>
        <v>0</v>
      </c>
      <c r="G107" s="37">
        <f>'D pg 1'!G32</f>
        <v>0</v>
      </c>
      <c r="H107" s="37">
        <f>'D pg 1'!H32</f>
        <v>0</v>
      </c>
      <c r="I107" s="37">
        <f>'D pg 1'!I32</f>
        <v>0</v>
      </c>
      <c r="J107" s="37">
        <f>SUM(D107:I107)</f>
        <v>0</v>
      </c>
    </row>
    <row r="108" spans="1:13" x14ac:dyDescent="0.35">
      <c r="A108" s="64">
        <f>A107+1</f>
        <v>11</v>
      </c>
      <c r="B108" s="31" t="str">
        <f>B102</f>
        <v xml:space="preserve">    Over 1,000 Mcf</v>
      </c>
      <c r="C108" s="80"/>
      <c r="D108" s="61">
        <f>'D pg 1'!D33</f>
        <v>0</v>
      </c>
      <c r="E108" s="61">
        <f>'D pg 1'!E33</f>
        <v>0</v>
      </c>
      <c r="F108" s="61">
        <f>'D pg 1'!F33</f>
        <v>0</v>
      </c>
      <c r="G108" s="61">
        <f>'D pg 1'!G33</f>
        <v>0</v>
      </c>
      <c r="H108" s="61">
        <f>'D pg 1'!H33</f>
        <v>0</v>
      </c>
      <c r="I108" s="61">
        <f>'D pg 1'!I33</f>
        <v>0</v>
      </c>
      <c r="J108" s="61">
        <f>SUM(D108:I108)</f>
        <v>0</v>
      </c>
    </row>
    <row r="109" spans="1:13" x14ac:dyDescent="0.35">
      <c r="C109" s="80"/>
      <c r="D109" s="37">
        <f t="shared" ref="D109:H109" si="16">SUM(D105:D108)</f>
        <v>0</v>
      </c>
      <c r="E109" s="37">
        <f t="shared" si="16"/>
        <v>0</v>
      </c>
      <c r="F109" s="37">
        <f t="shared" si="16"/>
        <v>0</v>
      </c>
      <c r="G109" s="37">
        <f t="shared" si="16"/>
        <v>0</v>
      </c>
      <c r="H109" s="37">
        <f t="shared" si="16"/>
        <v>0</v>
      </c>
      <c r="I109" s="37">
        <f>SUM(I105:I108)</f>
        <v>0</v>
      </c>
      <c r="J109" s="37">
        <f>SUM(D109:I109)</f>
        <v>0</v>
      </c>
    </row>
    <row r="110" spans="1:13" ht="15.45" x14ac:dyDescent="0.4">
      <c r="A110" s="64">
        <f>A108+1</f>
        <v>12</v>
      </c>
      <c r="B110" s="31" t="s">
        <v>222</v>
      </c>
      <c r="C110" s="32"/>
      <c r="D110" s="37"/>
      <c r="E110" s="37"/>
      <c r="F110" s="37"/>
      <c r="G110" s="78"/>
      <c r="H110" s="78"/>
      <c r="I110" s="78"/>
      <c r="J110" s="78"/>
    </row>
    <row r="111" spans="1:13" ht="15.45" x14ac:dyDescent="0.4">
      <c r="A111" s="64">
        <f>A110+1</f>
        <v>13</v>
      </c>
      <c r="B111" s="31" t="str">
        <f>B105</f>
        <v xml:space="preserve">    First 50 Mcf</v>
      </c>
      <c r="C111" s="34"/>
      <c r="D111" s="121">
        <f>D99+D105</f>
        <v>260627.3</v>
      </c>
      <c r="E111" s="121">
        <f t="shared" ref="E111:J111" si="17">E99+E105</f>
        <v>201722.5</v>
      </c>
      <c r="F111" s="121">
        <f t="shared" si="17"/>
        <v>119664.9</v>
      </c>
      <c r="G111" s="121">
        <f t="shared" si="17"/>
        <v>77502.7</v>
      </c>
      <c r="H111" s="121">
        <f t="shared" si="17"/>
        <v>69251.199999999997</v>
      </c>
      <c r="I111" s="121">
        <f t="shared" si="17"/>
        <v>65968.600000000006</v>
      </c>
      <c r="J111" s="121">
        <f t="shared" si="17"/>
        <v>794737.19999999984</v>
      </c>
      <c r="M111" s="34"/>
    </row>
    <row r="112" spans="1:13" ht="15.45" x14ac:dyDescent="0.4">
      <c r="A112" s="64">
        <f>A111+1</f>
        <v>14</v>
      </c>
      <c r="B112" s="31" t="str">
        <f>B106</f>
        <v xml:space="preserve">    Next 350 Mcf</v>
      </c>
      <c r="C112" s="34"/>
      <c r="D112" s="121">
        <f t="shared" ref="D112:J114" si="18">D100+D106</f>
        <v>224102.8</v>
      </c>
      <c r="E112" s="121">
        <f t="shared" si="18"/>
        <v>158158.70000000001</v>
      </c>
      <c r="F112" s="121">
        <f t="shared" si="18"/>
        <v>75825.7</v>
      </c>
      <c r="G112" s="121">
        <f t="shared" si="18"/>
        <v>55570.3</v>
      </c>
      <c r="H112" s="121">
        <f t="shared" si="18"/>
        <v>46226.5</v>
      </c>
      <c r="I112" s="121">
        <f t="shared" si="18"/>
        <v>41434.300000000003</v>
      </c>
      <c r="J112" s="121">
        <f t="shared" si="18"/>
        <v>601318.30000000005</v>
      </c>
      <c r="M112" s="34"/>
    </row>
    <row r="113" spans="1:19" ht="15.45" x14ac:dyDescent="0.4">
      <c r="A113" s="64">
        <f>A112+1</f>
        <v>15</v>
      </c>
      <c r="B113" s="31" t="str">
        <f>B107</f>
        <v xml:space="preserve">    Next 600 Mcf</v>
      </c>
      <c r="C113" s="34"/>
      <c r="D113" s="121">
        <f t="shared" si="18"/>
        <v>49742.9</v>
      </c>
      <c r="E113" s="121">
        <f t="shared" si="18"/>
        <v>27435.5</v>
      </c>
      <c r="F113" s="121">
        <f t="shared" si="18"/>
        <v>11925.7</v>
      </c>
      <c r="G113" s="121">
        <f t="shared" si="18"/>
        <v>10263.299999999999</v>
      </c>
      <c r="H113" s="121">
        <f t="shared" si="18"/>
        <v>7718</v>
      </c>
      <c r="I113" s="121">
        <f t="shared" si="18"/>
        <v>6478.3</v>
      </c>
      <c r="J113" s="121">
        <f t="shared" si="18"/>
        <v>113563.7</v>
      </c>
      <c r="M113" s="34"/>
    </row>
    <row r="114" spans="1:19" ht="15.45" x14ac:dyDescent="0.4">
      <c r="A114" s="64">
        <f>A113+1</f>
        <v>16</v>
      </c>
      <c r="B114" s="31" t="str">
        <f>B108</f>
        <v xml:space="preserve">    Over 1,000 Mcf</v>
      </c>
      <c r="C114" s="34"/>
      <c r="D114" s="405">
        <f t="shared" si="18"/>
        <v>25037.5</v>
      </c>
      <c r="E114" s="405">
        <f t="shared" si="18"/>
        <v>12476.3</v>
      </c>
      <c r="F114" s="405">
        <f t="shared" si="18"/>
        <v>9597.4</v>
      </c>
      <c r="G114" s="405">
        <f t="shared" si="18"/>
        <v>9018.2999999999993</v>
      </c>
      <c r="H114" s="405">
        <f t="shared" si="18"/>
        <v>6289.8</v>
      </c>
      <c r="I114" s="405">
        <f t="shared" si="18"/>
        <v>6278.1</v>
      </c>
      <c r="J114" s="405">
        <f t="shared" si="18"/>
        <v>68697.400000000009</v>
      </c>
      <c r="M114" s="34"/>
    </row>
    <row r="115" spans="1:19" ht="15.45" x14ac:dyDescent="0.4">
      <c r="A115" s="64">
        <f>A114+1</f>
        <v>17</v>
      </c>
      <c r="B115" s="31" t="s">
        <v>296</v>
      </c>
      <c r="C115" s="34"/>
      <c r="D115" s="121">
        <f t="shared" ref="D115:J115" si="19">D103+D109</f>
        <v>559510.5</v>
      </c>
      <c r="E115" s="121">
        <f t="shared" si="19"/>
        <v>399793</v>
      </c>
      <c r="F115" s="121">
        <f t="shared" si="19"/>
        <v>217013.69999999998</v>
      </c>
      <c r="G115" s="121">
        <f t="shared" si="19"/>
        <v>152354.59999999998</v>
      </c>
      <c r="H115" s="121">
        <f t="shared" si="19"/>
        <v>129485.5</v>
      </c>
      <c r="I115" s="121">
        <f t="shared" si="19"/>
        <v>120159.30000000002</v>
      </c>
      <c r="J115" s="121">
        <f t="shared" si="19"/>
        <v>1578316.5999999999</v>
      </c>
      <c r="M115" s="34"/>
    </row>
    <row r="116" spans="1:19" ht="15.45" x14ac:dyDescent="0.4">
      <c r="A116" s="32"/>
      <c r="B116" s="34"/>
      <c r="C116" s="34"/>
      <c r="D116" s="120"/>
      <c r="E116" s="120"/>
      <c r="F116" s="120"/>
      <c r="G116" s="120"/>
      <c r="H116" s="120"/>
      <c r="I116" s="120"/>
      <c r="J116" s="48"/>
      <c r="K116" s="48"/>
      <c r="L116" s="48"/>
      <c r="M116" s="48"/>
      <c r="N116" s="48"/>
      <c r="O116" s="48"/>
      <c r="P116" s="48"/>
      <c r="S116" s="34"/>
    </row>
    <row r="117" spans="1:19" ht="15.45" x14ac:dyDescent="0.4">
      <c r="A117" s="64">
        <f>A115+1</f>
        <v>18</v>
      </c>
      <c r="B117" s="35" t="s">
        <v>223</v>
      </c>
      <c r="C117" s="64"/>
    </row>
    <row r="118" spans="1:19" x14ac:dyDescent="0.35">
      <c r="A118" s="64">
        <f>A117+1</f>
        <v>19</v>
      </c>
      <c r="B118" s="31" t="s">
        <v>295</v>
      </c>
      <c r="C118" s="64"/>
      <c r="D118" s="62"/>
      <c r="E118" s="62"/>
      <c r="F118" s="62"/>
      <c r="G118" s="77"/>
      <c r="H118" s="77"/>
      <c r="I118" s="77"/>
      <c r="J118" s="60"/>
    </row>
    <row r="119" spans="1:19" x14ac:dyDescent="0.35">
      <c r="A119" s="64">
        <f>A118+1</f>
        <v>20</v>
      </c>
      <c r="B119" s="66" t="s">
        <v>214</v>
      </c>
      <c r="C119" s="64"/>
      <c r="D119" s="62">
        <f>1892.7+6</f>
        <v>1898.7</v>
      </c>
      <c r="E119" s="62">
        <v>1820.2</v>
      </c>
      <c r="F119" s="62">
        <v>1485.4</v>
      </c>
      <c r="G119" s="77">
        <f>1084.3+50</f>
        <v>1134.3</v>
      </c>
      <c r="H119" s="77">
        <v>771</v>
      </c>
      <c r="I119" s="77">
        <v>824.3</v>
      </c>
      <c r="J119" s="60">
        <f>SUM(D119:I119)</f>
        <v>7933.9000000000005</v>
      </c>
    </row>
    <row r="120" spans="1:19" x14ac:dyDescent="0.35">
      <c r="A120" s="64">
        <f>A119+1</f>
        <v>21</v>
      </c>
      <c r="B120" s="66" t="s">
        <v>215</v>
      </c>
      <c r="C120" s="64"/>
      <c r="D120" s="62">
        <v>8834.7000000000007</v>
      </c>
      <c r="E120" s="62">
        <v>7627.8</v>
      </c>
      <c r="F120" s="62">
        <v>5702.1</v>
      </c>
      <c r="G120" s="77">
        <f>4304.2+185</f>
        <v>4489.2</v>
      </c>
      <c r="H120" s="77">
        <v>2603.5</v>
      </c>
      <c r="I120" s="77">
        <v>2741</v>
      </c>
      <c r="J120" s="60">
        <f>SUM(D120:I120)</f>
        <v>31998.3</v>
      </c>
    </row>
    <row r="121" spans="1:19" x14ac:dyDescent="0.35">
      <c r="A121" s="64">
        <f>A120+1</f>
        <v>22</v>
      </c>
      <c r="B121" s="66" t="s">
        <v>216</v>
      </c>
      <c r="C121" s="64"/>
      <c r="D121" s="62">
        <v>7229.1</v>
      </c>
      <c r="E121" s="62">
        <v>5108.2</v>
      </c>
      <c r="F121" s="62">
        <v>4085.8</v>
      </c>
      <c r="G121" s="77">
        <v>3226.6</v>
      </c>
      <c r="H121" s="77">
        <v>3112</v>
      </c>
      <c r="I121" s="77">
        <v>2650</v>
      </c>
      <c r="J121" s="60">
        <f>SUM(D121:I121)</f>
        <v>25411.699999999997</v>
      </c>
    </row>
    <row r="122" spans="1:19" ht="17.600000000000001" x14ac:dyDescent="0.65">
      <c r="A122" s="64">
        <f t="shared" ref="A122:A128" si="20">A121+1</f>
        <v>23</v>
      </c>
      <c r="B122" s="66" t="s">
        <v>217</v>
      </c>
      <c r="C122" s="64"/>
      <c r="D122" s="407">
        <v>7669.9</v>
      </c>
      <c r="E122" s="407">
        <v>4774.7</v>
      </c>
      <c r="F122" s="407">
        <v>3273</v>
      </c>
      <c r="G122" s="407">
        <v>3000</v>
      </c>
      <c r="H122" s="407">
        <v>1900</v>
      </c>
      <c r="I122" s="407">
        <v>1800</v>
      </c>
      <c r="J122" s="61">
        <f>SUM(D122:I122)</f>
        <v>22417.599999999999</v>
      </c>
    </row>
    <row r="123" spans="1:19" x14ac:dyDescent="0.35">
      <c r="B123" s="66"/>
      <c r="C123" s="64"/>
      <c r="D123" s="60">
        <f>SUM(D119:D122)</f>
        <v>25632.400000000001</v>
      </c>
      <c r="E123" s="60">
        <f>SUM(E119:E122)</f>
        <v>19330.900000000001</v>
      </c>
      <c r="F123" s="60">
        <f t="shared" ref="F123:H123" si="21">SUM(F119:F122)</f>
        <v>14546.3</v>
      </c>
      <c r="G123" s="60">
        <f t="shared" si="21"/>
        <v>11850.1</v>
      </c>
      <c r="H123" s="60">
        <f t="shared" si="21"/>
        <v>8386.5</v>
      </c>
      <c r="I123" s="60">
        <f>SUM(I119:I122)</f>
        <v>8015.3</v>
      </c>
      <c r="J123" s="60">
        <f>SUM(D123:I123)</f>
        <v>87761.500000000015</v>
      </c>
      <c r="L123" s="21"/>
    </row>
    <row r="124" spans="1:19" x14ac:dyDescent="0.35">
      <c r="A124" s="64">
        <f>A122+1</f>
        <v>24</v>
      </c>
      <c r="B124" s="31" t="s">
        <v>202</v>
      </c>
      <c r="C124" s="80" t="s">
        <v>300</v>
      </c>
      <c r="D124" s="62"/>
      <c r="E124" s="62"/>
      <c r="F124" s="62"/>
      <c r="G124" s="62"/>
      <c r="H124" s="62"/>
      <c r="I124" s="62"/>
      <c r="J124" s="37"/>
    </row>
    <row r="125" spans="1:19" x14ac:dyDescent="0.35">
      <c r="A125" s="64">
        <f t="shared" si="20"/>
        <v>25</v>
      </c>
      <c r="B125" s="31" t="str">
        <f>B119</f>
        <v xml:space="preserve">    First 50 Mcf</v>
      </c>
      <c r="C125" s="80"/>
      <c r="D125" s="408">
        <f>'D pg 1'!D37</f>
        <v>0</v>
      </c>
      <c r="E125" s="408">
        <f>'D pg 1'!E37</f>
        <v>0</v>
      </c>
      <c r="F125" s="408">
        <f>'D pg 1'!F37</f>
        <v>0</v>
      </c>
      <c r="G125" s="408">
        <f>'D pg 1'!G37</f>
        <v>0</v>
      </c>
      <c r="H125" s="408">
        <f>'D pg 1'!H37</f>
        <v>0</v>
      </c>
      <c r="I125" s="408">
        <f>'D pg 1'!I37</f>
        <v>0</v>
      </c>
      <c r="J125" s="37">
        <f>SUM(D125:I125)</f>
        <v>0</v>
      </c>
    </row>
    <row r="126" spans="1:19" x14ac:dyDescent="0.35">
      <c r="A126" s="64">
        <f t="shared" si="20"/>
        <v>26</v>
      </c>
      <c r="B126" s="31" t="str">
        <f>B120</f>
        <v xml:space="preserve">    Next 350 Mcf</v>
      </c>
      <c r="C126" s="80"/>
      <c r="D126" s="408">
        <f>'D pg 1'!D38</f>
        <v>0</v>
      </c>
      <c r="E126" s="408">
        <f>'D pg 1'!E38</f>
        <v>0</v>
      </c>
      <c r="F126" s="408">
        <f>'D pg 1'!F38</f>
        <v>0</v>
      </c>
      <c r="G126" s="408">
        <f>'D pg 1'!G38</f>
        <v>0</v>
      </c>
      <c r="H126" s="408">
        <f>'D pg 1'!H38</f>
        <v>0</v>
      </c>
      <c r="I126" s="408">
        <f>'D pg 1'!I38</f>
        <v>0</v>
      </c>
      <c r="J126" s="37">
        <f>SUM(D126:I126)</f>
        <v>0</v>
      </c>
    </row>
    <row r="127" spans="1:19" x14ac:dyDescent="0.35">
      <c r="A127" s="64">
        <f t="shared" si="20"/>
        <v>27</v>
      </c>
      <c r="B127" s="31" t="str">
        <f>B121</f>
        <v xml:space="preserve">    Next 600 Mcf</v>
      </c>
      <c r="C127" s="80"/>
      <c r="D127" s="408">
        <f>'D pg 1'!D39</f>
        <v>0</v>
      </c>
      <c r="E127" s="408">
        <f>'D pg 1'!E39</f>
        <v>0</v>
      </c>
      <c r="F127" s="408">
        <f>'D pg 1'!F39</f>
        <v>0</v>
      </c>
      <c r="G127" s="408">
        <f>'D pg 1'!G39</f>
        <v>0</v>
      </c>
      <c r="H127" s="408">
        <f>'D pg 1'!H39</f>
        <v>0</v>
      </c>
      <c r="I127" s="408">
        <f>'D pg 1'!I39</f>
        <v>0</v>
      </c>
      <c r="J127" s="37">
        <f>SUM(D127:I127)</f>
        <v>0</v>
      </c>
    </row>
    <row r="128" spans="1:19" x14ac:dyDescent="0.35">
      <c r="A128" s="64">
        <f t="shared" si="20"/>
        <v>28</v>
      </c>
      <c r="B128" s="31" t="str">
        <f>B122</f>
        <v xml:space="preserve">    Over 1,000 Mcf</v>
      </c>
      <c r="C128" s="80"/>
      <c r="D128" s="409">
        <f>'D pg 1'!D40</f>
        <v>0</v>
      </c>
      <c r="E128" s="409">
        <f>'D pg 1'!E40</f>
        <v>0</v>
      </c>
      <c r="F128" s="409">
        <f>'D pg 1'!F40</f>
        <v>0</v>
      </c>
      <c r="G128" s="409">
        <f>'D pg 1'!G40</f>
        <v>0</v>
      </c>
      <c r="H128" s="409">
        <f>'D pg 1'!H40</f>
        <v>0</v>
      </c>
      <c r="I128" s="409">
        <f>'D pg 1'!I40</f>
        <v>0</v>
      </c>
      <c r="J128" s="61">
        <f>SUM(D128:I128)</f>
        <v>0</v>
      </c>
    </row>
    <row r="129" spans="1:13" x14ac:dyDescent="0.35">
      <c r="C129" s="80"/>
      <c r="D129" s="37">
        <f t="shared" ref="D129:H129" si="22">SUM(D125:D128)</f>
        <v>0</v>
      </c>
      <c r="E129" s="37">
        <f t="shared" si="22"/>
        <v>0</v>
      </c>
      <c r="F129" s="37">
        <f t="shared" si="22"/>
        <v>0</v>
      </c>
      <c r="G129" s="37">
        <f t="shared" si="22"/>
        <v>0</v>
      </c>
      <c r="H129" s="37">
        <f t="shared" si="22"/>
        <v>0</v>
      </c>
      <c r="I129" s="37">
        <f>SUM(I125:I128)</f>
        <v>0</v>
      </c>
      <c r="J129" s="78">
        <f>SUM(D129:I129)</f>
        <v>0</v>
      </c>
    </row>
    <row r="130" spans="1:13" ht="15.45" x14ac:dyDescent="0.4">
      <c r="A130" s="64">
        <f>A128+1</f>
        <v>29</v>
      </c>
      <c r="B130" s="31" t="s">
        <v>222</v>
      </c>
      <c r="C130" s="32"/>
      <c r="D130" s="37"/>
      <c r="E130" s="37"/>
      <c r="F130" s="37"/>
      <c r="G130" s="78"/>
      <c r="H130" s="78"/>
      <c r="I130" s="78"/>
      <c r="J130" s="78"/>
    </row>
    <row r="131" spans="1:13" ht="15.45" x14ac:dyDescent="0.4">
      <c r="A131" s="64">
        <f>A130+1</f>
        <v>30</v>
      </c>
      <c r="B131" s="31" t="str">
        <f>B125</f>
        <v xml:space="preserve">    First 50 Mcf</v>
      </c>
      <c r="C131" s="34"/>
      <c r="D131" s="121">
        <f t="shared" ref="D131:I131" si="23">D119+D125</f>
        <v>1898.7</v>
      </c>
      <c r="E131" s="121">
        <f t="shared" si="23"/>
        <v>1820.2</v>
      </c>
      <c r="F131" s="121">
        <f t="shared" si="23"/>
        <v>1485.4</v>
      </c>
      <c r="G131" s="121">
        <f t="shared" si="23"/>
        <v>1134.3</v>
      </c>
      <c r="H131" s="121">
        <f t="shared" si="23"/>
        <v>771</v>
      </c>
      <c r="I131" s="121">
        <f t="shared" si="23"/>
        <v>824.3</v>
      </c>
      <c r="J131" s="37">
        <f>SUM(D131:I131)</f>
        <v>7933.9000000000005</v>
      </c>
      <c r="M131" s="34"/>
    </row>
    <row r="132" spans="1:13" ht="15.45" x14ac:dyDescent="0.4">
      <c r="A132" s="64">
        <f>A131+1</f>
        <v>31</v>
      </c>
      <c r="B132" s="31" t="str">
        <f>B126</f>
        <v xml:space="preserve">    Next 350 Mcf</v>
      </c>
      <c r="C132" s="34"/>
      <c r="D132" s="121">
        <f t="shared" ref="D132:I133" si="24">D120+D126</f>
        <v>8834.7000000000007</v>
      </c>
      <c r="E132" s="121">
        <f t="shared" si="24"/>
        <v>7627.8</v>
      </c>
      <c r="F132" s="121">
        <f t="shared" si="24"/>
        <v>5702.1</v>
      </c>
      <c r="G132" s="121">
        <f t="shared" si="24"/>
        <v>4489.2</v>
      </c>
      <c r="H132" s="121">
        <f t="shared" si="24"/>
        <v>2603.5</v>
      </c>
      <c r="I132" s="121">
        <f t="shared" si="24"/>
        <v>2741</v>
      </c>
      <c r="J132" s="37">
        <f>SUM(D132:I132)</f>
        <v>31998.3</v>
      </c>
      <c r="M132" s="34"/>
    </row>
    <row r="133" spans="1:13" ht="15.45" x14ac:dyDescent="0.4">
      <c r="A133" s="64">
        <f>A132+1</f>
        <v>32</v>
      </c>
      <c r="B133" s="31" t="str">
        <f>B127</f>
        <v xml:space="preserve">    Next 600 Mcf</v>
      </c>
      <c r="C133" s="34"/>
      <c r="D133" s="121">
        <f t="shared" si="24"/>
        <v>7229.1</v>
      </c>
      <c r="E133" s="121">
        <f t="shared" si="24"/>
        <v>5108.2</v>
      </c>
      <c r="F133" s="121">
        <f t="shared" si="24"/>
        <v>4085.8</v>
      </c>
      <c r="G133" s="121">
        <f t="shared" si="24"/>
        <v>3226.6</v>
      </c>
      <c r="H133" s="121">
        <f t="shared" si="24"/>
        <v>3112</v>
      </c>
      <c r="I133" s="121">
        <f t="shared" si="24"/>
        <v>2650</v>
      </c>
      <c r="J133" s="37">
        <f>SUM(D133:I133)</f>
        <v>25411.699999999997</v>
      </c>
      <c r="M133" s="34"/>
    </row>
    <row r="134" spans="1:13" ht="15.45" x14ac:dyDescent="0.4">
      <c r="A134" s="64">
        <f>A133+1</f>
        <v>33</v>
      </c>
      <c r="B134" s="31" t="str">
        <f>B128</f>
        <v xml:space="preserve">    Over 1,000 Mcf</v>
      </c>
      <c r="C134" s="34"/>
      <c r="D134" s="405">
        <f t="shared" ref="D134:I134" si="25">D122+D128</f>
        <v>7669.9</v>
      </c>
      <c r="E134" s="405">
        <f t="shared" si="25"/>
        <v>4774.7</v>
      </c>
      <c r="F134" s="405">
        <f t="shared" si="25"/>
        <v>3273</v>
      </c>
      <c r="G134" s="405">
        <f t="shared" si="25"/>
        <v>3000</v>
      </c>
      <c r="H134" s="405">
        <f t="shared" si="25"/>
        <v>1900</v>
      </c>
      <c r="I134" s="405">
        <f t="shared" si="25"/>
        <v>1800</v>
      </c>
      <c r="J134" s="61">
        <f>SUM(D134:I134)</f>
        <v>22417.599999999999</v>
      </c>
      <c r="M134" s="34"/>
    </row>
    <row r="135" spans="1:13" ht="15.45" x14ac:dyDescent="0.4">
      <c r="A135" s="64">
        <f>A134+1</f>
        <v>34</v>
      </c>
      <c r="B135" s="31" t="s">
        <v>296</v>
      </c>
      <c r="C135" s="34"/>
      <c r="D135" s="37">
        <f t="shared" ref="D135:I135" si="26">D123+D129</f>
        <v>25632.400000000001</v>
      </c>
      <c r="E135" s="37">
        <f t="shared" si="26"/>
        <v>19330.900000000001</v>
      </c>
      <c r="F135" s="37">
        <f t="shared" si="26"/>
        <v>14546.3</v>
      </c>
      <c r="G135" s="37">
        <f t="shared" si="26"/>
        <v>11850.1</v>
      </c>
      <c r="H135" s="37">
        <f t="shared" si="26"/>
        <v>8386.5</v>
      </c>
      <c r="I135" s="37">
        <f t="shared" si="26"/>
        <v>8015.3</v>
      </c>
      <c r="J135" s="37">
        <f>SUM(D135:I135)</f>
        <v>87761.500000000015</v>
      </c>
      <c r="M135" s="34"/>
    </row>
    <row r="136" spans="1:13" ht="15.45" x14ac:dyDescent="0.4">
      <c r="A136" s="32"/>
      <c r="B136" s="34"/>
      <c r="C136" s="34"/>
      <c r="D136" s="48"/>
      <c r="E136" s="48"/>
      <c r="F136" s="48"/>
      <c r="G136" s="48"/>
      <c r="H136" s="48"/>
      <c r="I136" s="48"/>
      <c r="J136" s="48"/>
      <c r="M136" s="34"/>
    </row>
    <row r="137" spans="1:13" ht="15.45" x14ac:dyDescent="0.4">
      <c r="A137" s="64">
        <f>A135+1</f>
        <v>35</v>
      </c>
      <c r="B137" s="35" t="s">
        <v>243</v>
      </c>
      <c r="C137" s="64"/>
      <c r="M137" s="34"/>
    </row>
    <row r="138" spans="1:13" ht="15.45" x14ac:dyDescent="0.4">
      <c r="A138" s="64">
        <f>A137+1</f>
        <v>36</v>
      </c>
      <c r="B138" s="31" t="s">
        <v>295</v>
      </c>
      <c r="C138" s="64"/>
      <c r="D138" s="62"/>
      <c r="E138" s="62"/>
      <c r="F138" s="62"/>
      <c r="G138" s="62"/>
      <c r="H138" s="62"/>
      <c r="I138" s="62"/>
      <c r="M138" s="34"/>
    </row>
    <row r="139" spans="1:13" ht="15.45" x14ac:dyDescent="0.4">
      <c r="A139" s="64">
        <f>A138+1</f>
        <v>37</v>
      </c>
      <c r="B139" s="66" t="s">
        <v>228</v>
      </c>
      <c r="C139" s="64"/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37">
        <f>SUM(D139:I139)</f>
        <v>0</v>
      </c>
      <c r="M139" s="34"/>
    </row>
    <row r="140" spans="1:13" ht="15.45" x14ac:dyDescent="0.4">
      <c r="A140" s="64">
        <f t="shared" ref="A140:A141" si="27">A139+1</f>
        <v>38</v>
      </c>
      <c r="B140" s="66" t="s">
        <v>362</v>
      </c>
      <c r="C140" s="64"/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37">
        <f>SUM(D140:I140)</f>
        <v>0</v>
      </c>
      <c r="M140" s="34"/>
    </row>
    <row r="141" spans="1:13" ht="15.45" x14ac:dyDescent="0.4">
      <c r="A141" s="64">
        <f t="shared" si="27"/>
        <v>39</v>
      </c>
      <c r="B141" s="66" t="s">
        <v>363</v>
      </c>
      <c r="C141" s="64"/>
      <c r="D141" s="403">
        <v>0</v>
      </c>
      <c r="E141" s="403">
        <v>0</v>
      </c>
      <c r="F141" s="403">
        <v>0</v>
      </c>
      <c r="G141" s="403">
        <v>0</v>
      </c>
      <c r="H141" s="403">
        <v>0</v>
      </c>
      <c r="I141" s="403">
        <v>0</v>
      </c>
      <c r="J141" s="61">
        <f>SUM(D141:I141)</f>
        <v>0</v>
      </c>
      <c r="M141" s="34"/>
    </row>
    <row r="142" spans="1:13" ht="15.45" x14ac:dyDescent="0.4">
      <c r="A142" s="32"/>
      <c r="B142" s="66"/>
      <c r="C142" s="64"/>
      <c r="D142" s="37">
        <f>SUM(D139:D141)</f>
        <v>0</v>
      </c>
      <c r="E142" s="37">
        <f t="shared" ref="E142:H142" si="28">SUM(E139:E141)</f>
        <v>0</v>
      </c>
      <c r="F142" s="37">
        <f t="shared" si="28"/>
        <v>0</v>
      </c>
      <c r="G142" s="37">
        <f t="shared" si="28"/>
        <v>0</v>
      </c>
      <c r="H142" s="37">
        <f t="shared" si="28"/>
        <v>0</v>
      </c>
      <c r="I142" s="37">
        <f>SUM(I139:I141)</f>
        <v>0</v>
      </c>
      <c r="J142" s="37">
        <f>SUM(D142:I142)</f>
        <v>0</v>
      </c>
      <c r="M142" s="34"/>
    </row>
    <row r="143" spans="1:13" ht="15.45" x14ac:dyDescent="0.4">
      <c r="A143" s="64">
        <f>A141+1</f>
        <v>40</v>
      </c>
      <c r="B143" s="31" t="s">
        <v>202</v>
      </c>
      <c r="C143" s="80" t="s">
        <v>300</v>
      </c>
      <c r="D143" s="62"/>
      <c r="E143" s="62"/>
      <c r="F143" s="62"/>
      <c r="G143" s="62"/>
      <c r="H143" s="62"/>
      <c r="I143" s="62"/>
      <c r="J143" s="37"/>
      <c r="M143" s="34"/>
    </row>
    <row r="144" spans="1:13" ht="15.45" x14ac:dyDescent="0.4">
      <c r="A144" s="64">
        <f>A143+1</f>
        <v>41</v>
      </c>
      <c r="B144" s="31" t="str">
        <f>B139</f>
        <v xml:space="preserve">    First 30,000 Mcf</v>
      </c>
      <c r="C144" s="80"/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37">
        <f>SUM(D144:I144)</f>
        <v>0</v>
      </c>
      <c r="M144" s="34"/>
    </row>
    <row r="145" spans="1:19" ht="15.45" x14ac:dyDescent="0.4">
      <c r="A145" s="64">
        <f>A144+1</f>
        <v>42</v>
      </c>
      <c r="B145" s="31" t="str">
        <f>B141</f>
        <v xml:space="preserve">    Over 100,000 Mcf</v>
      </c>
      <c r="C145" s="80"/>
      <c r="D145" s="403">
        <v>0</v>
      </c>
      <c r="E145" s="403">
        <v>0</v>
      </c>
      <c r="F145" s="403">
        <v>0</v>
      </c>
      <c r="G145" s="403">
        <v>0</v>
      </c>
      <c r="H145" s="403">
        <v>0</v>
      </c>
      <c r="I145" s="403">
        <v>0</v>
      </c>
      <c r="J145" s="61">
        <f>SUM(D145:I145)</f>
        <v>0</v>
      </c>
      <c r="M145" s="34"/>
    </row>
    <row r="146" spans="1:19" ht="15.45" x14ac:dyDescent="0.4">
      <c r="A146" s="31"/>
      <c r="C146" s="80"/>
      <c r="D146" s="37">
        <f t="shared" ref="D146:H146" si="29">SUM(D144:D145)</f>
        <v>0</v>
      </c>
      <c r="E146" s="37">
        <f t="shared" si="29"/>
        <v>0</v>
      </c>
      <c r="F146" s="37">
        <f t="shared" si="29"/>
        <v>0</v>
      </c>
      <c r="G146" s="37">
        <f t="shared" si="29"/>
        <v>0</v>
      </c>
      <c r="H146" s="37">
        <f t="shared" si="29"/>
        <v>0</v>
      </c>
      <c r="I146" s="37">
        <f>SUM(I144:I145)</f>
        <v>0</v>
      </c>
      <c r="J146" s="37">
        <f>SUM(D146:H146)</f>
        <v>0</v>
      </c>
      <c r="M146" s="34"/>
    </row>
    <row r="147" spans="1:19" ht="15.45" x14ac:dyDescent="0.4">
      <c r="A147" s="64">
        <f>A145+1</f>
        <v>43</v>
      </c>
      <c r="B147" s="31" t="s">
        <v>222</v>
      </c>
      <c r="C147" s="32"/>
      <c r="D147" s="37"/>
      <c r="E147" s="37"/>
      <c r="F147" s="37"/>
      <c r="G147" s="37"/>
      <c r="H147" s="37"/>
      <c r="I147" s="37"/>
      <c r="J147" s="37"/>
      <c r="M147" s="34"/>
    </row>
    <row r="148" spans="1:19" ht="15.45" x14ac:dyDescent="0.4">
      <c r="A148" s="64">
        <f>A147+1</f>
        <v>44</v>
      </c>
      <c r="B148" s="31" t="str">
        <f>B144</f>
        <v xml:space="preserve">    First 30,000 Mcf</v>
      </c>
      <c r="C148" s="32"/>
      <c r="D148" s="37">
        <f t="shared" ref="D148:I148" si="30">D139+D144</f>
        <v>0</v>
      </c>
      <c r="E148" s="37">
        <f t="shared" si="30"/>
        <v>0</v>
      </c>
      <c r="F148" s="37">
        <f t="shared" si="30"/>
        <v>0</v>
      </c>
      <c r="G148" s="37">
        <f t="shared" si="30"/>
        <v>0</v>
      </c>
      <c r="H148" s="37">
        <f t="shared" si="30"/>
        <v>0</v>
      </c>
      <c r="I148" s="37">
        <f t="shared" si="30"/>
        <v>0</v>
      </c>
      <c r="J148" s="37">
        <f>SUM(D148:I148)</f>
        <v>0</v>
      </c>
      <c r="M148" s="34"/>
    </row>
    <row r="149" spans="1:19" ht="15.45" x14ac:dyDescent="0.4">
      <c r="A149" s="64">
        <f>A148+1</f>
        <v>45</v>
      </c>
      <c r="B149" s="31" t="str">
        <f>B145</f>
        <v xml:space="preserve">    Over 100,000 Mcf</v>
      </c>
      <c r="C149" s="32"/>
      <c r="D149" s="61">
        <f t="shared" ref="D149:I149" si="31">D141+D145</f>
        <v>0</v>
      </c>
      <c r="E149" s="61">
        <f t="shared" si="31"/>
        <v>0</v>
      </c>
      <c r="F149" s="61">
        <f t="shared" si="31"/>
        <v>0</v>
      </c>
      <c r="G149" s="61">
        <f t="shared" si="31"/>
        <v>0</v>
      </c>
      <c r="H149" s="61">
        <f t="shared" si="31"/>
        <v>0</v>
      </c>
      <c r="I149" s="61">
        <f t="shared" si="31"/>
        <v>0</v>
      </c>
      <c r="J149" s="61">
        <f>SUM(D149:I149)</f>
        <v>0</v>
      </c>
      <c r="M149" s="34"/>
    </row>
    <row r="150" spans="1:19" ht="15.45" x14ac:dyDescent="0.4">
      <c r="A150" s="64">
        <f>A149+1</f>
        <v>46</v>
      </c>
      <c r="B150" s="31" t="s">
        <v>296</v>
      </c>
      <c r="C150" s="32"/>
      <c r="D150" s="37">
        <f t="shared" ref="D150:I150" si="32">D142+D146</f>
        <v>0</v>
      </c>
      <c r="E150" s="37">
        <f t="shared" si="32"/>
        <v>0</v>
      </c>
      <c r="F150" s="37">
        <f t="shared" si="32"/>
        <v>0</v>
      </c>
      <c r="G150" s="37">
        <f t="shared" si="32"/>
        <v>0</v>
      </c>
      <c r="H150" s="37">
        <f t="shared" si="32"/>
        <v>0</v>
      </c>
      <c r="I150" s="37">
        <f t="shared" si="32"/>
        <v>0</v>
      </c>
      <c r="J150" s="37">
        <f>SUM(D150:H150)</f>
        <v>0</v>
      </c>
      <c r="M150" s="34"/>
    </row>
    <row r="151" spans="1:19" ht="15.45" x14ac:dyDescent="0.4">
      <c r="A151" s="32"/>
      <c r="B151" s="34"/>
      <c r="C151" s="34"/>
      <c r="D151" s="48"/>
      <c r="E151" s="48"/>
      <c r="F151" s="48"/>
      <c r="G151" s="48"/>
      <c r="H151" s="48"/>
      <c r="I151" s="48"/>
      <c r="J151" s="48"/>
      <c r="M151" s="34"/>
    </row>
    <row r="152" spans="1:19" ht="15.45" x14ac:dyDescent="0.4">
      <c r="A152" s="64">
        <f>A150+1</f>
        <v>47</v>
      </c>
      <c r="B152" s="35" t="s">
        <v>224</v>
      </c>
      <c r="C152" s="34"/>
      <c r="D152" s="48"/>
      <c r="E152" s="48"/>
      <c r="F152" s="48"/>
      <c r="G152" s="48"/>
      <c r="H152" s="48"/>
      <c r="I152" s="48"/>
      <c r="J152" s="48"/>
      <c r="M152" s="34"/>
    </row>
    <row r="153" spans="1:19" ht="15.45" x14ac:dyDescent="0.4">
      <c r="A153" s="64">
        <f>A152+1</f>
        <v>48</v>
      </c>
      <c r="B153" s="31" t="s">
        <v>295</v>
      </c>
      <c r="C153" s="64"/>
      <c r="D153" s="62">
        <v>869</v>
      </c>
      <c r="E153" s="62">
        <v>1429</v>
      </c>
      <c r="F153" s="62">
        <v>232</v>
      </c>
      <c r="G153" s="62">
        <v>149.5</v>
      </c>
      <c r="H153" s="62">
        <v>503</v>
      </c>
      <c r="I153" s="62">
        <v>240</v>
      </c>
      <c r="J153" s="37">
        <f>SUM(D153:I153)</f>
        <v>3422.5</v>
      </c>
      <c r="L153" s="21"/>
      <c r="M153" s="34"/>
    </row>
    <row r="154" spans="1:19" ht="15.45" x14ac:dyDescent="0.4">
      <c r="A154" s="64">
        <f>A153+1</f>
        <v>49</v>
      </c>
      <c r="B154" s="31" t="s">
        <v>202</v>
      </c>
      <c r="C154" s="80" t="s">
        <v>300</v>
      </c>
      <c r="D154" s="403">
        <v>0</v>
      </c>
      <c r="E154" s="403">
        <v>0</v>
      </c>
      <c r="F154" s="403">
        <v>0</v>
      </c>
      <c r="G154" s="403">
        <v>0</v>
      </c>
      <c r="H154" s="403">
        <v>0</v>
      </c>
      <c r="I154" s="403">
        <v>0</v>
      </c>
      <c r="J154" s="61">
        <f>SUM(D154:I154)</f>
        <v>0</v>
      </c>
      <c r="M154" s="34"/>
    </row>
    <row r="155" spans="1:19" ht="15.45" x14ac:dyDescent="0.4">
      <c r="A155" s="64">
        <f>A154+1</f>
        <v>50</v>
      </c>
      <c r="B155" s="31" t="s">
        <v>222</v>
      </c>
      <c r="C155" s="32"/>
      <c r="D155" s="37">
        <f t="shared" ref="D155:I155" si="33">SUM(D153:D154)</f>
        <v>869</v>
      </c>
      <c r="E155" s="37">
        <f t="shared" si="33"/>
        <v>1429</v>
      </c>
      <c r="F155" s="37">
        <f t="shared" si="33"/>
        <v>232</v>
      </c>
      <c r="G155" s="37">
        <f t="shared" si="33"/>
        <v>149.5</v>
      </c>
      <c r="H155" s="37">
        <f t="shared" si="33"/>
        <v>503</v>
      </c>
      <c r="I155" s="37">
        <f t="shared" si="33"/>
        <v>240</v>
      </c>
      <c r="J155" s="37">
        <f>SUM(D155:I155)</f>
        <v>3422.5</v>
      </c>
      <c r="M155" s="34"/>
    </row>
    <row r="156" spans="1:19" ht="15.45" x14ac:dyDescent="0.4">
      <c r="A156" s="32"/>
      <c r="B156" s="34"/>
      <c r="C156" s="34"/>
      <c r="D156" s="120"/>
      <c r="E156" s="120"/>
      <c r="F156" s="120"/>
      <c r="G156" s="120"/>
      <c r="H156" s="120"/>
      <c r="I156" s="120"/>
      <c r="J156" s="48"/>
      <c r="K156" s="48"/>
      <c r="L156" s="48"/>
      <c r="M156" s="48"/>
      <c r="N156" s="48"/>
      <c r="O156" s="48"/>
      <c r="P156" s="48"/>
      <c r="S156" s="34"/>
    </row>
    <row r="157" spans="1:19" ht="15.45" x14ac:dyDescent="0.4">
      <c r="A157" s="32"/>
      <c r="B157" s="34"/>
      <c r="C157" s="34"/>
      <c r="D157" s="120"/>
      <c r="E157" s="120"/>
      <c r="F157" s="120"/>
      <c r="G157" s="120"/>
      <c r="H157" s="120"/>
      <c r="I157" s="120"/>
      <c r="J157" s="48"/>
      <c r="K157" s="48"/>
      <c r="L157" s="48"/>
      <c r="M157" s="48"/>
      <c r="N157" s="48"/>
      <c r="O157" s="48"/>
      <c r="P157" s="48"/>
      <c r="S157" s="34"/>
    </row>
    <row r="158" spans="1:19" ht="15.45" x14ac:dyDescent="0.4">
      <c r="A158" s="475" t="str">
        <f>CONAME</f>
        <v>Columbia Gas of Kentucky, Inc.</v>
      </c>
      <c r="B158" s="475"/>
      <c r="C158" s="475"/>
      <c r="D158" s="475"/>
      <c r="E158" s="475"/>
      <c r="F158" s="475"/>
      <c r="G158" s="475"/>
      <c r="H158" s="475"/>
      <c r="I158" s="475"/>
      <c r="J158" s="475"/>
      <c r="K158" s="110"/>
      <c r="L158" s="110"/>
      <c r="M158" s="110"/>
      <c r="N158" s="110"/>
      <c r="O158" s="110"/>
      <c r="P158" s="110"/>
      <c r="S158" s="34"/>
    </row>
    <row r="159" spans="1:19" ht="15.45" x14ac:dyDescent="0.4">
      <c r="A159" s="475" t="s">
        <v>157</v>
      </c>
      <c r="B159" s="475"/>
      <c r="C159" s="475"/>
      <c r="D159" s="475"/>
      <c r="E159" s="475"/>
      <c r="F159" s="475"/>
      <c r="G159" s="475"/>
      <c r="H159" s="475"/>
      <c r="I159" s="475"/>
      <c r="J159" s="475"/>
      <c r="K159" s="110"/>
      <c r="L159" s="110"/>
      <c r="M159" s="110"/>
      <c r="N159" s="110"/>
      <c r="O159" s="110"/>
      <c r="P159" s="110"/>
      <c r="S159" s="34"/>
    </row>
    <row r="160" spans="1:19" ht="15.45" x14ac:dyDescent="0.4">
      <c r="A160" s="472" t="str">
        <f>TYDESC</f>
        <v>For the 6 Months Ended August 31, 2024</v>
      </c>
      <c r="B160" s="472"/>
      <c r="C160" s="472"/>
      <c r="D160" s="472"/>
      <c r="E160" s="472"/>
      <c r="F160" s="472"/>
      <c r="G160" s="472"/>
      <c r="H160" s="472"/>
      <c r="I160" s="472"/>
      <c r="J160" s="472"/>
      <c r="K160" s="35"/>
      <c r="L160" s="35"/>
      <c r="M160" s="35"/>
      <c r="N160" s="35"/>
      <c r="O160" s="35"/>
      <c r="P160" s="35"/>
      <c r="S160" s="34"/>
    </row>
    <row r="161" spans="1:19" ht="15.45" x14ac:dyDescent="0.4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S161" s="34"/>
    </row>
    <row r="162" spans="1:19" ht="15.45" x14ac:dyDescent="0.4">
      <c r="A162" s="32"/>
      <c r="B162" s="34"/>
      <c r="C162" s="34"/>
      <c r="D162" s="120"/>
      <c r="E162" s="120"/>
      <c r="F162" s="120"/>
      <c r="G162" s="120"/>
      <c r="H162" s="120"/>
      <c r="I162" s="120"/>
      <c r="J162" s="48"/>
      <c r="K162" s="48"/>
      <c r="L162" s="48"/>
      <c r="M162" s="48"/>
      <c r="N162" s="48"/>
      <c r="O162" s="48"/>
      <c r="P162" s="48"/>
      <c r="S162" s="34"/>
    </row>
    <row r="163" spans="1:19" ht="15.45" x14ac:dyDescent="0.4">
      <c r="A163" s="75" t="s">
        <v>180</v>
      </c>
      <c r="C163" s="32"/>
      <c r="D163" s="32"/>
      <c r="E163" s="32"/>
      <c r="F163" s="32"/>
      <c r="J163" s="71" t="str">
        <f>$J$6</f>
        <v>Workpaper WPM-C.1</v>
      </c>
      <c r="S163" s="34"/>
    </row>
    <row r="164" spans="1:19" ht="15.45" x14ac:dyDescent="0.4">
      <c r="A164" s="75" t="s">
        <v>181</v>
      </c>
      <c r="C164" s="32"/>
      <c r="D164" s="32"/>
      <c r="E164" s="32"/>
      <c r="F164" s="32"/>
      <c r="J164" s="72" t="s">
        <v>313</v>
      </c>
      <c r="S164" s="34"/>
    </row>
    <row r="165" spans="1:19" ht="15.45" x14ac:dyDescent="0.4">
      <c r="A165" s="75" t="s">
        <v>64</v>
      </c>
      <c r="C165" s="32"/>
      <c r="D165" s="32"/>
      <c r="E165" s="32"/>
      <c r="F165" s="32"/>
      <c r="P165" s="72"/>
      <c r="S165" s="34"/>
    </row>
    <row r="166" spans="1:19" ht="15.45" x14ac:dyDescent="0.4">
      <c r="A166" s="102" t="str">
        <f>$A$9</f>
        <v>6 Mos Forecasted</v>
      </c>
      <c r="B166" s="32"/>
      <c r="C166" s="32"/>
      <c r="D166" s="33"/>
      <c r="E166" s="32"/>
      <c r="F166" s="41"/>
      <c r="G166" s="42"/>
      <c r="H166" s="41"/>
      <c r="I166" s="30"/>
      <c r="J166" s="41"/>
      <c r="K166" s="41"/>
      <c r="L166" s="41"/>
      <c r="M166" s="41"/>
      <c r="N166" s="41"/>
      <c r="O166" s="41"/>
      <c r="P166" s="41"/>
      <c r="S166" s="34"/>
    </row>
    <row r="167" spans="1:19" ht="15.45" x14ac:dyDescent="0.4">
      <c r="A167" s="102"/>
      <c r="B167" s="32"/>
      <c r="C167" s="32"/>
      <c r="D167" s="33"/>
      <c r="E167" s="32"/>
      <c r="F167" s="41"/>
      <c r="G167" s="42"/>
      <c r="H167" s="41"/>
      <c r="I167" s="30"/>
      <c r="J167" s="41"/>
      <c r="K167" s="41"/>
      <c r="L167" s="41"/>
      <c r="M167" s="41"/>
      <c r="N167" s="41"/>
      <c r="O167" s="41"/>
      <c r="P167" s="41"/>
      <c r="S167" s="34"/>
    </row>
    <row r="168" spans="1:19" ht="15.45" x14ac:dyDescent="0.4">
      <c r="A168" s="406"/>
      <c r="B168" s="32"/>
      <c r="C168" s="32"/>
      <c r="D168" s="33"/>
      <c r="E168" s="32"/>
      <c r="F168" s="41"/>
      <c r="G168" s="42"/>
      <c r="H168" s="41"/>
      <c r="I168" s="30"/>
      <c r="J168" s="41"/>
      <c r="K168" s="41"/>
      <c r="L168" s="41"/>
      <c r="M168" s="41"/>
      <c r="N168" s="41"/>
      <c r="O168" s="41"/>
      <c r="P168" s="41"/>
      <c r="S168" s="34"/>
    </row>
    <row r="169" spans="1:19" ht="15.45" x14ac:dyDescent="0.4">
      <c r="A169" s="32" t="s">
        <v>11</v>
      </c>
      <c r="B169" s="32"/>
      <c r="C169" s="32"/>
      <c r="D169" s="33"/>
      <c r="E169" s="32"/>
      <c r="F169" s="41"/>
      <c r="G169" s="42"/>
      <c r="H169" s="41"/>
      <c r="I169" s="30"/>
      <c r="J169" s="41"/>
      <c r="K169" s="41"/>
      <c r="L169" s="41"/>
      <c r="M169" s="41"/>
      <c r="N169" s="41"/>
      <c r="O169" s="41"/>
      <c r="P169" s="41"/>
      <c r="S169" s="34"/>
    </row>
    <row r="170" spans="1:19" ht="15.45" x14ac:dyDescent="0.4">
      <c r="A170" s="43" t="s">
        <v>13</v>
      </c>
      <c r="B170" s="43" t="s">
        <v>14</v>
      </c>
      <c r="C170" s="43" t="s">
        <v>152</v>
      </c>
      <c r="D170" s="45" t="str">
        <f>B!$D$13</f>
        <v>Mar-24</v>
      </c>
      <c r="E170" s="45" t="str">
        <f>B!$E$13</f>
        <v>Apr-24</v>
      </c>
      <c r="F170" s="45" t="str">
        <f>B!$F$13</f>
        <v>May-24</v>
      </c>
      <c r="G170" s="45" t="str">
        <f>B!$G$13</f>
        <v>Jun-24</v>
      </c>
      <c r="H170" s="45" t="str">
        <f>B!$H$13</f>
        <v>Jul-24</v>
      </c>
      <c r="I170" s="45" t="str">
        <f>B!$I$13</f>
        <v>Aug-24</v>
      </c>
      <c r="J170" s="45" t="s">
        <v>15</v>
      </c>
      <c r="M170" s="34"/>
    </row>
    <row r="171" spans="1:19" ht="15.45" x14ac:dyDescent="0.4">
      <c r="A171" s="32"/>
      <c r="B171" s="34" t="s">
        <v>49</v>
      </c>
      <c r="C171" s="34" t="s">
        <v>50</v>
      </c>
      <c r="D171" s="120" t="s">
        <v>56</v>
      </c>
      <c r="E171" s="48" t="s">
        <v>57</v>
      </c>
      <c r="F171" s="48" t="s">
        <v>58</v>
      </c>
      <c r="G171" s="48" t="s">
        <v>59</v>
      </c>
      <c r="H171" s="48" t="s">
        <v>60</v>
      </c>
      <c r="I171" s="48" t="s">
        <v>61</v>
      </c>
      <c r="J171" s="48" t="s">
        <v>62</v>
      </c>
      <c r="M171" s="34"/>
    </row>
    <row r="172" spans="1:19" ht="15.45" thickBot="1" x14ac:dyDescent="0.4">
      <c r="C172" s="37"/>
      <c r="D172" s="37"/>
    </row>
    <row r="173" spans="1:19" ht="15.45" x14ac:dyDescent="0.4">
      <c r="A173" s="104">
        <v>1</v>
      </c>
      <c r="B173" s="96" t="s">
        <v>16</v>
      </c>
      <c r="C173" s="410"/>
      <c r="D173" s="410"/>
      <c r="E173" s="97"/>
      <c r="F173" s="97"/>
      <c r="G173" s="97"/>
      <c r="H173" s="97"/>
      <c r="I173" s="97"/>
      <c r="J173" s="105"/>
    </row>
    <row r="174" spans="1:19" x14ac:dyDescent="0.35">
      <c r="A174" s="100"/>
      <c r="C174" s="37"/>
      <c r="D174" s="37"/>
      <c r="J174" s="99"/>
    </row>
    <row r="175" spans="1:19" ht="15.45" x14ac:dyDescent="0.4">
      <c r="A175" s="100">
        <f>A173+1</f>
        <v>2</v>
      </c>
      <c r="B175" s="35" t="s">
        <v>17</v>
      </c>
      <c r="C175" s="37"/>
      <c r="D175" s="37"/>
      <c r="J175" s="99"/>
    </row>
    <row r="176" spans="1:19" x14ac:dyDescent="0.35">
      <c r="A176" s="100">
        <f>A175+1</f>
        <v>3</v>
      </c>
      <c r="B176" s="31" t="s">
        <v>295</v>
      </c>
      <c r="C176" s="64"/>
      <c r="D176" s="37">
        <f>D17+D27+D32+D42+D47+D52+D65+D76</f>
        <v>1173473.7</v>
      </c>
      <c r="E176" s="37">
        <f t="shared" ref="E176:I176" si="34">E17+E27+E32+E42+E47+E52+E65+E76</f>
        <v>709019.4</v>
      </c>
      <c r="F176" s="37">
        <f t="shared" si="34"/>
        <v>308159.09999999998</v>
      </c>
      <c r="G176" s="37">
        <f t="shared" si="34"/>
        <v>142914.30000000002</v>
      </c>
      <c r="H176" s="37">
        <f t="shared" si="34"/>
        <v>97750.900000000009</v>
      </c>
      <c r="I176" s="37">
        <f t="shared" si="34"/>
        <v>97091.5</v>
      </c>
      <c r="J176" s="411">
        <f>SUM(D176:I176)</f>
        <v>2528408.9</v>
      </c>
    </row>
    <row r="177" spans="1:10" x14ac:dyDescent="0.35">
      <c r="A177" s="100">
        <f>A176+1</f>
        <v>4</v>
      </c>
      <c r="B177" s="31" t="s">
        <v>202</v>
      </c>
      <c r="C177" s="80"/>
      <c r="D177" s="37">
        <f t="shared" ref="D177:I177" si="35">D18+D28+D33+D43+D48+D53+D69+D77</f>
        <v>0</v>
      </c>
      <c r="E177" s="37">
        <f t="shared" si="35"/>
        <v>0</v>
      </c>
      <c r="F177" s="37">
        <f t="shared" si="35"/>
        <v>0</v>
      </c>
      <c r="G177" s="37">
        <f t="shared" si="35"/>
        <v>0</v>
      </c>
      <c r="H177" s="37">
        <f t="shared" si="35"/>
        <v>0</v>
      </c>
      <c r="I177" s="37">
        <f t="shared" si="35"/>
        <v>0</v>
      </c>
      <c r="J177" s="411">
        <f>SUM(D177:I177)</f>
        <v>0</v>
      </c>
    </row>
    <row r="178" spans="1:10" ht="15.45" x14ac:dyDescent="0.4">
      <c r="A178" s="100">
        <f>A177+1</f>
        <v>5</v>
      </c>
      <c r="B178" s="31" t="s">
        <v>222</v>
      </c>
      <c r="C178" s="32"/>
      <c r="D178" s="37">
        <f t="shared" ref="D178:I178" si="36">SUM(D176:D177)</f>
        <v>1173473.7</v>
      </c>
      <c r="E178" s="37">
        <f t="shared" si="36"/>
        <v>709019.4</v>
      </c>
      <c r="F178" s="37">
        <f t="shared" si="36"/>
        <v>308159.09999999998</v>
      </c>
      <c r="G178" s="37">
        <f t="shared" si="36"/>
        <v>142914.30000000002</v>
      </c>
      <c r="H178" s="37">
        <f t="shared" si="36"/>
        <v>97750.900000000009</v>
      </c>
      <c r="I178" s="37">
        <f t="shared" si="36"/>
        <v>97091.5</v>
      </c>
      <c r="J178" s="411">
        <f>SUM(D178:I178)</f>
        <v>2528408.9</v>
      </c>
    </row>
    <row r="179" spans="1:10" x14ac:dyDescent="0.35">
      <c r="A179" s="100"/>
      <c r="C179" s="37"/>
      <c r="D179" s="37"/>
      <c r="J179" s="99"/>
    </row>
    <row r="180" spans="1:10" ht="15.45" x14ac:dyDescent="0.4">
      <c r="A180" s="100">
        <f>A178+1</f>
        <v>6</v>
      </c>
      <c r="B180" s="35" t="s">
        <v>18</v>
      </c>
      <c r="C180" s="37"/>
      <c r="D180" s="37"/>
      <c r="J180" s="99"/>
    </row>
    <row r="181" spans="1:10" x14ac:dyDescent="0.35">
      <c r="A181" s="100">
        <f>A180+1</f>
        <v>7</v>
      </c>
      <c r="B181" s="31" t="s">
        <v>295</v>
      </c>
      <c r="C181" s="64"/>
      <c r="D181" s="37">
        <f>D22+D37+D57+D103</f>
        <v>559510.5</v>
      </c>
      <c r="E181" s="37">
        <f t="shared" ref="E181:J181" si="37">E22+E37+E57+E103</f>
        <v>399793</v>
      </c>
      <c r="F181" s="37">
        <f t="shared" si="37"/>
        <v>217013.69999999998</v>
      </c>
      <c r="G181" s="37">
        <f t="shared" si="37"/>
        <v>152354.59999999998</v>
      </c>
      <c r="H181" s="37">
        <f t="shared" si="37"/>
        <v>129485.5</v>
      </c>
      <c r="I181" s="37">
        <f t="shared" si="37"/>
        <v>120159.30000000002</v>
      </c>
      <c r="J181" s="411">
        <f t="shared" si="37"/>
        <v>1578316.5999999999</v>
      </c>
    </row>
    <row r="182" spans="1:10" x14ac:dyDescent="0.35">
      <c r="A182" s="100">
        <f>A181+1</f>
        <v>8</v>
      </c>
      <c r="B182" s="31" t="s">
        <v>202</v>
      </c>
      <c r="C182" s="80"/>
      <c r="D182" s="61">
        <f>D23+D38+D58+D109</f>
        <v>0</v>
      </c>
      <c r="E182" s="61">
        <f t="shared" ref="E182:J182" si="38">E23+E38+E58+E109</f>
        <v>0</v>
      </c>
      <c r="F182" s="61">
        <f t="shared" si="38"/>
        <v>0</v>
      </c>
      <c r="G182" s="61">
        <f t="shared" si="38"/>
        <v>0</v>
      </c>
      <c r="H182" s="61">
        <f t="shared" si="38"/>
        <v>0</v>
      </c>
      <c r="I182" s="61">
        <f t="shared" si="38"/>
        <v>0</v>
      </c>
      <c r="J182" s="412">
        <f t="shared" si="38"/>
        <v>0</v>
      </c>
    </row>
    <row r="183" spans="1:10" ht="15.45" x14ac:dyDescent="0.4">
      <c r="A183" s="100">
        <f>A182+1</f>
        <v>9</v>
      </c>
      <c r="B183" s="31" t="s">
        <v>222</v>
      </c>
      <c r="C183" s="32"/>
      <c r="D183" s="37">
        <f t="shared" ref="D183:I183" si="39">SUM(D181:D182)</f>
        <v>559510.5</v>
      </c>
      <c r="E183" s="37">
        <f t="shared" si="39"/>
        <v>399793</v>
      </c>
      <c r="F183" s="37">
        <f t="shared" si="39"/>
        <v>217013.69999999998</v>
      </c>
      <c r="G183" s="37">
        <f t="shared" si="39"/>
        <v>152354.59999999998</v>
      </c>
      <c r="H183" s="37">
        <f t="shared" si="39"/>
        <v>129485.5</v>
      </c>
      <c r="I183" s="37">
        <f t="shared" si="39"/>
        <v>120159.30000000002</v>
      </c>
      <c r="J183" s="411">
        <f>SUM(D183:I183)</f>
        <v>1578316.5999999999</v>
      </c>
    </row>
    <row r="184" spans="1:10" x14ac:dyDescent="0.35">
      <c r="A184" s="100"/>
      <c r="C184" s="37"/>
      <c r="D184" s="37"/>
      <c r="J184" s="99"/>
    </row>
    <row r="185" spans="1:10" ht="15.45" x14ac:dyDescent="0.4">
      <c r="A185" s="100">
        <f>A183+1</f>
        <v>10</v>
      </c>
      <c r="B185" s="35" t="s">
        <v>19</v>
      </c>
      <c r="C185" s="37"/>
      <c r="D185" s="37"/>
      <c r="J185" s="99"/>
    </row>
    <row r="186" spans="1:10" x14ac:dyDescent="0.35">
      <c r="A186" s="100">
        <f>A185+1</f>
        <v>11</v>
      </c>
      <c r="B186" s="31" t="s">
        <v>295</v>
      </c>
      <c r="C186" s="64"/>
      <c r="D186" s="37">
        <f>D123+D142</f>
        <v>25632.400000000001</v>
      </c>
      <c r="E186" s="37">
        <f t="shared" ref="E186:J186" si="40">E123+E142</f>
        <v>19330.900000000001</v>
      </c>
      <c r="F186" s="37">
        <f t="shared" si="40"/>
        <v>14546.3</v>
      </c>
      <c r="G186" s="37">
        <f t="shared" si="40"/>
        <v>11850.1</v>
      </c>
      <c r="H186" s="37">
        <f t="shared" si="40"/>
        <v>8386.5</v>
      </c>
      <c r="I186" s="37">
        <f t="shared" si="40"/>
        <v>8015.3</v>
      </c>
      <c r="J186" s="411">
        <f t="shared" si="40"/>
        <v>87761.500000000015</v>
      </c>
    </row>
    <row r="187" spans="1:10" x14ac:dyDescent="0.35">
      <c r="A187" s="100">
        <f>A186+1</f>
        <v>12</v>
      </c>
      <c r="B187" s="31" t="s">
        <v>202</v>
      </c>
      <c r="C187" s="80"/>
      <c r="D187" s="61">
        <f>D129+D146</f>
        <v>0</v>
      </c>
      <c r="E187" s="61">
        <f t="shared" ref="E187:J187" si="41">E129+E146</f>
        <v>0</v>
      </c>
      <c r="F187" s="61">
        <f t="shared" si="41"/>
        <v>0</v>
      </c>
      <c r="G187" s="61">
        <f t="shared" si="41"/>
        <v>0</v>
      </c>
      <c r="H187" s="61">
        <f t="shared" si="41"/>
        <v>0</v>
      </c>
      <c r="I187" s="61">
        <f t="shared" si="41"/>
        <v>0</v>
      </c>
      <c r="J187" s="412">
        <f t="shared" si="41"/>
        <v>0</v>
      </c>
    </row>
    <row r="188" spans="1:10" ht="15.45" x14ac:dyDescent="0.4">
      <c r="A188" s="100">
        <f>A187+1</f>
        <v>13</v>
      </c>
      <c r="B188" s="31" t="s">
        <v>222</v>
      </c>
      <c r="C188" s="32"/>
      <c r="D188" s="37">
        <f t="shared" ref="D188:I188" si="42">SUM(D186:D187)</f>
        <v>25632.400000000001</v>
      </c>
      <c r="E188" s="37">
        <f t="shared" si="42"/>
        <v>19330.900000000001</v>
      </c>
      <c r="F188" s="37">
        <f t="shared" si="42"/>
        <v>14546.3</v>
      </c>
      <c r="G188" s="37">
        <f t="shared" si="42"/>
        <v>11850.1</v>
      </c>
      <c r="H188" s="37">
        <f t="shared" si="42"/>
        <v>8386.5</v>
      </c>
      <c r="I188" s="37">
        <f t="shared" si="42"/>
        <v>8015.3</v>
      </c>
      <c r="J188" s="411">
        <f>SUM(D188:I188)</f>
        <v>87761.500000000015</v>
      </c>
    </row>
    <row r="189" spans="1:10" x14ac:dyDescent="0.35">
      <c r="A189" s="100"/>
      <c r="C189" s="37"/>
      <c r="D189" s="37"/>
      <c r="J189" s="99"/>
    </row>
    <row r="190" spans="1:10" ht="15.45" x14ac:dyDescent="0.4">
      <c r="A190" s="100">
        <f>A188+1</f>
        <v>14</v>
      </c>
      <c r="B190" s="35" t="s">
        <v>67</v>
      </c>
      <c r="C190" s="37"/>
      <c r="D190" s="61"/>
      <c r="J190" s="99"/>
    </row>
    <row r="191" spans="1:10" x14ac:dyDescent="0.35">
      <c r="A191" s="100">
        <f>A190+1</f>
        <v>15</v>
      </c>
      <c r="B191" s="31" t="s">
        <v>295</v>
      </c>
      <c r="C191" s="64"/>
      <c r="D191" s="37">
        <f t="shared" ref="D191:I192" si="43">D153</f>
        <v>869</v>
      </c>
      <c r="E191" s="37">
        <f t="shared" si="43"/>
        <v>1429</v>
      </c>
      <c r="F191" s="37">
        <f t="shared" si="43"/>
        <v>232</v>
      </c>
      <c r="G191" s="37">
        <f t="shared" si="43"/>
        <v>149.5</v>
      </c>
      <c r="H191" s="37">
        <f t="shared" si="43"/>
        <v>503</v>
      </c>
      <c r="I191" s="37">
        <f t="shared" si="43"/>
        <v>240</v>
      </c>
      <c r="J191" s="411">
        <f>SUM(D191:I191)</f>
        <v>3422.5</v>
      </c>
    </row>
    <row r="192" spans="1:10" x14ac:dyDescent="0.35">
      <c r="A192" s="100">
        <f>A191+1</f>
        <v>16</v>
      </c>
      <c r="B192" s="31" t="s">
        <v>202</v>
      </c>
      <c r="C192" s="80"/>
      <c r="D192" s="61">
        <f t="shared" si="43"/>
        <v>0</v>
      </c>
      <c r="E192" s="61">
        <f t="shared" si="43"/>
        <v>0</v>
      </c>
      <c r="F192" s="61">
        <f t="shared" si="43"/>
        <v>0</v>
      </c>
      <c r="G192" s="61">
        <f t="shared" si="43"/>
        <v>0</v>
      </c>
      <c r="H192" s="61">
        <f t="shared" si="43"/>
        <v>0</v>
      </c>
      <c r="I192" s="61">
        <f t="shared" si="43"/>
        <v>0</v>
      </c>
      <c r="J192" s="412">
        <f>SUM(D192:I192)</f>
        <v>0</v>
      </c>
    </row>
    <row r="193" spans="1:19" ht="15.45" x14ac:dyDescent="0.4">
      <c r="A193" s="100">
        <f>A192+1</f>
        <v>17</v>
      </c>
      <c r="B193" s="31" t="s">
        <v>222</v>
      </c>
      <c r="C193" s="32"/>
      <c r="D193" s="37">
        <f t="shared" ref="D193:I193" si="44">SUM(D191:D192)</f>
        <v>869</v>
      </c>
      <c r="E193" s="37">
        <f t="shared" si="44"/>
        <v>1429</v>
      </c>
      <c r="F193" s="37">
        <f t="shared" si="44"/>
        <v>232</v>
      </c>
      <c r="G193" s="37">
        <f t="shared" si="44"/>
        <v>149.5</v>
      </c>
      <c r="H193" s="37">
        <f t="shared" si="44"/>
        <v>503</v>
      </c>
      <c r="I193" s="37">
        <f t="shared" si="44"/>
        <v>240</v>
      </c>
      <c r="J193" s="411">
        <f>SUM(D193:I193)</f>
        <v>3422.5</v>
      </c>
    </row>
    <row r="194" spans="1:19" x14ac:dyDescent="0.35">
      <c r="A194" s="100"/>
      <c r="C194" s="61"/>
      <c r="D194" s="61"/>
      <c r="J194" s="99"/>
    </row>
    <row r="195" spans="1:19" ht="15.45" x14ac:dyDescent="0.4">
      <c r="A195" s="100">
        <f>A193+1</f>
        <v>18</v>
      </c>
      <c r="B195" s="35" t="s">
        <v>20</v>
      </c>
      <c r="C195" s="37"/>
      <c r="D195" s="37"/>
      <c r="J195" s="99"/>
    </row>
    <row r="196" spans="1:19" ht="15.45" thickBot="1" x14ac:dyDescent="0.4">
      <c r="A196" s="100">
        <f>A195+1</f>
        <v>19</v>
      </c>
      <c r="B196" s="31" t="s">
        <v>295</v>
      </c>
      <c r="C196" s="64"/>
      <c r="D196" s="37">
        <f t="shared" ref="D196:I196" si="45">D176+D181+D186+D191</f>
        <v>1759485.5999999999</v>
      </c>
      <c r="E196" s="37">
        <f t="shared" si="45"/>
        <v>1129572.2999999998</v>
      </c>
      <c r="F196" s="37">
        <f t="shared" si="45"/>
        <v>539951.1</v>
      </c>
      <c r="G196" s="37">
        <f t="shared" si="45"/>
        <v>307268.5</v>
      </c>
      <c r="H196" s="37">
        <f t="shared" si="45"/>
        <v>236125.90000000002</v>
      </c>
      <c r="I196" s="37">
        <f t="shared" si="45"/>
        <v>225506.1</v>
      </c>
      <c r="J196" s="411">
        <f>SUM(D196:I196)</f>
        <v>4197909.4999999991</v>
      </c>
    </row>
    <row r="197" spans="1:19" x14ac:dyDescent="0.35">
      <c r="A197" s="100">
        <f>A196+1</f>
        <v>20</v>
      </c>
      <c r="B197" s="31" t="s">
        <v>202</v>
      </c>
      <c r="C197" s="80"/>
      <c r="D197" s="61">
        <f t="shared" ref="D197:I197" si="46">D177+D182+D187+D192</f>
        <v>0</v>
      </c>
      <c r="E197" s="61">
        <f t="shared" si="46"/>
        <v>0</v>
      </c>
      <c r="F197" s="61">
        <f t="shared" si="46"/>
        <v>0</v>
      </c>
      <c r="G197" s="61">
        <f t="shared" si="46"/>
        <v>0</v>
      </c>
      <c r="H197" s="61">
        <f t="shared" si="46"/>
        <v>0</v>
      </c>
      <c r="I197" s="61">
        <f t="shared" si="46"/>
        <v>0</v>
      </c>
      <c r="J197" s="412">
        <f>SUM(D197:I197)</f>
        <v>0</v>
      </c>
      <c r="M197" s="355" t="s">
        <v>365</v>
      </c>
      <c r="N197" s="356"/>
    </row>
    <row r="198" spans="1:19" ht="15.9" thickBot="1" x14ac:dyDescent="0.45">
      <c r="A198" s="101">
        <f>A197+1</f>
        <v>21</v>
      </c>
      <c r="B198" s="413" t="s">
        <v>222</v>
      </c>
      <c r="C198" s="414"/>
      <c r="D198" s="415">
        <f t="shared" ref="D198:I198" si="47">SUM(D196:D197)</f>
        <v>1759485.5999999999</v>
      </c>
      <c r="E198" s="415">
        <f t="shared" si="47"/>
        <v>1129572.2999999998</v>
      </c>
      <c r="F198" s="415">
        <f t="shared" si="47"/>
        <v>539951.1</v>
      </c>
      <c r="G198" s="415">
        <f t="shared" si="47"/>
        <v>307268.5</v>
      </c>
      <c r="H198" s="415">
        <f t="shared" si="47"/>
        <v>236125.90000000002</v>
      </c>
      <c r="I198" s="415">
        <f t="shared" si="47"/>
        <v>225506.1</v>
      </c>
      <c r="J198" s="416">
        <f>SUM(D198:I198)</f>
        <v>4197909.4999999991</v>
      </c>
      <c r="M198" s="342">
        <f>J19+J24+J29+J34+J39+J44+J49+J54+J59+J73+J78+J115+J135++J150+J155</f>
        <v>4197909.5</v>
      </c>
      <c r="N198" s="200">
        <f>M198-J198</f>
        <v>0</v>
      </c>
    </row>
    <row r="199" spans="1:19" ht="15.45" x14ac:dyDescent="0.4">
      <c r="A199" s="32"/>
      <c r="B199" s="34"/>
      <c r="C199" s="34"/>
      <c r="D199" s="48"/>
      <c r="E199" s="48"/>
      <c r="F199" s="48"/>
      <c r="G199" s="48"/>
      <c r="H199" s="48"/>
      <c r="I199" s="48"/>
      <c r="J199" s="48"/>
      <c r="M199" s="34"/>
    </row>
    <row r="200" spans="1:19" ht="15.45" x14ac:dyDescent="0.4">
      <c r="A200" s="32"/>
      <c r="B200" s="34"/>
      <c r="C200" s="34"/>
      <c r="D200" s="120"/>
      <c r="E200" s="120"/>
      <c r="F200" s="120"/>
      <c r="G200" s="120"/>
      <c r="H200" s="120"/>
      <c r="I200" s="120"/>
      <c r="J200" s="48"/>
      <c r="K200" s="48"/>
      <c r="L200" s="48"/>
      <c r="M200" s="48"/>
      <c r="N200" s="48"/>
      <c r="O200" s="48"/>
      <c r="P200" s="48"/>
      <c r="S200" s="34"/>
    </row>
    <row r="201" spans="1:19" ht="15.45" x14ac:dyDescent="0.4">
      <c r="A201" s="64">
        <f>A198+1</f>
        <v>22</v>
      </c>
      <c r="B201" s="35" t="s">
        <v>225</v>
      </c>
      <c r="C201" s="34"/>
      <c r="D201" s="48"/>
      <c r="E201" s="48"/>
      <c r="F201" s="48"/>
      <c r="G201" s="48"/>
      <c r="H201" s="48"/>
      <c r="I201" s="48"/>
      <c r="J201" s="48"/>
      <c r="M201" s="34"/>
    </row>
    <row r="202" spans="1:19" x14ac:dyDescent="0.35">
      <c r="A202" s="64">
        <f>A201+1</f>
        <v>23</v>
      </c>
      <c r="B202" s="31" t="s">
        <v>295</v>
      </c>
      <c r="C202" s="64"/>
      <c r="D202" s="62">
        <v>133121.70000000001</v>
      </c>
      <c r="E202" s="62">
        <v>80458.100000000006</v>
      </c>
      <c r="F202" s="62">
        <v>35511.800000000003</v>
      </c>
      <c r="G202" s="62">
        <v>15546.5</v>
      </c>
      <c r="H202" s="62">
        <v>9660.6</v>
      </c>
      <c r="I202" s="62">
        <v>9985.7000000000007</v>
      </c>
      <c r="J202" s="37">
        <f>SUM(D202:I202)</f>
        <v>284284.40000000002</v>
      </c>
      <c r="L202" s="21"/>
    </row>
    <row r="203" spans="1:19" x14ac:dyDescent="0.35">
      <c r="A203" s="64">
        <f>A202+1</f>
        <v>24</v>
      </c>
      <c r="B203" s="31" t="s">
        <v>202</v>
      </c>
      <c r="C203" s="80" t="s">
        <v>300</v>
      </c>
      <c r="D203" s="62">
        <v>0</v>
      </c>
      <c r="E203" s="62">
        <v>0</v>
      </c>
      <c r="F203" s="62">
        <v>0</v>
      </c>
      <c r="G203" s="62">
        <v>0</v>
      </c>
      <c r="H203" s="62">
        <v>0</v>
      </c>
      <c r="I203" s="62">
        <v>0</v>
      </c>
      <c r="J203" s="37">
        <f>SUM(D203:I203)</f>
        <v>0</v>
      </c>
    </row>
    <row r="204" spans="1:19" ht="15.45" x14ac:dyDescent="0.4">
      <c r="A204" s="64">
        <f>A203+1</f>
        <v>25</v>
      </c>
      <c r="B204" s="31" t="s">
        <v>222</v>
      </c>
      <c r="C204" s="32"/>
      <c r="D204" s="37">
        <f t="shared" ref="D204:I204" si="48">SUM(D202:D203)</f>
        <v>133121.70000000001</v>
      </c>
      <c r="E204" s="37">
        <f t="shared" si="48"/>
        <v>80458.100000000006</v>
      </c>
      <c r="F204" s="37">
        <f t="shared" si="48"/>
        <v>35511.800000000003</v>
      </c>
      <c r="G204" s="37">
        <f t="shared" si="48"/>
        <v>15546.5</v>
      </c>
      <c r="H204" s="37">
        <f t="shared" si="48"/>
        <v>9660.6</v>
      </c>
      <c r="I204" s="37">
        <f t="shared" si="48"/>
        <v>9985.7000000000007</v>
      </c>
      <c r="J204" s="37">
        <f>SUM(D204:I204)</f>
        <v>284284.40000000002</v>
      </c>
    </row>
    <row r="205" spans="1:19" ht="15.45" x14ac:dyDescent="0.4">
      <c r="C205" s="32"/>
      <c r="D205" s="37"/>
      <c r="E205" s="37"/>
      <c r="F205" s="37"/>
      <c r="G205" s="37"/>
      <c r="H205" s="37"/>
      <c r="I205" s="37"/>
      <c r="J205" s="37"/>
    </row>
    <row r="206" spans="1:19" ht="15.45" x14ac:dyDescent="0.4">
      <c r="A206" s="64">
        <f>A204+1</f>
        <v>26</v>
      </c>
      <c r="B206" s="35" t="s">
        <v>226</v>
      </c>
      <c r="C206" s="64"/>
    </row>
    <row r="207" spans="1:19" x14ac:dyDescent="0.35">
      <c r="A207" s="64">
        <f>A206+1</f>
        <v>27</v>
      </c>
      <c r="B207" s="31" t="s">
        <v>295</v>
      </c>
      <c r="C207" s="64"/>
      <c r="D207" s="62"/>
      <c r="E207" s="62"/>
      <c r="F207" s="62"/>
      <c r="G207" s="217"/>
      <c r="H207" s="217"/>
      <c r="I207" s="217"/>
      <c r="J207" s="78"/>
      <c r="K207" s="300"/>
    </row>
    <row r="208" spans="1:19" x14ac:dyDescent="0.35">
      <c r="A208" s="64">
        <f>A207+1</f>
        <v>28</v>
      </c>
      <c r="B208" s="66" t="s">
        <v>214</v>
      </c>
      <c r="C208" s="64"/>
      <c r="D208" s="62">
        <v>52868.7</v>
      </c>
      <c r="E208" s="62">
        <v>39204.199999999997</v>
      </c>
      <c r="F208" s="62">
        <v>26086.400000000001</v>
      </c>
      <c r="G208" s="217">
        <v>16554.3</v>
      </c>
      <c r="H208" s="217">
        <v>14893.5</v>
      </c>
      <c r="I208" s="217">
        <v>14039</v>
      </c>
      <c r="J208" s="78">
        <f>SUM(D208:I208)</f>
        <v>163646.09999999998</v>
      </c>
    </row>
    <row r="209" spans="1:13" x14ac:dyDescent="0.35">
      <c r="A209" s="64">
        <f>A208+1</f>
        <v>29</v>
      </c>
      <c r="B209" s="66" t="s">
        <v>215</v>
      </c>
      <c r="C209" s="64"/>
      <c r="D209" s="62">
        <v>64778.5</v>
      </c>
      <c r="E209" s="62">
        <v>39268.6</v>
      </c>
      <c r="F209" s="62">
        <v>22193.4</v>
      </c>
      <c r="G209" s="217">
        <v>15220</v>
      </c>
      <c r="H209" s="217">
        <v>12935.7</v>
      </c>
      <c r="I209" s="217">
        <v>12415.3</v>
      </c>
      <c r="J209" s="78">
        <f>SUM(D209:I209)</f>
        <v>166811.5</v>
      </c>
    </row>
    <row r="210" spans="1:13" x14ac:dyDescent="0.35">
      <c r="A210" s="64">
        <f>A209+1</f>
        <v>30</v>
      </c>
      <c r="B210" s="66" t="s">
        <v>216</v>
      </c>
      <c r="C210" s="64"/>
      <c r="D210" s="62">
        <v>16225.5</v>
      </c>
      <c r="E210" s="62">
        <v>8912.6</v>
      </c>
      <c r="F210" s="62">
        <v>5291.9</v>
      </c>
      <c r="G210" s="217">
        <v>4909.6000000000004</v>
      </c>
      <c r="H210" s="217">
        <v>4454.6000000000004</v>
      </c>
      <c r="I210" s="217">
        <v>4369</v>
      </c>
      <c r="J210" s="78">
        <f>SUM(D210:I210)</f>
        <v>44163.199999999997</v>
      </c>
    </row>
    <row r="211" spans="1:13" x14ac:dyDescent="0.35">
      <c r="A211" s="64">
        <f>A210+1</f>
        <v>31</v>
      </c>
      <c r="B211" s="66" t="s">
        <v>217</v>
      </c>
      <c r="C211" s="64"/>
      <c r="D211" s="403">
        <v>5893.3</v>
      </c>
      <c r="E211" s="403">
        <v>2237.1999999999998</v>
      </c>
      <c r="F211" s="403">
        <v>1253.9000000000001</v>
      </c>
      <c r="G211" s="403">
        <v>1243.2</v>
      </c>
      <c r="H211" s="403">
        <v>658.2</v>
      </c>
      <c r="I211" s="403">
        <v>658.8</v>
      </c>
      <c r="J211" s="61">
        <f>SUM(D211:I211)</f>
        <v>11944.6</v>
      </c>
    </row>
    <row r="212" spans="1:13" x14ac:dyDescent="0.35">
      <c r="B212" s="66"/>
      <c r="C212" s="64"/>
      <c r="D212" s="78">
        <f t="shared" ref="D212:H212" si="49">SUM(D208:D211)</f>
        <v>139766</v>
      </c>
      <c r="E212" s="78">
        <f t="shared" si="49"/>
        <v>89622.599999999991</v>
      </c>
      <c r="F212" s="78">
        <f t="shared" si="49"/>
        <v>54825.600000000006</v>
      </c>
      <c r="G212" s="78">
        <f t="shared" si="49"/>
        <v>37927.1</v>
      </c>
      <c r="H212" s="78">
        <f t="shared" si="49"/>
        <v>32942</v>
      </c>
      <c r="I212" s="78">
        <f>SUM(I208:I211)</f>
        <v>31482.1</v>
      </c>
      <c r="J212" s="78">
        <f>SUM(D212:I212)</f>
        <v>386565.39999999991</v>
      </c>
      <c r="L212" s="21"/>
    </row>
    <row r="213" spans="1:13" x14ac:dyDescent="0.35">
      <c r="A213" s="64">
        <f>A211+1</f>
        <v>32</v>
      </c>
      <c r="B213" s="31" t="s">
        <v>202</v>
      </c>
      <c r="C213" s="80" t="s">
        <v>300</v>
      </c>
      <c r="D213" s="62"/>
      <c r="E213" s="62"/>
      <c r="F213" s="62"/>
      <c r="G213" s="62"/>
      <c r="H213" s="62"/>
      <c r="I213" s="62"/>
      <c r="J213" s="37"/>
    </row>
    <row r="214" spans="1:13" x14ac:dyDescent="0.35">
      <c r="A214" s="64">
        <f>A213+1</f>
        <v>33</v>
      </c>
      <c r="B214" s="31" t="str">
        <f>B208</f>
        <v xml:space="preserve">    First 50 Mcf</v>
      </c>
      <c r="C214" s="80"/>
      <c r="D214" s="62">
        <v>0</v>
      </c>
      <c r="E214" s="62">
        <v>0</v>
      </c>
      <c r="F214" s="62">
        <v>0</v>
      </c>
      <c r="G214" s="62">
        <v>0</v>
      </c>
      <c r="H214" s="62">
        <v>0</v>
      </c>
      <c r="I214" s="62">
        <v>0</v>
      </c>
      <c r="J214" s="37">
        <f>SUM(D214:I214)</f>
        <v>0</v>
      </c>
      <c r="K214" s="37"/>
    </row>
    <row r="215" spans="1:13" x14ac:dyDescent="0.35">
      <c r="A215" s="64">
        <f>A214+1</f>
        <v>34</v>
      </c>
      <c r="B215" s="31" t="str">
        <f>B209</f>
        <v xml:space="preserve">    Next 350 Mcf</v>
      </c>
      <c r="C215" s="80"/>
      <c r="D215" s="62">
        <v>0</v>
      </c>
      <c r="E215" s="62">
        <v>0</v>
      </c>
      <c r="F215" s="62">
        <v>0</v>
      </c>
      <c r="G215" s="62">
        <v>0</v>
      </c>
      <c r="H215" s="62">
        <v>0</v>
      </c>
      <c r="I215" s="62">
        <v>0</v>
      </c>
      <c r="J215" s="37">
        <f>SUM(D215:I215)</f>
        <v>0</v>
      </c>
      <c r="K215" s="37"/>
    </row>
    <row r="216" spans="1:13" x14ac:dyDescent="0.35">
      <c r="A216" s="64">
        <f>A215+1</f>
        <v>35</v>
      </c>
      <c r="B216" s="31" t="str">
        <f>B210</f>
        <v xml:space="preserve">    Next 600 Mcf</v>
      </c>
      <c r="C216" s="80"/>
      <c r="D216" s="62">
        <v>0</v>
      </c>
      <c r="E216" s="62">
        <v>0</v>
      </c>
      <c r="F216" s="62">
        <v>0</v>
      </c>
      <c r="G216" s="62">
        <v>0</v>
      </c>
      <c r="H216" s="62">
        <v>0</v>
      </c>
      <c r="I216" s="62">
        <v>0</v>
      </c>
      <c r="J216" s="37">
        <f>SUM(D216:I216)</f>
        <v>0</v>
      </c>
      <c r="K216" s="37"/>
    </row>
    <row r="217" spans="1:13" x14ac:dyDescent="0.35">
      <c r="A217" s="64">
        <f>A216+1</f>
        <v>36</v>
      </c>
      <c r="B217" s="31" t="str">
        <f>B211</f>
        <v xml:space="preserve">    Over 1,000 Mcf</v>
      </c>
      <c r="C217" s="80"/>
      <c r="D217" s="403">
        <v>0</v>
      </c>
      <c r="E217" s="403">
        <v>0</v>
      </c>
      <c r="F217" s="403">
        <v>0</v>
      </c>
      <c r="G217" s="403">
        <v>0</v>
      </c>
      <c r="H217" s="403">
        <v>0</v>
      </c>
      <c r="I217" s="403">
        <v>0</v>
      </c>
      <c r="J217" s="61">
        <f>SUM(D217:I217)</f>
        <v>0</v>
      </c>
      <c r="K217" s="61"/>
    </row>
    <row r="218" spans="1:13" x14ac:dyDescent="0.35">
      <c r="C218" s="80"/>
      <c r="D218" s="37">
        <f t="shared" ref="D218:H218" si="50">SUM(D214:D217)</f>
        <v>0</v>
      </c>
      <c r="E218" s="37">
        <f t="shared" si="50"/>
        <v>0</v>
      </c>
      <c r="F218" s="37">
        <f t="shared" si="50"/>
        <v>0</v>
      </c>
      <c r="G218" s="37">
        <f t="shared" si="50"/>
        <v>0</v>
      </c>
      <c r="H218" s="37">
        <f t="shared" si="50"/>
        <v>0</v>
      </c>
      <c r="I218" s="37">
        <f>SUM(I214:I217)</f>
        <v>0</v>
      </c>
      <c r="J218" s="37">
        <f>SUM(D218:I218)</f>
        <v>0</v>
      </c>
      <c r="K218" s="37"/>
    </row>
    <row r="219" spans="1:13" ht="15.45" x14ac:dyDescent="0.4">
      <c r="A219" s="64">
        <f>A217+1</f>
        <v>37</v>
      </c>
      <c r="B219" s="31" t="s">
        <v>222</v>
      </c>
      <c r="C219" s="32"/>
      <c r="D219" s="37"/>
      <c r="E219" s="37"/>
      <c r="F219" s="37"/>
      <c r="G219" s="78"/>
      <c r="H219" s="78"/>
      <c r="I219" s="78"/>
      <c r="J219" s="78"/>
    </row>
    <row r="220" spans="1:13" ht="15.45" x14ac:dyDescent="0.4">
      <c r="A220" s="64">
        <f>A219+1</f>
        <v>38</v>
      </c>
      <c r="B220" s="31" t="str">
        <f>B208</f>
        <v xml:space="preserve">    First 50 Mcf</v>
      </c>
      <c r="C220" s="34"/>
      <c r="D220" s="121">
        <f t="shared" ref="D220:I220" si="51">D208+D215</f>
        <v>52868.7</v>
      </c>
      <c r="E220" s="121">
        <f t="shared" si="51"/>
        <v>39204.199999999997</v>
      </c>
      <c r="F220" s="121">
        <f t="shared" si="51"/>
        <v>26086.400000000001</v>
      </c>
      <c r="G220" s="121">
        <f t="shared" si="51"/>
        <v>16554.3</v>
      </c>
      <c r="H220" s="121">
        <f t="shared" si="51"/>
        <v>14893.5</v>
      </c>
      <c r="I220" s="121">
        <f t="shared" si="51"/>
        <v>14039</v>
      </c>
      <c r="J220" s="78">
        <f>SUM(D220:I220)</f>
        <v>163646.09999999998</v>
      </c>
      <c r="M220" s="34"/>
    </row>
    <row r="221" spans="1:13" ht="15.45" x14ac:dyDescent="0.4">
      <c r="A221" s="64">
        <f>A220+1</f>
        <v>39</v>
      </c>
      <c r="B221" s="31" t="str">
        <f>B209</f>
        <v xml:space="preserve">    Next 350 Mcf</v>
      </c>
      <c r="C221" s="34"/>
      <c r="D221" s="121">
        <f t="shared" ref="D221:I223" si="52">D209+D216</f>
        <v>64778.5</v>
      </c>
      <c r="E221" s="121">
        <f t="shared" si="52"/>
        <v>39268.6</v>
      </c>
      <c r="F221" s="121">
        <f t="shared" si="52"/>
        <v>22193.4</v>
      </c>
      <c r="G221" s="121">
        <f t="shared" si="52"/>
        <v>15220</v>
      </c>
      <c r="H221" s="121">
        <f t="shared" si="52"/>
        <v>12935.7</v>
      </c>
      <c r="I221" s="121">
        <f t="shared" si="52"/>
        <v>12415.3</v>
      </c>
      <c r="J221" s="78">
        <f>SUM(D221:I221)</f>
        <v>166811.5</v>
      </c>
      <c r="M221" s="34"/>
    </row>
    <row r="222" spans="1:13" ht="15.45" x14ac:dyDescent="0.4">
      <c r="A222" s="64">
        <f>A221+1</f>
        <v>40</v>
      </c>
      <c r="B222" s="31" t="str">
        <f>B210</f>
        <v xml:space="preserve">    Next 600 Mcf</v>
      </c>
      <c r="C222" s="34"/>
      <c r="D222" s="121">
        <f t="shared" si="52"/>
        <v>16225.5</v>
      </c>
      <c r="E222" s="121">
        <f t="shared" si="52"/>
        <v>8912.6</v>
      </c>
      <c r="F222" s="121">
        <f t="shared" si="52"/>
        <v>5291.9</v>
      </c>
      <c r="G222" s="121">
        <f t="shared" si="52"/>
        <v>4909.6000000000004</v>
      </c>
      <c r="H222" s="121">
        <f t="shared" si="52"/>
        <v>4454.6000000000004</v>
      </c>
      <c r="I222" s="121">
        <f t="shared" si="52"/>
        <v>4369</v>
      </c>
      <c r="J222" s="78">
        <f>SUM(D222:I222)</f>
        <v>44163.199999999997</v>
      </c>
      <c r="M222" s="34"/>
    </row>
    <row r="223" spans="1:13" ht="15.45" x14ac:dyDescent="0.4">
      <c r="A223" s="64">
        <f>A222+1</f>
        <v>41</v>
      </c>
      <c r="B223" s="31" t="str">
        <f>B211</f>
        <v xml:space="preserve">    Over 1,000 Mcf</v>
      </c>
      <c r="C223" s="34"/>
      <c r="D223" s="405">
        <f t="shared" si="52"/>
        <v>5893.3</v>
      </c>
      <c r="E223" s="405">
        <f t="shared" si="52"/>
        <v>2237.1999999999998</v>
      </c>
      <c r="F223" s="405">
        <f t="shared" si="52"/>
        <v>1253.9000000000001</v>
      </c>
      <c r="G223" s="405">
        <f t="shared" si="52"/>
        <v>1243.2</v>
      </c>
      <c r="H223" s="405">
        <f t="shared" si="52"/>
        <v>658.2</v>
      </c>
      <c r="I223" s="405">
        <f t="shared" si="52"/>
        <v>658.8</v>
      </c>
      <c r="J223" s="61">
        <f>SUM(D223:I223)</f>
        <v>11944.6</v>
      </c>
      <c r="M223" s="34"/>
    </row>
    <row r="224" spans="1:13" ht="15.45" x14ac:dyDescent="0.4">
      <c r="A224" s="64">
        <f>A223+1</f>
        <v>42</v>
      </c>
      <c r="B224" s="31" t="s">
        <v>296</v>
      </c>
      <c r="C224" s="32"/>
      <c r="D224" s="37">
        <f t="shared" ref="D224:I224" si="53">D212+D218</f>
        <v>139766</v>
      </c>
      <c r="E224" s="37">
        <f t="shared" si="53"/>
        <v>89622.599999999991</v>
      </c>
      <c r="F224" s="37">
        <f t="shared" si="53"/>
        <v>54825.600000000006</v>
      </c>
      <c r="G224" s="37">
        <f t="shared" si="53"/>
        <v>37927.1</v>
      </c>
      <c r="H224" s="37">
        <f t="shared" si="53"/>
        <v>32942</v>
      </c>
      <c r="I224" s="37">
        <f t="shared" si="53"/>
        <v>31482.1</v>
      </c>
      <c r="J224" s="37">
        <f>SUM(D224:I224)</f>
        <v>386565.39999999991</v>
      </c>
    </row>
    <row r="225" spans="1:13" ht="15.45" x14ac:dyDescent="0.4">
      <c r="C225" s="32"/>
      <c r="D225" s="37"/>
      <c r="E225" s="37"/>
      <c r="F225" s="37"/>
      <c r="G225" s="37"/>
      <c r="H225" s="37"/>
      <c r="I225" s="37"/>
      <c r="J225" s="37"/>
    </row>
    <row r="226" spans="1:13" ht="15.45" x14ac:dyDescent="0.4">
      <c r="A226" s="64">
        <f>A224+1</f>
        <v>43</v>
      </c>
      <c r="B226" s="35" t="s">
        <v>227</v>
      </c>
      <c r="C226" s="64"/>
    </row>
    <row r="227" spans="1:13" x14ac:dyDescent="0.35">
      <c r="A227" s="64">
        <f>A226+1</f>
        <v>44</v>
      </c>
      <c r="B227" s="31" t="s">
        <v>295</v>
      </c>
      <c r="C227" s="64"/>
      <c r="D227" s="62"/>
      <c r="E227" s="62"/>
      <c r="F227" s="62"/>
      <c r="G227" s="217"/>
      <c r="H227" s="217"/>
      <c r="I227" s="217"/>
      <c r="J227" s="78"/>
    </row>
    <row r="228" spans="1:13" x14ac:dyDescent="0.35">
      <c r="A228" s="64">
        <f>A227+1</f>
        <v>45</v>
      </c>
      <c r="B228" s="66" t="s">
        <v>214</v>
      </c>
      <c r="C228" s="64"/>
      <c r="D228" s="62">
        <v>596.70000000000005</v>
      </c>
      <c r="E228" s="62">
        <v>601.70000000000005</v>
      </c>
      <c r="F228" s="62">
        <v>507.7</v>
      </c>
      <c r="G228" s="217">
        <v>388.3</v>
      </c>
      <c r="H228" s="217">
        <v>357.6</v>
      </c>
      <c r="I228" s="217">
        <v>352.1</v>
      </c>
      <c r="J228" s="78">
        <f>SUM(D228:I228)</f>
        <v>2804.1</v>
      </c>
    </row>
    <row r="229" spans="1:13" x14ac:dyDescent="0.35">
      <c r="A229" s="64">
        <f>A228+1</f>
        <v>46</v>
      </c>
      <c r="B229" s="66" t="s">
        <v>215</v>
      </c>
      <c r="C229" s="64"/>
      <c r="D229" s="62">
        <v>2892.5</v>
      </c>
      <c r="E229" s="62">
        <v>2943.1</v>
      </c>
      <c r="F229" s="62">
        <v>2058.3000000000002</v>
      </c>
      <c r="G229" s="217">
        <v>1706.1</v>
      </c>
      <c r="H229" s="217">
        <v>1562.7</v>
      </c>
      <c r="I229" s="217">
        <v>1601.9</v>
      </c>
      <c r="J229" s="78">
        <f>SUM(D229:I229)</f>
        <v>12764.6</v>
      </c>
    </row>
    <row r="230" spans="1:13" x14ac:dyDescent="0.35">
      <c r="A230" s="64">
        <f>A229+1</f>
        <v>47</v>
      </c>
      <c r="B230" s="66" t="s">
        <v>216</v>
      </c>
      <c r="C230" s="64"/>
      <c r="D230" s="62">
        <v>2342.3000000000002</v>
      </c>
      <c r="E230" s="62">
        <v>1108.5999999999999</v>
      </c>
      <c r="F230" s="62">
        <v>976.5</v>
      </c>
      <c r="G230" s="217">
        <v>888.6</v>
      </c>
      <c r="H230" s="217">
        <v>991.5</v>
      </c>
      <c r="I230" s="217">
        <v>1044.3</v>
      </c>
      <c r="J230" s="78">
        <f>SUM(D230:I230)</f>
        <v>7351.8</v>
      </c>
    </row>
    <row r="231" spans="1:13" ht="17.600000000000001" x14ac:dyDescent="0.65">
      <c r="A231" s="64">
        <f>A230+1</f>
        <v>48</v>
      </c>
      <c r="B231" s="66" t="s">
        <v>217</v>
      </c>
      <c r="C231" s="64"/>
      <c r="D231" s="407">
        <v>866</v>
      </c>
      <c r="E231" s="407">
        <v>252.3</v>
      </c>
      <c r="F231" s="407">
        <v>230</v>
      </c>
      <c r="G231" s="417">
        <v>344.1</v>
      </c>
      <c r="H231" s="417">
        <v>202.9</v>
      </c>
      <c r="I231" s="417">
        <v>316.7</v>
      </c>
      <c r="J231" s="418">
        <f>SUM(D231:I231)</f>
        <v>2212</v>
      </c>
    </row>
    <row r="232" spans="1:13" x14ac:dyDescent="0.35">
      <c r="B232" s="66"/>
      <c r="C232" s="64"/>
      <c r="D232" s="78">
        <f t="shared" ref="D232:H232" si="54">SUM(D228:D231)</f>
        <v>6697.5</v>
      </c>
      <c r="E232" s="78">
        <f t="shared" si="54"/>
        <v>4905.7</v>
      </c>
      <c r="F232" s="78">
        <f t="shared" si="54"/>
        <v>3772.5</v>
      </c>
      <c r="G232" s="78">
        <f t="shared" si="54"/>
        <v>3327.1</v>
      </c>
      <c r="H232" s="78">
        <f t="shared" si="54"/>
        <v>3114.7000000000003</v>
      </c>
      <c r="I232" s="78">
        <f>SUM(I228:I231)</f>
        <v>3315</v>
      </c>
      <c r="J232" s="78">
        <f>SUM(D232:I232)</f>
        <v>25132.5</v>
      </c>
      <c r="L232" s="21"/>
    </row>
    <row r="233" spans="1:13" x14ac:dyDescent="0.35">
      <c r="A233" s="64">
        <f>A231+1</f>
        <v>49</v>
      </c>
      <c r="B233" s="31" t="s">
        <v>202</v>
      </c>
      <c r="C233" s="80" t="s">
        <v>300</v>
      </c>
      <c r="D233" s="62"/>
      <c r="E233" s="62"/>
      <c r="F233" s="62"/>
      <c r="G233" s="62"/>
      <c r="H233" s="62"/>
      <c r="I233" s="62"/>
      <c r="J233" s="37"/>
    </row>
    <row r="234" spans="1:13" x14ac:dyDescent="0.35">
      <c r="A234" s="64">
        <f>A233+1</f>
        <v>50</v>
      </c>
      <c r="B234" s="31" t="str">
        <f>B228</f>
        <v xml:space="preserve">    First 50 Mcf</v>
      </c>
      <c r="C234" s="80"/>
      <c r="D234" s="62">
        <v>0</v>
      </c>
      <c r="E234" s="62">
        <v>0</v>
      </c>
      <c r="F234" s="62">
        <v>0</v>
      </c>
      <c r="G234" s="62">
        <v>0</v>
      </c>
      <c r="H234" s="62">
        <v>0</v>
      </c>
      <c r="I234" s="62">
        <v>0</v>
      </c>
      <c r="J234" s="37">
        <f>SUM(D234:I234)</f>
        <v>0</v>
      </c>
    </row>
    <row r="235" spans="1:13" x14ac:dyDescent="0.35">
      <c r="A235" s="64">
        <f>A234+1</f>
        <v>51</v>
      </c>
      <c r="B235" s="31" t="str">
        <f>B229</f>
        <v xml:space="preserve">    Next 350 Mcf</v>
      </c>
      <c r="C235" s="80"/>
      <c r="D235" s="62">
        <v>0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37">
        <f>SUM(D235:I235)</f>
        <v>0</v>
      </c>
    </row>
    <row r="236" spans="1:13" x14ac:dyDescent="0.35">
      <c r="A236" s="64">
        <f>A235+1</f>
        <v>52</v>
      </c>
      <c r="B236" s="31" t="str">
        <f>B230</f>
        <v xml:space="preserve">    Next 600 Mcf</v>
      </c>
      <c r="C236" s="80"/>
      <c r="D236" s="62">
        <v>0</v>
      </c>
      <c r="E236" s="62">
        <v>0</v>
      </c>
      <c r="F236" s="62">
        <v>0</v>
      </c>
      <c r="G236" s="62">
        <v>0</v>
      </c>
      <c r="H236" s="62">
        <v>0</v>
      </c>
      <c r="I236" s="62">
        <v>0</v>
      </c>
      <c r="J236" s="37">
        <f>SUM(D236:I236)</f>
        <v>0</v>
      </c>
    </row>
    <row r="237" spans="1:13" x14ac:dyDescent="0.35">
      <c r="A237" s="64">
        <f>A236+1</f>
        <v>53</v>
      </c>
      <c r="B237" s="31" t="str">
        <f>B231</f>
        <v xml:space="preserve">    Over 1,000 Mcf</v>
      </c>
      <c r="C237" s="80"/>
      <c r="D237" s="403">
        <v>0</v>
      </c>
      <c r="E237" s="403">
        <v>0</v>
      </c>
      <c r="F237" s="403">
        <v>0</v>
      </c>
      <c r="G237" s="403">
        <v>0</v>
      </c>
      <c r="H237" s="403">
        <v>0</v>
      </c>
      <c r="I237" s="403">
        <v>0</v>
      </c>
      <c r="J237" s="61">
        <f>SUM(D237:I237)</f>
        <v>0</v>
      </c>
    </row>
    <row r="238" spans="1:13" x14ac:dyDescent="0.35">
      <c r="C238" s="80"/>
      <c r="D238" s="37">
        <f t="shared" ref="D238:H238" si="55">SUM(D234:D237)</f>
        <v>0</v>
      </c>
      <c r="E238" s="37">
        <f t="shared" si="55"/>
        <v>0</v>
      </c>
      <c r="F238" s="37">
        <f t="shared" si="55"/>
        <v>0</v>
      </c>
      <c r="G238" s="37">
        <f t="shared" si="55"/>
        <v>0</v>
      </c>
      <c r="H238" s="37">
        <f t="shared" si="55"/>
        <v>0</v>
      </c>
      <c r="I238" s="37">
        <f>SUM(I234:I237)</f>
        <v>0</v>
      </c>
      <c r="J238" s="37">
        <f>SUM(D238:I238)</f>
        <v>0</v>
      </c>
    </row>
    <row r="239" spans="1:13" ht="15.45" x14ac:dyDescent="0.4">
      <c r="A239" s="64">
        <f>A237+1</f>
        <v>54</v>
      </c>
      <c r="B239" s="31" t="s">
        <v>222</v>
      </c>
      <c r="C239" s="32"/>
      <c r="D239" s="37"/>
      <c r="E239" s="37"/>
      <c r="F239" s="37"/>
      <c r="G239" s="78"/>
      <c r="H239" s="78"/>
      <c r="I239" s="78"/>
      <c r="J239" s="78"/>
    </row>
    <row r="240" spans="1:13" ht="15.45" x14ac:dyDescent="0.4">
      <c r="A240" s="64">
        <f>A239+1</f>
        <v>55</v>
      </c>
      <c r="B240" s="31" t="str">
        <f>B228</f>
        <v xml:space="preserve">    First 50 Mcf</v>
      </c>
      <c r="C240" s="34"/>
      <c r="D240" s="121">
        <f t="shared" ref="D240:I240" si="56">D228+D234</f>
        <v>596.70000000000005</v>
      </c>
      <c r="E240" s="121">
        <f t="shared" si="56"/>
        <v>601.70000000000005</v>
      </c>
      <c r="F240" s="121">
        <f t="shared" si="56"/>
        <v>507.7</v>
      </c>
      <c r="G240" s="121">
        <f t="shared" si="56"/>
        <v>388.3</v>
      </c>
      <c r="H240" s="121">
        <f t="shared" si="56"/>
        <v>357.6</v>
      </c>
      <c r="I240" s="121">
        <f t="shared" si="56"/>
        <v>352.1</v>
      </c>
      <c r="J240" s="78">
        <f>SUM(D240:I240)</f>
        <v>2804.1</v>
      </c>
      <c r="M240" s="34"/>
    </row>
    <row r="241" spans="1:18" ht="15.45" x14ac:dyDescent="0.4">
      <c r="A241" s="64">
        <f>A240+1</f>
        <v>56</v>
      </c>
      <c r="B241" s="31" t="str">
        <f>B229</f>
        <v xml:space="preserve">    Next 350 Mcf</v>
      </c>
      <c r="C241" s="34"/>
      <c r="D241" s="121">
        <f t="shared" ref="D241:I242" si="57">D229+D235</f>
        <v>2892.5</v>
      </c>
      <c r="E241" s="121">
        <f t="shared" si="57"/>
        <v>2943.1</v>
      </c>
      <c r="F241" s="121">
        <f t="shared" si="57"/>
        <v>2058.3000000000002</v>
      </c>
      <c r="G241" s="121">
        <f t="shared" si="57"/>
        <v>1706.1</v>
      </c>
      <c r="H241" s="121">
        <f t="shared" si="57"/>
        <v>1562.7</v>
      </c>
      <c r="I241" s="121">
        <f t="shared" si="57"/>
        <v>1601.9</v>
      </c>
      <c r="J241" s="78">
        <f>SUM(D241:I241)</f>
        <v>12764.6</v>
      </c>
      <c r="M241" s="34"/>
    </row>
    <row r="242" spans="1:18" ht="15.45" x14ac:dyDescent="0.4">
      <c r="A242" s="64">
        <f>A241+1</f>
        <v>57</v>
      </c>
      <c r="B242" s="31" t="str">
        <f>B230</f>
        <v xml:space="preserve">    Next 600 Mcf</v>
      </c>
      <c r="C242" s="34"/>
      <c r="D242" s="121">
        <f t="shared" si="57"/>
        <v>2342.3000000000002</v>
      </c>
      <c r="E242" s="121">
        <f t="shared" si="57"/>
        <v>1108.5999999999999</v>
      </c>
      <c r="F242" s="121">
        <f t="shared" si="57"/>
        <v>976.5</v>
      </c>
      <c r="G242" s="121">
        <f t="shared" si="57"/>
        <v>888.6</v>
      </c>
      <c r="H242" s="121">
        <f t="shared" si="57"/>
        <v>991.5</v>
      </c>
      <c r="I242" s="121">
        <f t="shared" si="57"/>
        <v>1044.3</v>
      </c>
      <c r="J242" s="78">
        <f>SUM(D242:I242)</f>
        <v>7351.8</v>
      </c>
      <c r="M242" s="34"/>
    </row>
    <row r="243" spans="1:18" ht="15.45" x14ac:dyDescent="0.4">
      <c r="A243" s="64">
        <f>A242+1</f>
        <v>58</v>
      </c>
      <c r="B243" s="31" t="str">
        <f>B231</f>
        <v xml:space="preserve">    Over 1,000 Mcf</v>
      </c>
      <c r="C243" s="34"/>
      <c r="D243" s="405">
        <f t="shared" ref="D243:I243" si="58">D231+D237</f>
        <v>866</v>
      </c>
      <c r="E243" s="405">
        <f t="shared" si="58"/>
        <v>252.3</v>
      </c>
      <c r="F243" s="405">
        <f t="shared" si="58"/>
        <v>230</v>
      </c>
      <c r="G243" s="405">
        <f t="shared" si="58"/>
        <v>344.1</v>
      </c>
      <c r="H243" s="405">
        <f t="shared" si="58"/>
        <v>202.9</v>
      </c>
      <c r="I243" s="405">
        <f t="shared" si="58"/>
        <v>316.7</v>
      </c>
      <c r="J243" s="61">
        <f>SUM(D243:I243)</f>
        <v>2212</v>
      </c>
      <c r="M243" s="34"/>
    </row>
    <row r="244" spans="1:18" ht="15.45" x14ac:dyDescent="0.4">
      <c r="A244" s="64">
        <f>A243+1</f>
        <v>59</v>
      </c>
      <c r="B244" s="31" t="s">
        <v>296</v>
      </c>
      <c r="C244" s="32"/>
      <c r="D244" s="121">
        <f t="shared" ref="D244:I244" si="59">D232+D238</f>
        <v>6697.5</v>
      </c>
      <c r="E244" s="121">
        <f t="shared" si="59"/>
        <v>4905.7</v>
      </c>
      <c r="F244" s="121">
        <f t="shared" si="59"/>
        <v>3772.5</v>
      </c>
      <c r="G244" s="121">
        <f t="shared" si="59"/>
        <v>3327.1</v>
      </c>
      <c r="H244" s="121">
        <f t="shared" si="59"/>
        <v>3114.7000000000003</v>
      </c>
      <c r="I244" s="121">
        <f t="shared" si="59"/>
        <v>3315</v>
      </c>
      <c r="J244" s="37">
        <f>SUM(D244:I244)</f>
        <v>25132.5</v>
      </c>
    </row>
    <row r="245" spans="1:18" ht="15.45" x14ac:dyDescent="0.4">
      <c r="C245" s="32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8" ht="15.45" x14ac:dyDescent="0.4">
      <c r="C246" s="32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8" ht="15.45" x14ac:dyDescent="0.4">
      <c r="A247" s="110" t="str">
        <f>CONAME</f>
        <v>Columbia Gas of Kentucky, Inc.</v>
      </c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</row>
    <row r="248" spans="1:18" ht="15.45" x14ac:dyDescent="0.4">
      <c r="A248" s="110" t="s">
        <v>157</v>
      </c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</row>
    <row r="249" spans="1:18" ht="15.45" x14ac:dyDescent="0.4">
      <c r="A249" s="35" t="str">
        <f>TYDESC</f>
        <v>For the 6 Months Ended August 31, 2024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8" ht="15.45" x14ac:dyDescent="0.4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8" ht="15.45" x14ac:dyDescent="0.4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8" ht="15.45" x14ac:dyDescent="0.4">
      <c r="A252" s="75" t="s">
        <v>180</v>
      </c>
      <c r="C252" s="32"/>
      <c r="D252" s="32"/>
      <c r="E252" s="32"/>
      <c r="F252" s="32"/>
      <c r="J252" s="71" t="str">
        <f>$J$6</f>
        <v>Workpaper WPM-C.1</v>
      </c>
    </row>
    <row r="253" spans="1:18" ht="15.45" x14ac:dyDescent="0.4">
      <c r="A253" s="75" t="s">
        <v>181</v>
      </c>
      <c r="C253" s="32"/>
      <c r="D253" s="32"/>
      <c r="E253" s="32"/>
      <c r="F253" s="32"/>
      <c r="J253" s="72" t="s">
        <v>316</v>
      </c>
    </row>
    <row r="254" spans="1:18" ht="15.45" x14ac:dyDescent="0.4">
      <c r="A254" s="75" t="s">
        <v>64</v>
      </c>
      <c r="C254" s="32"/>
      <c r="D254" s="32"/>
      <c r="E254" s="32"/>
      <c r="F254" s="32"/>
      <c r="P254" s="72"/>
    </row>
    <row r="255" spans="1:18" ht="15.45" x14ac:dyDescent="0.4">
      <c r="A255" s="102" t="str">
        <f>$A$9</f>
        <v>6 Mos Forecasted</v>
      </c>
      <c r="B255" s="32"/>
      <c r="C255" s="32"/>
      <c r="D255" s="33"/>
      <c r="E255" s="32"/>
      <c r="F255" s="41"/>
      <c r="G255" s="42"/>
      <c r="H255" s="41"/>
      <c r="I255" s="30"/>
      <c r="J255" s="41"/>
      <c r="K255" s="41"/>
      <c r="L255" s="41"/>
      <c r="M255" s="41"/>
      <c r="N255" s="41"/>
      <c r="O255" s="41"/>
      <c r="P255" s="41"/>
      <c r="Q255" s="32"/>
      <c r="R255" s="32"/>
    </row>
    <row r="256" spans="1:18" ht="15.45" x14ac:dyDescent="0.4">
      <c r="A256" s="102"/>
      <c r="B256" s="32"/>
      <c r="C256" s="32"/>
      <c r="D256" s="33"/>
      <c r="E256" s="32"/>
      <c r="F256" s="41"/>
      <c r="G256" s="42"/>
      <c r="H256" s="41"/>
      <c r="I256" s="30"/>
      <c r="J256" s="41"/>
      <c r="K256" s="41"/>
      <c r="L256" s="41"/>
      <c r="M256" s="41"/>
      <c r="N256" s="41"/>
      <c r="O256" s="41"/>
      <c r="P256" s="41"/>
      <c r="Q256" s="32"/>
      <c r="R256" s="32"/>
    </row>
    <row r="257" spans="1:18" ht="15.45" x14ac:dyDescent="0.4">
      <c r="A257" s="76"/>
      <c r="B257" s="32"/>
      <c r="C257" s="32"/>
      <c r="D257" s="33"/>
      <c r="E257" s="32"/>
      <c r="F257" s="41"/>
      <c r="G257" s="42"/>
      <c r="H257" s="41"/>
      <c r="I257" s="30"/>
      <c r="J257" s="41"/>
      <c r="K257" s="41"/>
      <c r="L257" s="41"/>
      <c r="M257" s="41"/>
      <c r="N257" s="41"/>
      <c r="O257" s="41"/>
      <c r="P257" s="41"/>
      <c r="Q257" s="32"/>
      <c r="R257" s="32"/>
    </row>
    <row r="258" spans="1:18" ht="15.45" x14ac:dyDescent="0.4">
      <c r="A258" s="32" t="s">
        <v>11</v>
      </c>
      <c r="B258" s="32"/>
      <c r="C258" s="32"/>
      <c r="D258" s="33"/>
      <c r="E258" s="32"/>
      <c r="F258" s="41"/>
      <c r="G258" s="42"/>
      <c r="H258" s="41"/>
      <c r="I258" s="30"/>
      <c r="J258" s="41"/>
      <c r="K258" s="41"/>
      <c r="L258" s="41"/>
      <c r="M258" s="41"/>
      <c r="N258" s="41"/>
      <c r="O258" s="41"/>
      <c r="P258" s="41"/>
      <c r="Q258" s="34"/>
      <c r="R258" s="34"/>
    </row>
    <row r="259" spans="1:18" ht="15.45" x14ac:dyDescent="0.4">
      <c r="A259" s="43" t="s">
        <v>13</v>
      </c>
      <c r="B259" s="43" t="s">
        <v>14</v>
      </c>
      <c r="C259" s="43" t="s">
        <v>152</v>
      </c>
      <c r="D259" s="45" t="str">
        <f>B!$D$13</f>
        <v>Mar-24</v>
      </c>
      <c r="E259" s="45" t="str">
        <f>B!$E$13</f>
        <v>Apr-24</v>
      </c>
      <c r="F259" s="45" t="str">
        <f>B!$F$13</f>
        <v>May-24</v>
      </c>
      <c r="G259" s="45" t="str">
        <f>B!$G$13</f>
        <v>Jun-24</v>
      </c>
      <c r="H259" s="45" t="str">
        <f>B!$H$13</f>
        <v>Jul-24</v>
      </c>
      <c r="I259" s="45" t="str">
        <f>B!$I$13</f>
        <v>Aug-24</v>
      </c>
      <c r="J259" s="45" t="s">
        <v>15</v>
      </c>
      <c r="M259" s="46"/>
    </row>
    <row r="260" spans="1:18" ht="15.45" x14ac:dyDescent="0.4">
      <c r="A260" s="32"/>
      <c r="B260" s="34" t="s">
        <v>49</v>
      </c>
      <c r="C260" s="34" t="s">
        <v>50</v>
      </c>
      <c r="D260" s="120" t="s">
        <v>56</v>
      </c>
      <c r="E260" s="48" t="s">
        <v>57</v>
      </c>
      <c r="F260" s="48" t="s">
        <v>58</v>
      </c>
      <c r="G260" s="48" t="s">
        <v>59</v>
      </c>
      <c r="H260" s="48" t="s">
        <v>60</v>
      </c>
      <c r="I260" s="48" t="s">
        <v>61</v>
      </c>
      <c r="J260" s="48" t="s">
        <v>62</v>
      </c>
      <c r="M260" s="34"/>
    </row>
    <row r="261" spans="1:18" ht="15.45" x14ac:dyDescent="0.4">
      <c r="A261" s="32"/>
      <c r="B261" s="34"/>
      <c r="C261" s="34"/>
      <c r="D261" s="48"/>
      <c r="E261" s="48"/>
      <c r="F261" s="48"/>
      <c r="G261" s="48"/>
      <c r="H261" s="48"/>
      <c r="I261" s="48"/>
      <c r="J261" s="48"/>
      <c r="M261" s="34"/>
    </row>
    <row r="262" spans="1:18" ht="15.45" x14ac:dyDescent="0.4">
      <c r="A262" s="64">
        <v>1</v>
      </c>
      <c r="B262" s="35" t="s">
        <v>219</v>
      </c>
      <c r="C262" s="32"/>
      <c r="D262" s="37"/>
      <c r="E262" s="37"/>
      <c r="F262" s="37"/>
      <c r="G262" s="37"/>
      <c r="H262" s="37"/>
      <c r="I262" s="37"/>
      <c r="J262" s="37"/>
    </row>
    <row r="263" spans="1:18" x14ac:dyDescent="0.35">
      <c r="A263" s="64">
        <f>A262+1</f>
        <v>2</v>
      </c>
      <c r="B263" s="31" t="s">
        <v>295</v>
      </c>
      <c r="C263" s="64"/>
      <c r="D263" s="62"/>
      <c r="E263" s="62"/>
      <c r="F263" s="62"/>
      <c r="G263" s="77"/>
      <c r="H263" s="77"/>
      <c r="I263" s="77"/>
      <c r="J263" s="60"/>
    </row>
    <row r="264" spans="1:18" x14ac:dyDescent="0.35">
      <c r="A264" s="64">
        <f>A263+1</f>
        <v>3</v>
      </c>
      <c r="B264" s="66" t="s">
        <v>228</v>
      </c>
      <c r="C264" s="64"/>
      <c r="D264" s="62">
        <v>252358.7</v>
      </c>
      <c r="E264" s="62">
        <v>192622.8</v>
      </c>
      <c r="F264" s="62">
        <v>166480.79999999999</v>
      </c>
      <c r="G264" s="77">
        <v>162708.1</v>
      </c>
      <c r="H264" s="77">
        <v>150371.29999999999</v>
      </c>
      <c r="I264" s="77">
        <v>148559.20000000001</v>
      </c>
      <c r="J264" s="60">
        <f>SUM(D264:I264)</f>
        <v>1073100.8999999999</v>
      </c>
    </row>
    <row r="265" spans="1:18" x14ac:dyDescent="0.35">
      <c r="A265" s="64">
        <f>A264+1</f>
        <v>4</v>
      </c>
      <c r="B265" s="66" t="s">
        <v>362</v>
      </c>
      <c r="C265" s="64"/>
      <c r="D265" s="62">
        <v>59500</v>
      </c>
      <c r="E265" s="62">
        <v>37000</v>
      </c>
      <c r="F265" s="62">
        <v>23000</v>
      </c>
      <c r="G265" s="62">
        <v>11000</v>
      </c>
      <c r="H265" s="62">
        <v>11000</v>
      </c>
      <c r="I265" s="62">
        <v>17700</v>
      </c>
      <c r="J265" s="37">
        <f>SUM(D265:I265)</f>
        <v>159200</v>
      </c>
    </row>
    <row r="266" spans="1:18" x14ac:dyDescent="0.35">
      <c r="A266" s="64">
        <f t="shared" ref="A266" si="60">A265+1</f>
        <v>5</v>
      </c>
      <c r="B266" s="419" t="s">
        <v>363</v>
      </c>
      <c r="C266" s="64"/>
      <c r="D266" s="403">
        <v>0</v>
      </c>
      <c r="E266" s="403">
        <v>0</v>
      </c>
      <c r="F266" s="403">
        <v>0</v>
      </c>
      <c r="G266" s="403">
        <v>0</v>
      </c>
      <c r="H266" s="403">
        <v>0</v>
      </c>
      <c r="I266" s="403">
        <v>0</v>
      </c>
      <c r="J266" s="61">
        <f>SUM(D266:I266)</f>
        <v>0</v>
      </c>
    </row>
    <row r="267" spans="1:18" x14ac:dyDescent="0.35">
      <c r="B267" s="66"/>
      <c r="C267" s="64"/>
      <c r="D267" s="37">
        <f>SUM(D264:D266)</f>
        <v>311858.7</v>
      </c>
      <c r="E267" s="37">
        <f t="shared" ref="E267:I267" si="61">SUM(E264:E266)</f>
        <v>229622.8</v>
      </c>
      <c r="F267" s="37">
        <f t="shared" si="61"/>
        <v>189480.8</v>
      </c>
      <c r="G267" s="37">
        <f t="shared" si="61"/>
        <v>173708.1</v>
      </c>
      <c r="H267" s="37">
        <f t="shared" si="61"/>
        <v>161371.29999999999</v>
      </c>
      <c r="I267" s="37">
        <f t="shared" si="61"/>
        <v>166259.20000000001</v>
      </c>
      <c r="J267" s="37">
        <f>SUM(D267:I267)</f>
        <v>1232300.8999999999</v>
      </c>
      <c r="L267" s="21"/>
    </row>
    <row r="268" spans="1:18" x14ac:dyDescent="0.35">
      <c r="A268" s="64">
        <f>A266+1</f>
        <v>6</v>
      </c>
      <c r="B268" s="31" t="s">
        <v>202</v>
      </c>
      <c r="C268" s="80" t="s">
        <v>300</v>
      </c>
      <c r="D268" s="62"/>
      <c r="E268" s="62"/>
      <c r="F268" s="62"/>
      <c r="G268" s="62"/>
      <c r="H268" s="62"/>
      <c r="I268" s="62"/>
      <c r="J268" s="37"/>
    </row>
    <row r="269" spans="1:18" x14ac:dyDescent="0.35">
      <c r="A269" s="64">
        <f>A268+1</f>
        <v>7</v>
      </c>
      <c r="B269" s="31" t="str">
        <f>B264</f>
        <v xml:space="preserve">    First 30,000 Mcf</v>
      </c>
      <c r="C269" s="80"/>
      <c r="D269" s="62">
        <v>0</v>
      </c>
      <c r="E269" s="62">
        <v>0</v>
      </c>
      <c r="F269" s="62">
        <v>0</v>
      </c>
      <c r="G269" s="62">
        <v>0</v>
      </c>
      <c r="H269" s="62">
        <v>0</v>
      </c>
      <c r="I269" s="62">
        <v>0</v>
      </c>
      <c r="J269" s="37">
        <f>SUM(D269:I269)</f>
        <v>0</v>
      </c>
    </row>
    <row r="270" spans="1:18" x14ac:dyDescent="0.35">
      <c r="A270" s="64">
        <f>A269+1</f>
        <v>8</v>
      </c>
      <c r="B270" s="31" t="str">
        <f>B265</f>
        <v xml:space="preserve">    Next 70,000 Mcf</v>
      </c>
      <c r="C270" s="80"/>
      <c r="D270" s="62">
        <v>0</v>
      </c>
      <c r="E270" s="62">
        <v>0</v>
      </c>
      <c r="F270" s="62">
        <v>0</v>
      </c>
      <c r="G270" s="62">
        <v>0</v>
      </c>
      <c r="H270" s="62">
        <v>0</v>
      </c>
      <c r="I270" s="62">
        <v>0</v>
      </c>
      <c r="J270" s="37">
        <f>SUM(D270:I270)</f>
        <v>0</v>
      </c>
    </row>
    <row r="271" spans="1:18" x14ac:dyDescent="0.35">
      <c r="A271" s="64">
        <f>A270+1</f>
        <v>9</v>
      </c>
      <c r="B271" s="31" t="str">
        <f>B266</f>
        <v xml:space="preserve">    Over 100,000 Mcf</v>
      </c>
      <c r="C271" s="80"/>
      <c r="D271" s="403">
        <v>0</v>
      </c>
      <c r="E271" s="403">
        <v>0</v>
      </c>
      <c r="F271" s="403">
        <v>0</v>
      </c>
      <c r="G271" s="403">
        <v>0</v>
      </c>
      <c r="H271" s="403">
        <v>0</v>
      </c>
      <c r="I271" s="403">
        <v>0</v>
      </c>
      <c r="J271" s="61">
        <f>SUM(D271:I271)</f>
        <v>0</v>
      </c>
    </row>
    <row r="272" spans="1:18" x14ac:dyDescent="0.35">
      <c r="C272" s="80"/>
      <c r="D272" s="37">
        <f>SUM(D269:D271)</f>
        <v>0</v>
      </c>
      <c r="E272" s="37">
        <f t="shared" ref="E272:I272" si="62">SUM(E269:E271)</f>
        <v>0</v>
      </c>
      <c r="F272" s="37">
        <f t="shared" si="62"/>
        <v>0</v>
      </c>
      <c r="G272" s="37">
        <f t="shared" si="62"/>
        <v>0</v>
      </c>
      <c r="H272" s="37">
        <f t="shared" si="62"/>
        <v>0</v>
      </c>
      <c r="I272" s="37">
        <f t="shared" si="62"/>
        <v>0</v>
      </c>
      <c r="J272" s="37">
        <f>SUM(D272:I272)</f>
        <v>0</v>
      </c>
    </row>
    <row r="273" spans="1:13" ht="15.45" x14ac:dyDescent="0.4">
      <c r="A273" s="64">
        <f>A271+1</f>
        <v>10</v>
      </c>
      <c r="B273" s="31" t="s">
        <v>222</v>
      </c>
      <c r="C273" s="32"/>
      <c r="D273" s="37"/>
      <c r="E273" s="37"/>
      <c r="F273" s="37"/>
      <c r="G273" s="78"/>
      <c r="H273" s="78"/>
      <c r="I273" s="78"/>
      <c r="J273" s="78"/>
    </row>
    <row r="274" spans="1:13" ht="15.45" x14ac:dyDescent="0.4">
      <c r="A274" s="64">
        <f>A273+1</f>
        <v>11</v>
      </c>
      <c r="B274" s="31" t="str">
        <f>B264</f>
        <v xml:space="preserve">    First 30,000 Mcf</v>
      </c>
      <c r="C274" s="34"/>
      <c r="D274" s="121">
        <f t="shared" ref="D274:I274" si="63">D264+D269</f>
        <v>252358.7</v>
      </c>
      <c r="E274" s="121">
        <f t="shared" si="63"/>
        <v>192622.8</v>
      </c>
      <c r="F274" s="121">
        <f t="shared" si="63"/>
        <v>166480.79999999999</v>
      </c>
      <c r="G274" s="121">
        <f t="shared" si="63"/>
        <v>162708.1</v>
      </c>
      <c r="H274" s="121">
        <f t="shared" si="63"/>
        <v>150371.29999999999</v>
      </c>
      <c r="I274" s="121">
        <f t="shared" si="63"/>
        <v>148559.20000000001</v>
      </c>
      <c r="J274" s="78">
        <f>SUM(D274:I274)</f>
        <v>1073100.8999999999</v>
      </c>
      <c r="M274" s="34"/>
    </row>
    <row r="275" spans="1:13" ht="15.45" x14ac:dyDescent="0.4">
      <c r="A275" s="64">
        <f>A274+1</f>
        <v>12</v>
      </c>
      <c r="B275" s="31" t="str">
        <f>B265</f>
        <v xml:space="preserve">    Next 70,000 Mcf</v>
      </c>
      <c r="C275" s="34"/>
      <c r="D275" s="121">
        <f t="shared" ref="D275:I276" si="64">D265+D270</f>
        <v>59500</v>
      </c>
      <c r="E275" s="121">
        <f t="shared" si="64"/>
        <v>37000</v>
      </c>
      <c r="F275" s="121">
        <f t="shared" si="64"/>
        <v>23000</v>
      </c>
      <c r="G275" s="121">
        <f t="shared" si="64"/>
        <v>11000</v>
      </c>
      <c r="H275" s="121">
        <f t="shared" si="64"/>
        <v>11000</v>
      </c>
      <c r="I275" s="121">
        <f t="shared" si="64"/>
        <v>17700</v>
      </c>
      <c r="J275" s="37">
        <f>SUM(D275:I275)</f>
        <v>159200</v>
      </c>
      <c r="M275" s="34"/>
    </row>
    <row r="276" spans="1:13" ht="15.45" x14ac:dyDescent="0.4">
      <c r="A276" s="64">
        <f>A275+1</f>
        <v>13</v>
      </c>
      <c r="B276" s="31" t="str">
        <f>B266</f>
        <v xml:space="preserve">    Over 100,000 Mcf</v>
      </c>
      <c r="C276" s="34"/>
      <c r="D276" s="405">
        <f t="shared" si="64"/>
        <v>0</v>
      </c>
      <c r="E276" s="405">
        <f t="shared" si="64"/>
        <v>0</v>
      </c>
      <c r="F276" s="405">
        <f t="shared" si="64"/>
        <v>0</v>
      </c>
      <c r="G276" s="405">
        <f t="shared" si="64"/>
        <v>0</v>
      </c>
      <c r="H276" s="405">
        <f t="shared" si="64"/>
        <v>0</v>
      </c>
      <c r="I276" s="405">
        <f t="shared" si="64"/>
        <v>0</v>
      </c>
      <c r="J276" s="61">
        <f>SUM(D276:I276)</f>
        <v>0</v>
      </c>
      <c r="M276" s="34"/>
    </row>
    <row r="277" spans="1:13" ht="15.45" x14ac:dyDescent="0.4">
      <c r="A277" s="64">
        <f>A276+1</f>
        <v>14</v>
      </c>
      <c r="B277" s="31" t="s">
        <v>296</v>
      </c>
      <c r="C277" s="34"/>
      <c r="D277" s="121">
        <f>D267+D272</f>
        <v>311858.7</v>
      </c>
      <c r="E277" s="121">
        <f t="shared" ref="E277:I277" si="65">E267+E272</f>
        <v>229622.8</v>
      </c>
      <c r="F277" s="121">
        <f t="shared" si="65"/>
        <v>189480.8</v>
      </c>
      <c r="G277" s="121">
        <f t="shared" si="65"/>
        <v>173708.1</v>
      </c>
      <c r="H277" s="121">
        <f t="shared" si="65"/>
        <v>161371.29999999999</v>
      </c>
      <c r="I277" s="121">
        <f t="shared" si="65"/>
        <v>166259.20000000001</v>
      </c>
      <c r="J277" s="37">
        <f>SUM(D277:I277)</f>
        <v>1232300.8999999999</v>
      </c>
      <c r="M277" s="34"/>
    </row>
    <row r="278" spans="1:13" ht="15.45" x14ac:dyDescent="0.4">
      <c r="C278" s="32"/>
      <c r="D278" s="37"/>
      <c r="E278" s="37"/>
      <c r="F278" s="37"/>
      <c r="G278" s="37"/>
      <c r="H278" s="37"/>
      <c r="I278" s="37"/>
      <c r="J278" s="37"/>
    </row>
    <row r="279" spans="1:13" ht="15.45" x14ac:dyDescent="0.4">
      <c r="A279" s="64">
        <f>A277+1</f>
        <v>15</v>
      </c>
      <c r="B279" s="35" t="s">
        <v>221</v>
      </c>
      <c r="C279" s="32"/>
      <c r="D279" s="37"/>
      <c r="E279" s="37"/>
      <c r="F279" s="37"/>
      <c r="G279" s="37"/>
      <c r="H279" s="37"/>
      <c r="I279" s="37"/>
      <c r="J279" s="37"/>
    </row>
    <row r="280" spans="1:13" x14ac:dyDescent="0.35">
      <c r="A280" s="64">
        <f>A279+1</f>
        <v>16</v>
      </c>
      <c r="B280" s="31" t="s">
        <v>295</v>
      </c>
      <c r="C280" s="64"/>
      <c r="D280" s="62"/>
      <c r="E280" s="62"/>
      <c r="F280" s="62"/>
      <c r="G280" s="217"/>
      <c r="H280" s="217"/>
      <c r="I280" s="217"/>
      <c r="J280" s="78"/>
    </row>
    <row r="281" spans="1:13" x14ac:dyDescent="0.35">
      <c r="A281" s="64">
        <f>A280+1</f>
        <v>17</v>
      </c>
      <c r="B281" s="66" t="s">
        <v>228</v>
      </c>
      <c r="C281" s="64"/>
      <c r="D281" s="62">
        <v>339197.7</v>
      </c>
      <c r="E281" s="62">
        <v>326771.7</v>
      </c>
      <c r="F281" s="62">
        <v>319753.59999999998</v>
      </c>
      <c r="G281" s="217">
        <v>296704.8</v>
      </c>
      <c r="H281" s="217">
        <v>246206.9</v>
      </c>
      <c r="I281" s="217">
        <v>305758</v>
      </c>
      <c r="J281" s="78">
        <f>SUM(D281:I281)</f>
        <v>1834392.7</v>
      </c>
    </row>
    <row r="282" spans="1:13" x14ac:dyDescent="0.35">
      <c r="A282" s="64">
        <f>A281+1</f>
        <v>18</v>
      </c>
      <c r="B282" s="66" t="s">
        <v>362</v>
      </c>
      <c r="C282" s="64"/>
      <c r="D282" s="62">
        <v>141756</v>
      </c>
      <c r="E282" s="62">
        <v>140000</v>
      </c>
      <c r="F282" s="62">
        <v>125303.1</v>
      </c>
      <c r="G282" s="62">
        <v>111447.2</v>
      </c>
      <c r="H282" s="62">
        <v>25815.9</v>
      </c>
      <c r="I282" s="62">
        <v>110512.6</v>
      </c>
      <c r="J282" s="37">
        <f>SUM(D282:I282)</f>
        <v>654834.79999999993</v>
      </c>
    </row>
    <row r="283" spans="1:13" x14ac:dyDescent="0.35">
      <c r="A283" s="64">
        <f>A282+1</f>
        <v>19</v>
      </c>
      <c r="B283" s="419" t="s">
        <v>363</v>
      </c>
      <c r="C283" s="64"/>
      <c r="D283" s="403">
        <v>106830.5</v>
      </c>
      <c r="E283" s="403">
        <v>29319.3</v>
      </c>
      <c r="F283" s="403">
        <v>16521.7</v>
      </c>
      <c r="G283" s="403">
        <v>6956.5</v>
      </c>
      <c r="H283" s="403">
        <v>0</v>
      </c>
      <c r="I283" s="403">
        <v>2608.6999999999998</v>
      </c>
      <c r="J283" s="61">
        <f>SUM(D283:I283)</f>
        <v>162236.70000000001</v>
      </c>
    </row>
    <row r="284" spans="1:13" x14ac:dyDescent="0.35">
      <c r="B284" s="66"/>
      <c r="C284" s="64"/>
      <c r="D284" s="37">
        <f>SUM(D281:D283)</f>
        <v>587784.19999999995</v>
      </c>
      <c r="E284" s="37">
        <f t="shared" ref="E284:I284" si="66">SUM(E281:E283)</f>
        <v>496091</v>
      </c>
      <c r="F284" s="37">
        <f t="shared" si="66"/>
        <v>461578.39999999997</v>
      </c>
      <c r="G284" s="37">
        <f t="shared" si="66"/>
        <v>415108.5</v>
      </c>
      <c r="H284" s="37">
        <f t="shared" si="66"/>
        <v>272022.8</v>
      </c>
      <c r="I284" s="37">
        <f t="shared" si="66"/>
        <v>418879.3</v>
      </c>
      <c r="J284" s="37">
        <f>SUM(D284:I284)</f>
        <v>2651464.1999999997</v>
      </c>
      <c r="L284" s="21"/>
    </row>
    <row r="285" spans="1:13" x14ac:dyDescent="0.35">
      <c r="A285" s="64">
        <f>A283+1</f>
        <v>20</v>
      </c>
      <c r="B285" s="31" t="s">
        <v>202</v>
      </c>
      <c r="C285" s="80" t="s">
        <v>300</v>
      </c>
      <c r="D285" s="62"/>
      <c r="E285" s="62"/>
      <c r="F285" s="62"/>
      <c r="G285" s="62"/>
      <c r="H285" s="62"/>
      <c r="I285" s="62"/>
      <c r="J285" s="37"/>
    </row>
    <row r="286" spans="1:13" x14ac:dyDescent="0.35">
      <c r="A286" s="64">
        <f>A285+1</f>
        <v>21</v>
      </c>
      <c r="B286" s="31" t="s">
        <v>228</v>
      </c>
      <c r="C286" s="80"/>
      <c r="D286" s="37">
        <f>'D pg 1'!D44</f>
        <v>0</v>
      </c>
      <c r="E286" s="37">
        <f>'D pg 1'!E44</f>
        <v>0</v>
      </c>
      <c r="F286" s="37">
        <f>'D pg 1'!F44</f>
        <v>0</v>
      </c>
      <c r="G286" s="37">
        <f>'D pg 1'!G44</f>
        <v>0</v>
      </c>
      <c r="H286" s="37">
        <f>'D pg 1'!H44</f>
        <v>0</v>
      </c>
      <c r="I286" s="37">
        <f>'D pg 1'!I44</f>
        <v>0</v>
      </c>
      <c r="J286" s="37">
        <f>SUM(D286:I286)</f>
        <v>0</v>
      </c>
    </row>
    <row r="287" spans="1:13" x14ac:dyDescent="0.35">
      <c r="A287" s="64">
        <f>A286+1</f>
        <v>22</v>
      </c>
      <c r="B287" s="31" t="s">
        <v>362</v>
      </c>
      <c r="C287" s="80"/>
      <c r="D287" s="61">
        <f>'D pg 1'!D45</f>
        <v>0</v>
      </c>
      <c r="E287" s="61">
        <f>'D pg 1'!E45</f>
        <v>0</v>
      </c>
      <c r="F287" s="61">
        <f>'D pg 1'!F45</f>
        <v>0</v>
      </c>
      <c r="G287" s="61">
        <f>'D pg 1'!G45</f>
        <v>0</v>
      </c>
      <c r="H287" s="61">
        <f>'D pg 1'!H45</f>
        <v>0</v>
      </c>
      <c r="I287" s="61">
        <f>'D pg 1'!I45</f>
        <v>0</v>
      </c>
      <c r="J287" s="61">
        <f>SUM(D287:I287)</f>
        <v>0</v>
      </c>
    </row>
    <row r="288" spans="1:13" x14ac:dyDescent="0.35">
      <c r="A288" s="64">
        <f>A287+1</f>
        <v>23</v>
      </c>
      <c r="B288" s="31" t="s">
        <v>363</v>
      </c>
      <c r="C288" s="80"/>
      <c r="D288" s="61"/>
      <c r="E288" s="61"/>
      <c r="F288" s="61"/>
      <c r="G288" s="61"/>
      <c r="H288" s="61"/>
      <c r="I288" s="61"/>
      <c r="J288" s="61"/>
    </row>
    <row r="289" spans="1:13" x14ac:dyDescent="0.35">
      <c r="C289" s="80"/>
      <c r="D289" s="37">
        <f t="shared" ref="D289:H289" si="67">SUM(D286:D287)</f>
        <v>0</v>
      </c>
      <c r="E289" s="37">
        <f t="shared" si="67"/>
        <v>0</v>
      </c>
      <c r="F289" s="37">
        <f t="shared" si="67"/>
        <v>0</v>
      </c>
      <c r="G289" s="37">
        <f t="shared" si="67"/>
        <v>0</v>
      </c>
      <c r="H289" s="37">
        <f t="shared" si="67"/>
        <v>0</v>
      </c>
      <c r="I289" s="37">
        <f>SUM(I286:I287)</f>
        <v>0</v>
      </c>
      <c r="J289" s="37">
        <f>SUM(D289:I289)</f>
        <v>0</v>
      </c>
    </row>
    <row r="290" spans="1:13" ht="15.45" x14ac:dyDescent="0.4">
      <c r="A290" s="64">
        <f>A288+1</f>
        <v>24</v>
      </c>
      <c r="B290" s="31" t="s">
        <v>222</v>
      </c>
      <c r="C290" s="32"/>
      <c r="D290" s="37"/>
      <c r="E290" s="37"/>
      <c r="F290" s="37"/>
      <c r="G290" s="78"/>
      <c r="H290" s="78"/>
      <c r="I290" s="78"/>
      <c r="J290" s="78"/>
    </row>
    <row r="291" spans="1:13" ht="15.45" x14ac:dyDescent="0.4">
      <c r="A291" s="64">
        <f>A290+1</f>
        <v>25</v>
      </c>
      <c r="B291" s="31" t="str">
        <f>B286</f>
        <v xml:space="preserve">    First 30,000 Mcf</v>
      </c>
      <c r="C291" s="34"/>
      <c r="D291" s="121">
        <f t="shared" ref="D291:I291" si="68">D281+D286</f>
        <v>339197.7</v>
      </c>
      <c r="E291" s="121">
        <f t="shared" si="68"/>
        <v>326771.7</v>
      </c>
      <c r="F291" s="121">
        <f t="shared" si="68"/>
        <v>319753.59999999998</v>
      </c>
      <c r="G291" s="121">
        <f t="shared" si="68"/>
        <v>296704.8</v>
      </c>
      <c r="H291" s="121">
        <f t="shared" si="68"/>
        <v>246206.9</v>
      </c>
      <c r="I291" s="121">
        <f t="shared" si="68"/>
        <v>305758</v>
      </c>
      <c r="J291" s="78">
        <f>SUM(D291:I291)</f>
        <v>1834392.7</v>
      </c>
      <c r="M291" s="34"/>
    </row>
    <row r="292" spans="1:13" ht="15.45" x14ac:dyDescent="0.4">
      <c r="A292" s="64">
        <f>A291+1</f>
        <v>26</v>
      </c>
      <c r="B292" s="31" t="str">
        <f>B287</f>
        <v xml:space="preserve">    Next 70,000 Mcf</v>
      </c>
      <c r="C292" s="34"/>
      <c r="D292" s="121">
        <f t="shared" ref="D292:I293" si="69">D282+D287</f>
        <v>141756</v>
      </c>
      <c r="E292" s="121">
        <f t="shared" si="69"/>
        <v>140000</v>
      </c>
      <c r="F292" s="121">
        <f t="shared" si="69"/>
        <v>125303.1</v>
      </c>
      <c r="G292" s="121">
        <f t="shared" si="69"/>
        <v>111447.2</v>
      </c>
      <c r="H292" s="121">
        <f t="shared" si="69"/>
        <v>25815.9</v>
      </c>
      <c r="I292" s="121">
        <f t="shared" si="69"/>
        <v>110512.6</v>
      </c>
      <c r="J292" s="37">
        <f>SUM(D292:I292)</f>
        <v>654834.79999999993</v>
      </c>
      <c r="M292" s="34"/>
    </row>
    <row r="293" spans="1:13" ht="15.45" x14ac:dyDescent="0.4">
      <c r="A293" s="64">
        <f t="shared" ref="A293:A294" si="70">A292+1</f>
        <v>27</v>
      </c>
      <c r="B293" s="31" t="str">
        <f>B288</f>
        <v xml:space="preserve">    Over 100,000 Mcf</v>
      </c>
      <c r="C293" s="34"/>
      <c r="D293" s="405">
        <f t="shared" si="69"/>
        <v>106830.5</v>
      </c>
      <c r="E293" s="405">
        <f t="shared" si="69"/>
        <v>29319.3</v>
      </c>
      <c r="F293" s="405">
        <f t="shared" si="69"/>
        <v>16521.7</v>
      </c>
      <c r="G293" s="405">
        <f t="shared" si="69"/>
        <v>6956.5</v>
      </c>
      <c r="H293" s="405">
        <f t="shared" si="69"/>
        <v>0</v>
      </c>
      <c r="I293" s="405">
        <f t="shared" si="69"/>
        <v>2608.6999999999998</v>
      </c>
      <c r="J293" s="61">
        <f>SUM(D293:I293)</f>
        <v>162236.70000000001</v>
      </c>
      <c r="M293" s="34"/>
    </row>
    <row r="294" spans="1:13" ht="15.45" x14ac:dyDescent="0.4">
      <c r="A294" s="64">
        <f t="shared" si="70"/>
        <v>28</v>
      </c>
      <c r="B294" s="31" t="s">
        <v>296</v>
      </c>
      <c r="C294" s="32"/>
      <c r="D294" s="37">
        <f t="shared" ref="D294:I294" si="71">D284+D289</f>
        <v>587784.19999999995</v>
      </c>
      <c r="E294" s="37">
        <f t="shared" si="71"/>
        <v>496091</v>
      </c>
      <c r="F294" s="37">
        <f t="shared" si="71"/>
        <v>461578.39999999997</v>
      </c>
      <c r="G294" s="37">
        <f t="shared" si="71"/>
        <v>415108.5</v>
      </c>
      <c r="H294" s="37">
        <f t="shared" si="71"/>
        <v>272022.8</v>
      </c>
      <c r="I294" s="37">
        <f t="shared" si="71"/>
        <v>418879.3</v>
      </c>
      <c r="J294" s="37">
        <f>SUM(D294:I294)</f>
        <v>2651464.1999999997</v>
      </c>
    </row>
    <row r="295" spans="1:13" ht="15.45" x14ac:dyDescent="0.4">
      <c r="C295" s="32"/>
      <c r="D295" s="37"/>
      <c r="E295" s="37"/>
      <c r="F295" s="37"/>
      <c r="G295" s="37"/>
      <c r="H295" s="37"/>
      <c r="I295" s="37"/>
      <c r="J295" s="37"/>
    </row>
    <row r="296" spans="1:13" ht="15.45" x14ac:dyDescent="0.4">
      <c r="A296" s="64">
        <f>A294+1</f>
        <v>29</v>
      </c>
      <c r="B296" s="35" t="s">
        <v>230</v>
      </c>
      <c r="C296" s="64"/>
    </row>
    <row r="297" spans="1:13" x14ac:dyDescent="0.35">
      <c r="A297" s="64">
        <f>A296+1</f>
        <v>30</v>
      </c>
      <c r="B297" s="31" t="s">
        <v>295</v>
      </c>
      <c r="C297" s="64"/>
      <c r="D297" s="62"/>
      <c r="E297" s="62"/>
      <c r="F297" s="62"/>
      <c r="G297" s="77"/>
      <c r="H297" s="77"/>
      <c r="I297" s="77"/>
      <c r="J297" s="60"/>
    </row>
    <row r="298" spans="1:13" x14ac:dyDescent="0.35">
      <c r="A298" s="64">
        <f>A297+1</f>
        <v>31</v>
      </c>
      <c r="B298" s="66" t="s">
        <v>214</v>
      </c>
      <c r="C298" s="64"/>
      <c r="D298" s="62">
        <v>800</v>
      </c>
      <c r="E298" s="62">
        <v>800</v>
      </c>
      <c r="F298" s="62">
        <v>800</v>
      </c>
      <c r="G298" s="77">
        <v>800</v>
      </c>
      <c r="H298" s="77">
        <v>750</v>
      </c>
      <c r="I298" s="77">
        <v>750</v>
      </c>
      <c r="J298" s="60">
        <f>SUM(D298:I298)</f>
        <v>4700</v>
      </c>
    </row>
    <row r="299" spans="1:13" x14ac:dyDescent="0.35">
      <c r="A299" s="64">
        <f>A298+1</f>
        <v>32</v>
      </c>
      <c r="B299" s="66" t="s">
        <v>215</v>
      </c>
      <c r="C299" s="64"/>
      <c r="D299" s="62">
        <v>5600</v>
      </c>
      <c r="E299" s="62">
        <v>5600</v>
      </c>
      <c r="F299" s="62">
        <v>5600</v>
      </c>
      <c r="G299" s="77">
        <v>5378.6</v>
      </c>
      <c r="H299" s="77">
        <v>5045.8999999999996</v>
      </c>
      <c r="I299" s="77">
        <v>5150</v>
      </c>
      <c r="J299" s="60">
        <f>SUM(D299:I299)</f>
        <v>32374.5</v>
      </c>
    </row>
    <row r="300" spans="1:13" x14ac:dyDescent="0.35">
      <c r="A300" s="64">
        <f>A299+1</f>
        <v>33</v>
      </c>
      <c r="B300" s="66" t="s">
        <v>216</v>
      </c>
      <c r="C300" s="64"/>
      <c r="D300" s="62">
        <v>9600</v>
      </c>
      <c r="E300" s="62">
        <v>9407.4</v>
      </c>
      <c r="F300" s="62">
        <v>7935</v>
      </c>
      <c r="G300" s="77">
        <v>7306.4</v>
      </c>
      <c r="H300" s="77">
        <v>6434.6</v>
      </c>
      <c r="I300" s="77">
        <v>6395.9</v>
      </c>
      <c r="J300" s="60">
        <f>SUM(D300:I300)</f>
        <v>47079.3</v>
      </c>
    </row>
    <row r="301" spans="1:13" x14ac:dyDescent="0.35">
      <c r="A301" s="64">
        <f>A300+1</f>
        <v>34</v>
      </c>
      <c r="B301" s="66" t="s">
        <v>217</v>
      </c>
      <c r="C301" s="64"/>
      <c r="D301" s="403">
        <v>73268.399999999994</v>
      </c>
      <c r="E301" s="403">
        <v>16445.7</v>
      </c>
      <c r="F301" s="403">
        <v>12880.9</v>
      </c>
      <c r="G301" s="420">
        <v>12639.5</v>
      </c>
      <c r="H301" s="420">
        <v>10958.7</v>
      </c>
      <c r="I301" s="420">
        <v>15218.9</v>
      </c>
      <c r="J301" s="421">
        <f>SUM(D301:I301)</f>
        <v>141412.09999999998</v>
      </c>
    </row>
    <row r="302" spans="1:13" x14ac:dyDescent="0.35">
      <c r="B302" s="66"/>
      <c r="C302" s="64"/>
      <c r="D302" s="60">
        <f t="shared" ref="D302:H302" si="72">SUM(D298:D301)</f>
        <v>89268.4</v>
      </c>
      <c r="E302" s="60">
        <f t="shared" si="72"/>
        <v>32253.1</v>
      </c>
      <c r="F302" s="60">
        <f t="shared" si="72"/>
        <v>27215.9</v>
      </c>
      <c r="G302" s="60">
        <f t="shared" si="72"/>
        <v>26124.5</v>
      </c>
      <c r="H302" s="60">
        <f t="shared" si="72"/>
        <v>23189.200000000001</v>
      </c>
      <c r="I302" s="60">
        <f>SUM(I298:I301)</f>
        <v>27514.799999999999</v>
      </c>
      <c r="J302" s="60">
        <f>SUM(D302:I302)</f>
        <v>225565.9</v>
      </c>
      <c r="L302" s="21"/>
    </row>
    <row r="303" spans="1:13" x14ac:dyDescent="0.35">
      <c r="A303" s="64">
        <f>A301+1</f>
        <v>35</v>
      </c>
      <c r="B303" s="31" t="s">
        <v>202</v>
      </c>
      <c r="C303" s="80" t="s">
        <v>300</v>
      </c>
      <c r="D303" s="62"/>
      <c r="E303" s="62"/>
      <c r="F303" s="62"/>
      <c r="G303" s="62"/>
      <c r="H303" s="62"/>
      <c r="I303" s="62"/>
      <c r="J303" s="37"/>
    </row>
    <row r="304" spans="1:13" x14ac:dyDescent="0.35">
      <c r="A304" s="64">
        <f>A303+1</f>
        <v>36</v>
      </c>
      <c r="B304" s="31" t="str">
        <f>B298</f>
        <v xml:space="preserve">    First 50 Mcf</v>
      </c>
      <c r="C304" s="80"/>
      <c r="D304" s="62">
        <v>0</v>
      </c>
      <c r="E304" s="62">
        <v>0</v>
      </c>
      <c r="F304" s="62">
        <v>0</v>
      </c>
      <c r="G304" s="62">
        <v>0</v>
      </c>
      <c r="H304" s="62">
        <v>0</v>
      </c>
      <c r="I304" s="62">
        <v>0</v>
      </c>
      <c r="J304" s="37">
        <v>0</v>
      </c>
    </row>
    <row r="305" spans="1:16" x14ac:dyDescent="0.35">
      <c r="A305" s="64">
        <f>A304+1</f>
        <v>37</v>
      </c>
      <c r="B305" s="31" t="str">
        <f>B299</f>
        <v xml:space="preserve">    Next 350 Mcf</v>
      </c>
      <c r="C305" s="80"/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37">
        <f>SUM(D305:I305)</f>
        <v>0</v>
      </c>
    </row>
    <row r="306" spans="1:16" x14ac:dyDescent="0.35">
      <c r="A306" s="64">
        <f>A305+1</f>
        <v>38</v>
      </c>
      <c r="B306" s="31" t="str">
        <f>B300</f>
        <v xml:space="preserve">    Next 600 Mcf</v>
      </c>
      <c r="C306" s="80"/>
      <c r="D306" s="62">
        <v>0</v>
      </c>
      <c r="E306" s="62">
        <v>0</v>
      </c>
      <c r="F306" s="62">
        <v>0</v>
      </c>
      <c r="G306" s="62">
        <v>0</v>
      </c>
      <c r="H306" s="62">
        <v>0</v>
      </c>
      <c r="I306" s="62">
        <v>0</v>
      </c>
      <c r="J306" s="37">
        <f>SUM(D306:I306)</f>
        <v>0</v>
      </c>
    </row>
    <row r="307" spans="1:16" x14ac:dyDescent="0.35">
      <c r="A307" s="64">
        <f>A306+1</f>
        <v>39</v>
      </c>
      <c r="B307" s="31" t="str">
        <f>B301</f>
        <v xml:space="preserve">    Over 1,000 Mcf</v>
      </c>
      <c r="C307" s="80"/>
      <c r="D307" s="403">
        <v>0</v>
      </c>
      <c r="E307" s="403">
        <v>0</v>
      </c>
      <c r="F307" s="403">
        <v>0</v>
      </c>
      <c r="G307" s="403">
        <v>0</v>
      </c>
      <c r="H307" s="403">
        <v>0</v>
      </c>
      <c r="I307" s="403">
        <v>0</v>
      </c>
      <c r="J307" s="61">
        <f>SUM(D307:I307)</f>
        <v>0</v>
      </c>
    </row>
    <row r="308" spans="1:16" x14ac:dyDescent="0.35">
      <c r="C308" s="80"/>
      <c r="D308" s="37">
        <f t="shared" ref="D308:H308" si="73">SUM(D304:D307)</f>
        <v>0</v>
      </c>
      <c r="E308" s="37">
        <f t="shared" si="73"/>
        <v>0</v>
      </c>
      <c r="F308" s="37">
        <f t="shared" si="73"/>
        <v>0</v>
      </c>
      <c r="G308" s="37">
        <f t="shared" si="73"/>
        <v>0</v>
      </c>
      <c r="H308" s="37">
        <f t="shared" si="73"/>
        <v>0</v>
      </c>
      <c r="I308" s="37">
        <f>SUM(I304:I307)</f>
        <v>0</v>
      </c>
      <c r="J308" s="37">
        <f>SUM(D308:I308)</f>
        <v>0</v>
      </c>
    </row>
    <row r="309" spans="1:16" ht="15.45" x14ac:dyDescent="0.4">
      <c r="A309" s="64">
        <f>A307+1</f>
        <v>40</v>
      </c>
      <c r="B309" s="31" t="s">
        <v>222</v>
      </c>
      <c r="C309" s="32"/>
      <c r="D309" s="37"/>
      <c r="E309" s="37"/>
      <c r="F309" s="37"/>
      <c r="G309" s="78"/>
      <c r="H309" s="78"/>
      <c r="I309" s="78"/>
      <c r="J309" s="78"/>
    </row>
    <row r="310" spans="1:16" ht="15.45" x14ac:dyDescent="0.4">
      <c r="A310" s="64">
        <f>A309+1</f>
        <v>41</v>
      </c>
      <c r="B310" s="31" t="str">
        <f>B298</f>
        <v xml:space="preserve">    First 50 Mcf</v>
      </c>
      <c r="C310" s="34"/>
      <c r="D310" s="121">
        <f t="shared" ref="D310:I310" si="74">D298+D304</f>
        <v>800</v>
      </c>
      <c r="E310" s="121">
        <f t="shared" si="74"/>
        <v>800</v>
      </c>
      <c r="F310" s="121">
        <f t="shared" si="74"/>
        <v>800</v>
      </c>
      <c r="G310" s="121">
        <f t="shared" si="74"/>
        <v>800</v>
      </c>
      <c r="H310" s="121">
        <f t="shared" si="74"/>
        <v>750</v>
      </c>
      <c r="I310" s="121">
        <f t="shared" si="74"/>
        <v>750</v>
      </c>
      <c r="J310" s="78">
        <f>SUM(D310:I310)</f>
        <v>4700</v>
      </c>
      <c r="M310" s="34"/>
    </row>
    <row r="311" spans="1:16" ht="15.45" x14ac:dyDescent="0.4">
      <c r="A311" s="64">
        <f>A310+1</f>
        <v>42</v>
      </c>
      <c r="B311" s="31" t="str">
        <f>B299</f>
        <v xml:space="preserve">    Next 350 Mcf</v>
      </c>
      <c r="C311" s="34"/>
      <c r="D311" s="121">
        <f t="shared" ref="D311:I312" si="75">D299+D305</f>
        <v>5600</v>
      </c>
      <c r="E311" s="121">
        <f t="shared" si="75"/>
        <v>5600</v>
      </c>
      <c r="F311" s="121">
        <f t="shared" si="75"/>
        <v>5600</v>
      </c>
      <c r="G311" s="121">
        <f t="shared" si="75"/>
        <v>5378.6</v>
      </c>
      <c r="H311" s="121">
        <f t="shared" si="75"/>
        <v>5045.8999999999996</v>
      </c>
      <c r="I311" s="121">
        <f t="shared" si="75"/>
        <v>5150</v>
      </c>
      <c r="J311" s="78">
        <f>SUM(D311:I311)</f>
        <v>32374.5</v>
      </c>
      <c r="M311" s="34"/>
    </row>
    <row r="312" spans="1:16" ht="15.45" x14ac:dyDescent="0.4">
      <c r="A312" s="64">
        <f>A311+1</f>
        <v>43</v>
      </c>
      <c r="B312" s="31" t="str">
        <f>B300</f>
        <v xml:space="preserve">    Next 600 Mcf</v>
      </c>
      <c r="C312" s="34"/>
      <c r="D312" s="121">
        <f t="shared" si="75"/>
        <v>9600</v>
      </c>
      <c r="E312" s="121">
        <f t="shared" si="75"/>
        <v>9407.4</v>
      </c>
      <c r="F312" s="121">
        <f t="shared" si="75"/>
        <v>7935</v>
      </c>
      <c r="G312" s="121">
        <f t="shared" si="75"/>
        <v>7306.4</v>
      </c>
      <c r="H312" s="121">
        <f t="shared" si="75"/>
        <v>6434.6</v>
      </c>
      <c r="I312" s="121">
        <f t="shared" si="75"/>
        <v>6395.9</v>
      </c>
      <c r="J312" s="78">
        <f>SUM(D312:I312)</f>
        <v>47079.3</v>
      </c>
      <c r="M312" s="34"/>
    </row>
    <row r="313" spans="1:16" ht="15.45" x14ac:dyDescent="0.4">
      <c r="A313" s="64">
        <f>A312+1</f>
        <v>44</v>
      </c>
      <c r="B313" s="31" t="str">
        <f>B301</f>
        <v xml:space="preserve">    Over 1,000 Mcf</v>
      </c>
      <c r="C313" s="34"/>
      <c r="D313" s="405">
        <f t="shared" ref="D313:I313" si="76">D301+D307</f>
        <v>73268.399999999994</v>
      </c>
      <c r="E313" s="405">
        <f t="shared" si="76"/>
        <v>16445.7</v>
      </c>
      <c r="F313" s="405">
        <f t="shared" si="76"/>
        <v>12880.9</v>
      </c>
      <c r="G313" s="405">
        <f t="shared" si="76"/>
        <v>12639.5</v>
      </c>
      <c r="H313" s="405">
        <f t="shared" si="76"/>
        <v>10958.7</v>
      </c>
      <c r="I313" s="405">
        <f t="shared" si="76"/>
        <v>15218.9</v>
      </c>
      <c r="J313" s="422">
        <f>SUM(D313:I313)</f>
        <v>141412.09999999998</v>
      </c>
      <c r="M313" s="34"/>
    </row>
    <row r="314" spans="1:16" ht="15.45" x14ac:dyDescent="0.4">
      <c r="A314" s="64">
        <f>A313+1</f>
        <v>45</v>
      </c>
      <c r="B314" s="31" t="s">
        <v>296</v>
      </c>
      <c r="C314" s="32"/>
      <c r="D314" s="121">
        <f t="shared" ref="D314:I314" si="77">D302+D308</f>
        <v>89268.4</v>
      </c>
      <c r="E314" s="121">
        <f t="shared" si="77"/>
        <v>32253.1</v>
      </c>
      <c r="F314" s="121">
        <f t="shared" si="77"/>
        <v>27215.9</v>
      </c>
      <c r="G314" s="121">
        <f t="shared" si="77"/>
        <v>26124.5</v>
      </c>
      <c r="H314" s="121">
        <f t="shared" si="77"/>
        <v>23189.200000000001</v>
      </c>
      <c r="I314" s="121">
        <f t="shared" si="77"/>
        <v>27514.799999999999</v>
      </c>
      <c r="J314" s="78">
        <f>SUM(D314:I314)</f>
        <v>225565.9</v>
      </c>
    </row>
    <row r="315" spans="1:16" ht="15.45" x14ac:dyDescent="0.4">
      <c r="C315" s="32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ht="15.45" x14ac:dyDescent="0.4">
      <c r="A316" s="64">
        <f>A314+1</f>
        <v>46</v>
      </c>
      <c r="B316" s="35" t="s">
        <v>220</v>
      </c>
      <c r="C316" s="64"/>
      <c r="K316" s="37"/>
      <c r="L316" s="37"/>
      <c r="M316" s="37"/>
      <c r="N316" s="37"/>
      <c r="O316" s="37"/>
      <c r="P316" s="37"/>
    </row>
    <row r="317" spans="1:16" x14ac:dyDescent="0.35">
      <c r="A317" s="64">
        <f>A316+1</f>
        <v>47</v>
      </c>
      <c r="B317" s="31" t="s">
        <v>295</v>
      </c>
      <c r="C317" s="64"/>
      <c r="D317" s="62"/>
      <c r="E317" s="62"/>
      <c r="F317" s="62"/>
      <c r="G317" s="77"/>
      <c r="H317" s="77"/>
      <c r="I317" s="77"/>
      <c r="J317" s="60"/>
      <c r="K317" s="37"/>
      <c r="L317" s="37"/>
      <c r="M317" s="37"/>
      <c r="N317" s="37"/>
      <c r="O317" s="37"/>
      <c r="P317" s="37"/>
    </row>
    <row r="318" spans="1:16" x14ac:dyDescent="0.35">
      <c r="A318" s="64">
        <f>A317+1</f>
        <v>48</v>
      </c>
      <c r="B318" s="66" t="s">
        <v>214</v>
      </c>
      <c r="C318" s="64"/>
      <c r="D318" s="62">
        <v>150</v>
      </c>
      <c r="E318" s="62">
        <v>150</v>
      </c>
      <c r="F318" s="62">
        <v>150</v>
      </c>
      <c r="G318" s="77">
        <v>150</v>
      </c>
      <c r="H318" s="77">
        <v>150</v>
      </c>
      <c r="I318" s="77">
        <v>150</v>
      </c>
      <c r="J318" s="60">
        <f>SUM(D318:I318)</f>
        <v>900</v>
      </c>
      <c r="K318" s="37"/>
      <c r="L318" s="37"/>
      <c r="M318" s="37"/>
      <c r="N318" s="37"/>
      <c r="O318" s="37"/>
      <c r="P318" s="37"/>
    </row>
    <row r="319" spans="1:16" x14ac:dyDescent="0.35">
      <c r="A319" s="64">
        <f>A318+1</f>
        <v>49</v>
      </c>
      <c r="B319" s="66" t="s">
        <v>215</v>
      </c>
      <c r="C319" s="64"/>
      <c r="D319" s="62">
        <v>1050</v>
      </c>
      <c r="E319" s="62">
        <v>1050</v>
      </c>
      <c r="F319" s="62">
        <v>1050</v>
      </c>
      <c r="G319" s="77">
        <v>949.6</v>
      </c>
      <c r="H319" s="77">
        <v>950</v>
      </c>
      <c r="I319" s="77">
        <v>950</v>
      </c>
      <c r="J319" s="60">
        <f>SUM(D319:I319)</f>
        <v>5999.6</v>
      </c>
      <c r="K319" s="37"/>
      <c r="L319" s="37"/>
      <c r="M319" s="37"/>
      <c r="N319" s="37"/>
      <c r="O319" s="37"/>
      <c r="P319" s="37"/>
    </row>
    <row r="320" spans="1:16" x14ac:dyDescent="0.35">
      <c r="A320" s="64">
        <f>A319+1</f>
        <v>50</v>
      </c>
      <c r="B320" s="66" t="s">
        <v>216</v>
      </c>
      <c r="C320" s="64"/>
      <c r="D320" s="62">
        <v>1800</v>
      </c>
      <c r="E320" s="62">
        <v>1800</v>
      </c>
      <c r="F320" s="62">
        <v>1015.5</v>
      </c>
      <c r="G320" s="77">
        <v>168.8</v>
      </c>
      <c r="H320" s="77">
        <v>662.6</v>
      </c>
      <c r="I320" s="77">
        <v>1170.5</v>
      </c>
      <c r="J320" s="60">
        <f>SUM(D320:I320)</f>
        <v>6617.4000000000005</v>
      </c>
      <c r="K320" s="37"/>
      <c r="L320" s="37"/>
      <c r="M320" s="37"/>
      <c r="N320" s="37"/>
      <c r="O320" s="37"/>
      <c r="P320" s="37"/>
    </row>
    <row r="321" spans="1:16" ht="17.600000000000001" x14ac:dyDescent="0.65">
      <c r="A321" s="64">
        <f>A320+1</f>
        <v>51</v>
      </c>
      <c r="B321" s="66" t="s">
        <v>217</v>
      </c>
      <c r="C321" s="64"/>
      <c r="D321" s="407">
        <v>4883.8</v>
      </c>
      <c r="E321" s="407">
        <v>4203.6000000000004</v>
      </c>
      <c r="F321" s="407">
        <v>160.5</v>
      </c>
      <c r="G321" s="407">
        <v>0</v>
      </c>
      <c r="H321" s="407">
        <v>0</v>
      </c>
      <c r="I321" s="407">
        <v>292.10000000000002</v>
      </c>
      <c r="J321" s="61">
        <f>SUM(D321:I321)</f>
        <v>9540.0000000000018</v>
      </c>
      <c r="K321" s="37"/>
      <c r="L321" s="37"/>
      <c r="M321" s="37"/>
      <c r="N321" s="37"/>
      <c r="O321" s="37"/>
      <c r="P321" s="37"/>
    </row>
    <row r="322" spans="1:16" x14ac:dyDescent="0.35">
      <c r="B322" s="66"/>
      <c r="C322" s="64"/>
      <c r="D322" s="60">
        <f t="shared" ref="D322:H322" si="78">SUM(D318:D321)</f>
        <v>7883.8</v>
      </c>
      <c r="E322" s="60">
        <f t="shared" si="78"/>
        <v>7203.6</v>
      </c>
      <c r="F322" s="60">
        <f t="shared" si="78"/>
        <v>2376</v>
      </c>
      <c r="G322" s="60">
        <f t="shared" si="78"/>
        <v>1268.3999999999999</v>
      </c>
      <c r="H322" s="60">
        <f t="shared" si="78"/>
        <v>1762.6</v>
      </c>
      <c r="I322" s="60">
        <f>SUM(I318:I321)</f>
        <v>2562.6</v>
      </c>
      <c r="J322" s="60">
        <f>SUM(D322:I322)</f>
        <v>23057</v>
      </c>
      <c r="K322" s="37"/>
      <c r="L322" s="21"/>
      <c r="M322" s="37"/>
      <c r="N322" s="37"/>
      <c r="O322" s="37"/>
      <c r="P322" s="37"/>
    </row>
    <row r="323" spans="1:16" x14ac:dyDescent="0.35">
      <c r="A323" s="64">
        <f>A321+1</f>
        <v>52</v>
      </c>
      <c r="B323" s="31" t="s">
        <v>202</v>
      </c>
      <c r="C323" s="80" t="s">
        <v>300</v>
      </c>
      <c r="D323" s="62"/>
      <c r="E323" s="62"/>
      <c r="F323" s="62"/>
      <c r="G323" s="62"/>
      <c r="H323" s="62"/>
      <c r="I323" s="62"/>
      <c r="J323" s="37"/>
      <c r="K323" s="37"/>
      <c r="L323" s="37"/>
      <c r="M323" s="37"/>
      <c r="N323" s="37"/>
      <c r="O323" s="37"/>
      <c r="P323" s="37"/>
    </row>
    <row r="324" spans="1:16" x14ac:dyDescent="0.35">
      <c r="A324" s="64">
        <f>A323+1</f>
        <v>53</v>
      </c>
      <c r="B324" s="31" t="str">
        <f>B318</f>
        <v xml:space="preserve">    First 50 Mcf</v>
      </c>
      <c r="C324" s="80"/>
      <c r="D324" s="62">
        <v>0</v>
      </c>
      <c r="E324" s="62">
        <v>0</v>
      </c>
      <c r="F324" s="62">
        <v>0</v>
      </c>
      <c r="G324" s="62">
        <v>0</v>
      </c>
      <c r="H324" s="62">
        <v>0</v>
      </c>
      <c r="I324" s="62">
        <v>0</v>
      </c>
      <c r="J324" s="37">
        <f>SUM(D324:I324)</f>
        <v>0</v>
      </c>
      <c r="K324" s="37"/>
      <c r="L324" s="37"/>
      <c r="M324" s="37"/>
      <c r="N324" s="37"/>
      <c r="O324" s="37"/>
      <c r="P324" s="37"/>
    </row>
    <row r="325" spans="1:16" x14ac:dyDescent="0.35">
      <c r="A325" s="64">
        <f>A324+1</f>
        <v>54</v>
      </c>
      <c r="B325" s="31" t="str">
        <f>B319</f>
        <v xml:space="preserve">    Next 350 Mcf</v>
      </c>
      <c r="C325" s="80"/>
      <c r="D325" s="62">
        <v>0</v>
      </c>
      <c r="E325" s="62">
        <v>0</v>
      </c>
      <c r="F325" s="62">
        <v>0</v>
      </c>
      <c r="G325" s="62">
        <v>0</v>
      </c>
      <c r="H325" s="62">
        <v>0</v>
      </c>
      <c r="I325" s="62">
        <v>0</v>
      </c>
      <c r="J325" s="37">
        <f>SUM(D325:I325)</f>
        <v>0</v>
      </c>
      <c r="K325" s="37"/>
      <c r="L325" s="37"/>
      <c r="M325" s="37"/>
      <c r="N325" s="37"/>
      <c r="O325" s="37"/>
      <c r="P325" s="37"/>
    </row>
    <row r="326" spans="1:16" x14ac:dyDescent="0.35">
      <c r="A326" s="64">
        <f>A325+1</f>
        <v>55</v>
      </c>
      <c r="B326" s="31" t="str">
        <f>B320</f>
        <v xml:space="preserve">    Next 600 Mcf</v>
      </c>
      <c r="C326" s="80"/>
      <c r="D326" s="62">
        <v>0</v>
      </c>
      <c r="E326" s="62">
        <v>0</v>
      </c>
      <c r="F326" s="62">
        <v>0</v>
      </c>
      <c r="G326" s="62">
        <v>0</v>
      </c>
      <c r="H326" s="62">
        <v>0</v>
      </c>
      <c r="I326" s="62">
        <v>0</v>
      </c>
      <c r="J326" s="37">
        <f>SUM(D326:I326)</f>
        <v>0</v>
      </c>
      <c r="K326" s="37"/>
      <c r="L326" s="37"/>
      <c r="M326" s="37"/>
      <c r="N326" s="37"/>
      <c r="O326" s="37"/>
      <c r="P326" s="37"/>
    </row>
    <row r="327" spans="1:16" x14ac:dyDescent="0.35">
      <c r="A327" s="64">
        <f>A326+1</f>
        <v>56</v>
      </c>
      <c r="B327" s="31" t="str">
        <f>B321</f>
        <v xml:space="preserve">    Over 1,000 Mcf</v>
      </c>
      <c r="C327" s="80"/>
      <c r="D327" s="403">
        <v>0</v>
      </c>
      <c r="E327" s="403">
        <v>0</v>
      </c>
      <c r="F327" s="403">
        <v>0</v>
      </c>
      <c r="G327" s="403">
        <v>0</v>
      </c>
      <c r="H327" s="403">
        <v>0</v>
      </c>
      <c r="I327" s="403">
        <v>0</v>
      </c>
      <c r="J327" s="61">
        <f>SUM(D327:I327)</f>
        <v>0</v>
      </c>
      <c r="K327" s="37"/>
      <c r="L327" s="37"/>
      <c r="M327" s="37"/>
      <c r="N327" s="37"/>
      <c r="O327" s="37"/>
      <c r="P327" s="37"/>
    </row>
    <row r="328" spans="1:16" x14ac:dyDescent="0.35">
      <c r="C328" s="80"/>
      <c r="D328" s="37">
        <f t="shared" ref="D328:H328" si="79">SUM(D324:D327)</f>
        <v>0</v>
      </c>
      <c r="E328" s="37">
        <f t="shared" si="79"/>
        <v>0</v>
      </c>
      <c r="F328" s="37">
        <f t="shared" si="79"/>
        <v>0</v>
      </c>
      <c r="G328" s="37">
        <f t="shared" si="79"/>
        <v>0</v>
      </c>
      <c r="H328" s="37">
        <f t="shared" si="79"/>
        <v>0</v>
      </c>
      <c r="I328" s="37">
        <f>SUM(I324:I327)</f>
        <v>0</v>
      </c>
      <c r="J328" s="37">
        <f>SUM(D328:I328)</f>
        <v>0</v>
      </c>
      <c r="K328" s="37"/>
      <c r="L328" s="37"/>
      <c r="M328" s="37"/>
      <c r="N328" s="37"/>
      <c r="O328" s="37"/>
      <c r="P328" s="37"/>
    </row>
    <row r="329" spans="1:16" ht="15.45" x14ac:dyDescent="0.4">
      <c r="A329" s="64">
        <f>A327+1</f>
        <v>57</v>
      </c>
      <c r="B329" s="31" t="s">
        <v>222</v>
      </c>
      <c r="C329" s="32"/>
      <c r="D329" s="37"/>
      <c r="E329" s="37"/>
      <c r="F329" s="37"/>
      <c r="G329" s="78"/>
      <c r="H329" s="78"/>
      <c r="I329" s="78"/>
      <c r="J329" s="78"/>
      <c r="K329" s="37"/>
      <c r="L329" s="37"/>
      <c r="M329" s="37"/>
      <c r="N329" s="37"/>
      <c r="O329" s="37"/>
      <c r="P329" s="37"/>
    </row>
    <row r="330" spans="1:16" ht="15.45" x14ac:dyDescent="0.4">
      <c r="A330" s="64">
        <f>A329+1</f>
        <v>58</v>
      </c>
      <c r="B330" s="31" t="str">
        <f>B318</f>
        <v xml:space="preserve">    First 50 Mcf</v>
      </c>
      <c r="C330" s="34"/>
      <c r="D330" s="121">
        <f t="shared" ref="D330:I330" si="80">D318+D324</f>
        <v>150</v>
      </c>
      <c r="E330" s="121">
        <f t="shared" si="80"/>
        <v>150</v>
      </c>
      <c r="F330" s="121">
        <f t="shared" si="80"/>
        <v>150</v>
      </c>
      <c r="G330" s="121">
        <f t="shared" si="80"/>
        <v>150</v>
      </c>
      <c r="H330" s="121">
        <f t="shared" si="80"/>
        <v>150</v>
      </c>
      <c r="I330" s="121">
        <f t="shared" si="80"/>
        <v>150</v>
      </c>
      <c r="J330" s="78">
        <f>SUM(D330:I330)</f>
        <v>900</v>
      </c>
      <c r="K330" s="37"/>
      <c r="L330" s="37"/>
      <c r="M330" s="37"/>
      <c r="N330" s="37"/>
      <c r="O330" s="37"/>
      <c r="P330" s="37"/>
    </row>
    <row r="331" spans="1:16" ht="15.45" x14ac:dyDescent="0.4">
      <c r="A331" s="64">
        <f>A330+1</f>
        <v>59</v>
      </c>
      <c r="B331" s="31" t="str">
        <f>B319</f>
        <v xml:space="preserve">    Next 350 Mcf</v>
      </c>
      <c r="C331" s="34"/>
      <c r="D331" s="121">
        <f t="shared" ref="D331:I332" si="81">D319+D325</f>
        <v>1050</v>
      </c>
      <c r="E331" s="121">
        <f t="shared" si="81"/>
        <v>1050</v>
      </c>
      <c r="F331" s="121">
        <f t="shared" si="81"/>
        <v>1050</v>
      </c>
      <c r="G331" s="121">
        <f t="shared" si="81"/>
        <v>949.6</v>
      </c>
      <c r="H331" s="121">
        <f t="shared" si="81"/>
        <v>950</v>
      </c>
      <c r="I331" s="121">
        <f t="shared" si="81"/>
        <v>950</v>
      </c>
      <c r="J331" s="78">
        <f>SUM(D331:I331)</f>
        <v>5999.6</v>
      </c>
      <c r="K331" s="37"/>
      <c r="L331" s="37"/>
      <c r="M331" s="37"/>
      <c r="N331" s="37"/>
      <c r="O331" s="37"/>
      <c r="P331" s="37"/>
    </row>
    <row r="332" spans="1:16" ht="15.45" x14ac:dyDescent="0.4">
      <c r="A332" s="64">
        <f>A331+1</f>
        <v>60</v>
      </c>
      <c r="B332" s="31" t="str">
        <f>B320</f>
        <v xml:space="preserve">    Next 600 Mcf</v>
      </c>
      <c r="C332" s="34"/>
      <c r="D332" s="121">
        <f t="shared" si="81"/>
        <v>1800</v>
      </c>
      <c r="E332" s="121">
        <f t="shared" si="81"/>
        <v>1800</v>
      </c>
      <c r="F332" s="121">
        <f t="shared" si="81"/>
        <v>1015.5</v>
      </c>
      <c r="G332" s="121">
        <f t="shared" si="81"/>
        <v>168.8</v>
      </c>
      <c r="H332" s="121">
        <f t="shared" si="81"/>
        <v>662.6</v>
      </c>
      <c r="I332" s="121">
        <f t="shared" si="81"/>
        <v>1170.5</v>
      </c>
      <c r="J332" s="78">
        <f>SUM(D332:I332)</f>
        <v>6617.4000000000005</v>
      </c>
      <c r="K332" s="37"/>
      <c r="L332" s="37"/>
      <c r="M332" s="37"/>
      <c r="N332" s="37"/>
      <c r="O332" s="37"/>
      <c r="P332" s="37"/>
    </row>
    <row r="333" spans="1:16" ht="15.45" x14ac:dyDescent="0.4">
      <c r="A333" s="64">
        <f>A332+1</f>
        <v>61</v>
      </c>
      <c r="B333" s="31" t="str">
        <f>B321</f>
        <v xml:space="preserve">    Over 1,000 Mcf</v>
      </c>
      <c r="C333" s="34"/>
      <c r="D333" s="405">
        <f t="shared" ref="D333:I333" si="82">D321+D327</f>
        <v>4883.8</v>
      </c>
      <c r="E333" s="405">
        <f t="shared" si="82"/>
        <v>4203.6000000000004</v>
      </c>
      <c r="F333" s="405">
        <f t="shared" si="82"/>
        <v>160.5</v>
      </c>
      <c r="G333" s="405">
        <f t="shared" si="82"/>
        <v>0</v>
      </c>
      <c r="H333" s="405">
        <f t="shared" si="82"/>
        <v>0</v>
      </c>
      <c r="I333" s="405">
        <f t="shared" si="82"/>
        <v>292.10000000000002</v>
      </c>
      <c r="J333" s="37">
        <f>SUM(D333:I333)</f>
        <v>9540.0000000000018</v>
      </c>
      <c r="K333" s="37"/>
      <c r="L333" s="37"/>
      <c r="M333" s="37"/>
      <c r="N333" s="37"/>
      <c r="O333" s="37"/>
      <c r="P333" s="37"/>
    </row>
    <row r="334" spans="1:16" ht="15.45" x14ac:dyDescent="0.4">
      <c r="A334" s="64">
        <f>A333+1</f>
        <v>62</v>
      </c>
      <c r="B334" s="31" t="s">
        <v>296</v>
      </c>
      <c r="C334" s="34"/>
      <c r="D334" s="121">
        <f t="shared" ref="D334:I334" si="83">D322+D328</f>
        <v>7883.8</v>
      </c>
      <c r="E334" s="121">
        <f t="shared" si="83"/>
        <v>7203.6</v>
      </c>
      <c r="F334" s="121">
        <f t="shared" si="83"/>
        <v>2376</v>
      </c>
      <c r="G334" s="121">
        <f t="shared" si="83"/>
        <v>1268.3999999999999</v>
      </c>
      <c r="H334" s="121">
        <f t="shared" si="83"/>
        <v>1762.6</v>
      </c>
      <c r="I334" s="121">
        <f t="shared" si="83"/>
        <v>2562.6</v>
      </c>
      <c r="J334" s="37">
        <f>SUM(D334:I334)</f>
        <v>23057</v>
      </c>
      <c r="K334" s="37"/>
      <c r="L334" s="37"/>
      <c r="M334" s="37"/>
      <c r="N334" s="37"/>
      <c r="O334" s="37"/>
      <c r="P334" s="37"/>
    </row>
    <row r="335" spans="1:16" ht="15.45" x14ac:dyDescent="0.4">
      <c r="C335" s="32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ht="15.45" x14ac:dyDescent="0.4">
      <c r="C336" s="32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8" ht="15.45" x14ac:dyDescent="0.4">
      <c r="C337" s="32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8" ht="15.45" x14ac:dyDescent="0.4">
      <c r="C338" s="32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8" ht="15.45" x14ac:dyDescent="0.4">
      <c r="A339" s="475" t="str">
        <f>CONAME</f>
        <v>Columbia Gas of Kentucky, Inc.</v>
      </c>
      <c r="B339" s="475"/>
      <c r="C339" s="475"/>
      <c r="D339" s="475"/>
      <c r="E339" s="475"/>
      <c r="F339" s="475"/>
      <c r="G339" s="475"/>
      <c r="H339" s="475"/>
      <c r="I339" s="475"/>
      <c r="J339" s="475"/>
      <c r="K339" s="110"/>
      <c r="L339" s="110"/>
      <c r="M339" s="110"/>
      <c r="N339" s="110"/>
      <c r="O339" s="110"/>
      <c r="P339" s="110"/>
    </row>
    <row r="340" spans="1:18" ht="15.45" x14ac:dyDescent="0.4">
      <c r="A340" s="475" t="s">
        <v>157</v>
      </c>
      <c r="B340" s="475"/>
      <c r="C340" s="475"/>
      <c r="D340" s="475"/>
      <c r="E340" s="475"/>
      <c r="F340" s="475"/>
      <c r="G340" s="475"/>
      <c r="H340" s="475"/>
      <c r="I340" s="475"/>
      <c r="J340" s="475"/>
      <c r="K340" s="110"/>
      <c r="L340" s="110"/>
      <c r="M340" s="110"/>
      <c r="N340" s="110"/>
      <c r="O340" s="110"/>
      <c r="P340" s="110"/>
    </row>
    <row r="341" spans="1:18" ht="15.45" x14ac:dyDescent="0.4">
      <c r="A341" s="472" t="str">
        <f>TYDESC</f>
        <v>For the 6 Months Ended August 31, 2024</v>
      </c>
      <c r="B341" s="472"/>
      <c r="C341" s="472"/>
      <c r="D341" s="472"/>
      <c r="E341" s="472"/>
      <c r="F341" s="472"/>
      <c r="G341" s="472"/>
      <c r="H341" s="472"/>
      <c r="I341" s="472"/>
      <c r="J341" s="472"/>
      <c r="K341" s="35"/>
      <c r="L341" s="35"/>
      <c r="M341" s="35"/>
      <c r="N341" s="35"/>
      <c r="O341" s="35"/>
      <c r="P341" s="35"/>
    </row>
    <row r="342" spans="1:18" ht="15.45" x14ac:dyDescent="0.4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8" ht="15.45" x14ac:dyDescent="0.4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8" ht="15.45" x14ac:dyDescent="0.4">
      <c r="A344" s="75" t="s">
        <v>180</v>
      </c>
      <c r="C344" s="32"/>
      <c r="D344" s="32"/>
      <c r="E344" s="32"/>
      <c r="F344" s="32"/>
      <c r="J344" s="71" t="str">
        <f>$J$6</f>
        <v>Workpaper WPM-C.1</v>
      </c>
    </row>
    <row r="345" spans="1:18" ht="15.45" x14ac:dyDescent="0.4">
      <c r="A345" s="75" t="s">
        <v>181</v>
      </c>
      <c r="C345" s="32"/>
      <c r="D345" s="32"/>
      <c r="E345" s="32"/>
      <c r="F345" s="32"/>
      <c r="J345" s="72" t="s">
        <v>314</v>
      </c>
    </row>
    <row r="346" spans="1:18" ht="15.45" x14ac:dyDescent="0.4">
      <c r="A346" s="75" t="s">
        <v>64</v>
      </c>
      <c r="C346" s="32"/>
      <c r="D346" s="32"/>
      <c r="E346" s="32"/>
      <c r="F346" s="32"/>
      <c r="P346" s="72"/>
    </row>
    <row r="347" spans="1:18" ht="15.45" x14ac:dyDescent="0.4">
      <c r="A347" s="102" t="str">
        <f>$A$9</f>
        <v>6 Mos Forecasted</v>
      </c>
      <c r="B347" s="32"/>
      <c r="C347" s="32"/>
      <c r="D347" s="33"/>
      <c r="E347" s="32"/>
      <c r="F347" s="41"/>
      <c r="G347" s="42"/>
      <c r="H347" s="41"/>
      <c r="I347" s="30"/>
      <c r="J347" s="41"/>
      <c r="K347" s="41"/>
      <c r="L347" s="41"/>
      <c r="M347" s="41"/>
      <c r="N347" s="41"/>
      <c r="O347" s="41"/>
      <c r="P347" s="41"/>
      <c r="Q347" s="32"/>
      <c r="R347" s="32"/>
    </row>
    <row r="348" spans="1:18" ht="15.45" x14ac:dyDescent="0.4">
      <c r="A348" s="76"/>
      <c r="B348" s="32"/>
      <c r="C348" s="32"/>
      <c r="D348" s="33"/>
      <c r="E348" s="32"/>
      <c r="F348" s="41"/>
      <c r="G348" s="42"/>
      <c r="H348" s="41"/>
      <c r="I348" s="30"/>
      <c r="J348" s="41"/>
      <c r="K348" s="41"/>
      <c r="L348" s="41"/>
      <c r="M348" s="41"/>
      <c r="N348" s="41"/>
      <c r="O348" s="41"/>
      <c r="P348" s="41"/>
      <c r="Q348" s="32"/>
      <c r="R348" s="32"/>
    </row>
    <row r="349" spans="1:18" ht="15.45" x14ac:dyDescent="0.4">
      <c r="A349" s="32" t="s">
        <v>11</v>
      </c>
      <c r="B349" s="32"/>
      <c r="C349" s="32"/>
      <c r="D349" s="33"/>
      <c r="E349" s="32"/>
      <c r="F349" s="41"/>
      <c r="G349" s="42"/>
      <c r="H349" s="41"/>
      <c r="I349" s="30"/>
      <c r="J349" s="41"/>
      <c r="K349" s="41"/>
      <c r="L349" s="41"/>
      <c r="M349" s="41"/>
      <c r="N349" s="41"/>
      <c r="O349" s="41"/>
      <c r="P349" s="41"/>
      <c r="Q349" s="34"/>
      <c r="R349" s="34"/>
    </row>
    <row r="350" spans="1:18" ht="15.45" x14ac:dyDescent="0.4">
      <c r="A350" s="43" t="s">
        <v>13</v>
      </c>
      <c r="B350" s="43" t="s">
        <v>14</v>
      </c>
      <c r="C350" s="43" t="s">
        <v>152</v>
      </c>
      <c r="D350" s="45" t="str">
        <f>B!$D$13</f>
        <v>Mar-24</v>
      </c>
      <c r="E350" s="45" t="str">
        <f>B!$E$13</f>
        <v>Apr-24</v>
      </c>
      <c r="F350" s="45" t="str">
        <f>B!$F$13</f>
        <v>May-24</v>
      </c>
      <c r="G350" s="45" t="str">
        <f>B!$G$13</f>
        <v>Jun-24</v>
      </c>
      <c r="H350" s="45" t="str">
        <f>B!$H$13</f>
        <v>Jul-24</v>
      </c>
      <c r="I350" s="45" t="str">
        <f>B!$I$13</f>
        <v>Aug-24</v>
      </c>
      <c r="J350" s="45" t="s">
        <v>15</v>
      </c>
      <c r="M350" s="46"/>
    </row>
    <row r="351" spans="1:18" ht="15.45" x14ac:dyDescent="0.4">
      <c r="A351" s="32"/>
      <c r="B351" s="34" t="s">
        <v>49</v>
      </c>
      <c r="C351" s="34" t="s">
        <v>50</v>
      </c>
      <c r="D351" s="120" t="s">
        <v>56</v>
      </c>
      <c r="E351" s="48" t="s">
        <v>57</v>
      </c>
      <c r="F351" s="48" t="s">
        <v>58</v>
      </c>
      <c r="G351" s="48" t="s">
        <v>59</v>
      </c>
      <c r="H351" s="48" t="s">
        <v>60</v>
      </c>
      <c r="I351" s="48" t="s">
        <v>61</v>
      </c>
      <c r="J351" s="48" t="s">
        <v>62</v>
      </c>
      <c r="M351" s="34"/>
    </row>
    <row r="352" spans="1:18" ht="15.45" x14ac:dyDescent="0.4">
      <c r="C352" s="32"/>
      <c r="D352" s="37"/>
      <c r="E352" s="37"/>
      <c r="F352" s="37"/>
      <c r="G352" s="37"/>
      <c r="H352" s="37"/>
      <c r="I352" s="37"/>
      <c r="J352" s="37"/>
    </row>
    <row r="353" spans="1:13" ht="15.45" x14ac:dyDescent="0.4">
      <c r="A353" s="64">
        <v>1</v>
      </c>
      <c r="B353" s="35" t="s">
        <v>231</v>
      </c>
      <c r="C353" s="34"/>
      <c r="D353" s="48"/>
      <c r="E353" s="48"/>
      <c r="F353" s="48"/>
      <c r="G353" s="48"/>
      <c r="H353" s="48"/>
      <c r="I353" s="48"/>
      <c r="J353" s="48"/>
      <c r="M353" s="34"/>
    </row>
    <row r="354" spans="1:13" x14ac:dyDescent="0.35">
      <c r="A354" s="64">
        <f>A353+1</f>
        <v>2</v>
      </c>
      <c r="B354" s="31" t="s">
        <v>295</v>
      </c>
      <c r="C354" s="64"/>
      <c r="D354" s="62">
        <v>45000</v>
      </c>
      <c r="E354" s="62">
        <v>42300</v>
      </c>
      <c r="F354" s="62">
        <v>40400</v>
      </c>
      <c r="G354" s="62">
        <v>42600</v>
      </c>
      <c r="H354" s="62">
        <v>45000</v>
      </c>
      <c r="I354" s="62">
        <v>38500</v>
      </c>
      <c r="J354" s="37">
        <f>SUM(D354:I354)</f>
        <v>253800</v>
      </c>
    </row>
    <row r="355" spans="1:13" x14ac:dyDescent="0.35">
      <c r="A355" s="64">
        <f>A354+1</f>
        <v>3</v>
      </c>
      <c r="B355" s="31" t="s">
        <v>202</v>
      </c>
      <c r="C355" s="80" t="s">
        <v>300</v>
      </c>
      <c r="D355" s="403">
        <v>0</v>
      </c>
      <c r="E355" s="403">
        <v>0</v>
      </c>
      <c r="F355" s="403">
        <v>0</v>
      </c>
      <c r="G355" s="403">
        <v>0</v>
      </c>
      <c r="H355" s="403">
        <v>0</v>
      </c>
      <c r="I355" s="403">
        <v>0</v>
      </c>
      <c r="J355" s="61">
        <f>SUM(D355:I355)</f>
        <v>0</v>
      </c>
    </row>
    <row r="356" spans="1:13" ht="15.45" x14ac:dyDescent="0.4">
      <c r="A356" s="64">
        <f>A355+1</f>
        <v>4</v>
      </c>
      <c r="B356" s="31" t="s">
        <v>222</v>
      </c>
      <c r="C356" s="32"/>
      <c r="D356" s="37">
        <f t="shared" ref="D356:I356" si="84">SUM(D354:D355)</f>
        <v>45000</v>
      </c>
      <c r="E356" s="37">
        <f t="shared" si="84"/>
        <v>42300</v>
      </c>
      <c r="F356" s="37">
        <f t="shared" si="84"/>
        <v>40400</v>
      </c>
      <c r="G356" s="37">
        <f t="shared" si="84"/>
        <v>42600</v>
      </c>
      <c r="H356" s="37">
        <f t="shared" si="84"/>
        <v>45000</v>
      </c>
      <c r="I356" s="37">
        <f t="shared" si="84"/>
        <v>38500</v>
      </c>
      <c r="J356" s="37">
        <f>SUM(D356:I356)</f>
        <v>253800</v>
      </c>
      <c r="L356" s="21"/>
    </row>
    <row r="357" spans="1:13" ht="15.45" x14ac:dyDescent="0.4">
      <c r="C357" s="32"/>
      <c r="D357" s="37"/>
      <c r="E357" s="37"/>
      <c r="F357" s="37"/>
      <c r="G357" s="37"/>
      <c r="H357" s="37"/>
      <c r="I357" s="37"/>
      <c r="J357" s="37"/>
    </row>
    <row r="358" spans="1:13" ht="15.45" x14ac:dyDescent="0.4">
      <c r="A358" s="64">
        <f>A356+1</f>
        <v>5</v>
      </c>
      <c r="B358" s="35" t="s">
        <v>232</v>
      </c>
      <c r="C358" s="34"/>
      <c r="D358" s="48"/>
      <c r="E358" s="48"/>
      <c r="F358" s="48"/>
      <c r="G358" s="48"/>
      <c r="H358" s="48"/>
      <c r="I358" s="48"/>
      <c r="J358" s="48"/>
      <c r="M358" s="34"/>
    </row>
    <row r="359" spans="1:13" x14ac:dyDescent="0.35">
      <c r="A359" s="64">
        <f>A358+1</f>
        <v>6</v>
      </c>
      <c r="B359" s="31" t="s">
        <v>295</v>
      </c>
      <c r="C359" s="64"/>
      <c r="D359" s="62">
        <v>0</v>
      </c>
      <c r="E359" s="62">
        <v>0</v>
      </c>
      <c r="F359" s="62">
        <v>0</v>
      </c>
      <c r="G359" s="62">
        <v>0</v>
      </c>
      <c r="H359" s="62">
        <v>0</v>
      </c>
      <c r="I359" s="62">
        <v>0</v>
      </c>
      <c r="J359" s="37">
        <f>SUM(D359:I359)</f>
        <v>0</v>
      </c>
    </row>
    <row r="360" spans="1:13" x14ac:dyDescent="0.35">
      <c r="A360" s="64">
        <f>A359+1</f>
        <v>7</v>
      </c>
      <c r="B360" s="31" t="s">
        <v>202</v>
      </c>
      <c r="C360" s="80" t="s">
        <v>300</v>
      </c>
      <c r="D360" s="403">
        <v>0</v>
      </c>
      <c r="E360" s="403">
        <v>0</v>
      </c>
      <c r="F360" s="403">
        <v>0</v>
      </c>
      <c r="G360" s="403">
        <v>0</v>
      </c>
      <c r="H360" s="403">
        <v>0</v>
      </c>
      <c r="I360" s="403">
        <v>0</v>
      </c>
      <c r="J360" s="61">
        <f>SUM(D360:I360)</f>
        <v>0</v>
      </c>
    </row>
    <row r="361" spans="1:13" ht="15.45" x14ac:dyDescent="0.4">
      <c r="A361" s="64">
        <f>A360+1</f>
        <v>8</v>
      </c>
      <c r="B361" s="31" t="s">
        <v>222</v>
      </c>
      <c r="C361" s="32"/>
      <c r="D361" s="37">
        <f t="shared" ref="D361:I361" si="85">SUM(D359:D360)</f>
        <v>0</v>
      </c>
      <c r="E361" s="37">
        <f t="shared" si="85"/>
        <v>0</v>
      </c>
      <c r="F361" s="37">
        <f t="shared" si="85"/>
        <v>0</v>
      </c>
      <c r="G361" s="37">
        <f t="shared" si="85"/>
        <v>0</v>
      </c>
      <c r="H361" s="37">
        <f t="shared" si="85"/>
        <v>0</v>
      </c>
      <c r="I361" s="37">
        <f t="shared" si="85"/>
        <v>0</v>
      </c>
      <c r="J361" s="37">
        <f>SUM(D361:I361)</f>
        <v>0</v>
      </c>
    </row>
    <row r="362" spans="1:13" ht="15.45" x14ac:dyDescent="0.4">
      <c r="C362" s="32"/>
      <c r="D362" s="37"/>
      <c r="E362" s="37"/>
      <c r="F362" s="37"/>
      <c r="G362" s="37"/>
      <c r="H362" s="37"/>
      <c r="I362" s="37"/>
      <c r="J362" s="37"/>
    </row>
    <row r="363" spans="1:13" ht="15.45" x14ac:dyDescent="0.4">
      <c r="A363" s="64">
        <f>A361+1</f>
        <v>9</v>
      </c>
      <c r="B363" s="35" t="s">
        <v>233</v>
      </c>
      <c r="C363" s="34"/>
      <c r="D363" s="48"/>
      <c r="E363" s="48"/>
      <c r="F363" s="48"/>
      <c r="G363" s="48"/>
      <c r="H363" s="48"/>
      <c r="I363" s="48"/>
      <c r="J363" s="48"/>
      <c r="M363" s="34"/>
    </row>
    <row r="364" spans="1:13" x14ac:dyDescent="0.35">
      <c r="A364" s="64">
        <f>A363+1</f>
        <v>10</v>
      </c>
      <c r="B364" s="31" t="s">
        <v>295</v>
      </c>
      <c r="C364" s="64"/>
      <c r="D364" s="62">
        <v>0</v>
      </c>
      <c r="E364" s="62">
        <v>0</v>
      </c>
      <c r="F364" s="62">
        <v>0</v>
      </c>
      <c r="G364" s="62">
        <v>0</v>
      </c>
      <c r="H364" s="62">
        <v>0</v>
      </c>
      <c r="I364" s="62">
        <v>0</v>
      </c>
      <c r="J364" s="37">
        <f>SUM(D364:I364)</f>
        <v>0</v>
      </c>
    </row>
    <row r="365" spans="1:13" x14ac:dyDescent="0.35">
      <c r="A365" s="64">
        <f>A364+1</f>
        <v>11</v>
      </c>
      <c r="B365" s="31" t="s">
        <v>202</v>
      </c>
      <c r="C365" s="80" t="s">
        <v>300</v>
      </c>
      <c r="D365" s="403">
        <v>0</v>
      </c>
      <c r="E365" s="403">
        <v>0</v>
      </c>
      <c r="F365" s="403">
        <v>0</v>
      </c>
      <c r="G365" s="403">
        <v>0</v>
      </c>
      <c r="H365" s="403">
        <v>0</v>
      </c>
      <c r="I365" s="403">
        <v>0</v>
      </c>
      <c r="J365" s="61">
        <f>SUM(D365:I365)</f>
        <v>0</v>
      </c>
    </row>
    <row r="366" spans="1:13" ht="15.45" x14ac:dyDescent="0.4">
      <c r="A366" s="64">
        <f>A365+1</f>
        <v>12</v>
      </c>
      <c r="B366" s="31" t="s">
        <v>222</v>
      </c>
      <c r="C366" s="32"/>
      <c r="D366" s="37">
        <f t="shared" ref="D366:I366" si="86">SUM(D364:D365)</f>
        <v>0</v>
      </c>
      <c r="E366" s="37">
        <f t="shared" si="86"/>
        <v>0</v>
      </c>
      <c r="F366" s="37">
        <f t="shared" si="86"/>
        <v>0</v>
      </c>
      <c r="G366" s="37">
        <f t="shared" si="86"/>
        <v>0</v>
      </c>
      <c r="H366" s="37">
        <f t="shared" si="86"/>
        <v>0</v>
      </c>
      <c r="I366" s="37">
        <f t="shared" si="86"/>
        <v>0</v>
      </c>
      <c r="J366" s="37">
        <f>SUM(D366:I366)</f>
        <v>0</v>
      </c>
    </row>
    <row r="367" spans="1:13" ht="15.45" x14ac:dyDescent="0.4">
      <c r="C367" s="32"/>
      <c r="D367" s="37"/>
      <c r="E367" s="37"/>
      <c r="F367" s="37"/>
      <c r="G367" s="37"/>
      <c r="H367" s="37"/>
      <c r="I367" s="37"/>
      <c r="J367" s="37"/>
    </row>
    <row r="368" spans="1:13" ht="15.45" x14ac:dyDescent="0.4">
      <c r="A368" s="64">
        <f>A366+1</f>
        <v>13</v>
      </c>
      <c r="B368" s="35" t="s">
        <v>234</v>
      </c>
      <c r="C368" s="34"/>
      <c r="D368" s="48"/>
      <c r="E368" s="48"/>
      <c r="F368" s="48"/>
      <c r="G368" s="48"/>
      <c r="H368" s="48"/>
      <c r="I368" s="48"/>
      <c r="J368" s="48"/>
      <c r="M368" s="34"/>
    </row>
    <row r="369" spans="1:13" x14ac:dyDescent="0.35">
      <c r="A369" s="64">
        <f>A368+1</f>
        <v>14</v>
      </c>
      <c r="B369" s="31" t="s">
        <v>295</v>
      </c>
      <c r="C369" s="64"/>
      <c r="D369" s="62">
        <v>720564</v>
      </c>
      <c r="E369" s="62">
        <v>649386.1</v>
      </c>
      <c r="F369" s="62">
        <v>584428.4</v>
      </c>
      <c r="G369" s="62">
        <v>487414.4</v>
      </c>
      <c r="H369" s="62">
        <v>451586.7</v>
      </c>
      <c r="I369" s="62">
        <v>525425.30000000005</v>
      </c>
      <c r="J369" s="37">
        <f>SUM(D369:I369)</f>
        <v>3418804.9000000004</v>
      </c>
      <c r="L369" s="21"/>
    </row>
    <row r="370" spans="1:13" x14ac:dyDescent="0.35">
      <c r="A370" s="64">
        <f>A369+1</f>
        <v>15</v>
      </c>
      <c r="B370" s="31" t="s">
        <v>202</v>
      </c>
      <c r="C370" s="80" t="s">
        <v>300</v>
      </c>
      <c r="D370" s="403">
        <v>0</v>
      </c>
      <c r="E370" s="403">
        <v>0</v>
      </c>
      <c r="F370" s="403">
        <v>0</v>
      </c>
      <c r="G370" s="403">
        <v>0</v>
      </c>
      <c r="H370" s="403">
        <v>0</v>
      </c>
      <c r="I370" s="403">
        <v>0</v>
      </c>
      <c r="J370" s="61">
        <f>SUM(D370:I370)</f>
        <v>0</v>
      </c>
    </row>
    <row r="371" spans="1:13" ht="15.45" x14ac:dyDescent="0.4">
      <c r="A371" s="64">
        <f>A370+1</f>
        <v>16</v>
      </c>
      <c r="B371" s="31" t="s">
        <v>222</v>
      </c>
      <c r="C371" s="32"/>
      <c r="D371" s="37">
        <f t="shared" ref="D371:I371" si="87">SUM(D369:D370)</f>
        <v>720564</v>
      </c>
      <c r="E371" s="37">
        <f t="shared" si="87"/>
        <v>649386.1</v>
      </c>
      <c r="F371" s="37">
        <f t="shared" si="87"/>
        <v>584428.4</v>
      </c>
      <c r="G371" s="37">
        <f t="shared" si="87"/>
        <v>487414.4</v>
      </c>
      <c r="H371" s="37">
        <f t="shared" si="87"/>
        <v>451586.7</v>
      </c>
      <c r="I371" s="37">
        <f t="shared" si="87"/>
        <v>525425.30000000005</v>
      </c>
      <c r="J371" s="37">
        <f>SUM(D371:I371)</f>
        <v>3418804.9000000004</v>
      </c>
    </row>
    <row r="372" spans="1:13" ht="15.45" x14ac:dyDescent="0.4">
      <c r="C372" s="32"/>
      <c r="D372" s="37"/>
      <c r="E372" s="37"/>
      <c r="F372" s="37"/>
      <c r="G372" s="37"/>
      <c r="H372" s="37"/>
      <c r="I372" s="37"/>
      <c r="J372" s="37"/>
    </row>
    <row r="373" spans="1:13" ht="15.45" x14ac:dyDescent="0.4">
      <c r="A373" s="64">
        <f>A371+1</f>
        <v>17</v>
      </c>
      <c r="B373" s="35" t="s">
        <v>235</v>
      </c>
      <c r="C373" s="34"/>
      <c r="D373" s="48"/>
      <c r="E373" s="48"/>
      <c r="F373" s="48"/>
      <c r="G373" s="48"/>
      <c r="H373" s="48"/>
      <c r="I373" s="48"/>
      <c r="J373" s="48"/>
      <c r="M373" s="34"/>
    </row>
    <row r="374" spans="1:13" x14ac:dyDescent="0.35">
      <c r="A374" s="64">
        <f>A373+1</f>
        <v>18</v>
      </c>
      <c r="B374" s="31" t="s">
        <v>295</v>
      </c>
      <c r="C374" s="64"/>
      <c r="D374" s="62"/>
      <c r="E374" s="62"/>
      <c r="F374" s="62"/>
      <c r="G374" s="217"/>
      <c r="H374" s="217"/>
      <c r="I374" s="217"/>
      <c r="J374" s="78"/>
    </row>
    <row r="375" spans="1:13" x14ac:dyDescent="0.35">
      <c r="A375" s="64">
        <f>A374+1</f>
        <v>19</v>
      </c>
      <c r="B375" s="66" t="s">
        <v>236</v>
      </c>
      <c r="C375" s="64"/>
      <c r="D375" s="62">
        <v>0</v>
      </c>
      <c r="E375" s="62">
        <v>0</v>
      </c>
      <c r="F375" s="62">
        <v>0</v>
      </c>
      <c r="G375" s="62">
        <v>0</v>
      </c>
      <c r="H375" s="62">
        <v>0</v>
      </c>
      <c r="I375" s="62">
        <v>0</v>
      </c>
      <c r="J375" s="37">
        <f>SUM(D375:I375)</f>
        <v>0</v>
      </c>
    </row>
    <row r="376" spans="1:13" x14ac:dyDescent="0.35">
      <c r="A376" s="64">
        <f>A375+1</f>
        <v>20</v>
      </c>
      <c r="B376" s="66" t="s">
        <v>237</v>
      </c>
      <c r="C376" s="64"/>
      <c r="D376" s="403">
        <v>0</v>
      </c>
      <c r="E376" s="403">
        <v>0</v>
      </c>
      <c r="F376" s="403">
        <v>0</v>
      </c>
      <c r="G376" s="403">
        <v>0</v>
      </c>
      <c r="H376" s="403">
        <v>0</v>
      </c>
      <c r="I376" s="403">
        <v>0</v>
      </c>
      <c r="J376" s="61">
        <f>SUM(D376:I376)</f>
        <v>0</v>
      </c>
    </row>
    <row r="377" spans="1:13" x14ac:dyDescent="0.35">
      <c r="B377" s="66"/>
      <c r="C377" s="64"/>
      <c r="D377" s="37">
        <f t="shared" ref="D377:H377" si="88">SUM(D375:D376)</f>
        <v>0</v>
      </c>
      <c r="E377" s="37">
        <f t="shared" si="88"/>
        <v>0</v>
      </c>
      <c r="F377" s="37">
        <f t="shared" si="88"/>
        <v>0</v>
      </c>
      <c r="G377" s="37">
        <f t="shared" si="88"/>
        <v>0</v>
      </c>
      <c r="H377" s="37">
        <f t="shared" si="88"/>
        <v>0</v>
      </c>
      <c r="I377" s="37">
        <f>SUM(I375:I376)</f>
        <v>0</v>
      </c>
      <c r="J377" s="37">
        <f>SUM(D377:I377)</f>
        <v>0</v>
      </c>
    </row>
    <row r="378" spans="1:13" x14ac:dyDescent="0.35">
      <c r="A378" s="64">
        <f>A376+1</f>
        <v>21</v>
      </c>
      <c r="B378" s="31" t="s">
        <v>202</v>
      </c>
      <c r="C378" s="80" t="s">
        <v>300</v>
      </c>
      <c r="D378" s="62"/>
      <c r="E378" s="62"/>
      <c r="F378" s="62"/>
      <c r="G378" s="62"/>
      <c r="H378" s="62"/>
      <c r="I378" s="62"/>
      <c r="J378" s="37"/>
    </row>
    <row r="379" spans="1:13" x14ac:dyDescent="0.35">
      <c r="A379" s="64">
        <f>A378+1</f>
        <v>22</v>
      </c>
      <c r="B379" s="31" t="str">
        <f>B375</f>
        <v xml:space="preserve">    First 25,000 Mcf</v>
      </c>
      <c r="C379" s="80"/>
      <c r="D379" s="62">
        <v>0</v>
      </c>
      <c r="E379" s="62">
        <v>0</v>
      </c>
      <c r="F379" s="62">
        <v>0</v>
      </c>
      <c r="G379" s="62">
        <v>0</v>
      </c>
      <c r="H379" s="62">
        <v>0</v>
      </c>
      <c r="I379" s="62">
        <v>0</v>
      </c>
      <c r="J379" s="37">
        <f>SUM(D379:I379)</f>
        <v>0</v>
      </c>
    </row>
    <row r="380" spans="1:13" x14ac:dyDescent="0.35">
      <c r="A380" s="64">
        <f>A379+1</f>
        <v>23</v>
      </c>
      <c r="B380" s="31" t="str">
        <f>B376</f>
        <v xml:space="preserve">    Over 25,000 Mcf</v>
      </c>
      <c r="C380" s="80"/>
      <c r="D380" s="403">
        <v>0</v>
      </c>
      <c r="E380" s="403">
        <v>0</v>
      </c>
      <c r="F380" s="403">
        <v>0</v>
      </c>
      <c r="G380" s="403">
        <v>0</v>
      </c>
      <c r="H380" s="403">
        <v>0</v>
      </c>
      <c r="I380" s="403">
        <v>0</v>
      </c>
      <c r="J380" s="61">
        <f>SUM(D380:I380)</f>
        <v>0</v>
      </c>
    </row>
    <row r="381" spans="1:13" x14ac:dyDescent="0.35">
      <c r="C381" s="80"/>
      <c r="D381" s="37">
        <f t="shared" ref="D381:H381" si="89">SUM(D379:D380)</f>
        <v>0</v>
      </c>
      <c r="E381" s="37">
        <f t="shared" si="89"/>
        <v>0</v>
      </c>
      <c r="F381" s="37">
        <f t="shared" si="89"/>
        <v>0</v>
      </c>
      <c r="G381" s="37">
        <f t="shared" si="89"/>
        <v>0</v>
      </c>
      <c r="H381" s="37">
        <f t="shared" si="89"/>
        <v>0</v>
      </c>
      <c r="I381" s="37">
        <f>SUM(I379:I380)</f>
        <v>0</v>
      </c>
      <c r="J381" s="37">
        <f>SUM(D381:I381)</f>
        <v>0</v>
      </c>
    </row>
    <row r="382" spans="1:13" ht="15.45" x14ac:dyDescent="0.4">
      <c r="A382" s="64">
        <f>A380+1</f>
        <v>24</v>
      </c>
      <c r="B382" s="31" t="s">
        <v>222</v>
      </c>
      <c r="C382" s="32"/>
      <c r="D382" s="37"/>
      <c r="E382" s="37"/>
      <c r="F382" s="37"/>
      <c r="G382" s="78"/>
      <c r="H382" s="78"/>
      <c r="I382" s="78"/>
      <c r="J382" s="78"/>
    </row>
    <row r="383" spans="1:13" ht="15.45" x14ac:dyDescent="0.4">
      <c r="A383" s="64">
        <f>A382+1</f>
        <v>25</v>
      </c>
      <c r="B383" s="31" t="str">
        <f>B379</f>
        <v xml:space="preserve">    First 25,000 Mcf</v>
      </c>
      <c r="C383" s="34"/>
      <c r="D383" s="121">
        <f t="shared" ref="D383:I383" si="90">D375+D379</f>
        <v>0</v>
      </c>
      <c r="E383" s="121">
        <f t="shared" si="90"/>
        <v>0</v>
      </c>
      <c r="F383" s="121">
        <f t="shared" si="90"/>
        <v>0</v>
      </c>
      <c r="G383" s="121">
        <f t="shared" si="90"/>
        <v>0</v>
      </c>
      <c r="H383" s="121">
        <f t="shared" si="90"/>
        <v>0</v>
      </c>
      <c r="I383" s="121">
        <f t="shared" si="90"/>
        <v>0</v>
      </c>
      <c r="J383" s="78">
        <f>SUM(D383:I383)</f>
        <v>0</v>
      </c>
      <c r="M383" s="34"/>
    </row>
    <row r="384" spans="1:13" ht="15.45" x14ac:dyDescent="0.4">
      <c r="A384" s="64">
        <f>A383+1</f>
        <v>26</v>
      </c>
      <c r="B384" s="31" t="str">
        <f>B380</f>
        <v xml:space="preserve">    Over 25,000 Mcf</v>
      </c>
      <c r="C384" s="34"/>
      <c r="D384" s="405">
        <f t="shared" ref="D384:I384" si="91">D376+D380</f>
        <v>0</v>
      </c>
      <c r="E384" s="405">
        <f t="shared" si="91"/>
        <v>0</v>
      </c>
      <c r="F384" s="405">
        <f t="shared" si="91"/>
        <v>0</v>
      </c>
      <c r="G384" s="405">
        <f t="shared" si="91"/>
        <v>0</v>
      </c>
      <c r="H384" s="405">
        <f t="shared" si="91"/>
        <v>0</v>
      </c>
      <c r="I384" s="405">
        <f t="shared" si="91"/>
        <v>0</v>
      </c>
      <c r="J384" s="61">
        <f>SUM(D384:I384)</f>
        <v>0</v>
      </c>
      <c r="M384" s="34"/>
    </row>
    <row r="385" spans="1:13" ht="15.45" x14ac:dyDescent="0.4">
      <c r="A385" s="64">
        <f>A384+1</f>
        <v>27</v>
      </c>
      <c r="B385" s="31" t="s">
        <v>296</v>
      </c>
      <c r="C385" s="34"/>
      <c r="D385" s="121">
        <f t="shared" ref="D385:I385" si="92">D377+D381</f>
        <v>0</v>
      </c>
      <c r="E385" s="121">
        <f t="shared" si="92"/>
        <v>0</v>
      </c>
      <c r="F385" s="121">
        <f t="shared" si="92"/>
        <v>0</v>
      </c>
      <c r="G385" s="121">
        <f t="shared" si="92"/>
        <v>0</v>
      </c>
      <c r="H385" s="121">
        <f t="shared" si="92"/>
        <v>0</v>
      </c>
      <c r="I385" s="121">
        <f t="shared" si="92"/>
        <v>0</v>
      </c>
      <c r="J385" s="78">
        <f>SUM(D385:I385)</f>
        <v>0</v>
      </c>
      <c r="M385" s="34"/>
    </row>
    <row r="386" spans="1:13" ht="15.45" x14ac:dyDescent="0.4">
      <c r="C386" s="34"/>
      <c r="D386" s="121"/>
      <c r="E386" s="121"/>
      <c r="F386" s="121"/>
      <c r="G386" s="121"/>
      <c r="H386" s="121"/>
      <c r="I386" s="121"/>
      <c r="J386" s="78"/>
      <c r="M386" s="34"/>
    </row>
    <row r="387" spans="1:13" ht="15.45" x14ac:dyDescent="0.4">
      <c r="A387" s="64">
        <f>A385+1</f>
        <v>28</v>
      </c>
      <c r="B387" s="35" t="s">
        <v>238</v>
      </c>
      <c r="C387" s="34"/>
      <c r="D387" s="48"/>
      <c r="E387" s="48"/>
      <c r="F387" s="48"/>
      <c r="G387" s="48"/>
      <c r="H387" s="48"/>
      <c r="I387" s="48"/>
      <c r="J387" s="48"/>
      <c r="M387" s="34"/>
    </row>
    <row r="388" spans="1:13" ht="15.45" x14ac:dyDescent="0.4">
      <c r="A388" s="64">
        <f>A387+1</f>
        <v>29</v>
      </c>
      <c r="B388" s="31" t="s">
        <v>295</v>
      </c>
      <c r="C388" s="64"/>
      <c r="D388" s="62"/>
      <c r="E388" s="62"/>
      <c r="F388" s="62"/>
      <c r="G388" s="77"/>
      <c r="H388" s="77"/>
      <c r="I388" s="77"/>
      <c r="J388" s="60"/>
      <c r="M388" s="34"/>
    </row>
    <row r="389" spans="1:13" ht="15.45" x14ac:dyDescent="0.4">
      <c r="A389" s="64">
        <f>A388+1</f>
        <v>30</v>
      </c>
      <c r="B389" s="66" t="s">
        <v>228</v>
      </c>
      <c r="C389" s="64"/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37">
        <f>SUM(D389:I389)</f>
        <v>0</v>
      </c>
      <c r="M389" s="34"/>
    </row>
    <row r="390" spans="1:13" ht="15.45" x14ac:dyDescent="0.4">
      <c r="A390" s="64">
        <f>A389+1</f>
        <v>31</v>
      </c>
      <c r="B390" s="66" t="s">
        <v>229</v>
      </c>
      <c r="C390" s="64"/>
      <c r="D390" s="403">
        <v>0</v>
      </c>
      <c r="E390" s="403">
        <v>0</v>
      </c>
      <c r="F390" s="403">
        <v>0</v>
      </c>
      <c r="G390" s="403">
        <v>0</v>
      </c>
      <c r="H390" s="403">
        <v>0</v>
      </c>
      <c r="I390" s="403">
        <v>0</v>
      </c>
      <c r="J390" s="61">
        <f>SUM(D390:I390)</f>
        <v>0</v>
      </c>
      <c r="M390" s="34"/>
    </row>
    <row r="391" spans="1:13" ht="15.45" x14ac:dyDescent="0.4">
      <c r="B391" s="66"/>
      <c r="C391" s="64"/>
      <c r="D391" s="37">
        <f t="shared" ref="D391:H391" si="93">SUM(D389:D390)</f>
        <v>0</v>
      </c>
      <c r="E391" s="37">
        <f t="shared" si="93"/>
        <v>0</v>
      </c>
      <c r="F391" s="37">
        <f t="shared" si="93"/>
        <v>0</v>
      </c>
      <c r="G391" s="37">
        <f t="shared" si="93"/>
        <v>0</v>
      </c>
      <c r="H391" s="37">
        <f t="shared" si="93"/>
        <v>0</v>
      </c>
      <c r="I391" s="37">
        <f>SUM(I389:I390)</f>
        <v>0</v>
      </c>
      <c r="J391" s="37">
        <f>SUM(D391:I391)</f>
        <v>0</v>
      </c>
      <c r="M391" s="34"/>
    </row>
    <row r="392" spans="1:13" ht="15.45" x14ac:dyDescent="0.4">
      <c r="A392" s="64">
        <f>A390+1</f>
        <v>32</v>
      </c>
      <c r="B392" s="31" t="s">
        <v>202</v>
      </c>
      <c r="C392" s="80" t="s">
        <v>300</v>
      </c>
      <c r="D392" s="62"/>
      <c r="E392" s="62"/>
      <c r="F392" s="62"/>
      <c r="G392" s="62"/>
      <c r="H392" s="62"/>
      <c r="I392" s="62"/>
      <c r="J392" s="37"/>
      <c r="M392" s="34"/>
    </row>
    <row r="393" spans="1:13" ht="15.45" x14ac:dyDescent="0.4">
      <c r="A393" s="64">
        <f>A392+1</f>
        <v>33</v>
      </c>
      <c r="B393" s="31" t="str">
        <f>B389</f>
        <v xml:space="preserve">    First 30,000 Mcf</v>
      </c>
      <c r="C393" s="80"/>
      <c r="D393" s="62">
        <v>0</v>
      </c>
      <c r="E393" s="62">
        <v>0</v>
      </c>
      <c r="F393" s="62">
        <v>0</v>
      </c>
      <c r="G393" s="62">
        <v>0</v>
      </c>
      <c r="H393" s="62">
        <v>0</v>
      </c>
      <c r="I393" s="62">
        <v>0</v>
      </c>
      <c r="J393" s="37">
        <f>SUM(D393:I393)</f>
        <v>0</v>
      </c>
      <c r="M393" s="34"/>
    </row>
    <row r="394" spans="1:13" ht="15.45" x14ac:dyDescent="0.4">
      <c r="A394" s="64">
        <f>A393+1</f>
        <v>34</v>
      </c>
      <c r="B394" s="31" t="str">
        <f>B390</f>
        <v xml:space="preserve">    Over 30,000 Mcf</v>
      </c>
      <c r="C394" s="80"/>
      <c r="D394" s="403">
        <v>0</v>
      </c>
      <c r="E394" s="403">
        <v>0</v>
      </c>
      <c r="F394" s="403">
        <v>0</v>
      </c>
      <c r="G394" s="403">
        <v>0</v>
      </c>
      <c r="H394" s="403">
        <v>0</v>
      </c>
      <c r="I394" s="403">
        <v>0</v>
      </c>
      <c r="J394" s="61">
        <f>SUM(D394:I394)</f>
        <v>0</v>
      </c>
      <c r="M394" s="34"/>
    </row>
    <row r="395" spans="1:13" ht="15.45" x14ac:dyDescent="0.4">
      <c r="C395" s="80"/>
      <c r="D395" s="37">
        <f t="shared" ref="D395:H395" si="94">SUM(D393:D394)</f>
        <v>0</v>
      </c>
      <c r="E395" s="37">
        <f t="shared" si="94"/>
        <v>0</v>
      </c>
      <c r="F395" s="37">
        <f t="shared" si="94"/>
        <v>0</v>
      </c>
      <c r="G395" s="37">
        <f t="shared" si="94"/>
        <v>0</v>
      </c>
      <c r="H395" s="37">
        <f t="shared" si="94"/>
        <v>0</v>
      </c>
      <c r="I395" s="37">
        <f>SUM(I393:I394)</f>
        <v>0</v>
      </c>
      <c r="J395" s="37">
        <f>SUM(D395:I395)</f>
        <v>0</v>
      </c>
      <c r="M395" s="34"/>
    </row>
    <row r="396" spans="1:13" ht="15.45" x14ac:dyDescent="0.4">
      <c r="A396" s="64">
        <f>A394+1</f>
        <v>35</v>
      </c>
      <c r="B396" s="31" t="s">
        <v>222</v>
      </c>
      <c r="C396" s="32"/>
      <c r="D396" s="37"/>
      <c r="E396" s="37"/>
      <c r="F396" s="37"/>
      <c r="G396" s="78"/>
      <c r="H396" s="78"/>
      <c r="I396" s="78"/>
      <c r="J396" s="78"/>
      <c r="M396" s="34"/>
    </row>
    <row r="397" spans="1:13" ht="15.45" x14ac:dyDescent="0.4">
      <c r="A397" s="64">
        <f>A396+1</f>
        <v>36</v>
      </c>
      <c r="B397" s="31" t="str">
        <f>B393</f>
        <v xml:space="preserve">    First 30,000 Mcf</v>
      </c>
      <c r="C397" s="34"/>
      <c r="D397" s="121">
        <f t="shared" ref="D397:I397" si="95">D389+D393</f>
        <v>0</v>
      </c>
      <c r="E397" s="121">
        <f t="shared" si="95"/>
        <v>0</v>
      </c>
      <c r="F397" s="121">
        <f t="shared" si="95"/>
        <v>0</v>
      </c>
      <c r="G397" s="121">
        <f t="shared" si="95"/>
        <v>0</v>
      </c>
      <c r="H397" s="121">
        <f t="shared" si="95"/>
        <v>0</v>
      </c>
      <c r="I397" s="121">
        <f t="shared" si="95"/>
        <v>0</v>
      </c>
      <c r="J397" s="37">
        <f>SUM(D397:I397)</f>
        <v>0</v>
      </c>
      <c r="M397" s="34"/>
    </row>
    <row r="398" spans="1:13" ht="15.45" x14ac:dyDescent="0.4">
      <c r="A398" s="64">
        <f>A397+1</f>
        <v>37</v>
      </c>
      <c r="B398" s="31" t="str">
        <f>B394</f>
        <v xml:space="preserve">    Over 30,000 Mcf</v>
      </c>
      <c r="C398" s="34"/>
      <c r="D398" s="405">
        <f t="shared" ref="D398:I398" si="96">D390+D394</f>
        <v>0</v>
      </c>
      <c r="E398" s="405">
        <f t="shared" si="96"/>
        <v>0</v>
      </c>
      <c r="F398" s="405">
        <f t="shared" si="96"/>
        <v>0</v>
      </c>
      <c r="G398" s="405">
        <f t="shared" si="96"/>
        <v>0</v>
      </c>
      <c r="H398" s="405">
        <f t="shared" si="96"/>
        <v>0</v>
      </c>
      <c r="I398" s="405">
        <f t="shared" si="96"/>
        <v>0</v>
      </c>
      <c r="J398" s="61">
        <f>SUM(D398:I398)</f>
        <v>0</v>
      </c>
      <c r="M398" s="34"/>
    </row>
    <row r="399" spans="1:13" ht="15.45" x14ac:dyDescent="0.4">
      <c r="A399" s="64">
        <f>A398+1</f>
        <v>38</v>
      </c>
      <c r="B399" s="31" t="s">
        <v>296</v>
      </c>
      <c r="C399" s="34"/>
      <c r="D399" s="121">
        <f t="shared" ref="D399:I399" si="97">D391+D395</f>
        <v>0</v>
      </c>
      <c r="E399" s="121">
        <f t="shared" si="97"/>
        <v>0</v>
      </c>
      <c r="F399" s="121">
        <f t="shared" si="97"/>
        <v>0</v>
      </c>
      <c r="G399" s="121">
        <f t="shared" si="97"/>
        <v>0</v>
      </c>
      <c r="H399" s="121">
        <f t="shared" si="97"/>
        <v>0</v>
      </c>
      <c r="I399" s="121">
        <f t="shared" si="97"/>
        <v>0</v>
      </c>
      <c r="J399" s="37">
        <f>SUM(D399:I399)</f>
        <v>0</v>
      </c>
      <c r="M399" s="34"/>
    </row>
    <row r="400" spans="1:13" ht="15.45" x14ac:dyDescent="0.4">
      <c r="C400" s="34"/>
      <c r="D400" s="121"/>
      <c r="E400" s="121"/>
      <c r="F400" s="121"/>
      <c r="G400" s="121"/>
      <c r="H400" s="121"/>
      <c r="I400" s="121"/>
      <c r="J400" s="78"/>
      <c r="M400" s="34"/>
    </row>
    <row r="401" spans="1:18" ht="15.45" x14ac:dyDescent="0.4">
      <c r="A401" s="475" t="str">
        <f>CONAME</f>
        <v>Columbia Gas of Kentucky, Inc.</v>
      </c>
      <c r="B401" s="475"/>
      <c r="C401" s="475"/>
      <c r="D401" s="475"/>
      <c r="E401" s="475"/>
      <c r="F401" s="475"/>
      <c r="G401" s="475"/>
      <c r="H401" s="475"/>
      <c r="I401" s="475"/>
      <c r="J401" s="475"/>
      <c r="K401" s="110"/>
      <c r="L401" s="110"/>
      <c r="M401" s="110"/>
      <c r="N401" s="110"/>
      <c r="O401" s="110"/>
      <c r="P401" s="110"/>
    </row>
    <row r="402" spans="1:18" ht="15.45" x14ac:dyDescent="0.4">
      <c r="A402" s="475" t="s">
        <v>157</v>
      </c>
      <c r="B402" s="475"/>
      <c r="C402" s="475"/>
      <c r="D402" s="475"/>
      <c r="E402" s="475"/>
      <c r="F402" s="475"/>
      <c r="G402" s="475"/>
      <c r="H402" s="475"/>
      <c r="I402" s="475"/>
      <c r="J402" s="475"/>
      <c r="K402" s="110"/>
      <c r="L402" s="110"/>
      <c r="M402" s="110"/>
      <c r="N402" s="110"/>
      <c r="O402" s="110"/>
      <c r="P402" s="110"/>
    </row>
    <row r="403" spans="1:18" ht="15.45" x14ac:dyDescent="0.4">
      <c r="A403" s="472" t="str">
        <f>TYDESC</f>
        <v>For the 6 Months Ended August 31, 2024</v>
      </c>
      <c r="B403" s="472"/>
      <c r="C403" s="472"/>
      <c r="D403" s="472"/>
      <c r="E403" s="472"/>
      <c r="F403" s="472"/>
      <c r="G403" s="472"/>
      <c r="H403" s="472"/>
      <c r="I403" s="472"/>
      <c r="J403" s="472"/>
      <c r="K403" s="35"/>
      <c r="L403" s="35"/>
      <c r="M403" s="35"/>
      <c r="N403" s="35"/>
      <c r="O403" s="35"/>
      <c r="P403" s="35"/>
    </row>
    <row r="404" spans="1:18" ht="15.45" x14ac:dyDescent="0.4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5"/>
      <c r="L404" s="35"/>
      <c r="M404" s="35"/>
      <c r="N404" s="35"/>
      <c r="O404" s="35"/>
      <c r="P404" s="35"/>
    </row>
    <row r="405" spans="1:18" ht="15.45" x14ac:dyDescent="0.4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1:18" ht="15.45" x14ac:dyDescent="0.4">
      <c r="A406" s="75" t="s">
        <v>180</v>
      </c>
      <c r="C406" s="32"/>
      <c r="D406" s="32"/>
      <c r="E406" s="32"/>
      <c r="F406" s="32"/>
      <c r="J406" s="71" t="str">
        <f>$J$6</f>
        <v>Workpaper WPM-C.1</v>
      </c>
    </row>
    <row r="407" spans="1:18" ht="15.45" x14ac:dyDescent="0.4">
      <c r="A407" s="75" t="s">
        <v>181</v>
      </c>
      <c r="C407" s="32"/>
      <c r="D407" s="32"/>
      <c r="E407" s="32"/>
      <c r="F407" s="32"/>
      <c r="J407" s="72" t="s">
        <v>315</v>
      </c>
    </row>
    <row r="408" spans="1:18" ht="15.45" x14ac:dyDescent="0.4">
      <c r="A408" s="75" t="s">
        <v>64</v>
      </c>
      <c r="C408" s="32"/>
      <c r="D408" s="32"/>
      <c r="E408" s="32"/>
      <c r="F408" s="32"/>
      <c r="P408" s="72"/>
    </row>
    <row r="409" spans="1:18" ht="15.45" x14ac:dyDescent="0.4">
      <c r="A409" s="102" t="str">
        <f>$A$9</f>
        <v>6 Mos Forecasted</v>
      </c>
      <c r="B409" s="32"/>
      <c r="C409" s="32"/>
      <c r="D409" s="33"/>
      <c r="E409" s="32"/>
      <c r="F409" s="41"/>
      <c r="G409" s="42"/>
      <c r="H409" s="41"/>
      <c r="I409" s="30"/>
      <c r="J409" s="41"/>
      <c r="K409" s="41"/>
      <c r="L409" s="41"/>
      <c r="M409" s="41"/>
      <c r="N409" s="41"/>
      <c r="O409" s="41"/>
      <c r="P409" s="41"/>
      <c r="Q409" s="32"/>
      <c r="R409" s="32"/>
    </row>
    <row r="410" spans="1:18" ht="15.45" x14ac:dyDescent="0.4">
      <c r="A410" s="102"/>
      <c r="B410" s="32"/>
      <c r="C410" s="32"/>
      <c r="D410" s="33"/>
      <c r="E410" s="32"/>
      <c r="F410" s="41"/>
      <c r="G410" s="42"/>
      <c r="H410" s="41"/>
      <c r="I410" s="30"/>
      <c r="J410" s="41"/>
      <c r="K410" s="41"/>
      <c r="L410" s="41"/>
      <c r="M410" s="41"/>
      <c r="N410" s="41"/>
      <c r="O410" s="41"/>
      <c r="P410" s="41"/>
      <c r="Q410" s="32"/>
      <c r="R410" s="32"/>
    </row>
    <row r="411" spans="1:18" ht="15.45" x14ac:dyDescent="0.4">
      <c r="A411" s="76"/>
      <c r="B411" s="32"/>
      <c r="C411" s="32"/>
      <c r="D411" s="33"/>
      <c r="E411" s="32"/>
      <c r="F411" s="41"/>
      <c r="G411" s="42"/>
      <c r="H411" s="41"/>
      <c r="I411" s="30"/>
      <c r="J411" s="41"/>
      <c r="K411" s="41"/>
      <c r="L411" s="41"/>
      <c r="M411" s="41"/>
      <c r="N411" s="41"/>
      <c r="O411" s="41"/>
      <c r="P411" s="41"/>
      <c r="Q411" s="32"/>
      <c r="R411" s="32"/>
    </row>
    <row r="412" spans="1:18" ht="15.45" x14ac:dyDescent="0.4">
      <c r="A412" s="32" t="s">
        <v>11</v>
      </c>
      <c r="B412" s="32"/>
      <c r="C412" s="32"/>
      <c r="D412" s="33"/>
      <c r="E412" s="32"/>
      <c r="F412" s="41"/>
      <c r="G412" s="42"/>
      <c r="H412" s="41"/>
      <c r="I412" s="30"/>
      <c r="J412" s="41"/>
      <c r="K412" s="41"/>
      <c r="L412" s="41"/>
      <c r="M412" s="41"/>
      <c r="N412" s="41"/>
      <c r="O412" s="41"/>
      <c r="P412" s="41"/>
      <c r="Q412" s="34"/>
      <c r="R412" s="34"/>
    </row>
    <row r="413" spans="1:18" ht="15.45" x14ac:dyDescent="0.4">
      <c r="A413" s="43" t="s">
        <v>13</v>
      </c>
      <c r="B413" s="43" t="s">
        <v>14</v>
      </c>
      <c r="C413" s="43" t="s">
        <v>152</v>
      </c>
      <c r="D413" s="45" t="str">
        <f>B!$D$13</f>
        <v>Mar-24</v>
      </c>
      <c r="E413" s="45" t="str">
        <f>B!$E$13</f>
        <v>Apr-24</v>
      </c>
      <c r="F413" s="45" t="str">
        <f>B!$F$13</f>
        <v>May-24</v>
      </c>
      <c r="G413" s="45" t="str">
        <f>B!$G$13</f>
        <v>Jun-24</v>
      </c>
      <c r="H413" s="45" t="str">
        <f>B!$H$13</f>
        <v>Jul-24</v>
      </c>
      <c r="I413" s="45" t="str">
        <f>B!$I$13</f>
        <v>Aug-24</v>
      </c>
      <c r="J413" s="45" t="s">
        <v>15</v>
      </c>
      <c r="M413" s="46"/>
    </row>
    <row r="414" spans="1:18" ht="15.45" x14ac:dyDescent="0.4">
      <c r="A414" s="32"/>
      <c r="B414" s="34" t="s">
        <v>49</v>
      </c>
      <c r="C414" s="34" t="s">
        <v>50</v>
      </c>
      <c r="D414" s="120" t="s">
        <v>56</v>
      </c>
      <c r="E414" s="48" t="s">
        <v>57</v>
      </c>
      <c r="F414" s="48" t="s">
        <v>58</v>
      </c>
      <c r="G414" s="48" t="s">
        <v>59</v>
      </c>
      <c r="H414" s="48" t="s">
        <v>60</v>
      </c>
      <c r="I414" s="48" t="s">
        <v>61</v>
      </c>
      <c r="J414" s="48" t="s">
        <v>62</v>
      </c>
      <c r="M414" s="34"/>
    </row>
    <row r="415" spans="1:18" ht="15.45" x14ac:dyDescent="0.4">
      <c r="C415" s="32"/>
      <c r="D415" s="37"/>
      <c r="E415" s="37"/>
      <c r="F415" s="37"/>
      <c r="G415" s="37"/>
      <c r="H415" s="37"/>
      <c r="I415" s="37"/>
      <c r="J415" s="37"/>
    </row>
    <row r="416" spans="1:18" ht="15.45" x14ac:dyDescent="0.4">
      <c r="A416" s="64">
        <v>1</v>
      </c>
      <c r="B416" s="35" t="s">
        <v>239</v>
      </c>
      <c r="C416" s="34"/>
      <c r="D416" s="48"/>
      <c r="E416" s="48"/>
      <c r="F416" s="48"/>
      <c r="G416" s="48"/>
      <c r="H416" s="48"/>
      <c r="I416" s="48"/>
      <c r="J416" s="48"/>
      <c r="M416" s="34"/>
    </row>
    <row r="417" spans="1:13" x14ac:dyDescent="0.35">
      <c r="A417" s="64">
        <f>A416+1</f>
        <v>2</v>
      </c>
      <c r="B417" s="31" t="s">
        <v>295</v>
      </c>
      <c r="C417" s="64"/>
      <c r="D417" s="62"/>
      <c r="E417" s="62"/>
      <c r="F417" s="62"/>
      <c r="G417" s="77"/>
      <c r="H417" s="77"/>
      <c r="I417" s="77"/>
      <c r="J417" s="60"/>
    </row>
    <row r="418" spans="1:13" x14ac:dyDescent="0.35">
      <c r="A418" s="64">
        <f>A417+1</f>
        <v>3</v>
      </c>
      <c r="B418" s="66" t="s">
        <v>240</v>
      </c>
      <c r="C418" s="64"/>
      <c r="D418" s="62">
        <v>0</v>
      </c>
      <c r="E418" s="62">
        <v>0</v>
      </c>
      <c r="F418" s="62">
        <v>0</v>
      </c>
      <c r="G418" s="62">
        <v>0</v>
      </c>
      <c r="H418" s="62">
        <v>0</v>
      </c>
      <c r="I418" s="62">
        <v>0</v>
      </c>
      <c r="J418" s="37">
        <f>SUM(D418:I418)</f>
        <v>0</v>
      </c>
    </row>
    <row r="419" spans="1:13" x14ac:dyDescent="0.35">
      <c r="A419" s="64">
        <f>A418+1</f>
        <v>4</v>
      </c>
      <c r="B419" s="66" t="s">
        <v>241</v>
      </c>
      <c r="C419" s="64"/>
      <c r="D419" s="403">
        <v>0</v>
      </c>
      <c r="E419" s="403">
        <v>0</v>
      </c>
      <c r="F419" s="403">
        <v>0</v>
      </c>
      <c r="G419" s="403">
        <v>0</v>
      </c>
      <c r="H419" s="403">
        <v>0</v>
      </c>
      <c r="I419" s="403">
        <v>0</v>
      </c>
      <c r="J419" s="61">
        <f>SUM(D419:I419)</f>
        <v>0</v>
      </c>
    </row>
    <row r="420" spans="1:13" x14ac:dyDescent="0.35">
      <c r="B420" s="66"/>
      <c r="C420" s="64"/>
      <c r="D420" s="37">
        <f t="shared" ref="D420:H420" si="98">SUM(D418:D419)</f>
        <v>0</v>
      </c>
      <c r="E420" s="37">
        <f t="shared" si="98"/>
        <v>0</v>
      </c>
      <c r="F420" s="37">
        <f t="shared" si="98"/>
        <v>0</v>
      </c>
      <c r="G420" s="37">
        <f t="shared" si="98"/>
        <v>0</v>
      </c>
      <c r="H420" s="37">
        <f t="shared" si="98"/>
        <v>0</v>
      </c>
      <c r="I420" s="37">
        <f>SUM(I418:I419)</f>
        <v>0</v>
      </c>
      <c r="J420" s="37">
        <f>SUM(D420:I420)</f>
        <v>0</v>
      </c>
    </row>
    <row r="421" spans="1:13" x14ac:dyDescent="0.35">
      <c r="A421" s="64">
        <f>A419+1</f>
        <v>5</v>
      </c>
      <c r="B421" s="31" t="s">
        <v>202</v>
      </c>
      <c r="C421" s="80" t="s">
        <v>300</v>
      </c>
      <c r="D421" s="62"/>
      <c r="E421" s="62"/>
      <c r="F421" s="62"/>
      <c r="G421" s="62"/>
      <c r="H421" s="62"/>
      <c r="I421" s="62"/>
      <c r="J421" s="37"/>
    </row>
    <row r="422" spans="1:13" x14ac:dyDescent="0.35">
      <c r="A422" s="64">
        <f>A421+1</f>
        <v>6</v>
      </c>
      <c r="B422" s="31" t="str">
        <f>B418</f>
        <v xml:space="preserve">    First 150,000 Mcf</v>
      </c>
      <c r="C422" s="80"/>
      <c r="D422" s="37">
        <f>'D pg 1'!D50</f>
        <v>0</v>
      </c>
      <c r="E422" s="37">
        <f>'D pg 1'!E50</f>
        <v>0</v>
      </c>
      <c r="F422" s="37">
        <f>'D pg 1'!F50</f>
        <v>0</v>
      </c>
      <c r="G422" s="37">
        <f>'D pg 1'!G50</f>
        <v>0</v>
      </c>
      <c r="H422" s="37">
        <f>'D pg 1'!H50</f>
        <v>0</v>
      </c>
      <c r="I422" s="37">
        <f>'D pg 1'!I50</f>
        <v>0</v>
      </c>
      <c r="J422" s="37">
        <f>SUM(D422:I422)</f>
        <v>0</v>
      </c>
    </row>
    <row r="423" spans="1:13" x14ac:dyDescent="0.35">
      <c r="A423" s="64">
        <f>A422+1</f>
        <v>7</v>
      </c>
      <c r="B423" s="31" t="str">
        <f>B419</f>
        <v xml:space="preserve">    Over 150,000 Mcf</v>
      </c>
      <c r="C423" s="80"/>
      <c r="D423" s="61">
        <f>'D pg 1'!D51</f>
        <v>0</v>
      </c>
      <c r="E423" s="61">
        <f>'D pg 1'!E51</f>
        <v>0</v>
      </c>
      <c r="F423" s="61">
        <f>'D pg 1'!F51</f>
        <v>0</v>
      </c>
      <c r="G423" s="61">
        <f>'D pg 1'!G51</f>
        <v>0</v>
      </c>
      <c r="H423" s="61">
        <f>'D pg 1'!H51</f>
        <v>0</v>
      </c>
      <c r="I423" s="61">
        <f>'D pg 1'!I51</f>
        <v>0</v>
      </c>
      <c r="J423" s="61">
        <f>SUM(D423:I423)</f>
        <v>0</v>
      </c>
    </row>
    <row r="424" spans="1:13" x14ac:dyDescent="0.35">
      <c r="C424" s="80"/>
      <c r="D424" s="37">
        <f t="shared" ref="D424:H424" si="99">SUM(D422:D423)</f>
        <v>0</v>
      </c>
      <c r="E424" s="37">
        <f t="shared" si="99"/>
        <v>0</v>
      </c>
      <c r="F424" s="37">
        <f t="shared" si="99"/>
        <v>0</v>
      </c>
      <c r="G424" s="37">
        <f t="shared" si="99"/>
        <v>0</v>
      </c>
      <c r="H424" s="37">
        <f t="shared" si="99"/>
        <v>0</v>
      </c>
      <c r="I424" s="37">
        <f>SUM(I422:I423)</f>
        <v>0</v>
      </c>
      <c r="J424" s="37">
        <f>SUM(D424:I424)</f>
        <v>0</v>
      </c>
    </row>
    <row r="425" spans="1:13" ht="15.45" x14ac:dyDescent="0.4">
      <c r="A425" s="64">
        <f>A423+1</f>
        <v>8</v>
      </c>
      <c r="B425" s="31" t="s">
        <v>222</v>
      </c>
      <c r="C425" s="32"/>
      <c r="D425" s="37"/>
      <c r="E425" s="37"/>
      <c r="F425" s="37"/>
      <c r="G425" s="78"/>
      <c r="H425" s="78"/>
      <c r="I425" s="78"/>
      <c r="J425" s="78"/>
    </row>
    <row r="426" spans="1:13" ht="15.45" x14ac:dyDescent="0.4">
      <c r="A426" s="64">
        <f>A425+1</f>
        <v>9</v>
      </c>
      <c r="B426" s="31" t="str">
        <f>B418</f>
        <v xml:space="preserve">    First 150,000 Mcf</v>
      </c>
      <c r="C426" s="34"/>
      <c r="D426" s="121">
        <f t="shared" ref="D426:I426" si="100">D418+D422</f>
        <v>0</v>
      </c>
      <c r="E426" s="121">
        <f t="shared" si="100"/>
        <v>0</v>
      </c>
      <c r="F426" s="121">
        <f t="shared" si="100"/>
        <v>0</v>
      </c>
      <c r="G426" s="121">
        <f t="shared" si="100"/>
        <v>0</v>
      </c>
      <c r="H426" s="121">
        <f t="shared" si="100"/>
        <v>0</v>
      </c>
      <c r="I426" s="121">
        <f t="shared" si="100"/>
        <v>0</v>
      </c>
      <c r="J426" s="78">
        <f>SUM(D426:I426)</f>
        <v>0</v>
      </c>
      <c r="M426" s="34"/>
    </row>
    <row r="427" spans="1:13" ht="15.45" x14ac:dyDescent="0.4">
      <c r="A427" s="64">
        <f>A426+1</f>
        <v>10</v>
      </c>
      <c r="B427" s="31" t="str">
        <f>B419</f>
        <v xml:space="preserve">    Over 150,000 Mcf</v>
      </c>
      <c r="C427" s="34"/>
      <c r="D427" s="405">
        <f t="shared" ref="D427:I427" si="101">D419+D423</f>
        <v>0</v>
      </c>
      <c r="E427" s="405">
        <f t="shared" si="101"/>
        <v>0</v>
      </c>
      <c r="F427" s="405">
        <f t="shared" si="101"/>
        <v>0</v>
      </c>
      <c r="G427" s="405">
        <f t="shared" si="101"/>
        <v>0</v>
      </c>
      <c r="H427" s="405">
        <f t="shared" si="101"/>
        <v>0</v>
      </c>
      <c r="I427" s="405">
        <f t="shared" si="101"/>
        <v>0</v>
      </c>
      <c r="J427" s="61">
        <f>SUM(D427:I427)</f>
        <v>0</v>
      </c>
      <c r="M427" s="34"/>
    </row>
    <row r="428" spans="1:13" ht="15.45" x14ac:dyDescent="0.4">
      <c r="A428" s="64">
        <f>A427+1</f>
        <v>11</v>
      </c>
      <c r="B428" s="31" t="s">
        <v>296</v>
      </c>
      <c r="C428" s="34"/>
      <c r="D428" s="121">
        <f t="shared" ref="D428:I428" si="102">D420+D424</f>
        <v>0</v>
      </c>
      <c r="E428" s="121">
        <f t="shared" si="102"/>
        <v>0</v>
      </c>
      <c r="F428" s="121">
        <f t="shared" si="102"/>
        <v>0</v>
      </c>
      <c r="G428" s="121">
        <f t="shared" si="102"/>
        <v>0</v>
      </c>
      <c r="H428" s="121">
        <f t="shared" si="102"/>
        <v>0</v>
      </c>
      <c r="I428" s="121">
        <f t="shared" si="102"/>
        <v>0</v>
      </c>
      <c r="J428" s="78">
        <f>SUM(D428:I428)</f>
        <v>0</v>
      </c>
      <c r="M428" s="34"/>
    </row>
    <row r="429" spans="1:13" ht="15.9" thickBot="1" x14ac:dyDescent="0.4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M429" s="34"/>
    </row>
    <row r="430" spans="1:13" ht="15.45" x14ac:dyDescent="0.4">
      <c r="A430" s="104">
        <f>A428+1</f>
        <v>12</v>
      </c>
      <c r="B430" s="96" t="s">
        <v>21</v>
      </c>
      <c r="C430" s="410"/>
      <c r="D430" s="410"/>
      <c r="E430" s="97"/>
      <c r="F430" s="97"/>
      <c r="G430" s="97"/>
      <c r="H430" s="97"/>
      <c r="I430" s="97"/>
      <c r="J430" s="105"/>
    </row>
    <row r="431" spans="1:13" x14ac:dyDescent="0.35">
      <c r="A431" s="100"/>
      <c r="C431" s="37"/>
      <c r="D431" s="37"/>
      <c r="J431" s="99"/>
    </row>
    <row r="432" spans="1:13" x14ac:dyDescent="0.35">
      <c r="A432" s="100">
        <f>A430+1</f>
        <v>13</v>
      </c>
      <c r="B432" s="31" t="s">
        <v>40</v>
      </c>
      <c r="C432" s="37"/>
      <c r="D432" s="37"/>
      <c r="J432" s="99"/>
    </row>
    <row r="433" spans="1:10" x14ac:dyDescent="0.35">
      <c r="A433" s="100">
        <f>A432+1</f>
        <v>14</v>
      </c>
      <c r="B433" s="31" t="s">
        <v>295</v>
      </c>
      <c r="C433" s="37"/>
      <c r="D433" s="37">
        <f t="shared" ref="D433:I434" si="103">D202</f>
        <v>133121.70000000001</v>
      </c>
      <c r="E433" s="37">
        <f t="shared" si="103"/>
        <v>80458.100000000006</v>
      </c>
      <c r="F433" s="37">
        <f t="shared" si="103"/>
        <v>35511.800000000003</v>
      </c>
      <c r="G433" s="37">
        <f t="shared" si="103"/>
        <v>15546.5</v>
      </c>
      <c r="H433" s="37">
        <f t="shared" si="103"/>
        <v>9660.6</v>
      </c>
      <c r="I433" s="37">
        <f t="shared" si="103"/>
        <v>9985.7000000000007</v>
      </c>
      <c r="J433" s="411">
        <f>SUM(D433:I433)</f>
        <v>284284.40000000002</v>
      </c>
    </row>
    <row r="434" spans="1:10" x14ac:dyDescent="0.35">
      <c r="A434" s="100">
        <f>A433+1</f>
        <v>15</v>
      </c>
      <c r="B434" s="31" t="s">
        <v>202</v>
      </c>
      <c r="C434" s="37"/>
      <c r="D434" s="61">
        <f t="shared" si="103"/>
        <v>0</v>
      </c>
      <c r="E434" s="61">
        <f t="shared" si="103"/>
        <v>0</v>
      </c>
      <c r="F434" s="61">
        <f t="shared" si="103"/>
        <v>0</v>
      </c>
      <c r="G434" s="61">
        <f t="shared" si="103"/>
        <v>0</v>
      </c>
      <c r="H434" s="61">
        <f t="shared" si="103"/>
        <v>0</v>
      </c>
      <c r="I434" s="61">
        <f t="shared" si="103"/>
        <v>0</v>
      </c>
      <c r="J434" s="412">
        <f>SUM(D434:I434)</f>
        <v>0</v>
      </c>
    </row>
    <row r="435" spans="1:10" x14ac:dyDescent="0.35">
      <c r="A435" s="100">
        <f>A434+1</f>
        <v>16</v>
      </c>
      <c r="B435" s="31" t="s">
        <v>222</v>
      </c>
      <c r="C435" s="37"/>
      <c r="D435" s="37">
        <f t="shared" ref="D435:I435" si="104">SUM(D433:D434)</f>
        <v>133121.70000000001</v>
      </c>
      <c r="E435" s="37">
        <f t="shared" si="104"/>
        <v>80458.100000000006</v>
      </c>
      <c r="F435" s="37">
        <f t="shared" si="104"/>
        <v>35511.800000000003</v>
      </c>
      <c r="G435" s="37">
        <f t="shared" si="104"/>
        <v>15546.5</v>
      </c>
      <c r="H435" s="37">
        <f t="shared" si="104"/>
        <v>9660.6</v>
      </c>
      <c r="I435" s="37">
        <f t="shared" si="104"/>
        <v>9985.7000000000007</v>
      </c>
      <c r="J435" s="411">
        <f>SUM(D435:I435)</f>
        <v>284284.40000000002</v>
      </c>
    </row>
    <row r="436" spans="1:10" x14ac:dyDescent="0.35">
      <c r="A436" s="100"/>
      <c r="C436" s="37"/>
      <c r="D436" s="37"/>
      <c r="J436" s="99"/>
    </row>
    <row r="437" spans="1:10" x14ac:dyDescent="0.35">
      <c r="A437" s="100">
        <f>A435+1</f>
        <v>17</v>
      </c>
      <c r="B437" s="31" t="s">
        <v>22</v>
      </c>
      <c r="C437" s="37"/>
      <c r="D437" s="37"/>
      <c r="J437" s="99"/>
    </row>
    <row r="438" spans="1:10" x14ac:dyDescent="0.35">
      <c r="A438" s="100">
        <f>A437+1</f>
        <v>18</v>
      </c>
      <c r="B438" s="31" t="s">
        <v>295</v>
      </c>
      <c r="C438" s="37"/>
      <c r="D438" s="37">
        <f t="shared" ref="D438:I438" si="105">D212+D267+D302+D359+D364+D391</f>
        <v>540893.1</v>
      </c>
      <c r="E438" s="37">
        <f t="shared" si="105"/>
        <v>351498.49999999994</v>
      </c>
      <c r="F438" s="37">
        <f t="shared" si="105"/>
        <v>271522.3</v>
      </c>
      <c r="G438" s="37">
        <f t="shared" si="105"/>
        <v>237759.7</v>
      </c>
      <c r="H438" s="37">
        <f t="shared" si="105"/>
        <v>217502.5</v>
      </c>
      <c r="I438" s="37">
        <f t="shared" si="105"/>
        <v>225256.1</v>
      </c>
      <c r="J438" s="411">
        <f>SUM(D438:I438)</f>
        <v>1844432.2</v>
      </c>
    </row>
    <row r="439" spans="1:10" x14ac:dyDescent="0.35">
      <c r="A439" s="100">
        <f>A438+1</f>
        <v>19</v>
      </c>
      <c r="B439" s="31" t="s">
        <v>202</v>
      </c>
      <c r="C439" s="37"/>
      <c r="D439" s="61">
        <f t="shared" ref="D439:I439" si="106">D218+D272+D308+D360+D365+D395</f>
        <v>0</v>
      </c>
      <c r="E439" s="61">
        <f t="shared" si="106"/>
        <v>0</v>
      </c>
      <c r="F439" s="61">
        <f t="shared" si="106"/>
        <v>0</v>
      </c>
      <c r="G439" s="61">
        <f t="shared" si="106"/>
        <v>0</v>
      </c>
      <c r="H439" s="61">
        <f t="shared" si="106"/>
        <v>0</v>
      </c>
      <c r="I439" s="61">
        <f t="shared" si="106"/>
        <v>0</v>
      </c>
      <c r="J439" s="412">
        <f>SUM(D439:I439)</f>
        <v>0</v>
      </c>
    </row>
    <row r="440" spans="1:10" x14ac:dyDescent="0.35">
      <c r="A440" s="100">
        <f>A439+1</f>
        <v>20</v>
      </c>
      <c r="B440" s="31" t="s">
        <v>222</v>
      </c>
      <c r="C440" s="37"/>
      <c r="D440" s="37">
        <f t="shared" ref="D440:I440" si="107">SUM(D438:D439)</f>
        <v>540893.1</v>
      </c>
      <c r="E440" s="37">
        <f t="shared" si="107"/>
        <v>351498.49999999994</v>
      </c>
      <c r="F440" s="37">
        <f t="shared" si="107"/>
        <v>271522.3</v>
      </c>
      <c r="G440" s="37">
        <f t="shared" si="107"/>
        <v>237759.7</v>
      </c>
      <c r="H440" s="37">
        <f t="shared" si="107"/>
        <v>217502.5</v>
      </c>
      <c r="I440" s="37">
        <f t="shared" si="107"/>
        <v>225256.1</v>
      </c>
      <c r="J440" s="411">
        <f>SUM(D440:I440)</f>
        <v>1844432.2</v>
      </c>
    </row>
    <row r="441" spans="1:10" x14ac:dyDescent="0.35">
      <c r="A441" s="100"/>
      <c r="C441" s="37"/>
      <c r="D441" s="37"/>
      <c r="J441" s="99"/>
    </row>
    <row r="442" spans="1:10" x14ac:dyDescent="0.35">
      <c r="A442" s="100">
        <f>A440+1</f>
        <v>21</v>
      </c>
      <c r="B442" s="31" t="s">
        <v>23</v>
      </c>
      <c r="C442" s="61"/>
      <c r="D442" s="61"/>
      <c r="J442" s="99"/>
    </row>
    <row r="443" spans="1:10" x14ac:dyDescent="0.35">
      <c r="A443" s="100">
        <f>A442+1</f>
        <v>22</v>
      </c>
      <c r="B443" s="31" t="s">
        <v>295</v>
      </c>
      <c r="C443" s="61"/>
      <c r="D443" s="37">
        <f t="shared" ref="D443:I443" si="108">D232+D284+D322+D354+D369+D377++D420</f>
        <v>1367929.5</v>
      </c>
      <c r="E443" s="37">
        <f t="shared" si="108"/>
        <v>1199886.3999999999</v>
      </c>
      <c r="F443" s="37">
        <f t="shared" si="108"/>
        <v>1092555.3</v>
      </c>
      <c r="G443" s="37">
        <f t="shared" si="108"/>
        <v>949718.4</v>
      </c>
      <c r="H443" s="37">
        <f t="shared" si="108"/>
        <v>773486.8</v>
      </c>
      <c r="I443" s="37">
        <f t="shared" si="108"/>
        <v>988682.2</v>
      </c>
      <c r="J443" s="411">
        <f>SUM(D443:I443)</f>
        <v>6372258.6000000006</v>
      </c>
    </row>
    <row r="444" spans="1:10" x14ac:dyDescent="0.35">
      <c r="A444" s="100">
        <f>A443+1</f>
        <v>23</v>
      </c>
      <c r="B444" s="31" t="s">
        <v>202</v>
      </c>
      <c r="C444" s="61"/>
      <c r="D444" s="61">
        <f t="shared" ref="D444:I444" si="109">D238+D289+D328+D355+D370+D381+D424</f>
        <v>0</v>
      </c>
      <c r="E444" s="61">
        <f t="shared" si="109"/>
        <v>0</v>
      </c>
      <c r="F444" s="61">
        <f t="shared" si="109"/>
        <v>0</v>
      </c>
      <c r="G444" s="61">
        <f t="shared" si="109"/>
        <v>0</v>
      </c>
      <c r="H444" s="61">
        <f t="shared" si="109"/>
        <v>0</v>
      </c>
      <c r="I444" s="61">
        <f t="shared" si="109"/>
        <v>0</v>
      </c>
      <c r="J444" s="412">
        <f>SUM(D444:I444)</f>
        <v>0</v>
      </c>
    </row>
    <row r="445" spans="1:10" x14ac:dyDescent="0.35">
      <c r="A445" s="100">
        <f>A444+1</f>
        <v>24</v>
      </c>
      <c r="B445" s="31" t="s">
        <v>222</v>
      </c>
      <c r="C445" s="61"/>
      <c r="D445" s="37">
        <f t="shared" ref="D445:I445" si="110">SUM(D443:D444)</f>
        <v>1367929.5</v>
      </c>
      <c r="E445" s="37">
        <f t="shared" si="110"/>
        <v>1199886.3999999999</v>
      </c>
      <c r="F445" s="37">
        <f t="shared" si="110"/>
        <v>1092555.3</v>
      </c>
      <c r="G445" s="37">
        <f t="shared" si="110"/>
        <v>949718.4</v>
      </c>
      <c r="H445" s="37">
        <f t="shared" si="110"/>
        <v>773486.8</v>
      </c>
      <c r="I445" s="37">
        <f t="shared" si="110"/>
        <v>988682.2</v>
      </c>
      <c r="J445" s="411">
        <f>SUM(D445:I445)</f>
        <v>6372258.6000000006</v>
      </c>
    </row>
    <row r="446" spans="1:10" x14ac:dyDescent="0.35">
      <c r="A446" s="100"/>
      <c r="C446" s="61"/>
      <c r="D446" s="61"/>
      <c r="J446" s="99"/>
    </row>
    <row r="447" spans="1:10" ht="15.45" x14ac:dyDescent="0.4">
      <c r="A447" s="100">
        <f>A445+1</f>
        <v>25</v>
      </c>
      <c r="B447" s="35" t="s">
        <v>24</v>
      </c>
      <c r="C447" s="37"/>
      <c r="D447" s="37"/>
      <c r="J447" s="99"/>
    </row>
    <row r="448" spans="1:10" ht="15.45" thickBot="1" x14ac:dyDescent="0.4">
      <c r="A448" s="100">
        <f>A447+1</f>
        <v>26</v>
      </c>
      <c r="B448" s="31" t="s">
        <v>295</v>
      </c>
      <c r="C448" s="37"/>
      <c r="D448" s="37">
        <f t="shared" ref="D448:I448" si="111">D433+D438+D443</f>
        <v>2041944.3</v>
      </c>
      <c r="E448" s="37">
        <f t="shared" si="111"/>
        <v>1631843</v>
      </c>
      <c r="F448" s="37">
        <f t="shared" si="111"/>
        <v>1399589.4</v>
      </c>
      <c r="G448" s="37">
        <f t="shared" si="111"/>
        <v>1203024.6000000001</v>
      </c>
      <c r="H448" s="37">
        <f t="shared" si="111"/>
        <v>1000649.9</v>
      </c>
      <c r="I448" s="37">
        <f t="shared" si="111"/>
        <v>1223924</v>
      </c>
      <c r="J448" s="411">
        <f>SUM(D448:I448)</f>
        <v>8500975.1999999993</v>
      </c>
    </row>
    <row r="449" spans="1:20" x14ac:dyDescent="0.35">
      <c r="A449" s="100">
        <f>A448+1</f>
        <v>27</v>
      </c>
      <c r="B449" s="31" t="s">
        <v>202</v>
      </c>
      <c r="C449" s="37"/>
      <c r="D449" s="61">
        <f t="shared" ref="D449:I449" si="112">D434+D439+D444</f>
        <v>0</v>
      </c>
      <c r="E449" s="61">
        <f t="shared" si="112"/>
        <v>0</v>
      </c>
      <c r="F449" s="61">
        <f t="shared" si="112"/>
        <v>0</v>
      </c>
      <c r="G449" s="61">
        <f t="shared" si="112"/>
        <v>0</v>
      </c>
      <c r="H449" s="61">
        <f t="shared" si="112"/>
        <v>0</v>
      </c>
      <c r="I449" s="61">
        <f t="shared" si="112"/>
        <v>0</v>
      </c>
      <c r="J449" s="412">
        <f>SUM(D449:I449)</f>
        <v>0</v>
      </c>
      <c r="M449" s="353" t="s">
        <v>364</v>
      </c>
      <c r="N449" s="354"/>
    </row>
    <row r="450" spans="1:20" ht="15.45" thickBot="1" x14ac:dyDescent="0.4">
      <c r="A450" s="101">
        <f>A449+1</f>
        <v>28</v>
      </c>
      <c r="B450" s="413" t="s">
        <v>222</v>
      </c>
      <c r="C450" s="415"/>
      <c r="D450" s="415">
        <f t="shared" ref="D450:I450" si="113">SUM(D448:D449)</f>
        <v>2041944.3</v>
      </c>
      <c r="E450" s="415">
        <f t="shared" si="113"/>
        <v>1631843</v>
      </c>
      <c r="F450" s="415">
        <f t="shared" si="113"/>
        <v>1399589.4</v>
      </c>
      <c r="G450" s="415">
        <f t="shared" si="113"/>
        <v>1203024.6000000001</v>
      </c>
      <c r="H450" s="415">
        <f t="shared" si="113"/>
        <v>1000649.9</v>
      </c>
      <c r="I450" s="415">
        <f t="shared" si="113"/>
        <v>1223924</v>
      </c>
      <c r="J450" s="416">
        <f>SUM(D450:I450)</f>
        <v>8500975.1999999993</v>
      </c>
      <c r="M450" s="343">
        <f>J204+J212+J232+J277+J294+J314+J334+J356+J361+J366+J371+J377+J391+J420</f>
        <v>8500975.1999999993</v>
      </c>
      <c r="N450" s="344">
        <f>M450-J450</f>
        <v>0</v>
      </c>
    </row>
    <row r="451" spans="1:20" x14ac:dyDescent="0.35">
      <c r="C451" s="37"/>
      <c r="D451" s="37"/>
    </row>
    <row r="452" spans="1:20" ht="15.45" thickBot="1" x14ac:dyDescent="0.4">
      <c r="C452" s="37"/>
      <c r="D452" s="37"/>
    </row>
    <row r="453" spans="1:20" ht="15.45" x14ac:dyDescent="0.4">
      <c r="A453" s="104">
        <f>A450+1</f>
        <v>29</v>
      </c>
      <c r="B453" s="96" t="s">
        <v>25</v>
      </c>
      <c r="C453" s="410"/>
      <c r="D453" s="410"/>
      <c r="E453" s="97"/>
      <c r="F453" s="97"/>
      <c r="G453" s="97"/>
      <c r="H453" s="97"/>
      <c r="I453" s="97"/>
      <c r="J453" s="105"/>
    </row>
    <row r="454" spans="1:20" x14ac:dyDescent="0.35">
      <c r="A454" s="100">
        <f>A453+1</f>
        <v>30</v>
      </c>
      <c r="B454" s="31" t="s">
        <v>295</v>
      </c>
      <c r="C454" s="37"/>
      <c r="D454" s="37">
        <f t="shared" ref="D454:I455" si="114">D196+D448</f>
        <v>3801429.9</v>
      </c>
      <c r="E454" s="37">
        <f t="shared" si="114"/>
        <v>2761415.3</v>
      </c>
      <c r="F454" s="37">
        <f t="shared" si="114"/>
        <v>1939540.5</v>
      </c>
      <c r="G454" s="37">
        <f t="shared" si="114"/>
        <v>1510293.1</v>
      </c>
      <c r="H454" s="37">
        <f t="shared" si="114"/>
        <v>1236775.8</v>
      </c>
      <c r="I454" s="37">
        <f t="shared" si="114"/>
        <v>1449430.1</v>
      </c>
      <c r="J454" s="411">
        <f>SUM(D454:I454)</f>
        <v>12698884.699999999</v>
      </c>
    </row>
    <row r="455" spans="1:20" ht="15.45" x14ac:dyDescent="0.4">
      <c r="A455" s="100">
        <f>A454+1</f>
        <v>31</v>
      </c>
      <c r="B455" s="31" t="s">
        <v>202</v>
      </c>
      <c r="C455" s="34"/>
      <c r="D455" s="37">
        <f t="shared" si="114"/>
        <v>0</v>
      </c>
      <c r="E455" s="37">
        <f t="shared" si="114"/>
        <v>0</v>
      </c>
      <c r="F455" s="37">
        <f t="shared" si="114"/>
        <v>0</v>
      </c>
      <c r="G455" s="37">
        <f t="shared" si="114"/>
        <v>0</v>
      </c>
      <c r="H455" s="37">
        <f t="shared" si="114"/>
        <v>0</v>
      </c>
      <c r="I455" s="37">
        <f t="shared" si="114"/>
        <v>0</v>
      </c>
      <c r="J455" s="411">
        <f>SUM(D455:I455)</f>
        <v>0</v>
      </c>
    </row>
    <row r="456" spans="1:20" ht="15.9" thickBot="1" x14ac:dyDescent="0.45">
      <c r="A456" s="101">
        <f>A455+1</f>
        <v>32</v>
      </c>
      <c r="B456" s="413" t="s">
        <v>222</v>
      </c>
      <c r="C456" s="106"/>
      <c r="D456" s="415">
        <f t="shared" ref="D456:I456" si="115">SUM(D454:D455)</f>
        <v>3801429.9</v>
      </c>
      <c r="E456" s="415">
        <f t="shared" si="115"/>
        <v>2761415.3</v>
      </c>
      <c r="F456" s="415">
        <f t="shared" si="115"/>
        <v>1939540.5</v>
      </c>
      <c r="G456" s="415">
        <f t="shared" si="115"/>
        <v>1510293.1</v>
      </c>
      <c r="H456" s="415">
        <f t="shared" si="115"/>
        <v>1236775.8</v>
      </c>
      <c r="I456" s="415">
        <f t="shared" si="115"/>
        <v>1449430.1</v>
      </c>
      <c r="J456" s="416">
        <f>SUM(D456:I456)</f>
        <v>12698884.699999999</v>
      </c>
      <c r="M456" s="34"/>
    </row>
    <row r="457" spans="1:20" x14ac:dyDescent="0.35">
      <c r="C457" s="80"/>
      <c r="D457" s="37"/>
      <c r="E457" s="37"/>
      <c r="F457" s="37"/>
      <c r="G457" s="37"/>
      <c r="H457" s="37"/>
      <c r="I457" s="37"/>
      <c r="J457" s="37"/>
    </row>
    <row r="458" spans="1:20" ht="15.45" x14ac:dyDescent="0.4">
      <c r="C458" s="3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1:20" ht="15.9" thickBot="1" x14ac:dyDescent="0.45">
      <c r="C459" s="32"/>
      <c r="D459" s="37"/>
      <c r="E459" s="37"/>
      <c r="F459" s="37"/>
      <c r="G459" s="37"/>
      <c r="H459" s="37"/>
      <c r="I459" s="37"/>
      <c r="J459" s="37"/>
      <c r="K459" s="37"/>
      <c r="L459" s="37"/>
      <c r="M459" s="37"/>
    </row>
    <row r="460" spans="1:20" ht="15.45" x14ac:dyDescent="0.4">
      <c r="B460" s="275" t="s">
        <v>348</v>
      </c>
      <c r="C460" s="276"/>
      <c r="D460" s="276"/>
      <c r="E460" s="277"/>
      <c r="F460" s="37"/>
      <c r="G460" s="37"/>
      <c r="H460" s="37"/>
      <c r="I460" s="37"/>
      <c r="J460" s="37"/>
      <c r="N460" s="184" t="s">
        <v>280</v>
      </c>
      <c r="O460" s="185"/>
      <c r="P460" s="186">
        <f>'Sch M'!O44</f>
        <v>31939713.199999999</v>
      </c>
    </row>
    <row r="461" spans="1:20" ht="15.45" x14ac:dyDescent="0.4">
      <c r="A461" s="32"/>
      <c r="B461" s="278"/>
      <c r="C461" s="129" t="s">
        <v>345</v>
      </c>
      <c r="D461" s="129" t="s">
        <v>346</v>
      </c>
      <c r="E461" s="279" t="s">
        <v>347</v>
      </c>
      <c r="F461" s="265"/>
      <c r="G461" s="265"/>
      <c r="H461" s="121"/>
      <c r="I461" s="121"/>
      <c r="J461" s="121"/>
      <c r="K461" s="37"/>
      <c r="L461" s="37"/>
      <c r="M461" s="37"/>
      <c r="N461" s="187" t="s">
        <v>278</v>
      </c>
      <c r="O461" s="188"/>
      <c r="P461" s="189">
        <v>31900234.300000001</v>
      </c>
    </row>
    <row r="462" spans="1:20" ht="15.45" x14ac:dyDescent="0.4">
      <c r="A462" s="32"/>
      <c r="B462" s="280" t="s">
        <v>341</v>
      </c>
      <c r="C462" s="131">
        <f>J17+J27+J32+J42+J47+J52+J65+J76</f>
        <v>2528408.9</v>
      </c>
      <c r="D462" s="263">
        <v>2528408.9</v>
      </c>
      <c r="E462" s="281">
        <f t="shared" ref="E462:E463" si="116">C462-D462</f>
        <v>0</v>
      </c>
      <c r="F462" s="266"/>
      <c r="G462" s="266"/>
      <c r="H462" s="122"/>
      <c r="I462" s="122"/>
      <c r="J462" s="122"/>
      <c r="K462" s="121"/>
      <c r="L462" s="121"/>
      <c r="M462" s="121"/>
      <c r="N462" s="190" t="s">
        <v>281</v>
      </c>
      <c r="O462" s="191"/>
      <c r="P462" s="192">
        <f>J454</f>
        <v>12698884.699999999</v>
      </c>
      <c r="T462" s="34"/>
    </row>
    <row r="463" spans="1:20" ht="15.45" x14ac:dyDescent="0.4">
      <c r="A463" s="32"/>
      <c r="B463" s="282" t="s">
        <v>342</v>
      </c>
      <c r="C463" s="130">
        <f>J202</f>
        <v>284284.40000000002</v>
      </c>
      <c r="D463" s="263">
        <v>284284.40000000002</v>
      </c>
      <c r="E463" s="281">
        <f t="shared" si="116"/>
        <v>0</v>
      </c>
      <c r="F463" s="267"/>
      <c r="G463" s="266"/>
      <c r="H463" s="123"/>
      <c r="I463" s="122"/>
      <c r="J463" s="122"/>
      <c r="K463" s="122"/>
      <c r="L463" s="122"/>
      <c r="M463" s="122"/>
      <c r="N463" s="193"/>
      <c r="O463" s="194"/>
      <c r="P463" s="192">
        <f>P461-P462</f>
        <v>19201349.600000001</v>
      </c>
      <c r="Q463" s="37"/>
      <c r="T463" s="34"/>
    </row>
    <row r="464" spans="1:20" ht="15.45" x14ac:dyDescent="0.4">
      <c r="B464" s="282" t="s">
        <v>343</v>
      </c>
      <c r="C464" s="272">
        <f>J22+J37+J57+J103+J123+J142+J153</f>
        <v>1669500.5999999999</v>
      </c>
      <c r="D464" s="263">
        <v>1669500.6</v>
      </c>
      <c r="E464" s="281">
        <f>C464-D464</f>
        <v>0</v>
      </c>
      <c r="F464" s="267"/>
      <c r="G464" s="266"/>
      <c r="H464" s="123"/>
      <c r="I464" s="122"/>
      <c r="J464" s="123"/>
      <c r="K464" s="122"/>
      <c r="L464" s="122"/>
      <c r="M464" s="122"/>
      <c r="N464" s="195"/>
      <c r="O464" s="194"/>
      <c r="P464" s="196">
        <f>P460-P462</f>
        <v>19240828.5</v>
      </c>
      <c r="Q464" s="37"/>
      <c r="T464" s="34"/>
    </row>
    <row r="465" spans="2:16" x14ac:dyDescent="0.35">
      <c r="B465" s="282" t="s">
        <v>344</v>
      </c>
      <c r="C465" s="131">
        <f>J212+J232</f>
        <v>411697.89999999991</v>
      </c>
      <c r="D465" s="263">
        <v>411697.9</v>
      </c>
      <c r="E465" s="281">
        <f t="shared" ref="E465:E466" si="117">C465-D465</f>
        <v>0</v>
      </c>
      <c r="F465" s="266"/>
      <c r="G465" s="266"/>
      <c r="H465" s="268"/>
      <c r="I465" s="122"/>
      <c r="J465" s="122"/>
      <c r="L465" s="122"/>
      <c r="M465" s="122"/>
      <c r="N465" s="197" t="s">
        <v>297</v>
      </c>
      <c r="O465" s="194"/>
      <c r="P465" s="196">
        <f>SUM('Sch M'!C44:H44)</f>
        <v>19240828.499999996</v>
      </c>
    </row>
    <row r="466" spans="2:16" ht="17.600000000000001" x14ac:dyDescent="0.65">
      <c r="B466" s="282" t="s">
        <v>268</v>
      </c>
      <c r="C466" s="264">
        <f>J267+J284+J302+J322+J354+J359+J364+J369+J377+J391+J420</f>
        <v>7804992.9000000004</v>
      </c>
      <c r="D466" s="274">
        <v>7804992.9000000004</v>
      </c>
      <c r="E466" s="283">
        <f t="shared" si="117"/>
        <v>0</v>
      </c>
      <c r="F466" s="269"/>
      <c r="G466" s="269"/>
      <c r="H466" s="270"/>
      <c r="I466" s="271"/>
      <c r="J466" s="122"/>
      <c r="L466" s="122"/>
      <c r="M466" s="122"/>
      <c r="N466" s="195" t="s">
        <v>281</v>
      </c>
      <c r="O466" s="188"/>
      <c r="P466" s="192" t="e">
        <f>SUM(#REF!)</f>
        <v>#REF!</v>
      </c>
    </row>
    <row r="467" spans="2:16" ht="15.45" thickBot="1" x14ac:dyDescent="0.4">
      <c r="B467" s="284"/>
      <c r="C467" s="285">
        <f>SUM(C462:C466)</f>
        <v>12698884.699999999</v>
      </c>
      <c r="D467" s="285">
        <f>SUM(D462:D466)</f>
        <v>12698884.700000001</v>
      </c>
      <c r="E467" s="286">
        <f>SUM(E462:E466)</f>
        <v>0</v>
      </c>
      <c r="H467" s="37"/>
      <c r="I467" s="37"/>
      <c r="L467" s="122"/>
      <c r="M467" s="122"/>
      <c r="N467" s="198"/>
      <c r="O467" s="199"/>
      <c r="P467" s="200" t="e">
        <f>P465-P466</f>
        <v>#REF!</v>
      </c>
    </row>
    <row r="468" spans="2:16" ht="15.45" x14ac:dyDescent="0.4">
      <c r="B468" s="35"/>
      <c r="H468" s="37"/>
      <c r="I468" s="37"/>
      <c r="L468" s="122"/>
      <c r="M468" s="122"/>
      <c r="N468" s="262"/>
      <c r="O468" s="188"/>
      <c r="P468" s="191"/>
    </row>
    <row r="470" spans="2:16" x14ac:dyDescent="0.35">
      <c r="E470" s="273"/>
    </row>
    <row r="471" spans="2:16" x14ac:dyDescent="0.35">
      <c r="E471" s="37"/>
    </row>
    <row r="472" spans="2:16" x14ac:dyDescent="0.35">
      <c r="D472" s="36"/>
      <c r="E472" s="36"/>
      <c r="F472" s="36"/>
      <c r="G472" s="36"/>
      <c r="H472" s="36"/>
      <c r="I472" s="36"/>
    </row>
    <row r="473" spans="2:16" x14ac:dyDescent="0.35">
      <c r="D473" s="37"/>
      <c r="E473" s="37"/>
      <c r="F473" s="37"/>
      <c r="G473" s="37"/>
      <c r="H473" s="37"/>
      <c r="I473" s="37"/>
    </row>
    <row r="475" spans="2:16" x14ac:dyDescent="0.35">
      <c r="D475" s="37"/>
      <c r="E475" s="37"/>
      <c r="F475" s="37"/>
      <c r="G475" s="37"/>
      <c r="H475" s="37"/>
      <c r="I475" s="37"/>
    </row>
  </sheetData>
  <mergeCells count="16">
    <mergeCell ref="A402:J402"/>
    <mergeCell ref="A403:J403"/>
    <mergeCell ref="A160:J160"/>
    <mergeCell ref="A339:J339"/>
    <mergeCell ref="A341:J341"/>
    <mergeCell ref="A401:J401"/>
    <mergeCell ref="A1:J1"/>
    <mergeCell ref="A2:J2"/>
    <mergeCell ref="A3:J3"/>
    <mergeCell ref="A81:J81"/>
    <mergeCell ref="A82:J82"/>
    <mergeCell ref="A83:J83"/>
    <mergeCell ref="A158:J158"/>
    <mergeCell ref="A159:J159"/>
    <mergeCell ref="A11:J11"/>
    <mergeCell ref="A340:J340"/>
  </mergeCells>
  <phoneticPr fontId="0" type="noConversion"/>
  <printOptions horizontalCentered="1"/>
  <pageMargins left="0.5" right="0" top="0.75" bottom="0" header="0.5" footer="0.5"/>
  <pageSetup scale="50" orientation="portrait" r:id="rId1"/>
  <headerFooter alignWithMargins="0"/>
  <rowBreaks count="5" manualBreakCount="5">
    <brk id="80" max="9" man="1"/>
    <brk id="157" max="9" man="1"/>
    <brk id="246" max="9" man="1"/>
    <brk id="338" max="9" man="1"/>
    <brk id="400" max="9" man="1"/>
  </rowBreaks>
  <colBreaks count="1" manualBreakCount="1">
    <brk id="10" max="5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 codeName="Sheet5"/>
  <dimension ref="A1:P217"/>
  <sheetViews>
    <sheetView zoomScale="68" zoomScaleNormal="68" zoomScaleSheetLayoutView="70" workbookViewId="0">
      <selection sqref="A1:J1"/>
    </sheetView>
  </sheetViews>
  <sheetFormatPr defaultColWidth="10" defaultRowHeight="15" x14ac:dyDescent="0.35"/>
  <cols>
    <col min="1" max="1" width="8.77734375" style="64" customWidth="1"/>
    <col min="2" max="2" width="55" style="31" customWidth="1"/>
    <col min="3" max="3" width="18.5546875" style="31" customWidth="1"/>
    <col min="4" max="9" width="20" style="31" bestFit="1" customWidth="1"/>
    <col min="10" max="10" width="23.21875" style="31" customWidth="1"/>
    <col min="11" max="12" width="17.44140625" style="31" bestFit="1" customWidth="1"/>
    <col min="13" max="13" width="18.21875" style="31" customWidth="1"/>
    <col min="14" max="15" width="17.44140625" style="31" bestFit="1" customWidth="1"/>
    <col min="16" max="16" width="17.77734375" style="31" customWidth="1"/>
    <col min="17" max="16384" width="10" style="31"/>
  </cols>
  <sheetData>
    <row r="1" spans="1:16" ht="15.45" x14ac:dyDescent="0.4">
      <c r="A1" s="472" t="str">
        <f>CONAME</f>
        <v>Columbia Gas of Kentucky, Inc.</v>
      </c>
      <c r="B1" s="472"/>
      <c r="C1" s="472"/>
      <c r="D1" s="472"/>
      <c r="E1" s="472"/>
      <c r="F1" s="472"/>
      <c r="G1" s="472"/>
      <c r="H1" s="472"/>
      <c r="I1" s="472"/>
      <c r="J1" s="472"/>
      <c r="K1" s="35"/>
      <c r="L1" s="35"/>
      <c r="M1" s="35"/>
      <c r="N1" s="35"/>
      <c r="O1" s="35"/>
      <c r="P1" s="35"/>
    </row>
    <row r="2" spans="1:16" ht="15.45" x14ac:dyDescent="0.4">
      <c r="A2" s="472" t="s">
        <v>158</v>
      </c>
      <c r="B2" s="472"/>
      <c r="C2" s="472"/>
      <c r="D2" s="472"/>
      <c r="E2" s="472"/>
      <c r="F2" s="472"/>
      <c r="G2" s="472"/>
      <c r="H2" s="472"/>
      <c r="I2" s="472"/>
      <c r="J2" s="472"/>
      <c r="K2" s="35"/>
      <c r="L2" s="35"/>
      <c r="M2" s="35"/>
      <c r="N2" s="35"/>
      <c r="O2" s="35"/>
      <c r="P2" s="35"/>
    </row>
    <row r="3" spans="1:16" ht="15.45" x14ac:dyDescent="0.4">
      <c r="A3" s="473" t="str">
        <f>TYDESC</f>
        <v>For the 6 Months Ended August 31, 2024</v>
      </c>
      <c r="B3" s="473"/>
      <c r="C3" s="473"/>
      <c r="D3" s="473"/>
      <c r="E3" s="473"/>
      <c r="F3" s="473"/>
      <c r="G3" s="473"/>
      <c r="H3" s="473"/>
      <c r="I3" s="473"/>
      <c r="J3" s="473"/>
      <c r="K3" s="35"/>
      <c r="L3" s="35"/>
      <c r="M3" s="35"/>
      <c r="N3" s="35"/>
      <c r="O3" s="35"/>
      <c r="P3" s="35"/>
    </row>
    <row r="4" spans="1:16" ht="15.45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5"/>
      <c r="L4" s="35"/>
      <c r="M4" s="35"/>
      <c r="N4" s="35"/>
      <c r="O4" s="35"/>
      <c r="P4" s="35"/>
    </row>
    <row r="6" spans="1:16" ht="15.45" x14ac:dyDescent="0.4">
      <c r="A6" s="75" t="s">
        <v>180</v>
      </c>
    </row>
    <row r="7" spans="1:16" ht="15.45" x14ac:dyDescent="0.4">
      <c r="A7" s="75" t="s">
        <v>181</v>
      </c>
    </row>
    <row r="8" spans="1:16" ht="15.45" x14ac:dyDescent="0.4">
      <c r="A8" s="75" t="s">
        <v>64</v>
      </c>
      <c r="J8" s="71" t="s">
        <v>294</v>
      </c>
    </row>
    <row r="9" spans="1:16" ht="15.45" x14ac:dyDescent="0.4">
      <c r="A9" s="332" t="str">
        <f>A!A8</f>
        <v>6 Mos Forecasted</v>
      </c>
      <c r="H9" s="81"/>
      <c r="J9" s="72" t="s">
        <v>358</v>
      </c>
    </row>
    <row r="10" spans="1:16" ht="15.45" x14ac:dyDescent="0.4">
      <c r="A10" s="76"/>
      <c r="H10" s="81"/>
      <c r="J10" s="72"/>
    </row>
    <row r="11" spans="1:16" x14ac:dyDescent="0.35">
      <c r="A11" s="474" t="str">
        <f>A!A10</f>
        <v>Base Period</v>
      </c>
      <c r="B11" s="474"/>
      <c r="C11" s="474"/>
      <c r="D11" s="474"/>
      <c r="E11" s="474"/>
      <c r="F11" s="474"/>
      <c r="G11" s="474"/>
      <c r="H11" s="474"/>
      <c r="I11" s="474"/>
      <c r="J11" s="474"/>
    </row>
    <row r="12" spans="1:16" ht="15.45" x14ac:dyDescent="0.4">
      <c r="A12" s="32" t="s">
        <v>11</v>
      </c>
      <c r="B12" s="32"/>
      <c r="C12" s="32"/>
      <c r="D12" s="41"/>
      <c r="E12" s="42"/>
      <c r="F12" s="41"/>
      <c r="G12" s="30"/>
      <c r="H12" s="41"/>
      <c r="I12" s="41"/>
      <c r="J12" s="41"/>
      <c r="K12" s="41"/>
      <c r="L12" s="41"/>
      <c r="M12" s="41"/>
      <c r="N12" s="34"/>
      <c r="O12" s="34"/>
      <c r="P12" s="34"/>
    </row>
    <row r="13" spans="1:16" ht="15.45" x14ac:dyDescent="0.4">
      <c r="A13" s="43" t="s">
        <v>13</v>
      </c>
      <c r="B13" s="43" t="s">
        <v>14</v>
      </c>
      <c r="C13" s="43" t="s">
        <v>152</v>
      </c>
      <c r="D13" s="45" t="str">
        <f>B!$D$13</f>
        <v>Mar-24</v>
      </c>
      <c r="E13" s="45" t="str">
        <f>B!$E$13</f>
        <v>Apr-24</v>
      </c>
      <c r="F13" s="45" t="str">
        <f>B!$F$13</f>
        <v>May-24</v>
      </c>
      <c r="G13" s="45" t="str">
        <f>B!$G$13</f>
        <v>Jun-24</v>
      </c>
      <c r="H13" s="45" t="str">
        <f>B!$H$13</f>
        <v>Jul-24</v>
      </c>
      <c r="I13" s="45" t="str">
        <f>B!$I$13</f>
        <v>Aug-24</v>
      </c>
      <c r="J13" s="45" t="s">
        <v>15</v>
      </c>
      <c r="K13" s="46"/>
    </row>
    <row r="14" spans="1:16" ht="15.45" x14ac:dyDescent="0.4">
      <c r="A14" s="32"/>
      <c r="B14" s="34" t="s">
        <v>49</v>
      </c>
      <c r="C14" s="34" t="s">
        <v>50</v>
      </c>
      <c r="D14" s="120" t="s">
        <v>56</v>
      </c>
      <c r="E14" s="48" t="s">
        <v>57</v>
      </c>
      <c r="F14" s="48" t="s">
        <v>58</v>
      </c>
      <c r="G14" s="48" t="s">
        <v>59</v>
      </c>
      <c r="H14" s="48" t="s">
        <v>60</v>
      </c>
      <c r="I14" s="48" t="s">
        <v>61</v>
      </c>
      <c r="J14" s="48" t="s">
        <v>62</v>
      </c>
      <c r="K14" s="34"/>
    </row>
    <row r="15" spans="1:16" ht="15.45" x14ac:dyDescent="0.4">
      <c r="A15" s="32"/>
      <c r="B15" s="34"/>
      <c r="C15" s="34"/>
      <c r="D15" s="120"/>
      <c r="E15" s="48"/>
      <c r="F15" s="48"/>
      <c r="G15" s="48"/>
      <c r="H15" s="48"/>
      <c r="I15" s="48"/>
      <c r="J15" s="48"/>
      <c r="K15" s="34"/>
    </row>
    <row r="17" spans="1:10" ht="15.45" x14ac:dyDescent="0.4">
      <c r="A17" s="64">
        <v>1</v>
      </c>
      <c r="B17" s="35" t="s">
        <v>301</v>
      </c>
      <c r="C17" s="64"/>
    </row>
    <row r="18" spans="1:10" ht="15.45" x14ac:dyDescent="0.4">
      <c r="B18" s="35"/>
      <c r="C18" s="64"/>
    </row>
    <row r="19" spans="1:10" x14ac:dyDescent="0.35">
      <c r="A19" s="64">
        <f>A17+1</f>
        <v>2</v>
      </c>
      <c r="B19" s="31" t="s">
        <v>213</v>
      </c>
      <c r="C19" s="80" t="s">
        <v>349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36">
        <f>SUM(D19:I19)</f>
        <v>0</v>
      </c>
    </row>
    <row r="20" spans="1:10" x14ac:dyDescent="0.35">
      <c r="A20" s="64">
        <f>A19+1</f>
        <v>3</v>
      </c>
      <c r="B20" s="31" t="s">
        <v>223</v>
      </c>
      <c r="C20" s="80" t="s">
        <v>349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36">
        <f>SUM(D20:I20)</f>
        <v>0</v>
      </c>
    </row>
    <row r="21" spans="1:10" x14ac:dyDescent="0.35">
      <c r="A21" s="64">
        <f>A20+1</f>
        <v>4</v>
      </c>
      <c r="B21" s="31" t="s">
        <v>230</v>
      </c>
      <c r="C21" s="80" t="s">
        <v>349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36">
        <f>SUM(D21:I21)</f>
        <v>0</v>
      </c>
    </row>
    <row r="22" spans="1:10" x14ac:dyDescent="0.35">
      <c r="A22" s="64">
        <f>A21+1</f>
        <v>5</v>
      </c>
      <c r="B22" s="31" t="s">
        <v>221</v>
      </c>
      <c r="C22" s="80" t="s">
        <v>349</v>
      </c>
      <c r="D22" s="218">
        <v>0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51">
        <f>SUM(D22:I22)</f>
        <v>0</v>
      </c>
    </row>
    <row r="23" spans="1:10" x14ac:dyDescent="0.35">
      <c r="A23" s="64">
        <f>A22+1</f>
        <v>6</v>
      </c>
      <c r="B23" s="31" t="s">
        <v>218</v>
      </c>
      <c r="C23" s="64"/>
      <c r="D23" s="36">
        <f t="shared" ref="D23:J23" si="0">SUM(D19:D22)</f>
        <v>0</v>
      </c>
      <c r="E23" s="36">
        <f t="shared" si="0"/>
        <v>0</v>
      </c>
      <c r="F23" s="36">
        <f t="shared" si="0"/>
        <v>0</v>
      </c>
      <c r="G23" s="36">
        <f t="shared" si="0"/>
        <v>0</v>
      </c>
      <c r="H23" s="36">
        <f t="shared" si="0"/>
        <v>0</v>
      </c>
      <c r="I23" s="36">
        <f t="shared" si="0"/>
        <v>0</v>
      </c>
      <c r="J23" s="36">
        <f t="shared" si="0"/>
        <v>0</v>
      </c>
    </row>
    <row r="25" spans="1:10" ht="15.45" x14ac:dyDescent="0.4">
      <c r="A25" s="64">
        <f>A23+1</f>
        <v>7</v>
      </c>
      <c r="B25" s="35" t="s">
        <v>247</v>
      </c>
      <c r="D25" s="110">
        <f t="shared" ref="D25:I25" si="1">D23</f>
        <v>0</v>
      </c>
      <c r="E25" s="110">
        <f t="shared" si="1"/>
        <v>0</v>
      </c>
      <c r="F25" s="110">
        <f t="shared" si="1"/>
        <v>0</v>
      </c>
      <c r="G25" s="110">
        <f t="shared" si="1"/>
        <v>0</v>
      </c>
      <c r="H25" s="110">
        <f t="shared" si="1"/>
        <v>0</v>
      </c>
      <c r="I25" s="110">
        <f t="shared" si="1"/>
        <v>0</v>
      </c>
      <c r="J25" s="110">
        <f>SUM(D25:I25)</f>
        <v>0</v>
      </c>
    </row>
    <row r="27" spans="1:10" ht="15.45" x14ac:dyDescent="0.4">
      <c r="A27" s="64">
        <f>A25+1</f>
        <v>8</v>
      </c>
      <c r="B27" s="35" t="s">
        <v>302</v>
      </c>
      <c r="J27" s="72"/>
    </row>
    <row r="28" spans="1:10" x14ac:dyDescent="0.35">
      <c r="C28" s="64"/>
      <c r="D28" s="36"/>
      <c r="E28" s="36"/>
      <c r="F28" s="36"/>
      <c r="G28" s="36"/>
      <c r="H28" s="36"/>
      <c r="I28" s="36"/>
      <c r="J28" s="36"/>
    </row>
    <row r="29" spans="1:10" ht="15.45" x14ac:dyDescent="0.4">
      <c r="A29" s="64">
        <f>A27+1</f>
        <v>9</v>
      </c>
      <c r="B29" s="35" t="s">
        <v>213</v>
      </c>
      <c r="C29" s="80"/>
      <c r="D29" s="62"/>
      <c r="E29" s="62"/>
      <c r="F29" s="62"/>
      <c r="G29" s="62"/>
      <c r="H29" s="62"/>
      <c r="I29" s="62"/>
      <c r="J29" s="37"/>
    </row>
    <row r="30" spans="1:10" x14ac:dyDescent="0.35">
      <c r="A30" s="64">
        <f>A29+1</f>
        <v>10</v>
      </c>
      <c r="B30" s="31" t="str">
        <f>'C'!B99</f>
        <v xml:space="preserve">    First 50 Mcf</v>
      </c>
      <c r="C30" s="80"/>
      <c r="D30" s="37">
        <f>'D pg 2 '!F42</f>
        <v>0</v>
      </c>
      <c r="E30" s="37">
        <f>'D pg 2 '!G42</f>
        <v>0</v>
      </c>
      <c r="F30" s="37">
        <f>'D pg 2 '!H42</f>
        <v>0</v>
      </c>
      <c r="G30" s="37">
        <f>'D pg 2 '!I42</f>
        <v>0</v>
      </c>
      <c r="H30" s="37">
        <f>'D pg 2 '!J42</f>
        <v>0</v>
      </c>
      <c r="I30" s="37">
        <f>'D pg 2 '!K42</f>
        <v>0</v>
      </c>
      <c r="J30" s="37">
        <f>SUM(D30:I30)</f>
        <v>0</v>
      </c>
    </row>
    <row r="31" spans="1:10" x14ac:dyDescent="0.35">
      <c r="A31" s="64">
        <f>A30+1</f>
        <v>11</v>
      </c>
      <c r="B31" s="31" t="str">
        <f>'C'!B100</f>
        <v xml:space="preserve">    Next 350 Mcf</v>
      </c>
      <c r="C31" s="80"/>
      <c r="D31" s="37">
        <f>'D pg 2 '!F43</f>
        <v>0</v>
      </c>
      <c r="E31" s="37">
        <f>'D pg 2 '!G43</f>
        <v>0</v>
      </c>
      <c r="F31" s="37">
        <f>'D pg 2 '!H43</f>
        <v>0</v>
      </c>
      <c r="G31" s="37">
        <f>'D pg 2 '!I43</f>
        <v>0</v>
      </c>
      <c r="H31" s="37">
        <f>'D pg 2 '!J43</f>
        <v>0</v>
      </c>
      <c r="I31" s="37">
        <f>'D pg 2 '!K43</f>
        <v>0</v>
      </c>
      <c r="J31" s="37">
        <f>SUM(D31:I31)</f>
        <v>0</v>
      </c>
    </row>
    <row r="32" spans="1:10" x14ac:dyDescent="0.35">
      <c r="A32" s="64">
        <f>A31+1</f>
        <v>12</v>
      </c>
      <c r="B32" s="31" t="str">
        <f>'C'!B101</f>
        <v xml:space="preserve">    Next 600 Mcf</v>
      </c>
      <c r="C32" s="80"/>
      <c r="D32" s="37">
        <f>'D pg 2 '!F44</f>
        <v>0</v>
      </c>
      <c r="E32" s="37">
        <f>'D pg 2 '!G44</f>
        <v>0</v>
      </c>
      <c r="F32" s="37">
        <f>'D pg 2 '!H44</f>
        <v>0</v>
      </c>
      <c r="G32" s="37">
        <f>'D pg 2 '!I44</f>
        <v>0</v>
      </c>
      <c r="H32" s="37">
        <f>'D pg 2 '!J44</f>
        <v>0</v>
      </c>
      <c r="I32" s="37">
        <f>'D pg 2 '!K44</f>
        <v>0</v>
      </c>
      <c r="J32" s="37">
        <f>SUM(D32:I32)</f>
        <v>0</v>
      </c>
    </row>
    <row r="33" spans="1:10" x14ac:dyDescent="0.35">
      <c r="A33" s="64">
        <f>A32+1</f>
        <v>13</v>
      </c>
      <c r="B33" s="31" t="str">
        <f>'C'!B102</f>
        <v xml:space="preserve">    Over 1,000 Mcf</v>
      </c>
      <c r="C33" s="80"/>
      <c r="D33" s="61">
        <f>'D pg 2 '!F45</f>
        <v>0</v>
      </c>
      <c r="E33" s="61">
        <f>'D pg 2 '!G45</f>
        <v>0</v>
      </c>
      <c r="F33" s="61">
        <f>'D pg 2 '!H45</f>
        <v>0</v>
      </c>
      <c r="G33" s="61">
        <f>'D pg 2 '!I45</f>
        <v>0</v>
      </c>
      <c r="H33" s="61">
        <f>'D pg 2 '!J45</f>
        <v>0</v>
      </c>
      <c r="I33" s="61">
        <f>'D pg 2 '!K45</f>
        <v>0</v>
      </c>
      <c r="J33" s="61">
        <f>SUM(D33:I33)</f>
        <v>0</v>
      </c>
    </row>
    <row r="34" spans="1:10" x14ac:dyDescent="0.35">
      <c r="A34" s="64">
        <f>A33+1</f>
        <v>14</v>
      </c>
      <c r="B34" s="31" t="s">
        <v>296</v>
      </c>
      <c r="C34" s="80"/>
      <c r="D34" s="37">
        <f t="shared" ref="D34:H34" si="2">SUM(D30:D33)</f>
        <v>0</v>
      </c>
      <c r="E34" s="37">
        <f t="shared" si="2"/>
        <v>0</v>
      </c>
      <c r="F34" s="37">
        <f t="shared" si="2"/>
        <v>0</v>
      </c>
      <c r="G34" s="37">
        <f t="shared" si="2"/>
        <v>0</v>
      </c>
      <c r="H34" s="37">
        <f t="shared" si="2"/>
        <v>0</v>
      </c>
      <c r="I34" s="37">
        <f>SUM(I30:I33)</f>
        <v>0</v>
      </c>
      <c r="J34" s="37">
        <f>SUM(D34:I34)</f>
        <v>0</v>
      </c>
    </row>
    <row r="35" spans="1:10" ht="15.45" x14ac:dyDescent="0.4">
      <c r="J35" s="72"/>
    </row>
    <row r="36" spans="1:10" ht="15.45" x14ac:dyDescent="0.4">
      <c r="A36" s="64">
        <f>A34+1</f>
        <v>15</v>
      </c>
      <c r="B36" s="35" t="s">
        <v>223</v>
      </c>
      <c r="C36" s="80"/>
      <c r="D36" s="62"/>
      <c r="E36" s="62"/>
      <c r="F36" s="62"/>
      <c r="G36" s="62"/>
      <c r="H36" s="62"/>
      <c r="I36" s="62"/>
      <c r="J36" s="37"/>
    </row>
    <row r="37" spans="1:10" x14ac:dyDescent="0.35">
      <c r="A37" s="64">
        <f>A36+1</f>
        <v>16</v>
      </c>
      <c r="B37" s="31" t="str">
        <f>'C'!B119</f>
        <v xml:space="preserve">    First 50 Mcf</v>
      </c>
      <c r="C37" s="80"/>
      <c r="D37" s="37">
        <f>+'D pg 2 '!F23+'D pg 2 '!F31</f>
        <v>0</v>
      </c>
      <c r="E37" s="37">
        <f>+'D pg 2 '!G23+'D pg 2 '!G31</f>
        <v>0</v>
      </c>
      <c r="F37" s="37">
        <f>+'D pg 2 '!H23+'D pg 2 '!H31</f>
        <v>0</v>
      </c>
      <c r="G37" s="37">
        <f>+'D pg 2 '!I23+'D pg 2 '!I31</f>
        <v>0</v>
      </c>
      <c r="H37" s="37">
        <f>+'D pg 2 '!J23+'D pg 2 '!J31</f>
        <v>0</v>
      </c>
      <c r="I37" s="37">
        <f>+'D pg 2 '!K23+'D pg 2 '!K31</f>
        <v>0</v>
      </c>
      <c r="J37" s="37">
        <f>SUM(D37:I37)</f>
        <v>0</v>
      </c>
    </row>
    <row r="38" spans="1:10" x14ac:dyDescent="0.35">
      <c r="A38" s="64">
        <f>A37+1</f>
        <v>17</v>
      </c>
      <c r="B38" s="31" t="str">
        <f>'C'!B120</f>
        <v xml:space="preserve">    Next 350 Mcf</v>
      </c>
      <c r="C38" s="80"/>
      <c r="D38" s="37">
        <f>+'D pg 2 '!F24+'D pg 2 '!F32</f>
        <v>0</v>
      </c>
      <c r="E38" s="37">
        <f>+'D pg 2 '!G24+'D pg 2 '!G32</f>
        <v>0</v>
      </c>
      <c r="F38" s="37">
        <f>+'D pg 2 '!H24+'D pg 2 '!H32</f>
        <v>0</v>
      </c>
      <c r="G38" s="37">
        <f>+'D pg 2 '!I24+'D pg 2 '!I32</f>
        <v>0</v>
      </c>
      <c r="H38" s="37">
        <f>+'D pg 2 '!J24+'D pg 2 '!J32</f>
        <v>0</v>
      </c>
      <c r="I38" s="37">
        <f>+'D pg 2 '!K24+'D pg 2 '!K32</f>
        <v>0</v>
      </c>
      <c r="J38" s="37">
        <f>SUM(D38:I38)</f>
        <v>0</v>
      </c>
    </row>
    <row r="39" spans="1:10" x14ac:dyDescent="0.35">
      <c r="A39" s="64">
        <f>A38+1</f>
        <v>18</v>
      </c>
      <c r="B39" s="31" t="str">
        <f>'C'!B121</f>
        <v xml:space="preserve">    Next 600 Mcf</v>
      </c>
      <c r="C39" s="80"/>
      <c r="D39" s="37">
        <f>+'D pg 2 '!F25+'D pg 2 '!F33</f>
        <v>0</v>
      </c>
      <c r="E39" s="37">
        <f>+'D pg 2 '!G25+'D pg 2 '!G33</f>
        <v>0</v>
      </c>
      <c r="F39" s="37">
        <f>+'D pg 2 '!H25+'D pg 2 '!H33</f>
        <v>0</v>
      </c>
      <c r="G39" s="37">
        <f>+'D pg 2 '!I25+'D pg 2 '!I33</f>
        <v>0</v>
      </c>
      <c r="H39" s="37">
        <f>+'D pg 2 '!J25+'D pg 2 '!J33</f>
        <v>0</v>
      </c>
      <c r="I39" s="37">
        <f>+'D pg 2 '!K25+'D pg 2 '!K33</f>
        <v>0</v>
      </c>
      <c r="J39" s="37">
        <f>SUM(D39:I39)</f>
        <v>0</v>
      </c>
    </row>
    <row r="40" spans="1:10" x14ac:dyDescent="0.35">
      <c r="A40" s="64">
        <f>A39+1</f>
        <v>19</v>
      </c>
      <c r="B40" s="31" t="str">
        <f>'C'!B122</f>
        <v xml:space="preserve">    Over 1,000 Mcf</v>
      </c>
      <c r="C40" s="80"/>
      <c r="D40" s="61">
        <f>+'D pg 2 '!F26+'D pg 2 '!F34</f>
        <v>0</v>
      </c>
      <c r="E40" s="61">
        <f>+'D pg 2 '!G26+'D pg 2 '!G34</f>
        <v>0</v>
      </c>
      <c r="F40" s="61">
        <f>+'D pg 2 '!H26+'D pg 2 '!H34</f>
        <v>0</v>
      </c>
      <c r="G40" s="61">
        <f>+'D pg 2 '!I26+'D pg 2 '!I34</f>
        <v>0</v>
      </c>
      <c r="H40" s="61">
        <f>+'D pg 2 '!J26+'D pg 2 '!J34</f>
        <v>0</v>
      </c>
      <c r="I40" s="61">
        <f>+'D pg 2 '!K26+'D pg 2 '!K34</f>
        <v>0</v>
      </c>
      <c r="J40" s="61">
        <f>SUM(D40:I40)</f>
        <v>0</v>
      </c>
    </row>
    <row r="41" spans="1:10" x14ac:dyDescent="0.35">
      <c r="A41" s="64">
        <f>A40+1</f>
        <v>20</v>
      </c>
      <c r="B41" s="31" t="s">
        <v>296</v>
      </c>
      <c r="C41" s="80"/>
      <c r="D41" s="37">
        <f t="shared" ref="D41:H41" si="3">SUM(D37:D40)</f>
        <v>0</v>
      </c>
      <c r="E41" s="37">
        <f t="shared" si="3"/>
        <v>0</v>
      </c>
      <c r="F41" s="37">
        <f t="shared" si="3"/>
        <v>0</v>
      </c>
      <c r="G41" s="37">
        <f t="shared" si="3"/>
        <v>0</v>
      </c>
      <c r="H41" s="37">
        <f t="shared" si="3"/>
        <v>0</v>
      </c>
      <c r="I41" s="37">
        <f>SUM(I37:I40)</f>
        <v>0</v>
      </c>
      <c r="J41" s="37">
        <f>SUM(D41:I41)</f>
        <v>0</v>
      </c>
    </row>
    <row r="42" spans="1:10" x14ac:dyDescent="0.35">
      <c r="C42" s="64"/>
      <c r="D42" s="37"/>
      <c r="E42" s="37"/>
      <c r="F42" s="37"/>
      <c r="G42" s="37"/>
      <c r="H42" s="37"/>
      <c r="I42" s="37"/>
      <c r="J42" s="37"/>
    </row>
    <row r="43" spans="1:10" ht="15.45" x14ac:dyDescent="0.4">
      <c r="A43" s="64">
        <f>A41+1</f>
        <v>21</v>
      </c>
      <c r="B43" s="35" t="s">
        <v>221</v>
      </c>
      <c r="C43" s="80"/>
      <c r="D43" s="62"/>
      <c r="E43" s="62"/>
      <c r="F43" s="62"/>
      <c r="G43" s="62"/>
      <c r="H43" s="62"/>
      <c r="I43" s="62"/>
      <c r="J43" s="37"/>
    </row>
    <row r="44" spans="1:10" x14ac:dyDescent="0.35">
      <c r="A44" s="64">
        <f>A43+1</f>
        <v>22</v>
      </c>
      <c r="B44" s="31" t="str">
        <f>'C'!$B$281</f>
        <v xml:space="preserve">    First 30,000 Mcf</v>
      </c>
      <c r="C44" s="80"/>
      <c r="D44" s="37">
        <f>'D pg 2 '!F58+'D pg 2 '!F17</f>
        <v>0</v>
      </c>
      <c r="E44" s="37">
        <f>'D pg 2 '!G58+'D pg 2 '!G17</f>
        <v>0</v>
      </c>
      <c r="F44" s="37">
        <f>'D pg 2 '!H58+'D pg 2 '!H17</f>
        <v>0</v>
      </c>
      <c r="G44" s="37">
        <f>'D pg 2 '!I58+'D pg 2 '!I17</f>
        <v>0</v>
      </c>
      <c r="H44" s="37">
        <f>'D pg 2 '!J58+'D pg 2 '!J17</f>
        <v>0</v>
      </c>
      <c r="I44" s="37">
        <f>'D pg 2 '!K58+'D pg 2 '!K17</f>
        <v>0</v>
      </c>
      <c r="J44" s="37">
        <f>SUM(D44:I44)</f>
        <v>0</v>
      </c>
    </row>
    <row r="45" spans="1:10" x14ac:dyDescent="0.35">
      <c r="A45" s="64">
        <f>A44+1</f>
        <v>23</v>
      </c>
      <c r="B45" s="31" t="str">
        <f>'C'!$B$282</f>
        <v xml:space="preserve">    Next 70,000 Mcf</v>
      </c>
      <c r="C45" s="80"/>
      <c r="D45" s="37">
        <f>'D pg 2 '!F59+'D pg 2 '!F18</f>
        <v>0</v>
      </c>
      <c r="E45" s="37">
        <f>'D pg 2 '!G59+'D pg 2 '!G18</f>
        <v>0</v>
      </c>
      <c r="F45" s="37">
        <f>'D pg 2 '!H59+'D pg 2 '!H18</f>
        <v>0</v>
      </c>
      <c r="G45" s="37">
        <f>'D pg 2 '!I59+'D pg 2 '!I18</f>
        <v>0</v>
      </c>
      <c r="H45" s="37">
        <f>'D pg 2 '!J59+'D pg 2 '!J18</f>
        <v>0</v>
      </c>
      <c r="I45" s="37">
        <f>'D pg 2 '!K59+'D pg 2 '!K18</f>
        <v>0</v>
      </c>
      <c r="J45" s="37">
        <f>'D pg 2 '!L59</f>
        <v>0</v>
      </c>
    </row>
    <row r="46" spans="1:10" x14ac:dyDescent="0.35">
      <c r="A46" s="64">
        <f>A45+1</f>
        <v>24</v>
      </c>
      <c r="B46" s="31" t="str">
        <f>'C'!$B$283</f>
        <v xml:space="preserve">    Over 100,000 Mcf</v>
      </c>
      <c r="C46" s="80"/>
      <c r="D46" s="61">
        <f>'D pg 2 '!F60+'D pg 2 '!F19</f>
        <v>0</v>
      </c>
      <c r="E46" s="61">
        <f>'D pg 2 '!G60+'D pg 2 '!G19</f>
        <v>0</v>
      </c>
      <c r="F46" s="61">
        <f>'D pg 2 '!H60+'D pg 2 '!H19</f>
        <v>0</v>
      </c>
      <c r="G46" s="61">
        <f>'D pg 2 '!I60+'D pg 2 '!I19</f>
        <v>0</v>
      </c>
      <c r="H46" s="61">
        <f>'D pg 2 '!J60+'D pg 2 '!J19</f>
        <v>0</v>
      </c>
      <c r="I46" s="61">
        <f>'D pg 2 '!K60+'D pg 2 '!K19</f>
        <v>0</v>
      </c>
      <c r="J46" s="61">
        <f>'D pg 2 '!L60</f>
        <v>0</v>
      </c>
    </row>
    <row r="47" spans="1:10" x14ac:dyDescent="0.35">
      <c r="A47" s="64">
        <f>A46+1</f>
        <v>25</v>
      </c>
      <c r="B47" s="31" t="s">
        <v>296</v>
      </c>
      <c r="C47" s="80"/>
      <c r="D47" s="37">
        <f t="shared" ref="D47:H47" si="4">SUM(D44:D45)</f>
        <v>0</v>
      </c>
      <c r="E47" s="37">
        <f t="shared" si="4"/>
        <v>0</v>
      </c>
      <c r="F47" s="37">
        <f t="shared" si="4"/>
        <v>0</v>
      </c>
      <c r="G47" s="37">
        <f t="shared" si="4"/>
        <v>0</v>
      </c>
      <c r="H47" s="37">
        <f t="shared" si="4"/>
        <v>0</v>
      </c>
      <c r="I47" s="37">
        <f>SUM(I44:I45)</f>
        <v>0</v>
      </c>
      <c r="J47" s="37">
        <f>SUM(D47:I47)</f>
        <v>0</v>
      </c>
    </row>
    <row r="48" spans="1:10" x14ac:dyDescent="0.35">
      <c r="C48" s="64"/>
      <c r="D48" s="36"/>
      <c r="E48" s="36"/>
      <c r="F48" s="36"/>
      <c r="G48" s="36"/>
      <c r="H48" s="36"/>
      <c r="I48" s="36"/>
      <c r="J48" s="36"/>
    </row>
    <row r="49" spans="1:16" ht="15.45" x14ac:dyDescent="0.4">
      <c r="A49" s="64">
        <f>A47+1</f>
        <v>26</v>
      </c>
      <c r="B49" s="35" t="s">
        <v>239</v>
      </c>
      <c r="C49" s="80"/>
      <c r="D49" s="62"/>
      <c r="E49" s="62"/>
      <c r="F49" s="62"/>
      <c r="G49" s="62"/>
      <c r="H49" s="62"/>
      <c r="I49" s="62"/>
      <c r="J49" s="37"/>
    </row>
    <row r="50" spans="1:16" x14ac:dyDescent="0.35">
      <c r="A50" s="64">
        <f>A49+1</f>
        <v>27</v>
      </c>
      <c r="B50" s="31" t="s">
        <v>353</v>
      </c>
      <c r="C50" s="80"/>
      <c r="D50" s="37">
        <f>'D pg 2 '!F52</f>
        <v>0</v>
      </c>
      <c r="E50" s="37">
        <f>'D pg 2 '!G52</f>
        <v>0</v>
      </c>
      <c r="F50" s="37">
        <f>'D pg 2 '!H52</f>
        <v>0</v>
      </c>
      <c r="G50" s="37">
        <f>'D pg 2 '!I52</f>
        <v>0</v>
      </c>
      <c r="H50" s="37">
        <f>'D pg 2 '!J52</f>
        <v>0</v>
      </c>
      <c r="I50" s="37">
        <f>'D pg 2 '!K52</f>
        <v>0</v>
      </c>
      <c r="J50" s="37">
        <f>SUM(D50:I50)</f>
        <v>0</v>
      </c>
    </row>
    <row r="51" spans="1:16" x14ac:dyDescent="0.35">
      <c r="A51" s="64">
        <f>A50+1</f>
        <v>28</v>
      </c>
      <c r="B51" s="31" t="s">
        <v>241</v>
      </c>
      <c r="C51" s="80"/>
      <c r="D51" s="61">
        <f>'D pg 2 '!F53</f>
        <v>0</v>
      </c>
      <c r="E51" s="61">
        <f>'D pg 2 '!G53</f>
        <v>0</v>
      </c>
      <c r="F51" s="61">
        <f>'D pg 2 '!H53</f>
        <v>0</v>
      </c>
      <c r="G51" s="61">
        <f>'D pg 2 '!I53</f>
        <v>0</v>
      </c>
      <c r="H51" s="61">
        <f>'D pg 2 '!J53</f>
        <v>0</v>
      </c>
      <c r="I51" s="61">
        <f>'D pg 2 '!K53</f>
        <v>0</v>
      </c>
      <c r="J51" s="61">
        <f>SUM(D51:I51)</f>
        <v>0</v>
      </c>
    </row>
    <row r="52" spans="1:16" x14ac:dyDescent="0.35">
      <c r="A52" s="64">
        <f>A51+1</f>
        <v>29</v>
      </c>
      <c r="B52" s="31" t="s">
        <v>296</v>
      </c>
      <c r="C52" s="80"/>
      <c r="D52" s="37">
        <f>SUM(D50:D51)</f>
        <v>0</v>
      </c>
      <c r="E52" s="37">
        <f t="shared" ref="E52:J52" si="5">SUM(E50:E51)</f>
        <v>0</v>
      </c>
      <c r="F52" s="37">
        <f t="shared" si="5"/>
        <v>0</v>
      </c>
      <c r="G52" s="37">
        <f t="shared" si="5"/>
        <v>0</v>
      </c>
      <c r="H52" s="37">
        <f t="shared" si="5"/>
        <v>0</v>
      </c>
      <c r="I52" s="37">
        <f t="shared" si="5"/>
        <v>0</v>
      </c>
      <c r="J52" s="37">
        <f t="shared" si="5"/>
        <v>0</v>
      </c>
    </row>
    <row r="53" spans="1:16" x14ac:dyDescent="0.35">
      <c r="C53" s="80"/>
      <c r="D53" s="37"/>
      <c r="E53" s="37"/>
      <c r="F53" s="37"/>
      <c r="G53" s="37"/>
      <c r="H53" s="37"/>
      <c r="I53" s="37"/>
      <c r="J53" s="37"/>
    </row>
    <row r="54" spans="1:16" ht="15.45" x14ac:dyDescent="0.4">
      <c r="A54" s="64">
        <f>A52+1</f>
        <v>30</v>
      </c>
      <c r="B54" s="35" t="s">
        <v>248</v>
      </c>
      <c r="C54" s="64"/>
      <c r="D54" s="89">
        <f>D34+D41+D47+D52</f>
        <v>0</v>
      </c>
      <c r="E54" s="89">
        <f t="shared" ref="E54:I54" si="6">E34+E41+E47+E52</f>
        <v>0</v>
      </c>
      <c r="F54" s="89">
        <f t="shared" si="6"/>
        <v>0</v>
      </c>
      <c r="G54" s="89">
        <f t="shared" si="6"/>
        <v>0</v>
      </c>
      <c r="H54" s="89">
        <f t="shared" si="6"/>
        <v>0</v>
      </c>
      <c r="I54" s="89">
        <f t="shared" si="6"/>
        <v>0</v>
      </c>
      <c r="J54" s="89">
        <f>J34+J41+J47+J52</f>
        <v>0</v>
      </c>
    </row>
    <row r="55" spans="1:16" x14ac:dyDescent="0.35">
      <c r="C55" s="64"/>
      <c r="D55" s="36"/>
      <c r="E55" s="36"/>
      <c r="F55" s="36"/>
      <c r="G55" s="36"/>
      <c r="H55" s="36"/>
      <c r="I55" s="36"/>
      <c r="J55" s="36"/>
    </row>
    <row r="56" spans="1:16" x14ac:dyDescent="0.35">
      <c r="C56" s="6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x14ac:dyDescent="0.35">
      <c r="C57" s="6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1:16" x14ac:dyDescent="0.35">
      <c r="C58" s="6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</row>
    <row r="59" spans="1:16" x14ac:dyDescent="0.35">
      <c r="C59" s="6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pans="1:16" x14ac:dyDescent="0.35">
      <c r="C60" s="6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pans="1:16" x14ac:dyDescent="0.35">
      <c r="C61" s="6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x14ac:dyDescent="0.35">
      <c r="C62" s="6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pans="1:16" x14ac:dyDescent="0.35">
      <c r="C63" s="6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6" x14ac:dyDescent="0.35">
      <c r="C64" s="6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</row>
    <row r="65" spans="1:16" x14ac:dyDescent="0.35">
      <c r="C65" s="6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spans="1:16" x14ac:dyDescent="0.35">
      <c r="C66" s="6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x14ac:dyDescent="0.35">
      <c r="C67" s="6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x14ac:dyDescent="0.35">
      <c r="C68" s="6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</row>
    <row r="69" spans="1:16" x14ac:dyDescent="0.35">
      <c r="C69" s="6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x14ac:dyDescent="0.35">
      <c r="C70" s="6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6" x14ac:dyDescent="0.35">
      <c r="C71" s="6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35">
      <c r="C72" s="6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16" x14ac:dyDescent="0.35">
      <c r="C73" s="6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x14ac:dyDescent="0.35">
      <c r="C74" s="6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</row>
    <row r="75" spans="1:16" x14ac:dyDescent="0.35">
      <c r="C75" s="6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</row>
    <row r="76" spans="1:16" x14ac:dyDescent="0.35">
      <c r="F76" s="36"/>
    </row>
    <row r="77" spans="1:16" x14ac:dyDescent="0.35">
      <c r="F77" s="36"/>
    </row>
    <row r="79" spans="1:16" ht="15.45" x14ac:dyDescent="0.4">
      <c r="C79" s="32"/>
      <c r="D79" s="32"/>
      <c r="E79" s="32"/>
      <c r="F79" s="32"/>
    </row>
    <row r="80" spans="1:16" ht="15.45" x14ac:dyDescent="0.4">
      <c r="A80" s="32"/>
      <c r="C80" s="32"/>
      <c r="D80" s="32"/>
      <c r="E80" s="32"/>
      <c r="F80" s="32"/>
      <c r="G80" s="32"/>
    </row>
    <row r="81" spans="1:7" ht="15.45" x14ac:dyDescent="0.4">
      <c r="A81" s="43"/>
      <c r="C81" s="43"/>
      <c r="D81" s="43"/>
      <c r="E81" s="43"/>
      <c r="F81" s="43"/>
      <c r="G81" s="43"/>
    </row>
    <row r="82" spans="1:7" ht="15.45" x14ac:dyDescent="0.4">
      <c r="C82" s="32"/>
      <c r="D82" s="32"/>
      <c r="E82" s="32"/>
      <c r="F82" s="32"/>
      <c r="G82" s="32"/>
    </row>
    <row r="83" spans="1:7" ht="15.45" x14ac:dyDescent="0.4">
      <c r="C83" s="93"/>
      <c r="D83" s="35"/>
      <c r="E83" s="35"/>
      <c r="F83" s="93"/>
      <c r="G83" s="35"/>
    </row>
    <row r="84" spans="1:7" ht="15.45" x14ac:dyDescent="0.4">
      <c r="B84" s="35"/>
    </row>
    <row r="86" spans="1:7" ht="15.45" x14ac:dyDescent="0.4">
      <c r="B86" s="35"/>
      <c r="C86" s="36"/>
      <c r="D86" s="36"/>
      <c r="E86" s="36"/>
      <c r="F86" s="69"/>
      <c r="G86" s="36"/>
    </row>
    <row r="87" spans="1:7" x14ac:dyDescent="0.35">
      <c r="C87" s="36"/>
      <c r="D87" s="36"/>
      <c r="E87" s="91"/>
      <c r="G87" s="36"/>
    </row>
    <row r="88" spans="1:7" ht="15.45" x14ac:dyDescent="0.4">
      <c r="B88" s="35"/>
      <c r="E88" s="126"/>
    </row>
    <row r="89" spans="1:7" x14ac:dyDescent="0.35">
      <c r="E89" s="126"/>
    </row>
    <row r="90" spans="1:7" ht="15.45" x14ac:dyDescent="0.4">
      <c r="B90" s="35"/>
      <c r="C90" s="36"/>
      <c r="D90" s="36"/>
      <c r="E90" s="36"/>
      <c r="F90" s="69"/>
      <c r="G90" s="36"/>
    </row>
    <row r="92" spans="1:7" ht="15.45" x14ac:dyDescent="0.4">
      <c r="B92" s="35"/>
      <c r="C92" s="69"/>
      <c r="D92" s="36"/>
      <c r="E92" s="69"/>
      <c r="F92" s="69"/>
      <c r="G92" s="36"/>
    </row>
    <row r="94" spans="1:7" ht="15.45" x14ac:dyDescent="0.4">
      <c r="B94" s="35"/>
      <c r="C94" s="69"/>
      <c r="D94" s="36"/>
      <c r="E94" s="69"/>
      <c r="F94" s="69"/>
      <c r="G94" s="36"/>
    </row>
    <row r="96" spans="1:7" ht="15.45" x14ac:dyDescent="0.4">
      <c r="B96" s="35"/>
    </row>
    <row r="98" spans="2:7" ht="15.45" x14ac:dyDescent="0.4">
      <c r="B98" s="35"/>
      <c r="C98" s="69"/>
      <c r="D98" s="36"/>
      <c r="E98" s="69"/>
      <c r="F98" s="92"/>
      <c r="G98" s="36"/>
    </row>
    <row r="100" spans="2:7" ht="15.45" x14ac:dyDescent="0.4">
      <c r="B100" s="35"/>
      <c r="C100" s="69"/>
      <c r="D100" s="36"/>
      <c r="E100" s="69"/>
      <c r="F100" s="92"/>
      <c r="G100" s="36"/>
    </row>
    <row r="102" spans="2:7" ht="15.45" x14ac:dyDescent="0.4">
      <c r="B102" s="35"/>
      <c r="C102" s="69"/>
      <c r="D102" s="36"/>
      <c r="E102" s="69"/>
      <c r="F102" s="92"/>
      <c r="G102" s="36"/>
    </row>
    <row r="104" spans="2:7" ht="15.45" x14ac:dyDescent="0.4">
      <c r="B104" s="35"/>
      <c r="C104" s="69"/>
      <c r="D104" s="36"/>
      <c r="E104" s="69"/>
      <c r="F104" s="69"/>
      <c r="G104" s="36"/>
    </row>
    <row r="106" spans="2:7" ht="15.45" x14ac:dyDescent="0.4">
      <c r="B106" s="35"/>
      <c r="C106" s="127"/>
      <c r="D106" s="51"/>
      <c r="E106" s="127"/>
      <c r="F106" s="83"/>
      <c r="G106" s="51"/>
    </row>
    <row r="108" spans="2:7" x14ac:dyDescent="0.35">
      <c r="C108" s="36"/>
      <c r="D108" s="36"/>
      <c r="E108" s="36"/>
      <c r="F108" s="36"/>
      <c r="G108" s="36"/>
    </row>
    <row r="116" spans="1:8" ht="15.45" x14ac:dyDescent="0.4">
      <c r="C116" s="35"/>
      <c r="H116" s="82"/>
    </row>
    <row r="117" spans="1:8" ht="15.45" x14ac:dyDescent="0.4">
      <c r="C117" s="128"/>
    </row>
    <row r="121" spans="1:8" ht="15.45" x14ac:dyDescent="0.4">
      <c r="C121" s="32"/>
      <c r="D121" s="32"/>
      <c r="E121" s="32"/>
      <c r="F121" s="32"/>
      <c r="G121" s="35"/>
    </row>
    <row r="122" spans="1:8" ht="15.45" x14ac:dyDescent="0.4">
      <c r="A122" s="32"/>
      <c r="C122" s="32"/>
      <c r="D122" s="32"/>
      <c r="E122" s="32"/>
      <c r="F122" s="32"/>
      <c r="G122" s="32"/>
    </row>
    <row r="123" spans="1:8" ht="15.45" x14ac:dyDescent="0.4">
      <c r="A123" s="43"/>
      <c r="C123" s="43"/>
      <c r="D123" s="43"/>
      <c r="E123" s="43"/>
      <c r="F123" s="43"/>
      <c r="G123" s="43"/>
    </row>
    <row r="124" spans="1:8" ht="15.45" x14ac:dyDescent="0.4">
      <c r="C124" s="32"/>
      <c r="D124" s="32"/>
      <c r="E124" s="32"/>
      <c r="F124" s="32"/>
      <c r="G124" s="32"/>
    </row>
    <row r="125" spans="1:8" ht="15.45" x14ac:dyDescent="0.4">
      <c r="C125" s="32"/>
      <c r="D125" s="32"/>
      <c r="E125" s="32"/>
      <c r="F125" s="32"/>
      <c r="G125" s="32"/>
    </row>
    <row r="126" spans="1:8" ht="15.45" x14ac:dyDescent="0.4">
      <c r="B126" s="35"/>
      <c r="C126" s="93"/>
      <c r="D126" s="35"/>
      <c r="E126" s="35"/>
      <c r="F126" s="93"/>
    </row>
    <row r="128" spans="1:8" ht="15.45" x14ac:dyDescent="0.4">
      <c r="B128" s="35"/>
      <c r="C128" s="37"/>
      <c r="D128" s="37"/>
      <c r="E128" s="37"/>
      <c r="G128" s="37"/>
    </row>
    <row r="129" spans="2:7" x14ac:dyDescent="0.35">
      <c r="C129" s="37"/>
      <c r="D129" s="37"/>
      <c r="E129" s="37"/>
      <c r="F129" s="67"/>
      <c r="G129" s="37"/>
    </row>
    <row r="130" spans="2:7" x14ac:dyDescent="0.35">
      <c r="C130" s="37"/>
      <c r="D130" s="37"/>
      <c r="E130" s="37"/>
      <c r="F130" s="67"/>
      <c r="G130" s="37"/>
    </row>
    <row r="131" spans="2:7" x14ac:dyDescent="0.35">
      <c r="C131" s="74"/>
      <c r="D131" s="61"/>
      <c r="E131" s="94"/>
      <c r="F131" s="94"/>
      <c r="G131" s="61"/>
    </row>
    <row r="132" spans="2:7" x14ac:dyDescent="0.35">
      <c r="C132" s="37"/>
      <c r="D132" s="37"/>
      <c r="E132" s="37"/>
      <c r="F132" s="37"/>
      <c r="G132" s="37"/>
    </row>
    <row r="133" spans="2:7" x14ac:dyDescent="0.35">
      <c r="C133" s="37"/>
      <c r="D133" s="37"/>
      <c r="E133" s="37"/>
      <c r="F133" s="37"/>
      <c r="G133" s="37"/>
    </row>
    <row r="134" spans="2:7" ht="15.45" x14ac:dyDescent="0.4">
      <c r="B134" s="32"/>
      <c r="C134" s="37"/>
      <c r="D134" s="37"/>
      <c r="E134" s="37"/>
      <c r="F134" s="37"/>
      <c r="G134" s="37"/>
    </row>
    <row r="135" spans="2:7" x14ac:dyDescent="0.35">
      <c r="C135" s="37"/>
      <c r="D135" s="37"/>
      <c r="E135" s="37"/>
      <c r="F135" s="37"/>
      <c r="G135" s="37"/>
    </row>
    <row r="136" spans="2:7" ht="15.45" x14ac:dyDescent="0.4">
      <c r="B136" s="35"/>
      <c r="C136" s="37"/>
      <c r="D136" s="37"/>
      <c r="E136" s="37"/>
      <c r="F136" s="37"/>
      <c r="G136" s="37"/>
    </row>
    <row r="137" spans="2:7" x14ac:dyDescent="0.35">
      <c r="C137" s="37"/>
      <c r="D137" s="37"/>
      <c r="E137" s="37"/>
      <c r="F137" s="37"/>
      <c r="G137" s="37"/>
    </row>
    <row r="138" spans="2:7" x14ac:dyDescent="0.35">
      <c r="C138" s="37"/>
      <c r="D138" s="37"/>
      <c r="E138" s="37"/>
      <c r="F138" s="67"/>
      <c r="G138" s="37"/>
    </row>
    <row r="139" spans="2:7" x14ac:dyDescent="0.35">
      <c r="C139" s="37"/>
      <c r="D139" s="37"/>
      <c r="E139" s="37"/>
      <c r="F139" s="67"/>
      <c r="G139" s="37"/>
    </row>
    <row r="140" spans="2:7" x14ac:dyDescent="0.35">
      <c r="C140" s="67"/>
      <c r="D140" s="37"/>
      <c r="E140" s="67"/>
      <c r="F140" s="67"/>
      <c r="G140" s="37"/>
    </row>
    <row r="141" spans="2:7" x14ac:dyDescent="0.35">
      <c r="C141" s="67"/>
      <c r="D141" s="37"/>
      <c r="E141" s="67"/>
      <c r="F141" s="67"/>
      <c r="G141" s="37"/>
    </row>
    <row r="142" spans="2:7" x14ac:dyDescent="0.35">
      <c r="C142" s="94"/>
      <c r="D142" s="61"/>
      <c r="E142" s="94"/>
      <c r="F142" s="95"/>
      <c r="G142" s="61"/>
    </row>
    <row r="143" spans="2:7" x14ac:dyDescent="0.35">
      <c r="C143" s="37"/>
      <c r="D143" s="37"/>
      <c r="E143" s="37"/>
      <c r="F143" s="37"/>
      <c r="G143" s="37"/>
    </row>
    <row r="144" spans="2:7" x14ac:dyDescent="0.35">
      <c r="C144" s="37"/>
      <c r="D144" s="37"/>
      <c r="E144" s="37"/>
      <c r="F144" s="37"/>
      <c r="G144" s="37"/>
    </row>
    <row r="145" spans="2:7" ht="15.45" x14ac:dyDescent="0.4">
      <c r="B145" s="35"/>
      <c r="C145" s="37"/>
      <c r="D145" s="37"/>
      <c r="E145" s="37"/>
      <c r="F145" s="37"/>
      <c r="G145" s="37"/>
    </row>
    <row r="146" spans="2:7" x14ac:dyDescent="0.35">
      <c r="C146" s="37"/>
      <c r="D146" s="37"/>
      <c r="E146" s="37"/>
      <c r="F146" s="37"/>
      <c r="G146" s="37"/>
    </row>
    <row r="147" spans="2:7" x14ac:dyDescent="0.35">
      <c r="C147" s="67"/>
      <c r="D147" s="37"/>
      <c r="E147" s="67"/>
      <c r="F147" s="67"/>
      <c r="G147" s="37"/>
    </row>
    <row r="148" spans="2:7" x14ac:dyDescent="0.35">
      <c r="C148" s="67"/>
      <c r="D148" s="37"/>
      <c r="E148" s="67"/>
      <c r="F148" s="67"/>
      <c r="G148" s="37"/>
    </row>
    <row r="149" spans="2:7" x14ac:dyDescent="0.35">
      <c r="C149" s="67"/>
      <c r="D149" s="37"/>
      <c r="E149" s="67"/>
      <c r="F149" s="67"/>
      <c r="G149" s="37"/>
    </row>
    <row r="150" spans="2:7" x14ac:dyDescent="0.35">
      <c r="C150" s="94"/>
      <c r="D150" s="61"/>
      <c r="E150" s="94"/>
      <c r="F150" s="94"/>
      <c r="G150" s="61"/>
    </row>
    <row r="151" spans="2:7" x14ac:dyDescent="0.35">
      <c r="C151" s="37"/>
      <c r="D151" s="37"/>
      <c r="E151" s="37"/>
      <c r="F151" s="37"/>
      <c r="G151" s="37"/>
    </row>
    <row r="153" spans="2:7" ht="15.45" x14ac:dyDescent="0.4">
      <c r="B153" s="35"/>
      <c r="C153" s="37"/>
      <c r="D153" s="37"/>
      <c r="E153" s="37"/>
      <c r="F153" s="37"/>
      <c r="G153" s="37"/>
    </row>
    <row r="154" spans="2:7" x14ac:dyDescent="0.35">
      <c r="C154" s="37"/>
      <c r="D154" s="37"/>
      <c r="E154" s="37"/>
      <c r="F154" s="37"/>
      <c r="G154" s="37"/>
    </row>
    <row r="155" spans="2:7" x14ac:dyDescent="0.35">
      <c r="C155" s="67"/>
      <c r="D155" s="37"/>
      <c r="E155" s="67"/>
      <c r="F155" s="67"/>
      <c r="G155" s="37"/>
    </row>
    <row r="156" spans="2:7" x14ac:dyDescent="0.35">
      <c r="C156" s="67"/>
      <c r="D156" s="37"/>
      <c r="E156" s="67"/>
      <c r="F156" s="67"/>
      <c r="G156" s="37"/>
    </row>
    <row r="157" spans="2:7" x14ac:dyDescent="0.35">
      <c r="C157" s="67"/>
      <c r="D157" s="37"/>
      <c r="E157" s="67"/>
      <c r="F157" s="67"/>
      <c r="G157" s="37"/>
    </row>
    <row r="158" spans="2:7" x14ac:dyDescent="0.35">
      <c r="C158" s="94"/>
      <c r="D158" s="61"/>
      <c r="E158" s="94"/>
      <c r="F158" s="94"/>
      <c r="G158" s="61"/>
    </row>
    <row r="159" spans="2:7" x14ac:dyDescent="0.35">
      <c r="C159" s="37"/>
      <c r="D159" s="37"/>
      <c r="E159" s="37"/>
      <c r="F159" s="37"/>
      <c r="G159" s="37"/>
    </row>
    <row r="160" spans="2:7" x14ac:dyDescent="0.35">
      <c r="C160" s="83"/>
      <c r="D160" s="51"/>
      <c r="E160" s="83"/>
      <c r="F160" s="83"/>
      <c r="G160" s="51"/>
    </row>
    <row r="161" spans="1:8" x14ac:dyDescent="0.35">
      <c r="C161" s="83"/>
      <c r="D161" s="51"/>
      <c r="E161" s="83"/>
      <c r="F161" s="83"/>
      <c r="G161" s="51"/>
    </row>
    <row r="162" spans="1:8" x14ac:dyDescent="0.35">
      <c r="C162" s="83"/>
      <c r="D162" s="51"/>
      <c r="E162" s="83"/>
      <c r="F162" s="83"/>
      <c r="G162" s="51"/>
    </row>
    <row r="163" spans="1:8" x14ac:dyDescent="0.35">
      <c r="C163" s="83"/>
      <c r="D163" s="51"/>
      <c r="E163" s="83"/>
      <c r="F163" s="83"/>
      <c r="G163" s="51"/>
    </row>
    <row r="164" spans="1:8" x14ac:dyDescent="0.35">
      <c r="C164" s="83"/>
      <c r="D164" s="51"/>
      <c r="E164" s="83"/>
      <c r="F164" s="83"/>
      <c r="G164" s="51"/>
    </row>
    <row r="165" spans="1:8" x14ac:dyDescent="0.35">
      <c r="C165" s="83"/>
      <c r="D165" s="51"/>
      <c r="E165" s="83"/>
      <c r="F165" s="83"/>
      <c r="G165" s="51"/>
    </row>
    <row r="166" spans="1:8" x14ac:dyDescent="0.35">
      <c r="C166" s="83"/>
      <c r="D166" s="51"/>
      <c r="E166" s="83"/>
      <c r="F166" s="83"/>
      <c r="G166" s="51"/>
    </row>
    <row r="167" spans="1:8" x14ac:dyDescent="0.35">
      <c r="C167" s="83"/>
      <c r="D167" s="51"/>
      <c r="E167" s="83"/>
      <c r="F167" s="83"/>
      <c r="G167" s="51"/>
    </row>
    <row r="168" spans="1:8" x14ac:dyDescent="0.35">
      <c r="C168" s="83"/>
      <c r="D168" s="51"/>
      <c r="E168" s="83"/>
      <c r="F168" s="83"/>
      <c r="G168" s="51"/>
    </row>
    <row r="169" spans="1:8" x14ac:dyDescent="0.35">
      <c r="C169" s="83"/>
      <c r="D169" s="51"/>
      <c r="E169" s="83"/>
      <c r="F169" s="83"/>
      <c r="G169" s="51"/>
    </row>
    <row r="170" spans="1:8" x14ac:dyDescent="0.35">
      <c r="C170" s="36"/>
      <c r="D170" s="36"/>
      <c r="E170" s="36"/>
      <c r="F170" s="36"/>
      <c r="G170" s="36"/>
    </row>
    <row r="171" spans="1:8" ht="15.45" x14ac:dyDescent="0.4">
      <c r="C171" s="35"/>
      <c r="H171" s="82"/>
    </row>
    <row r="172" spans="1:8" ht="15.45" x14ac:dyDescent="0.4">
      <c r="C172" s="103"/>
    </row>
    <row r="174" spans="1:8" ht="15.45" x14ac:dyDescent="0.4">
      <c r="C174" s="32"/>
      <c r="D174" s="32"/>
      <c r="E174" s="32"/>
      <c r="F174" s="32"/>
      <c r="G174" s="35"/>
    </row>
    <row r="175" spans="1:8" ht="15.45" x14ac:dyDescent="0.4">
      <c r="A175" s="32"/>
      <c r="C175" s="32"/>
      <c r="D175" s="32"/>
      <c r="E175" s="32"/>
      <c r="F175" s="32"/>
      <c r="G175" s="32"/>
    </row>
    <row r="176" spans="1:8" ht="15.45" x14ac:dyDescent="0.4">
      <c r="A176" s="43"/>
      <c r="C176" s="43"/>
      <c r="D176" s="43"/>
      <c r="E176" s="43"/>
      <c r="F176" s="43"/>
      <c r="G176" s="43"/>
    </row>
    <row r="177" spans="2:7" ht="15.45" x14ac:dyDescent="0.4">
      <c r="C177" s="32"/>
      <c r="D177" s="32"/>
      <c r="E177" s="32"/>
      <c r="F177" s="32"/>
      <c r="G177" s="32"/>
    </row>
    <row r="178" spans="2:7" ht="15.45" x14ac:dyDescent="0.4">
      <c r="C178" s="32"/>
      <c r="D178" s="32"/>
      <c r="E178" s="32"/>
      <c r="F178" s="32"/>
      <c r="G178" s="32"/>
    </row>
    <row r="179" spans="2:7" ht="15.45" x14ac:dyDescent="0.4">
      <c r="C179" s="93"/>
      <c r="D179" s="35"/>
      <c r="E179" s="35"/>
      <c r="F179" s="93"/>
    </row>
    <row r="180" spans="2:7" ht="15.45" x14ac:dyDescent="0.4">
      <c r="B180" s="35"/>
    </row>
    <row r="182" spans="2:7" ht="15.45" x14ac:dyDescent="0.4">
      <c r="B182" s="35"/>
      <c r="C182" s="36"/>
      <c r="D182" s="36"/>
      <c r="E182" s="36"/>
      <c r="G182" s="36"/>
    </row>
    <row r="184" spans="2:7" x14ac:dyDescent="0.35">
      <c r="C184" s="67"/>
      <c r="D184" s="37"/>
      <c r="E184" s="67"/>
      <c r="F184" s="70"/>
      <c r="G184" s="37"/>
    </row>
    <row r="185" spans="2:7" x14ac:dyDescent="0.35">
      <c r="C185" s="67"/>
      <c r="D185" s="37"/>
      <c r="E185" s="67"/>
      <c r="F185" s="70"/>
      <c r="G185" s="37"/>
    </row>
    <row r="186" spans="2:7" x14ac:dyDescent="0.35">
      <c r="C186" s="67"/>
      <c r="D186" s="37"/>
      <c r="E186" s="67"/>
      <c r="F186" s="70"/>
      <c r="G186" s="37"/>
    </row>
    <row r="187" spans="2:7" x14ac:dyDescent="0.35">
      <c r="C187" s="67"/>
      <c r="D187" s="37"/>
      <c r="E187" s="67"/>
      <c r="F187" s="70"/>
      <c r="G187" s="37"/>
    </row>
    <row r="188" spans="2:7" x14ac:dyDescent="0.35">
      <c r="C188" s="94"/>
      <c r="D188" s="61"/>
      <c r="E188" s="94"/>
      <c r="F188" s="74"/>
      <c r="G188" s="61"/>
    </row>
    <row r="189" spans="2:7" x14ac:dyDescent="0.35">
      <c r="C189" s="37"/>
      <c r="D189" s="37"/>
      <c r="E189" s="37"/>
      <c r="F189" s="37"/>
      <c r="G189" s="37"/>
    </row>
    <row r="191" spans="2:7" ht="15.45" x14ac:dyDescent="0.4">
      <c r="B191" s="35"/>
      <c r="C191" s="37"/>
      <c r="D191" s="37"/>
      <c r="E191" s="37"/>
      <c r="F191" s="37"/>
      <c r="G191" s="37"/>
    </row>
    <row r="193" spans="2:7" x14ac:dyDescent="0.35">
      <c r="C193" s="67"/>
      <c r="D193" s="37"/>
      <c r="E193" s="67"/>
      <c r="F193" s="70"/>
      <c r="G193" s="37"/>
    </row>
    <row r="194" spans="2:7" x14ac:dyDescent="0.35">
      <c r="C194" s="67"/>
      <c r="D194" s="37"/>
      <c r="E194" s="67"/>
      <c r="F194" s="70"/>
      <c r="G194" s="37"/>
    </row>
    <row r="195" spans="2:7" x14ac:dyDescent="0.35">
      <c r="C195" s="67"/>
      <c r="D195" s="37"/>
      <c r="E195" s="67"/>
      <c r="F195" s="70"/>
      <c r="G195" s="37"/>
    </row>
    <row r="196" spans="2:7" x14ac:dyDescent="0.35">
      <c r="C196" s="94"/>
      <c r="D196" s="61"/>
      <c r="E196" s="94"/>
      <c r="F196" s="74"/>
      <c r="G196" s="61"/>
    </row>
    <row r="197" spans="2:7" x14ac:dyDescent="0.35">
      <c r="C197" s="37"/>
      <c r="D197" s="37"/>
      <c r="E197" s="37"/>
      <c r="F197" s="37"/>
      <c r="G197" s="37"/>
    </row>
    <row r="198" spans="2:7" x14ac:dyDescent="0.35">
      <c r="C198" s="37"/>
      <c r="D198" s="37"/>
      <c r="E198" s="37"/>
      <c r="F198" s="37"/>
      <c r="G198" s="37"/>
    </row>
    <row r="199" spans="2:7" ht="15.45" x14ac:dyDescent="0.4">
      <c r="B199" s="35"/>
      <c r="C199" s="37"/>
      <c r="D199" s="37"/>
      <c r="E199" s="37"/>
      <c r="F199" s="37"/>
      <c r="G199" s="37"/>
    </row>
    <row r="201" spans="2:7" x14ac:dyDescent="0.35">
      <c r="C201" s="67"/>
      <c r="D201" s="37"/>
      <c r="E201" s="67"/>
      <c r="F201" s="37"/>
      <c r="G201" s="37"/>
    </row>
    <row r="202" spans="2:7" x14ac:dyDescent="0.35">
      <c r="C202" s="67"/>
      <c r="D202" s="37"/>
      <c r="E202" s="67"/>
      <c r="F202" s="37"/>
      <c r="G202" s="37"/>
    </row>
    <row r="203" spans="2:7" x14ac:dyDescent="0.35">
      <c r="C203" s="67"/>
      <c r="D203" s="37"/>
      <c r="E203" s="67"/>
      <c r="F203" s="37"/>
      <c r="G203" s="37"/>
    </row>
    <row r="204" spans="2:7" x14ac:dyDescent="0.35">
      <c r="C204" s="94"/>
      <c r="D204" s="61"/>
      <c r="E204" s="94"/>
      <c r="F204" s="61"/>
      <c r="G204" s="61"/>
    </row>
    <row r="205" spans="2:7" x14ac:dyDescent="0.35">
      <c r="C205" s="37"/>
      <c r="D205" s="37"/>
      <c r="E205" s="37"/>
      <c r="F205" s="37"/>
      <c r="G205" s="37"/>
    </row>
    <row r="207" spans="2:7" ht="15.45" x14ac:dyDescent="0.4">
      <c r="B207" s="35"/>
      <c r="C207" s="37"/>
      <c r="D207" s="37"/>
      <c r="E207" s="37"/>
      <c r="F207" s="37"/>
      <c r="G207" s="37"/>
    </row>
    <row r="209" spans="2:7" x14ac:dyDescent="0.35">
      <c r="C209" s="67"/>
      <c r="D209" s="37"/>
      <c r="E209" s="67"/>
      <c r="F209" s="67"/>
      <c r="G209" s="37"/>
    </row>
    <row r="210" spans="2:7" x14ac:dyDescent="0.35">
      <c r="C210" s="67"/>
      <c r="D210" s="37"/>
      <c r="E210" s="67"/>
      <c r="F210" s="67"/>
      <c r="G210" s="37"/>
    </row>
    <row r="211" spans="2:7" x14ac:dyDescent="0.35">
      <c r="C211" s="67"/>
      <c r="D211" s="37"/>
      <c r="E211" s="67"/>
      <c r="F211" s="67"/>
      <c r="G211" s="37"/>
    </row>
    <row r="212" spans="2:7" x14ac:dyDescent="0.35">
      <c r="C212" s="94"/>
      <c r="D212" s="61"/>
      <c r="E212" s="94"/>
      <c r="F212" s="94"/>
      <c r="G212" s="61"/>
    </row>
    <row r="213" spans="2:7" x14ac:dyDescent="0.35">
      <c r="C213" s="37"/>
      <c r="D213" s="37"/>
      <c r="E213" s="37"/>
      <c r="F213" s="37"/>
      <c r="G213" s="37"/>
    </row>
    <row r="214" spans="2:7" x14ac:dyDescent="0.35">
      <c r="C214" s="37"/>
      <c r="D214" s="37"/>
      <c r="E214" s="37"/>
      <c r="F214" s="37"/>
      <c r="G214" s="37"/>
    </row>
    <row r="215" spans="2:7" ht="15.45" x14ac:dyDescent="0.4">
      <c r="B215" s="35"/>
      <c r="C215" s="37"/>
      <c r="D215" s="37"/>
      <c r="E215" s="37"/>
      <c r="F215" s="37"/>
      <c r="G215" s="37"/>
    </row>
    <row r="217" spans="2:7" x14ac:dyDescent="0.35">
      <c r="C217" s="67"/>
      <c r="D217" s="37"/>
      <c r="E217" s="67"/>
      <c r="F217" s="70"/>
      <c r="G217" s="37"/>
    </row>
  </sheetData>
  <mergeCells count="4">
    <mergeCell ref="A11:J11"/>
    <mergeCell ref="A1:J1"/>
    <mergeCell ref="A2:J2"/>
    <mergeCell ref="A3:J3"/>
  </mergeCells>
  <phoneticPr fontId="0" type="noConversion"/>
  <printOptions horizontalCentered="1"/>
  <pageMargins left="0" right="0" top="0.75" bottom="0" header="0.5" footer="0.5"/>
  <pageSetup scale="48" orientation="portrait" r:id="rId1"/>
  <headerFooter alignWithMargins="0"/>
  <rowBreaks count="3" manualBreakCount="3">
    <brk id="57" max="15" man="1"/>
    <brk id="59" max="15" man="1"/>
    <brk id="113" max="10" man="1"/>
  </rowBreaks>
  <colBreaks count="1" manualBreakCount="1">
    <brk id="10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 codeName="Sheet15"/>
  <dimension ref="A1:S248"/>
  <sheetViews>
    <sheetView zoomScale="70" zoomScaleNormal="70" zoomScaleSheetLayoutView="80" workbookViewId="0">
      <selection sqref="A1:L1"/>
    </sheetView>
  </sheetViews>
  <sheetFormatPr defaultColWidth="10" defaultRowHeight="15" x14ac:dyDescent="0.35"/>
  <cols>
    <col min="1" max="1" width="6.5546875" style="31" customWidth="1"/>
    <col min="2" max="2" width="34.44140625" style="31" customWidth="1"/>
    <col min="3" max="3" width="17.44140625" style="31" bestFit="1" customWidth="1"/>
    <col min="4" max="4" width="20.5546875" style="31" bestFit="1" customWidth="1"/>
    <col min="5" max="5" width="21.77734375" style="31" bestFit="1" customWidth="1"/>
    <col min="6" max="11" width="19.44140625" style="31" bestFit="1" customWidth="1"/>
    <col min="12" max="12" width="22.44140625" style="31" customWidth="1"/>
    <col min="13" max="13" width="18.44140625" style="31" bestFit="1" customWidth="1"/>
    <col min="14" max="17" width="17.44140625" style="31" bestFit="1" customWidth="1"/>
    <col min="18" max="18" width="19.44140625" style="31" customWidth="1"/>
    <col min="19" max="19" width="34" style="31" customWidth="1"/>
    <col min="20" max="20" width="10" style="31"/>
    <col min="21" max="22" width="2.44140625" style="31" customWidth="1"/>
    <col min="23" max="16384" width="10" style="31"/>
  </cols>
  <sheetData>
    <row r="1" spans="1:18" ht="15.45" x14ac:dyDescent="0.4">
      <c r="A1" s="472" t="str">
        <f>CONAME</f>
        <v>Columbia Gas of Kentucky, Inc.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35"/>
      <c r="N1" s="35"/>
      <c r="O1" s="35"/>
      <c r="P1" s="35"/>
      <c r="Q1" s="35"/>
      <c r="R1" s="35"/>
    </row>
    <row r="2" spans="1:18" ht="15.45" x14ac:dyDescent="0.4">
      <c r="A2" s="472" t="s">
        <v>159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35"/>
      <c r="N2" s="35"/>
      <c r="O2" s="35"/>
      <c r="P2" s="35"/>
      <c r="Q2" s="35"/>
      <c r="R2" s="35"/>
    </row>
    <row r="3" spans="1:18" ht="15.45" x14ac:dyDescent="0.4">
      <c r="A3" s="472" t="str">
        <f>TYDESC</f>
        <v>For the 6 Months Ended August 31, 2024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35"/>
      <c r="N3" s="35"/>
      <c r="O3" s="35"/>
      <c r="P3" s="35"/>
      <c r="Q3" s="35"/>
      <c r="R3" s="35"/>
    </row>
    <row r="4" spans="1:18" ht="15.45" x14ac:dyDescent="0.4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8" ht="15.45" x14ac:dyDescent="0.4">
      <c r="C5" s="32"/>
      <c r="D5" s="32"/>
      <c r="E5" s="32"/>
      <c r="F5" s="32"/>
      <c r="G5" s="32"/>
      <c r="H5" s="32"/>
      <c r="I5" s="32"/>
      <c r="J5" s="32"/>
      <c r="K5" s="32"/>
      <c r="L5" s="71" t="str">
        <f>'D pg 1'!$J$8</f>
        <v>Workpaper WPM-D.1</v>
      </c>
      <c r="M5" s="32"/>
    </row>
    <row r="6" spans="1:18" ht="15.45" x14ac:dyDescent="0.4">
      <c r="A6" s="35"/>
      <c r="B6" s="35"/>
      <c r="C6" s="35"/>
      <c r="D6" s="32" t="s">
        <v>34</v>
      </c>
      <c r="E6" s="35"/>
      <c r="L6" s="72" t="s">
        <v>357</v>
      </c>
    </row>
    <row r="7" spans="1:18" ht="15.45" x14ac:dyDescent="0.4">
      <c r="A7" s="35"/>
      <c r="B7" s="35"/>
      <c r="C7" s="35"/>
      <c r="D7" s="32" t="s">
        <v>35</v>
      </c>
      <c r="E7" s="35"/>
    </row>
    <row r="8" spans="1:18" ht="15.45" x14ac:dyDescent="0.4">
      <c r="A8" s="32" t="s">
        <v>11</v>
      </c>
      <c r="B8" s="35"/>
      <c r="C8" s="32" t="s">
        <v>10</v>
      </c>
      <c r="D8" s="32" t="s">
        <v>36</v>
      </c>
      <c r="E8" s="75" t="s">
        <v>32</v>
      </c>
    </row>
    <row r="9" spans="1:18" ht="15.45" x14ac:dyDescent="0.4">
      <c r="A9" s="43" t="s">
        <v>13</v>
      </c>
      <c r="B9" s="43" t="s">
        <v>37</v>
      </c>
      <c r="C9" s="43" t="s">
        <v>12</v>
      </c>
      <c r="D9" s="43" t="s">
        <v>38</v>
      </c>
      <c r="E9" s="43" t="s">
        <v>30</v>
      </c>
      <c r="F9" s="45" t="str">
        <f>B!$D$13</f>
        <v>Mar-24</v>
      </c>
      <c r="G9" s="45" t="str">
        <f>B!$E$13</f>
        <v>Apr-24</v>
      </c>
      <c r="H9" s="45" t="str">
        <f>B!$F$13</f>
        <v>May-24</v>
      </c>
      <c r="I9" s="45" t="str">
        <f>B!$G$13</f>
        <v>Jun-24</v>
      </c>
      <c r="J9" s="45" t="str">
        <f>B!$H$13</f>
        <v>Jul-24</v>
      </c>
      <c r="K9" s="45" t="str">
        <f>B!$I$13</f>
        <v>Aug-24</v>
      </c>
      <c r="L9" s="43" t="s">
        <v>15</v>
      </c>
    </row>
    <row r="10" spans="1:18" ht="15.45" x14ac:dyDescent="0.4">
      <c r="A10" s="35"/>
      <c r="B10" s="35"/>
      <c r="C10" s="35"/>
      <c r="D10" s="35"/>
      <c r="E10" s="35"/>
      <c r="F10" s="41" t="s">
        <v>33</v>
      </c>
      <c r="G10" s="41" t="s">
        <v>33</v>
      </c>
      <c r="H10" s="41" t="s">
        <v>33</v>
      </c>
      <c r="I10" s="41" t="s">
        <v>33</v>
      </c>
      <c r="J10" s="41" t="s">
        <v>33</v>
      </c>
      <c r="K10" s="41" t="s">
        <v>33</v>
      </c>
      <c r="L10" s="41" t="s">
        <v>33</v>
      </c>
    </row>
    <row r="12" spans="1:18" ht="15.45" x14ac:dyDescent="0.4">
      <c r="A12" s="31">
        <v>1</v>
      </c>
      <c r="B12" s="117" t="s">
        <v>392</v>
      </c>
    </row>
    <row r="13" spans="1:18" x14ac:dyDescent="0.35">
      <c r="B13" s="66"/>
      <c r="C13" s="66"/>
      <c r="D13" s="66"/>
      <c r="F13" s="67"/>
      <c r="G13" s="67"/>
      <c r="H13" s="67"/>
      <c r="I13" s="67"/>
      <c r="J13" s="67"/>
      <c r="K13" s="67"/>
      <c r="L13" s="37"/>
    </row>
    <row r="14" spans="1:18" x14ac:dyDescent="0.35">
      <c r="A14" s="31">
        <f>A12+1</f>
        <v>2</v>
      </c>
      <c r="B14" s="87" t="s">
        <v>366</v>
      </c>
      <c r="C14" s="66" t="s">
        <v>141</v>
      </c>
      <c r="D14" s="88"/>
      <c r="E14" s="59"/>
      <c r="F14" s="37"/>
      <c r="G14" s="37"/>
      <c r="H14" s="37"/>
      <c r="I14" s="37"/>
      <c r="J14" s="37"/>
      <c r="K14" s="37"/>
      <c r="L14" s="37"/>
    </row>
    <row r="15" spans="1:18" x14ac:dyDescent="0.35">
      <c r="A15" s="31">
        <f>A14+1</f>
        <v>3</v>
      </c>
      <c r="B15" s="82" t="s">
        <v>140</v>
      </c>
      <c r="C15" s="66"/>
      <c r="D15" s="66"/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37">
        <f>SUM(F15:K15)</f>
        <v>0</v>
      </c>
    </row>
    <row r="16" spans="1:18" x14ac:dyDescent="0.35">
      <c r="B16" s="66"/>
      <c r="C16" s="66"/>
      <c r="D16" s="66"/>
      <c r="E16" s="64"/>
      <c r="F16" s="37"/>
      <c r="G16" s="37"/>
      <c r="H16" s="37"/>
      <c r="I16" s="37"/>
      <c r="J16" s="37"/>
      <c r="K16" s="37"/>
      <c r="L16" s="37"/>
    </row>
    <row r="17" spans="1:12" x14ac:dyDescent="0.35">
      <c r="A17" s="31">
        <f>A15+1</f>
        <v>4</v>
      </c>
      <c r="B17" s="66" t="s">
        <v>354</v>
      </c>
      <c r="C17" s="66"/>
      <c r="D17" s="66"/>
      <c r="E17" s="124"/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37">
        <f>SUM(F17:K17)</f>
        <v>0</v>
      </c>
    </row>
    <row r="18" spans="1:12" x14ac:dyDescent="0.35">
      <c r="A18" s="31">
        <f>A17+1</f>
        <v>5</v>
      </c>
      <c r="B18" s="66" t="s">
        <v>355</v>
      </c>
      <c r="C18" s="66"/>
      <c r="D18" s="66"/>
      <c r="E18" s="84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37">
        <f>SUM(F18:K18)</f>
        <v>0</v>
      </c>
    </row>
    <row r="19" spans="1:12" x14ac:dyDescent="0.35">
      <c r="B19" s="66"/>
      <c r="C19" s="66"/>
      <c r="D19" s="66"/>
      <c r="E19" s="84"/>
      <c r="F19" s="67"/>
      <c r="G19" s="67"/>
      <c r="H19" s="67"/>
      <c r="I19" s="67"/>
      <c r="J19" s="67"/>
      <c r="K19" s="67"/>
      <c r="L19" s="37"/>
    </row>
    <row r="20" spans="1:12" x14ac:dyDescent="0.35">
      <c r="A20" s="31">
        <f>A18+1</f>
        <v>6</v>
      </c>
      <c r="B20" s="87" t="s">
        <v>356</v>
      </c>
      <c r="C20" s="87" t="s">
        <v>259</v>
      </c>
      <c r="D20" s="88"/>
      <c r="E20" s="85"/>
      <c r="F20" s="37"/>
      <c r="G20" s="37"/>
      <c r="H20" s="37"/>
      <c r="I20" s="37"/>
      <c r="J20" s="37"/>
      <c r="K20" s="37"/>
      <c r="L20" s="37"/>
    </row>
    <row r="21" spans="1:12" x14ac:dyDescent="0.35">
      <c r="A21" s="31">
        <f>A20+1</f>
        <v>7</v>
      </c>
      <c r="B21" s="82" t="s">
        <v>140</v>
      </c>
      <c r="C21" s="66"/>
      <c r="D21" s="66"/>
      <c r="E21" s="64"/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37">
        <f>SUM(F21:K21)</f>
        <v>0</v>
      </c>
    </row>
    <row r="22" spans="1:12" x14ac:dyDescent="0.35">
      <c r="B22" s="66"/>
      <c r="C22" s="66"/>
      <c r="D22" s="66"/>
      <c r="E22" s="64"/>
      <c r="F22" s="37"/>
      <c r="G22" s="37"/>
      <c r="H22" s="37"/>
      <c r="I22" s="37"/>
      <c r="J22" s="37"/>
      <c r="K22" s="37"/>
      <c r="L22" s="37"/>
    </row>
    <row r="23" spans="1:12" x14ac:dyDescent="0.35">
      <c r="A23" s="31">
        <f>A21+1</f>
        <v>8</v>
      </c>
      <c r="B23" s="66" t="s">
        <v>142</v>
      </c>
      <c r="C23" s="66"/>
      <c r="D23" s="66"/>
      <c r="E23" s="124"/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37">
        <f>SUM(F23:K23)</f>
        <v>0</v>
      </c>
    </row>
    <row r="24" spans="1:12" x14ac:dyDescent="0.35">
      <c r="A24" s="31">
        <f>A23+1</f>
        <v>9</v>
      </c>
      <c r="B24" s="66" t="s">
        <v>143</v>
      </c>
      <c r="C24" s="66"/>
      <c r="D24" s="66"/>
      <c r="E24" s="84"/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37">
        <f>SUM(F24:K24)</f>
        <v>0</v>
      </c>
    </row>
    <row r="25" spans="1:12" x14ac:dyDescent="0.35">
      <c r="A25" s="31">
        <f>A24+1</f>
        <v>10</v>
      </c>
      <c r="B25" s="66" t="s">
        <v>144</v>
      </c>
      <c r="C25" s="66"/>
      <c r="D25" s="66"/>
      <c r="E25" s="84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37">
        <f>SUM(F25:K25)</f>
        <v>0</v>
      </c>
    </row>
    <row r="26" spans="1:12" x14ac:dyDescent="0.35">
      <c r="A26" s="31">
        <f>A25+1</f>
        <v>11</v>
      </c>
      <c r="B26" s="66" t="s">
        <v>145</v>
      </c>
      <c r="C26" s="66"/>
      <c r="D26" s="66"/>
      <c r="E26" s="84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37">
        <f>SUM(F26:K26)</f>
        <v>0</v>
      </c>
    </row>
    <row r="27" spans="1:12" x14ac:dyDescent="0.35">
      <c r="B27" s="66"/>
      <c r="C27" s="66"/>
      <c r="D27" s="66"/>
      <c r="E27" s="84"/>
      <c r="F27" s="67"/>
      <c r="G27" s="67"/>
      <c r="H27" s="67"/>
      <c r="I27" s="67"/>
      <c r="J27" s="67"/>
      <c r="K27" s="67"/>
      <c r="L27" s="37"/>
    </row>
    <row r="28" spans="1:12" x14ac:dyDescent="0.35">
      <c r="A28" s="31">
        <f>A26+1</f>
        <v>12</v>
      </c>
      <c r="B28" s="87" t="s">
        <v>356</v>
      </c>
      <c r="C28" s="87" t="s">
        <v>259</v>
      </c>
      <c r="D28" s="88"/>
      <c r="E28" s="85"/>
      <c r="F28" s="37"/>
      <c r="G28" s="37"/>
      <c r="H28" s="37"/>
      <c r="I28" s="37"/>
      <c r="J28" s="37"/>
      <c r="K28" s="37"/>
      <c r="L28" s="37"/>
    </row>
    <row r="29" spans="1:12" x14ac:dyDescent="0.35">
      <c r="A29" s="31">
        <f>A28+1</f>
        <v>13</v>
      </c>
      <c r="B29" s="82" t="s">
        <v>140</v>
      </c>
      <c r="C29" s="66"/>
      <c r="D29" s="66"/>
      <c r="E29" s="64"/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37">
        <f>SUM(F29:K29)</f>
        <v>0</v>
      </c>
    </row>
    <row r="30" spans="1:12" x14ac:dyDescent="0.35">
      <c r="B30" s="66"/>
      <c r="C30" s="66"/>
      <c r="D30" s="66"/>
      <c r="E30" s="64"/>
      <c r="F30" s="37"/>
      <c r="G30" s="37"/>
      <c r="H30" s="37"/>
      <c r="I30" s="37"/>
      <c r="J30" s="37"/>
      <c r="K30" s="37"/>
      <c r="L30" s="37"/>
    </row>
    <row r="31" spans="1:12" x14ac:dyDescent="0.35">
      <c r="A31" s="31">
        <f>A29+1</f>
        <v>14</v>
      </c>
      <c r="B31" s="66" t="s">
        <v>142</v>
      </c>
      <c r="C31" s="66"/>
      <c r="D31" s="66"/>
      <c r="E31" s="124"/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37">
        <f>SUM(F31:K31)</f>
        <v>0</v>
      </c>
    </row>
    <row r="32" spans="1:12" x14ac:dyDescent="0.35">
      <c r="A32" s="31">
        <f>A31+1</f>
        <v>15</v>
      </c>
      <c r="B32" s="66" t="s">
        <v>143</v>
      </c>
      <c r="C32" s="66"/>
      <c r="D32" s="66"/>
      <c r="E32" s="84"/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37">
        <f>SUM(F32:K32)</f>
        <v>0</v>
      </c>
    </row>
    <row r="33" spans="1:12" x14ac:dyDescent="0.35">
      <c r="A33" s="31">
        <f>A32+1</f>
        <v>16</v>
      </c>
      <c r="B33" s="66" t="s">
        <v>144</v>
      </c>
      <c r="C33" s="66"/>
      <c r="D33" s="66"/>
      <c r="E33" s="84"/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37">
        <f>SUM(F33:K33)</f>
        <v>0</v>
      </c>
    </row>
    <row r="34" spans="1:12" x14ac:dyDescent="0.35">
      <c r="A34" s="31">
        <f>A33+1</f>
        <v>17</v>
      </c>
      <c r="B34" s="66" t="s">
        <v>145</v>
      </c>
      <c r="C34" s="66"/>
      <c r="D34" s="66"/>
      <c r="E34" s="84"/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37">
        <f>SUM(F34:K34)</f>
        <v>0</v>
      </c>
    </row>
    <row r="35" spans="1:12" x14ac:dyDescent="0.35">
      <c r="B35" s="66"/>
      <c r="C35" s="66"/>
      <c r="D35" s="66"/>
      <c r="E35" s="84"/>
      <c r="F35" s="67"/>
      <c r="G35" s="67"/>
      <c r="H35" s="67"/>
      <c r="I35" s="67"/>
      <c r="J35" s="67"/>
      <c r="K35" s="67"/>
      <c r="L35" s="37"/>
    </row>
    <row r="36" spans="1:12" x14ac:dyDescent="0.35">
      <c r="B36" s="66"/>
      <c r="C36" s="66"/>
      <c r="D36" s="66"/>
      <c r="E36" s="84"/>
      <c r="F36" s="67"/>
      <c r="G36" s="67"/>
      <c r="H36" s="67"/>
      <c r="I36" s="67"/>
      <c r="J36" s="67"/>
      <c r="K36" s="67"/>
      <c r="L36" s="37"/>
    </row>
    <row r="37" spans="1:12" ht="15.45" x14ac:dyDescent="0.4">
      <c r="A37" s="31">
        <f>A26+1</f>
        <v>12</v>
      </c>
      <c r="B37" s="117" t="s">
        <v>393</v>
      </c>
      <c r="C37" s="66"/>
      <c r="D37" s="66"/>
      <c r="F37" s="37"/>
      <c r="G37" s="37"/>
      <c r="H37" s="37"/>
      <c r="I37" s="37"/>
      <c r="J37" s="37"/>
      <c r="K37" s="37"/>
      <c r="L37" s="37"/>
    </row>
    <row r="38" spans="1:12" ht="15.45" x14ac:dyDescent="0.4">
      <c r="B38" s="86"/>
      <c r="C38" s="66"/>
      <c r="D38" s="66"/>
      <c r="F38" s="37"/>
      <c r="G38" s="37"/>
      <c r="H38" s="37"/>
      <c r="I38" s="37"/>
      <c r="J38" s="37"/>
      <c r="K38" s="37"/>
      <c r="L38" s="37"/>
    </row>
    <row r="39" spans="1:12" x14ac:dyDescent="0.35">
      <c r="A39" s="31">
        <f>A37+1</f>
        <v>13</v>
      </c>
      <c r="B39" s="87" t="s">
        <v>366</v>
      </c>
      <c r="C39" s="66" t="s">
        <v>359</v>
      </c>
      <c r="D39" s="88"/>
      <c r="E39" s="59"/>
      <c r="F39" s="37"/>
      <c r="G39" s="37"/>
      <c r="H39" s="37"/>
      <c r="I39" s="37"/>
      <c r="J39" s="37"/>
      <c r="K39" s="37"/>
      <c r="L39" s="37"/>
    </row>
    <row r="40" spans="1:12" x14ac:dyDescent="0.35">
      <c r="A40" s="31">
        <f>A39+1</f>
        <v>14</v>
      </c>
      <c r="B40" s="82" t="s">
        <v>140</v>
      </c>
      <c r="C40" s="66"/>
      <c r="D40" s="66"/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37">
        <f>SUM(F40:K40)</f>
        <v>0</v>
      </c>
    </row>
    <row r="41" spans="1:12" x14ac:dyDescent="0.35">
      <c r="B41" s="66"/>
      <c r="C41" s="66"/>
      <c r="D41" s="66"/>
      <c r="F41" s="37"/>
      <c r="G41" s="37"/>
      <c r="H41" s="37"/>
      <c r="I41" s="37"/>
      <c r="J41" s="37"/>
      <c r="K41" s="37"/>
      <c r="L41" s="37"/>
    </row>
    <row r="42" spans="1:12" x14ac:dyDescent="0.35">
      <c r="A42" s="31">
        <f>A40+1</f>
        <v>15</v>
      </c>
      <c r="B42" s="66" t="s">
        <v>142</v>
      </c>
      <c r="C42" s="66"/>
      <c r="D42" s="66"/>
      <c r="E42" s="124"/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37">
        <f>SUM(F42:K42)</f>
        <v>0</v>
      </c>
    </row>
    <row r="43" spans="1:12" x14ac:dyDescent="0.35">
      <c r="A43" s="31">
        <f>A42+1</f>
        <v>16</v>
      </c>
      <c r="B43" s="66" t="s">
        <v>143</v>
      </c>
      <c r="C43" s="66"/>
      <c r="D43" s="66"/>
      <c r="E43" s="68"/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37">
        <f>SUM(F43:K43)</f>
        <v>0</v>
      </c>
    </row>
    <row r="44" spans="1:12" x14ac:dyDescent="0.35">
      <c r="A44" s="31">
        <f>A43+1</f>
        <v>17</v>
      </c>
      <c r="B44" s="66" t="s">
        <v>144</v>
      </c>
      <c r="C44" s="66"/>
      <c r="D44" s="66"/>
      <c r="E44" s="68"/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37">
        <f>SUM(F44:K44)</f>
        <v>0</v>
      </c>
    </row>
    <row r="45" spans="1:12" x14ac:dyDescent="0.35">
      <c r="A45" s="31">
        <f>A44+1</f>
        <v>18</v>
      </c>
      <c r="B45" s="66" t="s">
        <v>145</v>
      </c>
      <c r="C45" s="66"/>
      <c r="D45" s="66"/>
      <c r="E45" s="68"/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37">
        <f>SUM(F45:K45)</f>
        <v>0</v>
      </c>
    </row>
    <row r="46" spans="1:12" x14ac:dyDescent="0.35">
      <c r="B46" s="66"/>
      <c r="C46" s="66"/>
      <c r="D46" s="66"/>
      <c r="E46" s="68"/>
      <c r="F46" s="67"/>
      <c r="G46" s="67"/>
      <c r="H46" s="67"/>
      <c r="I46" s="67"/>
      <c r="J46" s="67"/>
      <c r="K46" s="67"/>
      <c r="L46" s="37"/>
    </row>
    <row r="47" spans="1:12" ht="15.45" x14ac:dyDescent="0.4">
      <c r="A47" s="31">
        <f>A45+1</f>
        <v>19</v>
      </c>
      <c r="B47" s="117" t="s">
        <v>394</v>
      </c>
      <c r="C47" s="66"/>
      <c r="D47" s="66"/>
      <c r="E47" s="69"/>
      <c r="F47" s="67"/>
      <c r="G47" s="67"/>
      <c r="H47" s="67"/>
      <c r="I47" s="67"/>
      <c r="J47" s="67"/>
      <c r="K47" s="67"/>
      <c r="L47" s="37"/>
    </row>
    <row r="48" spans="1:12" x14ac:dyDescent="0.35">
      <c r="B48" s="66"/>
      <c r="C48" s="66"/>
      <c r="D48" s="66"/>
      <c r="E48" s="69"/>
      <c r="F48" s="67"/>
      <c r="G48" s="67"/>
      <c r="H48" s="67"/>
      <c r="I48" s="67"/>
      <c r="J48" s="67"/>
      <c r="K48" s="67"/>
      <c r="L48" s="37"/>
    </row>
    <row r="49" spans="1:18" x14ac:dyDescent="0.35">
      <c r="A49" s="31">
        <f>A47+1</f>
        <v>20</v>
      </c>
      <c r="B49" s="87" t="s">
        <v>366</v>
      </c>
      <c r="C49" s="66" t="s">
        <v>350</v>
      </c>
      <c r="D49" s="88"/>
      <c r="E49" s="59"/>
      <c r="F49" s="37"/>
      <c r="G49" s="37"/>
      <c r="H49" s="37"/>
      <c r="I49" s="37"/>
      <c r="J49" s="37"/>
      <c r="K49" s="37"/>
      <c r="L49" s="37"/>
    </row>
    <row r="50" spans="1:18" x14ac:dyDescent="0.35">
      <c r="A50" s="31">
        <f>A49+1</f>
        <v>21</v>
      </c>
      <c r="B50" s="82" t="s">
        <v>140</v>
      </c>
      <c r="C50" s="66"/>
      <c r="D50" s="66"/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37">
        <f>SUM(F50:K50)</f>
        <v>0</v>
      </c>
    </row>
    <row r="51" spans="1:18" x14ac:dyDescent="0.35">
      <c r="B51" s="66"/>
      <c r="C51" s="66"/>
      <c r="D51" s="66"/>
      <c r="F51" s="37"/>
      <c r="G51" s="37"/>
      <c r="H51" s="37"/>
      <c r="I51" s="37"/>
      <c r="J51" s="37"/>
      <c r="K51" s="37"/>
      <c r="L51" s="37"/>
    </row>
    <row r="52" spans="1:18" x14ac:dyDescent="0.35">
      <c r="A52" s="31">
        <f>A50+1</f>
        <v>22</v>
      </c>
      <c r="B52" s="66" t="s">
        <v>351</v>
      </c>
      <c r="C52" s="66"/>
      <c r="D52" s="66"/>
      <c r="E52" s="124"/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37">
        <f>SUM(F52:K52)</f>
        <v>0</v>
      </c>
    </row>
    <row r="53" spans="1:18" x14ac:dyDescent="0.35">
      <c r="A53" s="31">
        <f>A52+1</f>
        <v>23</v>
      </c>
      <c r="B53" s="66" t="s">
        <v>352</v>
      </c>
      <c r="C53" s="66"/>
      <c r="D53" s="66"/>
      <c r="E53" s="298"/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37">
        <f>SUM(F53:K53)</f>
        <v>0</v>
      </c>
    </row>
    <row r="54" spans="1:18" x14ac:dyDescent="0.35">
      <c r="B54" s="66"/>
      <c r="C54" s="66"/>
      <c r="D54" s="66"/>
      <c r="E54" s="69"/>
      <c r="F54" s="67"/>
      <c r="G54" s="67"/>
      <c r="H54" s="67"/>
      <c r="I54" s="67"/>
      <c r="J54" s="67"/>
      <c r="K54" s="67"/>
      <c r="L54" s="37"/>
    </row>
    <row r="55" spans="1:18" x14ac:dyDescent="0.35">
      <c r="A55" s="31">
        <f>A53+1</f>
        <v>24</v>
      </c>
      <c r="B55" s="87" t="s">
        <v>366</v>
      </c>
      <c r="C55" s="66" t="s">
        <v>141</v>
      </c>
      <c r="D55" s="88"/>
      <c r="E55" s="59"/>
      <c r="F55" s="37"/>
      <c r="G55" s="37"/>
      <c r="H55" s="37"/>
      <c r="I55" s="37"/>
      <c r="J55" s="37"/>
      <c r="K55" s="37"/>
      <c r="L55" s="37"/>
    </row>
    <row r="56" spans="1:18" x14ac:dyDescent="0.35">
      <c r="A56" s="31">
        <f>A55+1</f>
        <v>25</v>
      </c>
      <c r="B56" s="82" t="s">
        <v>140</v>
      </c>
      <c r="C56" s="66"/>
      <c r="D56" s="66"/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37">
        <f>SUM(F56:K56)</f>
        <v>0</v>
      </c>
    </row>
    <row r="57" spans="1:18" x14ac:dyDescent="0.35">
      <c r="B57" s="66"/>
      <c r="C57" s="66"/>
      <c r="D57" s="66"/>
      <c r="F57" s="37"/>
      <c r="G57" s="37"/>
      <c r="H57" s="37"/>
      <c r="I57" s="37"/>
      <c r="J57" s="37"/>
      <c r="K57" s="37"/>
      <c r="L57" s="37"/>
    </row>
    <row r="58" spans="1:18" x14ac:dyDescent="0.35">
      <c r="A58" s="31">
        <f>A56+1</f>
        <v>26</v>
      </c>
      <c r="B58" s="31" t="s">
        <v>228</v>
      </c>
      <c r="C58" s="66"/>
      <c r="D58" s="66"/>
      <c r="E58" s="124"/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37">
        <f>SUM(F58:K58)</f>
        <v>0</v>
      </c>
    </row>
    <row r="59" spans="1:18" x14ac:dyDescent="0.35">
      <c r="A59" s="31">
        <f>A58+1</f>
        <v>27</v>
      </c>
      <c r="B59" s="31" t="s">
        <v>362</v>
      </c>
      <c r="C59" s="66"/>
      <c r="D59" s="66"/>
      <c r="E59" s="68"/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37">
        <f>SUM(F59:K59)</f>
        <v>0</v>
      </c>
    </row>
    <row r="60" spans="1:18" x14ac:dyDescent="0.35">
      <c r="A60" s="31">
        <v>28</v>
      </c>
      <c r="B60" s="31" t="s">
        <v>363</v>
      </c>
      <c r="C60" s="66"/>
      <c r="D60" s="66"/>
      <c r="E60" s="68"/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37"/>
    </row>
    <row r="61" spans="1:18" x14ac:dyDescent="0.35">
      <c r="B61" s="66"/>
      <c r="C61" s="66"/>
      <c r="D61" s="66"/>
      <c r="E61" s="68"/>
      <c r="F61" s="67"/>
      <c r="G61" s="67"/>
      <c r="H61" s="67"/>
      <c r="I61" s="67"/>
      <c r="J61" s="67"/>
      <c r="K61" s="67"/>
      <c r="L61" s="37"/>
    </row>
    <row r="62" spans="1:18" x14ac:dyDescent="0.35">
      <c r="B62" s="66"/>
      <c r="C62" s="66"/>
      <c r="D62" s="66"/>
      <c r="E62" s="69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37"/>
    </row>
    <row r="63" spans="1:18" ht="15.45" x14ac:dyDescent="0.4">
      <c r="A63" s="43"/>
      <c r="B63" s="43"/>
      <c r="C63" s="43"/>
      <c r="D63" s="43"/>
      <c r="E63" s="4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</row>
    <row r="64" spans="1:18" ht="15.45" x14ac:dyDescent="0.4">
      <c r="A64" s="35"/>
      <c r="B64" s="35"/>
      <c r="C64" s="35"/>
      <c r="D64" s="35"/>
      <c r="E64" s="35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</row>
    <row r="65" spans="2:19" x14ac:dyDescent="0.35"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2:19" ht="15.45" x14ac:dyDescent="0.4">
      <c r="B66" s="86"/>
      <c r="C66" s="6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8" spans="2:19" x14ac:dyDescent="0.35">
      <c r="B68" s="87"/>
      <c r="C68" s="66"/>
      <c r="D68" s="88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37"/>
    </row>
    <row r="69" spans="2:19" x14ac:dyDescent="0.35">
      <c r="B69" s="66"/>
      <c r="C69" s="66"/>
      <c r="D69" s="66"/>
      <c r="E69" s="69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37"/>
      <c r="S69" s="37"/>
    </row>
    <row r="70" spans="2:19" x14ac:dyDescent="0.35">
      <c r="B70" s="66"/>
      <c r="C70" s="66"/>
      <c r="D70" s="6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</row>
    <row r="71" spans="2:19" x14ac:dyDescent="0.35">
      <c r="B71" s="66"/>
      <c r="C71" s="66"/>
      <c r="D71" s="66"/>
      <c r="E71" s="69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37"/>
      <c r="S71" s="37"/>
    </row>
    <row r="72" spans="2:19" x14ac:dyDescent="0.35">
      <c r="B72" s="66"/>
      <c r="C72" s="66"/>
      <c r="D72" s="66"/>
      <c r="E72" s="69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37"/>
      <c r="S72" s="37"/>
    </row>
    <row r="73" spans="2:19" x14ac:dyDescent="0.35">
      <c r="B73" s="66"/>
      <c r="C73" s="66"/>
      <c r="D73" s="66"/>
      <c r="E73" s="69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37"/>
      <c r="S73" s="37"/>
    </row>
    <row r="74" spans="2:19" x14ac:dyDescent="0.35">
      <c r="B74" s="66"/>
      <c r="C74" s="66"/>
      <c r="D74" s="66"/>
      <c r="E74" s="69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37"/>
      <c r="S74" s="37"/>
    </row>
    <row r="75" spans="2:19" x14ac:dyDescent="0.35">
      <c r="B75" s="66"/>
      <c r="C75" s="66"/>
      <c r="D75" s="66"/>
      <c r="E75" s="69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37"/>
    </row>
    <row r="76" spans="2:19" x14ac:dyDescent="0.35">
      <c r="B76" s="87"/>
      <c r="C76" s="66"/>
      <c r="D76" s="88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37"/>
    </row>
    <row r="77" spans="2:19" x14ac:dyDescent="0.35">
      <c r="B77" s="66"/>
      <c r="C77" s="66"/>
      <c r="D77" s="66"/>
      <c r="E77" s="69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37"/>
      <c r="S77" s="37"/>
    </row>
    <row r="78" spans="2:19" x14ac:dyDescent="0.35">
      <c r="B78" s="66"/>
      <c r="C78" s="66"/>
      <c r="D78" s="6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</row>
    <row r="79" spans="2:19" x14ac:dyDescent="0.35">
      <c r="B79" s="66"/>
      <c r="C79" s="66"/>
      <c r="D79" s="66"/>
      <c r="E79" s="69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37"/>
      <c r="S79" s="37"/>
    </row>
    <row r="80" spans="2:19" x14ac:dyDescent="0.35">
      <c r="B80" s="66"/>
      <c r="C80" s="66"/>
      <c r="D80" s="66"/>
      <c r="E80" s="69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37"/>
      <c r="S80" s="37"/>
    </row>
    <row r="81" spans="2:19" x14ac:dyDescent="0.35">
      <c r="B81" s="66"/>
      <c r="C81" s="66"/>
      <c r="D81" s="66"/>
      <c r="E81" s="69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37"/>
      <c r="S81" s="37"/>
    </row>
    <row r="82" spans="2:19" x14ac:dyDescent="0.35">
      <c r="B82" s="66"/>
      <c r="C82" s="66"/>
      <c r="D82" s="66"/>
      <c r="E82" s="69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37"/>
      <c r="S82" s="37"/>
    </row>
    <row r="83" spans="2:19" x14ac:dyDescent="0.35">
      <c r="B83" s="66"/>
      <c r="C83" s="66"/>
      <c r="D83" s="66"/>
      <c r="E83" s="69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37"/>
      <c r="S83" s="37"/>
    </row>
    <row r="84" spans="2:19" x14ac:dyDescent="0.35">
      <c r="B84" s="87"/>
      <c r="C84" s="66"/>
      <c r="D84" s="88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37"/>
    </row>
    <row r="85" spans="2:19" x14ac:dyDescent="0.35">
      <c r="B85" s="66"/>
      <c r="C85" s="66"/>
      <c r="D85" s="66"/>
      <c r="E85" s="69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37"/>
      <c r="S85" s="37"/>
    </row>
    <row r="86" spans="2:19" x14ac:dyDescent="0.35">
      <c r="B86" s="66"/>
      <c r="C86" s="66"/>
      <c r="D86" s="6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</row>
    <row r="87" spans="2:19" x14ac:dyDescent="0.35">
      <c r="B87" s="66"/>
      <c r="C87" s="66"/>
      <c r="D87" s="66"/>
      <c r="E87" s="66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37"/>
      <c r="S87" s="37"/>
    </row>
    <row r="88" spans="2:19" x14ac:dyDescent="0.35">
      <c r="B88" s="66"/>
      <c r="C88" s="66"/>
      <c r="D88" s="66"/>
      <c r="E88" s="66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37"/>
      <c r="S88" s="37"/>
    </row>
    <row r="89" spans="2:19" x14ac:dyDescent="0.35">
      <c r="B89" s="66"/>
      <c r="C89" s="66"/>
      <c r="D89" s="66"/>
      <c r="E89" s="66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37"/>
    </row>
    <row r="90" spans="2:19" x14ac:dyDescent="0.35">
      <c r="B90" s="66"/>
      <c r="C90" s="66"/>
      <c r="D90" s="66"/>
      <c r="E90" s="66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37"/>
    </row>
    <row r="91" spans="2:19" x14ac:dyDescent="0.35">
      <c r="B91" s="66"/>
      <c r="C91" s="66"/>
      <c r="D91" s="66"/>
      <c r="E91" s="66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37"/>
    </row>
    <row r="94" spans="2:19" x14ac:dyDescent="0.35">
      <c r="B94" s="87"/>
      <c r="C94" s="66"/>
      <c r="D94" s="88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37"/>
    </row>
    <row r="95" spans="2:19" x14ac:dyDescent="0.35">
      <c r="B95" s="66"/>
      <c r="C95" s="66"/>
      <c r="D95" s="66"/>
      <c r="E95" s="69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37"/>
      <c r="S95" s="37"/>
    </row>
    <row r="96" spans="2:19" x14ac:dyDescent="0.35">
      <c r="B96" s="66"/>
      <c r="C96" s="66"/>
      <c r="D96" s="6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</row>
    <row r="97" spans="1:19" x14ac:dyDescent="0.35">
      <c r="B97" s="66"/>
      <c r="C97" s="66"/>
      <c r="D97" s="66"/>
      <c r="E97" s="69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37"/>
      <c r="S97" s="37"/>
    </row>
    <row r="98" spans="1:19" x14ac:dyDescent="0.35">
      <c r="B98" s="66"/>
      <c r="C98" s="66"/>
      <c r="D98" s="66"/>
      <c r="E98" s="69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37"/>
      <c r="S98" s="37"/>
    </row>
    <row r="99" spans="1:19" x14ac:dyDescent="0.35">
      <c r="B99" s="66"/>
      <c r="C99" s="66"/>
      <c r="D99" s="66"/>
      <c r="E99" s="69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37"/>
      <c r="S99" s="37"/>
    </row>
    <row r="100" spans="1:19" x14ac:dyDescent="0.35">
      <c r="B100" s="66"/>
      <c r="C100" s="66"/>
      <c r="D100" s="66"/>
      <c r="E100" s="69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37"/>
    </row>
    <row r="101" spans="1:19" x14ac:dyDescent="0.35">
      <c r="B101" s="66"/>
      <c r="C101" s="66"/>
      <c r="D101" s="66"/>
      <c r="E101" s="69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37"/>
      <c r="S101" s="37"/>
    </row>
    <row r="102" spans="1:19" x14ac:dyDescent="0.35">
      <c r="B102" s="66"/>
      <c r="C102" s="66"/>
      <c r="D102" s="66"/>
      <c r="E102" s="69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37"/>
      <c r="S102" s="37"/>
    </row>
    <row r="103" spans="1:19" x14ac:dyDescent="0.35">
      <c r="B103" s="66"/>
      <c r="C103" s="66"/>
      <c r="D103" s="66"/>
      <c r="E103" s="69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37"/>
    </row>
    <row r="104" spans="1:19" x14ac:dyDescent="0.35">
      <c r="B104" s="66"/>
      <c r="C104" s="66"/>
      <c r="D104" s="66"/>
      <c r="E104" s="69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37"/>
    </row>
    <row r="105" spans="1:19" x14ac:dyDescent="0.35">
      <c r="B105" s="66"/>
      <c r="C105" s="66"/>
      <c r="D105" s="66"/>
      <c r="E105" s="69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37"/>
    </row>
    <row r="106" spans="1:19" x14ac:dyDescent="0.35">
      <c r="B106" s="66"/>
      <c r="C106" s="66"/>
      <c r="D106" s="66"/>
      <c r="E106" s="69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7"/>
    </row>
    <row r="107" spans="1:19" x14ac:dyDescent="0.35">
      <c r="B107" s="66"/>
      <c r="C107" s="66"/>
      <c r="D107" s="66"/>
      <c r="E107" s="69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7"/>
    </row>
    <row r="108" spans="1:19" x14ac:dyDescent="0.35">
      <c r="B108" s="66"/>
      <c r="C108" s="66"/>
      <c r="D108" s="66"/>
      <c r="E108" s="69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37"/>
      <c r="Q108" s="37"/>
      <c r="R108" s="37"/>
    </row>
    <row r="109" spans="1:19" ht="15.45" x14ac:dyDescent="0.4">
      <c r="F109" s="37"/>
      <c r="G109" s="89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9" ht="15.45" x14ac:dyDescent="0.4">
      <c r="E110" s="35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70"/>
      <c r="Q110" s="70"/>
      <c r="R110" s="37"/>
    </row>
    <row r="111" spans="1:19" ht="15.45" x14ac:dyDescent="0.4">
      <c r="F111" s="89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1:19" ht="15.45" x14ac:dyDescent="0.4">
      <c r="A112" s="35"/>
      <c r="B112" s="35"/>
      <c r="C112" s="35"/>
      <c r="D112" s="35"/>
      <c r="E112" s="35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37"/>
    </row>
    <row r="113" spans="1:19" ht="15.45" x14ac:dyDescent="0.4">
      <c r="A113" s="35"/>
      <c r="B113" s="35"/>
      <c r="C113" s="35"/>
      <c r="D113" s="32"/>
      <c r="E113" s="35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9" ht="15.45" x14ac:dyDescent="0.4">
      <c r="A114" s="35"/>
      <c r="B114" s="35"/>
      <c r="C114" s="35"/>
      <c r="D114" s="32"/>
      <c r="E114" s="35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1:19" ht="15.45" x14ac:dyDescent="0.4">
      <c r="A115" s="32"/>
      <c r="B115" s="35"/>
      <c r="C115" s="32"/>
      <c r="D115" s="32"/>
      <c r="E115" s="75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1:19" ht="15.45" x14ac:dyDescent="0.4">
      <c r="A116" s="43"/>
      <c r="B116" s="43"/>
      <c r="C116" s="43"/>
      <c r="D116" s="43"/>
      <c r="E116" s="4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</row>
    <row r="117" spans="1:19" ht="15.45" x14ac:dyDescent="0.4">
      <c r="A117" s="35"/>
      <c r="B117" s="35"/>
      <c r="C117" s="35"/>
      <c r="D117" s="35"/>
      <c r="E117" s="35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</row>
    <row r="118" spans="1:19" x14ac:dyDescent="0.35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1:19" ht="15.45" x14ac:dyDescent="0.4">
      <c r="B119" s="86"/>
      <c r="C119" s="6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1:19" x14ac:dyDescent="0.35">
      <c r="B120" s="66"/>
      <c r="C120" s="66"/>
      <c r="D120" s="66"/>
      <c r="E120" s="69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37"/>
    </row>
    <row r="121" spans="1:19" x14ac:dyDescent="0.35">
      <c r="B121" s="87"/>
      <c r="C121" s="66"/>
      <c r="D121" s="88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37"/>
    </row>
    <row r="122" spans="1:19" x14ac:dyDescent="0.35">
      <c r="B122" s="66"/>
      <c r="C122" s="66"/>
      <c r="D122" s="66"/>
      <c r="E122" s="69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37"/>
      <c r="S122" s="37"/>
    </row>
    <row r="123" spans="1:19" x14ac:dyDescent="0.35">
      <c r="B123" s="66"/>
      <c r="C123" s="66"/>
      <c r="D123" s="6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</row>
    <row r="124" spans="1:19" x14ac:dyDescent="0.35">
      <c r="B124" s="66"/>
      <c r="C124" s="66"/>
      <c r="D124" s="66"/>
      <c r="E124" s="66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37"/>
      <c r="S124" s="37"/>
    </row>
    <row r="125" spans="1:19" x14ac:dyDescent="0.35">
      <c r="B125" s="66"/>
      <c r="C125" s="66"/>
      <c r="D125" s="66"/>
      <c r="E125" s="66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37"/>
      <c r="S125" s="37"/>
    </row>
    <row r="126" spans="1:19" x14ac:dyDescent="0.35">
      <c r="B126" s="66"/>
      <c r="C126" s="66"/>
      <c r="D126" s="66"/>
      <c r="E126" s="66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37"/>
    </row>
    <row r="127" spans="1:19" x14ac:dyDescent="0.35">
      <c r="B127" s="66"/>
      <c r="C127" s="66"/>
      <c r="D127" s="66"/>
      <c r="E127" s="66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37"/>
    </row>
    <row r="128" spans="1:19" x14ac:dyDescent="0.35">
      <c r="B128" s="66"/>
      <c r="C128" s="66"/>
      <c r="D128" s="66"/>
      <c r="E128" s="66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37"/>
    </row>
    <row r="131" spans="2:19" x14ac:dyDescent="0.35">
      <c r="B131" s="87"/>
      <c r="C131" s="66"/>
      <c r="D131" s="88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37"/>
    </row>
    <row r="132" spans="2:19" x14ac:dyDescent="0.35">
      <c r="B132" s="66"/>
      <c r="C132" s="66"/>
      <c r="D132" s="66"/>
      <c r="E132" s="69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37"/>
      <c r="S132" s="37"/>
    </row>
    <row r="133" spans="2:19" x14ac:dyDescent="0.35">
      <c r="B133" s="66"/>
      <c r="C133" s="66"/>
      <c r="D133" s="66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2:19" x14ac:dyDescent="0.35">
      <c r="B134" s="66"/>
      <c r="C134" s="66"/>
      <c r="D134" s="66"/>
      <c r="E134" s="69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37"/>
      <c r="S134" s="37"/>
    </row>
    <row r="135" spans="2:19" x14ac:dyDescent="0.35">
      <c r="B135" s="66"/>
      <c r="C135" s="66"/>
      <c r="D135" s="66"/>
      <c r="E135" s="69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37"/>
      <c r="S135" s="37"/>
    </row>
    <row r="136" spans="2:19" x14ac:dyDescent="0.35">
      <c r="B136" s="66"/>
      <c r="C136" s="66"/>
      <c r="D136" s="66"/>
      <c r="E136" s="69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37"/>
      <c r="S136" s="37"/>
    </row>
    <row r="137" spans="2:19" x14ac:dyDescent="0.35">
      <c r="B137" s="66"/>
      <c r="C137" s="66"/>
      <c r="D137" s="66"/>
      <c r="E137" s="69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37"/>
    </row>
    <row r="138" spans="2:19" x14ac:dyDescent="0.35">
      <c r="B138" s="66"/>
      <c r="C138" s="66"/>
      <c r="D138" s="66"/>
      <c r="E138" s="69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37"/>
    </row>
    <row r="139" spans="2:19" x14ac:dyDescent="0.35">
      <c r="B139" s="87"/>
      <c r="C139" s="66"/>
      <c r="D139" s="88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37"/>
    </row>
    <row r="140" spans="2:19" x14ac:dyDescent="0.35">
      <c r="B140" s="66"/>
      <c r="C140" s="66"/>
      <c r="D140" s="66"/>
      <c r="E140" s="69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37"/>
      <c r="S140" s="37"/>
    </row>
    <row r="141" spans="2:19" x14ac:dyDescent="0.35">
      <c r="B141" s="66"/>
      <c r="C141" s="66"/>
      <c r="D141" s="66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2:19" x14ac:dyDescent="0.35">
      <c r="B142" s="66"/>
      <c r="C142" s="66"/>
      <c r="D142" s="66"/>
      <c r="E142" s="66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37"/>
      <c r="S142" s="37"/>
    </row>
    <row r="143" spans="2:19" x14ac:dyDescent="0.35">
      <c r="B143" s="66"/>
      <c r="C143" s="66"/>
      <c r="D143" s="66"/>
      <c r="E143" s="66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37"/>
      <c r="S143" s="37"/>
    </row>
    <row r="144" spans="2:19" x14ac:dyDescent="0.35">
      <c r="B144" s="66"/>
      <c r="C144" s="66"/>
      <c r="D144" s="66"/>
      <c r="E144" s="66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37"/>
    </row>
    <row r="145" spans="2:19" x14ac:dyDescent="0.35">
      <c r="B145" s="66"/>
      <c r="C145" s="66"/>
      <c r="D145" s="66"/>
      <c r="E145" s="66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37"/>
    </row>
    <row r="146" spans="2:19" x14ac:dyDescent="0.35">
      <c r="B146" s="66"/>
      <c r="C146" s="66"/>
      <c r="D146" s="66"/>
      <c r="E146" s="66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37"/>
    </row>
    <row r="149" spans="2:19" x14ac:dyDescent="0.35">
      <c r="B149" s="87"/>
      <c r="C149" s="66"/>
      <c r="D149" s="88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37"/>
    </row>
    <row r="150" spans="2:19" x14ac:dyDescent="0.35">
      <c r="B150" s="66"/>
      <c r="C150" s="66"/>
      <c r="D150" s="66"/>
      <c r="E150" s="69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37"/>
      <c r="S150" s="37"/>
    </row>
    <row r="151" spans="2:19" x14ac:dyDescent="0.35">
      <c r="B151" s="66"/>
      <c r="C151" s="66"/>
      <c r="D151" s="66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2:19" x14ac:dyDescent="0.35">
      <c r="B152" s="66"/>
      <c r="C152" s="66"/>
      <c r="D152" s="66"/>
      <c r="E152" s="69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37"/>
      <c r="S152" s="37"/>
    </row>
    <row r="153" spans="2:19" x14ac:dyDescent="0.35">
      <c r="B153" s="66"/>
      <c r="C153" s="66"/>
      <c r="D153" s="66"/>
      <c r="E153" s="69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37"/>
      <c r="S153" s="37"/>
    </row>
    <row r="154" spans="2:19" x14ac:dyDescent="0.35">
      <c r="B154" s="66"/>
      <c r="C154" s="66"/>
      <c r="D154" s="66"/>
      <c r="E154" s="69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37"/>
      <c r="S154" s="37"/>
    </row>
    <row r="155" spans="2:19" x14ac:dyDescent="0.35">
      <c r="B155" s="66"/>
      <c r="C155" s="66"/>
      <c r="D155" s="66"/>
      <c r="E155" s="69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37"/>
    </row>
    <row r="156" spans="2:19" x14ac:dyDescent="0.35">
      <c r="B156" s="66"/>
      <c r="C156" s="66"/>
      <c r="D156" s="66"/>
      <c r="E156" s="69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37"/>
    </row>
    <row r="157" spans="2:19" x14ac:dyDescent="0.35">
      <c r="C157" s="66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2:19" x14ac:dyDescent="0.35">
      <c r="B158" s="66"/>
      <c r="C158" s="66"/>
      <c r="D158" s="66"/>
      <c r="E158" s="69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37"/>
    </row>
    <row r="159" spans="2:19" x14ac:dyDescent="0.35">
      <c r="B159" s="66"/>
      <c r="C159" s="66"/>
      <c r="D159" s="66"/>
      <c r="E159" s="69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37"/>
    </row>
    <row r="160" spans="2:19" x14ac:dyDescent="0.35">
      <c r="B160" s="66"/>
      <c r="C160" s="66"/>
      <c r="D160" s="66"/>
      <c r="E160" s="69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37"/>
    </row>
    <row r="161" spans="2:18" x14ac:dyDescent="0.35">
      <c r="B161" s="66"/>
      <c r="C161" s="66"/>
      <c r="D161" s="66"/>
      <c r="E161" s="69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37"/>
    </row>
    <row r="162" spans="2:18" x14ac:dyDescent="0.35">
      <c r="B162" s="66"/>
      <c r="C162" s="66"/>
      <c r="D162" s="66"/>
      <c r="E162" s="69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37"/>
    </row>
    <row r="163" spans="2:18" x14ac:dyDescent="0.35">
      <c r="B163" s="66"/>
      <c r="C163" s="66"/>
      <c r="D163" s="66"/>
      <c r="E163" s="69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37"/>
    </row>
    <row r="164" spans="2:18" x14ac:dyDescent="0.35">
      <c r="B164" s="66"/>
      <c r="C164" s="66"/>
      <c r="D164" s="66"/>
      <c r="E164" s="69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37"/>
    </row>
    <row r="165" spans="2:18" x14ac:dyDescent="0.35">
      <c r="B165" s="66"/>
      <c r="C165" s="66"/>
      <c r="D165" s="66"/>
      <c r="E165" s="69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37"/>
    </row>
    <row r="166" spans="2:18" x14ac:dyDescent="0.35">
      <c r="B166" s="66"/>
      <c r="C166" s="66"/>
      <c r="D166" s="66"/>
      <c r="E166" s="69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37"/>
    </row>
    <row r="167" spans="2:18" x14ac:dyDescent="0.35">
      <c r="B167" s="66"/>
      <c r="C167" s="66"/>
      <c r="D167" s="66"/>
      <c r="E167" s="69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37"/>
    </row>
    <row r="168" spans="2:18" x14ac:dyDescent="0.35">
      <c r="B168" s="66"/>
      <c r="C168" s="66"/>
      <c r="D168" s="66"/>
      <c r="E168" s="69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37"/>
    </row>
    <row r="169" spans="2:18" x14ac:dyDescent="0.35">
      <c r="B169" s="66"/>
      <c r="C169" s="66"/>
      <c r="D169" s="66"/>
      <c r="E169" s="69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37"/>
    </row>
    <row r="170" spans="2:18" x14ac:dyDescent="0.35">
      <c r="B170" s="66"/>
      <c r="C170" s="66"/>
      <c r="D170" s="66"/>
      <c r="E170" s="69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37"/>
    </row>
    <row r="171" spans="2:18" x14ac:dyDescent="0.35">
      <c r="B171" s="66"/>
      <c r="C171" s="66"/>
      <c r="D171" s="66"/>
      <c r="E171" s="69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37"/>
    </row>
    <row r="172" spans="2:18" x14ac:dyDescent="0.35">
      <c r="B172" s="66"/>
      <c r="C172" s="66"/>
      <c r="D172" s="66"/>
      <c r="E172" s="69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37"/>
    </row>
    <row r="173" spans="2:18" x14ac:dyDescent="0.35">
      <c r="B173" s="66"/>
      <c r="C173" s="66"/>
      <c r="D173" s="66"/>
      <c r="E173" s="69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37"/>
    </row>
    <row r="174" spans="2:18" x14ac:dyDescent="0.35">
      <c r="B174" s="66"/>
      <c r="C174" s="66"/>
      <c r="D174" s="66"/>
      <c r="E174" s="69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37"/>
    </row>
    <row r="175" spans="2:18" x14ac:dyDescent="0.35">
      <c r="B175" s="66"/>
      <c r="C175" s="66"/>
      <c r="D175" s="66"/>
      <c r="E175" s="69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37"/>
    </row>
    <row r="176" spans="2:18" x14ac:dyDescent="0.35">
      <c r="B176" s="66"/>
      <c r="C176" s="66"/>
      <c r="D176" s="66"/>
      <c r="E176" s="69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37"/>
    </row>
    <row r="177" spans="2:18" x14ac:dyDescent="0.35">
      <c r="B177" s="66"/>
      <c r="C177" s="66"/>
      <c r="D177" s="66"/>
      <c r="E177" s="69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37"/>
    </row>
    <row r="178" spans="2:18" x14ac:dyDescent="0.35">
      <c r="B178" s="66"/>
      <c r="C178" s="66"/>
      <c r="D178" s="66"/>
      <c r="E178" s="69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37"/>
    </row>
    <row r="179" spans="2:18" x14ac:dyDescent="0.35">
      <c r="B179" s="66"/>
      <c r="C179" s="66"/>
      <c r="D179" s="66"/>
      <c r="E179" s="69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37"/>
    </row>
    <row r="180" spans="2:18" x14ac:dyDescent="0.35">
      <c r="B180" s="66"/>
      <c r="C180" s="66"/>
      <c r="D180" s="66"/>
      <c r="E180" s="69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37"/>
    </row>
    <row r="181" spans="2:18" x14ac:dyDescent="0.35">
      <c r="B181" s="66"/>
      <c r="C181" s="66"/>
      <c r="D181" s="66"/>
      <c r="E181" s="69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37"/>
    </row>
    <row r="182" spans="2:18" x14ac:dyDescent="0.35">
      <c r="B182" s="66"/>
      <c r="C182" s="66"/>
      <c r="D182" s="66"/>
      <c r="E182" s="69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37"/>
    </row>
    <row r="183" spans="2:18" x14ac:dyDescent="0.35">
      <c r="B183" s="66"/>
      <c r="C183" s="66"/>
      <c r="D183" s="66"/>
      <c r="E183" s="69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37"/>
    </row>
    <row r="184" spans="2:18" x14ac:dyDescent="0.35">
      <c r="B184" s="66"/>
      <c r="C184" s="66"/>
      <c r="D184" s="66"/>
      <c r="E184" s="69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37"/>
    </row>
    <row r="185" spans="2:18" x14ac:dyDescent="0.35">
      <c r="B185" s="66"/>
      <c r="C185" s="66"/>
      <c r="D185" s="66"/>
      <c r="E185" s="69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37"/>
    </row>
    <row r="186" spans="2:18" x14ac:dyDescent="0.35">
      <c r="B186" s="66"/>
      <c r="C186" s="66"/>
      <c r="D186" s="66"/>
      <c r="E186" s="69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37"/>
    </row>
    <row r="187" spans="2:18" x14ac:dyDescent="0.35">
      <c r="B187" s="66"/>
      <c r="C187" s="66"/>
      <c r="D187" s="66"/>
      <c r="E187" s="69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37"/>
    </row>
    <row r="188" spans="2:18" x14ac:dyDescent="0.35">
      <c r="B188" s="66"/>
      <c r="C188" s="66"/>
      <c r="D188" s="66"/>
      <c r="E188" s="69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37"/>
    </row>
    <row r="189" spans="2:18" x14ac:dyDescent="0.35">
      <c r="B189" s="66"/>
      <c r="C189" s="66"/>
      <c r="D189" s="66"/>
      <c r="E189" s="69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37"/>
    </row>
    <row r="190" spans="2:18" x14ac:dyDescent="0.35">
      <c r="B190" s="66"/>
      <c r="C190" s="66"/>
      <c r="D190" s="66"/>
      <c r="E190" s="69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37"/>
    </row>
    <row r="191" spans="2:18" x14ac:dyDescent="0.35">
      <c r="B191" s="66"/>
      <c r="C191" s="66"/>
      <c r="D191" s="66"/>
      <c r="E191" s="69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37"/>
    </row>
    <row r="192" spans="2:18" x14ac:dyDescent="0.35">
      <c r="B192" s="66"/>
      <c r="C192" s="66"/>
      <c r="D192" s="66"/>
      <c r="E192" s="69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37"/>
    </row>
    <row r="193" spans="2:18" x14ac:dyDescent="0.35">
      <c r="B193" s="66"/>
      <c r="C193" s="66"/>
      <c r="D193" s="66"/>
      <c r="E193" s="69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37"/>
    </row>
    <row r="194" spans="2:18" x14ac:dyDescent="0.35">
      <c r="B194" s="66"/>
      <c r="C194" s="66"/>
      <c r="D194" s="66"/>
      <c r="E194" s="69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37"/>
    </row>
    <row r="195" spans="2:18" x14ac:dyDescent="0.35">
      <c r="B195" s="66"/>
      <c r="C195" s="66"/>
      <c r="D195" s="66"/>
      <c r="E195" s="69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37"/>
    </row>
    <row r="196" spans="2:18" x14ac:dyDescent="0.35">
      <c r="B196" s="66"/>
      <c r="C196" s="66"/>
      <c r="D196" s="66"/>
      <c r="E196" s="69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37"/>
    </row>
    <row r="197" spans="2:18" x14ac:dyDescent="0.35">
      <c r="B197" s="66"/>
      <c r="C197" s="66"/>
      <c r="D197" s="66"/>
      <c r="E197" s="69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37"/>
    </row>
    <row r="198" spans="2:18" x14ac:dyDescent="0.35">
      <c r="B198" s="66"/>
      <c r="C198" s="66"/>
      <c r="D198" s="66"/>
      <c r="E198" s="69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37"/>
    </row>
    <row r="199" spans="2:18" x14ac:dyDescent="0.35">
      <c r="B199" s="66"/>
      <c r="C199" s="66"/>
      <c r="D199" s="66"/>
      <c r="E199" s="69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37"/>
    </row>
    <row r="200" spans="2:18" x14ac:dyDescent="0.35">
      <c r="B200" s="66"/>
      <c r="C200" s="66"/>
      <c r="D200" s="66"/>
      <c r="E200" s="69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37"/>
    </row>
    <row r="201" spans="2:18" x14ac:dyDescent="0.35">
      <c r="B201" s="66"/>
      <c r="C201" s="66"/>
      <c r="D201" s="66"/>
      <c r="E201" s="69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37"/>
    </row>
    <row r="202" spans="2:18" x14ac:dyDescent="0.35">
      <c r="B202" s="66"/>
      <c r="C202" s="66"/>
      <c r="D202" s="66"/>
      <c r="E202" s="69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37"/>
    </row>
    <row r="203" spans="2:18" x14ac:dyDescent="0.35">
      <c r="B203" s="66"/>
      <c r="C203" s="66"/>
      <c r="D203" s="66"/>
      <c r="E203" s="69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37"/>
    </row>
    <row r="204" spans="2:18" x14ac:dyDescent="0.35">
      <c r="B204" s="66"/>
      <c r="C204" s="66"/>
      <c r="D204" s="66"/>
      <c r="E204" s="69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37"/>
    </row>
    <row r="205" spans="2:18" x14ac:dyDescent="0.35">
      <c r="B205" s="66"/>
      <c r="C205" s="66"/>
      <c r="D205" s="66"/>
      <c r="E205" s="69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37"/>
    </row>
    <row r="206" spans="2:18" x14ac:dyDescent="0.35">
      <c r="B206" s="66"/>
      <c r="C206" s="66"/>
      <c r="D206" s="66"/>
      <c r="E206" s="69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37"/>
    </row>
    <row r="207" spans="2:18" x14ac:dyDescent="0.35">
      <c r="B207" s="66"/>
      <c r="C207" s="66"/>
      <c r="D207" s="66"/>
      <c r="E207" s="69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37"/>
    </row>
    <row r="208" spans="2:18" x14ac:dyDescent="0.35">
      <c r="B208" s="66"/>
      <c r="C208" s="66"/>
      <c r="D208" s="66"/>
      <c r="E208" s="69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37"/>
    </row>
    <row r="209" spans="2:19" x14ac:dyDescent="0.35">
      <c r="B209" s="66"/>
      <c r="C209" s="66"/>
      <c r="D209" s="66"/>
      <c r="E209" s="69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37"/>
    </row>
    <row r="210" spans="2:19" x14ac:dyDescent="0.35">
      <c r="B210" s="66"/>
      <c r="C210" s="66"/>
      <c r="D210" s="66"/>
      <c r="E210" s="69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37"/>
    </row>
    <row r="211" spans="2:19" x14ac:dyDescent="0.35">
      <c r="B211" s="66"/>
      <c r="C211" s="66"/>
      <c r="D211" s="66"/>
      <c r="E211" s="69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37"/>
    </row>
    <row r="212" spans="2:19" x14ac:dyDescent="0.35">
      <c r="B212" s="66"/>
      <c r="C212" s="66"/>
      <c r="D212" s="66"/>
      <c r="E212" s="69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37"/>
    </row>
    <row r="213" spans="2:19" x14ac:dyDescent="0.35">
      <c r="B213" s="66"/>
      <c r="C213" s="66"/>
      <c r="D213" s="66"/>
      <c r="E213" s="69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37"/>
    </row>
    <row r="214" spans="2:19" x14ac:dyDescent="0.35">
      <c r="B214" s="66"/>
      <c r="C214" s="66"/>
      <c r="D214" s="66"/>
      <c r="E214" s="69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37"/>
    </row>
    <row r="215" spans="2:19" x14ac:dyDescent="0.35">
      <c r="B215" s="66"/>
      <c r="C215" s="66"/>
      <c r="D215" s="66"/>
      <c r="E215" s="69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37"/>
    </row>
    <row r="216" spans="2:19" x14ac:dyDescent="0.35">
      <c r="B216" s="66"/>
      <c r="C216" s="66"/>
      <c r="D216" s="66"/>
      <c r="E216" s="69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37"/>
      <c r="S216" s="37"/>
    </row>
    <row r="217" spans="2:19" x14ac:dyDescent="0.35">
      <c r="B217" s="66"/>
      <c r="C217" s="66"/>
      <c r="D217" s="66"/>
      <c r="E217" s="69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37"/>
      <c r="S217" s="37"/>
    </row>
    <row r="218" spans="2:19" x14ac:dyDescent="0.35">
      <c r="B218" s="66"/>
      <c r="C218" s="66"/>
      <c r="D218" s="66"/>
      <c r="E218" s="69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37"/>
      <c r="S218" s="37"/>
    </row>
    <row r="219" spans="2:19" x14ac:dyDescent="0.35">
      <c r="B219" s="66"/>
      <c r="C219" s="66"/>
      <c r="D219" s="66"/>
      <c r="E219" s="69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37"/>
      <c r="S219" s="37"/>
    </row>
    <row r="220" spans="2:19" ht="12" customHeight="1" x14ac:dyDescent="0.35">
      <c r="B220" s="66"/>
      <c r="C220" s="66"/>
      <c r="D220" s="66"/>
      <c r="E220" s="69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37"/>
      <c r="S220" s="37"/>
    </row>
    <row r="221" spans="2:19" x14ac:dyDescent="0.35">
      <c r="B221" s="66"/>
      <c r="C221" s="66"/>
      <c r="D221" s="66"/>
      <c r="E221" s="69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37"/>
    </row>
    <row r="230" spans="6:18" x14ac:dyDescent="0.35"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6:18" x14ac:dyDescent="0.35"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6:18" x14ac:dyDescent="0.35"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6:18" x14ac:dyDescent="0.35"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</row>
    <row r="234" spans="6:18" x14ac:dyDescent="0.35"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</row>
    <row r="236" spans="6:18" x14ac:dyDescent="0.35"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6:18" x14ac:dyDescent="0.35"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</row>
    <row r="238" spans="6:18" x14ac:dyDescent="0.35"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</row>
    <row r="240" spans="6:18" x14ac:dyDescent="0.35"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</row>
    <row r="242" spans="6:18" x14ac:dyDescent="0.35"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6"/>
    </row>
    <row r="243" spans="6:18" x14ac:dyDescent="0.35"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6:18" x14ac:dyDescent="0.35"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</row>
    <row r="245" spans="6:18" x14ac:dyDescent="0.35"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</row>
    <row r="246" spans="6:18" x14ac:dyDescent="0.35"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</row>
    <row r="248" spans="6:18" x14ac:dyDescent="0.35"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</row>
  </sheetData>
  <mergeCells count="3">
    <mergeCell ref="A1:L1"/>
    <mergeCell ref="A2:L2"/>
    <mergeCell ref="A3:L3"/>
  </mergeCells>
  <phoneticPr fontId="0" type="noConversion"/>
  <printOptions horizontalCentered="1"/>
  <pageMargins left="0" right="0" top="1" bottom="0.25" header="0.5" footer="0.5"/>
  <pageSetup scale="56" orientation="portrait" r:id="rId1"/>
  <headerFooter alignWithMargins="0"/>
  <rowBreaks count="1" manualBreakCount="1">
    <brk id="594" max="65535" man="1"/>
  </rowBreaks>
  <colBreaks count="1" manualBreakCount="1">
    <brk id="12" max="9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codeName="Sheet16">
    <pageSetUpPr fitToPage="1"/>
  </sheetPr>
  <dimension ref="A1:R163"/>
  <sheetViews>
    <sheetView tabSelected="1" zoomScale="80" zoomScaleNormal="80" zoomScaleSheetLayoutView="70" workbookViewId="0">
      <selection sqref="A1:O1"/>
    </sheetView>
  </sheetViews>
  <sheetFormatPr defaultColWidth="10" defaultRowHeight="14.15" x14ac:dyDescent="0.35"/>
  <cols>
    <col min="1" max="1" width="8.44140625" style="222" customWidth="1"/>
    <col min="2" max="2" width="51.44140625" style="222" customWidth="1"/>
    <col min="3" max="3" width="24" style="222" bestFit="1" customWidth="1"/>
    <col min="4" max="4" width="22.21875" style="222" bestFit="1" customWidth="1"/>
    <col min="5" max="5" width="21.44140625" style="222" bestFit="1" customWidth="1"/>
    <col min="6" max="6" width="22.44140625" style="222" bestFit="1" customWidth="1"/>
    <col min="7" max="7" width="24" style="222" bestFit="1" customWidth="1"/>
    <col min="8" max="8" width="25" style="222" bestFit="1" customWidth="1"/>
    <col min="9" max="9" width="21.44140625" style="222" bestFit="1" customWidth="1"/>
    <col min="10" max="10" width="21.21875" style="222" bestFit="1" customWidth="1"/>
    <col min="11" max="11" width="19.44140625" style="222" bestFit="1" customWidth="1"/>
    <col min="12" max="12" width="21" style="222" bestFit="1" customWidth="1"/>
    <col min="13" max="14" width="19.44140625" style="222" bestFit="1" customWidth="1"/>
    <col min="15" max="15" width="29.44140625" style="222" bestFit="1" customWidth="1"/>
    <col min="16" max="16" width="24.21875" style="222" customWidth="1"/>
    <col min="17" max="17" width="64.44140625" style="222" bestFit="1" customWidth="1"/>
    <col min="18" max="18" width="15.5546875" style="222" customWidth="1"/>
    <col min="19" max="16384" width="10" style="222"/>
  </cols>
  <sheetData>
    <row r="1" spans="1:15" x14ac:dyDescent="0.35">
      <c r="A1" s="477" t="str">
        <f>CONAME</f>
        <v>Columbia Gas of Kentucky, Inc.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</row>
    <row r="2" spans="1:15" x14ac:dyDescent="0.35">
      <c r="A2" s="477" t="str">
        <f>case</f>
        <v>Case No. 2024-00092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</row>
    <row r="3" spans="1:15" x14ac:dyDescent="0.35">
      <c r="A3" s="477" t="s">
        <v>160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x14ac:dyDescent="0.35">
      <c r="A4" s="478" t="s">
        <v>401</v>
      </c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</row>
    <row r="5" spans="1:15" x14ac:dyDescent="0.35">
      <c r="A5" s="479" t="s">
        <v>46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</row>
    <row r="6" spans="1:15" x14ac:dyDescent="0.35">
      <c r="A6" s="223" t="s">
        <v>336</v>
      </c>
    </row>
    <row r="7" spans="1:15" x14ac:dyDescent="0.35">
      <c r="A7" s="223" t="s">
        <v>337</v>
      </c>
      <c r="O7" s="224" t="s">
        <v>44</v>
      </c>
    </row>
    <row r="8" spans="1:15" x14ac:dyDescent="0.35">
      <c r="A8" s="223" t="s">
        <v>64</v>
      </c>
      <c r="O8" s="224" t="s">
        <v>279</v>
      </c>
    </row>
    <row r="9" spans="1:15" x14ac:dyDescent="0.35">
      <c r="A9" s="225" t="s">
        <v>154</v>
      </c>
      <c r="B9" s="226"/>
      <c r="C9" s="226"/>
      <c r="D9" s="227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8" t="str">
        <f>Witness</f>
        <v>Witness: J. C. Wozniak</v>
      </c>
    </row>
    <row r="10" spans="1:15" x14ac:dyDescent="0.35">
      <c r="A10" s="223"/>
      <c r="D10" s="223"/>
    </row>
    <row r="11" spans="1:15" x14ac:dyDescent="0.35">
      <c r="A11" s="229" t="s">
        <v>11</v>
      </c>
      <c r="B11" s="230"/>
      <c r="C11" s="229"/>
      <c r="D11" s="229"/>
    </row>
    <row r="12" spans="1:15" x14ac:dyDescent="0.35">
      <c r="A12" s="229" t="s">
        <v>13</v>
      </c>
      <c r="B12" s="229" t="s">
        <v>14</v>
      </c>
      <c r="C12" s="231" t="s">
        <v>402</v>
      </c>
      <c r="D12" s="231" t="s">
        <v>380</v>
      </c>
      <c r="E12" s="231" t="s">
        <v>381</v>
      </c>
      <c r="F12" s="231" t="s">
        <v>382</v>
      </c>
      <c r="G12" s="231" t="s">
        <v>383</v>
      </c>
      <c r="H12" s="231" t="s">
        <v>384</v>
      </c>
      <c r="I12" s="231" t="str">
        <f>B!$D$13</f>
        <v>Mar-24</v>
      </c>
      <c r="J12" s="231" t="str">
        <f>B!$E$13</f>
        <v>Apr-24</v>
      </c>
      <c r="K12" s="231" t="str">
        <f>B!$F$13</f>
        <v>May-24</v>
      </c>
      <c r="L12" s="231" t="str">
        <f>B!$G$13</f>
        <v>Jun-24</v>
      </c>
      <c r="M12" s="231" t="str">
        <f>B!$H$13</f>
        <v>Jul-24</v>
      </c>
      <c r="N12" s="231" t="str">
        <f>B!$I$13</f>
        <v>Aug-24</v>
      </c>
      <c r="O12" s="231" t="s">
        <v>15</v>
      </c>
    </row>
    <row r="13" spans="1:15" x14ac:dyDescent="0.35">
      <c r="A13" s="229"/>
      <c r="B13" s="229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</row>
    <row r="14" spans="1:15" x14ac:dyDescent="0.35">
      <c r="A14" s="232">
        <v>1</v>
      </c>
      <c r="B14" s="233" t="s">
        <v>306</v>
      </c>
      <c r="C14" s="234" t="s">
        <v>271</v>
      </c>
      <c r="D14" s="234" t="s">
        <v>271</v>
      </c>
      <c r="E14" s="234" t="s">
        <v>271</v>
      </c>
      <c r="F14" s="234" t="s">
        <v>271</v>
      </c>
      <c r="G14" s="234" t="s">
        <v>271</v>
      </c>
      <c r="H14" s="234" t="s">
        <v>271</v>
      </c>
      <c r="I14" s="234" t="s">
        <v>338</v>
      </c>
      <c r="J14" s="234" t="s">
        <v>338</v>
      </c>
      <c r="K14" s="234" t="s">
        <v>338</v>
      </c>
      <c r="L14" s="234" t="s">
        <v>338</v>
      </c>
      <c r="M14" s="234" t="s">
        <v>338</v>
      </c>
      <c r="N14" s="234" t="s">
        <v>338</v>
      </c>
      <c r="O14" s="229"/>
    </row>
    <row r="15" spans="1:15" x14ac:dyDescent="0.35">
      <c r="A15" s="232"/>
      <c r="B15" s="233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5" x14ac:dyDescent="0.35">
      <c r="A16" s="232">
        <f>A14+1</f>
        <v>2</v>
      </c>
      <c r="B16" s="235" t="s">
        <v>446</v>
      </c>
      <c r="C16" s="423">
        <f>3054471.02+89308.12-C70-C71</f>
        <v>3130093.87</v>
      </c>
      <c r="D16" s="423">
        <f>3448348.96+140269.32-D70-D71</f>
        <v>3568077.15</v>
      </c>
      <c r="E16" s="423">
        <f>5599162.91+402001.21-E70-E71</f>
        <v>5943958.9399999995</v>
      </c>
      <c r="F16" s="423">
        <f>13016966.55-885.73-F70-F71</f>
        <v>12881859.66</v>
      </c>
      <c r="G16" s="423">
        <f>18268285.3-1314-G70-G71</f>
        <v>17402110.059999999</v>
      </c>
      <c r="H16" s="423">
        <f>17135666.24-H70-H71</f>
        <v>16369670.379999997</v>
      </c>
      <c r="I16" s="236">
        <f>'Sch M 2.2B'!F72+'Sch M 2.2B'!F86+'Sch M 2.2B'!F93+'Sch M 2.2B'!F107+'Sch M 2.2B'!F114+'Sch M 2.2B'!F121+'Sch M 2.2B'!F157+'Sch M 2.2B'!F164</f>
        <v>11939994.01</v>
      </c>
      <c r="J16" s="236">
        <f>'Sch M 2.2B'!G72+'Sch M 2.2B'!G86+'Sch M 2.2B'!G93+'Sch M 2.2B'!G107+'Sch M 2.2B'!G114+'Sch M 2.2B'!G121+'Sch M 2.2B'!G157+'Sch M 2.2B'!G164</f>
        <v>8126166.0000000009</v>
      </c>
      <c r="K16" s="236">
        <f>'Sch M 2.2B'!H72+'Sch M 2.2B'!H86+'Sch M 2.2B'!H93+'Sch M 2.2B'!H107+'Sch M 2.2B'!H114+'Sch M 2.2B'!H121+'Sch M 2.2B'!H157+'Sch M 2.2B'!H164</f>
        <v>4825321.5999999996</v>
      </c>
      <c r="L16" s="236">
        <f>'Sch M 2.2B'!I72+'Sch M 2.2B'!I86+'Sch M 2.2B'!I93+'Sch M 2.2B'!I107+'Sch M 2.2B'!I114+'Sch M 2.2B'!I121+'Sch M 2.2B'!I157+'Sch M 2.2B'!I164</f>
        <v>3458795.9800000009</v>
      </c>
      <c r="M16" s="236">
        <f>'Sch M 2.2B'!J72+'Sch M 2.2B'!J86+'Sch M 2.2B'!J93+'Sch M 2.2B'!J107+'Sch M 2.2B'!J114+'Sch M 2.2B'!J121+'Sch M 2.2B'!J157+'Sch M 2.2B'!J164</f>
        <v>3079235.09</v>
      </c>
      <c r="N16" s="236">
        <f>'Sch M 2.2B'!K72+'Sch M 2.2B'!K86+'Sch M 2.2B'!K93+'Sch M 2.2B'!K107+'Sch M 2.2B'!K114+'Sch M 2.2B'!K121+'Sch M 2.2B'!K157+'Sch M 2.2B'!K164</f>
        <v>3069288.3800000004</v>
      </c>
      <c r="O16" s="237">
        <f>SUM(C16:N16)</f>
        <v>93794571.11999999</v>
      </c>
    </row>
    <row r="17" spans="1:18" x14ac:dyDescent="0.35">
      <c r="A17" s="232">
        <f>A16+1</f>
        <v>3</v>
      </c>
      <c r="B17" s="233" t="s">
        <v>445</v>
      </c>
      <c r="C17" s="424">
        <f>1669386.66+134099.91-C72-C73-C76-D131-D132+C131+C132</f>
        <v>1791017.3299999998</v>
      </c>
      <c r="D17" s="424">
        <f>1800138.68+155088.37-D72-D73-D76-E131-E132+D131+D132</f>
        <v>1940431.49</v>
      </c>
      <c r="E17" s="424">
        <f>2513725.48+274393.59-E72-E73-E76-F131-F132+E131+E132</f>
        <v>2761625.5899999994</v>
      </c>
      <c r="F17" s="424">
        <f>5564297.91+4083.19-F72-F73-F76-G131-G132+F131+F132</f>
        <v>5513753.5800000001</v>
      </c>
      <c r="G17" s="424">
        <f>7714928.31-758.61-G72-G73-G76-H131-H132+G131+G132</f>
        <v>7364334.3799999999</v>
      </c>
      <c r="H17" s="424">
        <f>7001335.82-H72-H73-H76-I131-I132+H131+H132</f>
        <v>6698126.4600000009</v>
      </c>
      <c r="I17" s="238">
        <f>'Sch M 2.2B'!F79+'Sch M 2.2B'!F100+'Sch M 2.2B'!F128+'Sch M 2.2B'!F171</f>
        <v>4260378.16</v>
      </c>
      <c r="J17" s="238">
        <f>'Sch M 2.2B'!G79+'Sch M 2.2B'!G100+'Sch M 2.2B'!G128+'Sch M 2.2B'!G171</f>
        <v>3349730.88</v>
      </c>
      <c r="K17" s="238">
        <f>'Sch M 2.2B'!H79+'Sch M 2.2B'!H100+'Sch M 2.2B'!H128+'Sch M 2.2B'!H171</f>
        <v>2286095.98</v>
      </c>
      <c r="L17" s="238">
        <f>'Sch M 2.2B'!I79+'Sch M 2.2B'!I100+'Sch M 2.2B'!I128+'Sch M 2.2B'!I171</f>
        <v>1895787.09</v>
      </c>
      <c r="M17" s="238">
        <f>'Sch M 2.2B'!J79+'Sch M 2.2B'!J100+'Sch M 2.2B'!J128+'Sch M 2.2B'!J171</f>
        <v>1757934.8099999998</v>
      </c>
      <c r="N17" s="238">
        <f>'Sch M 2.2B'!K79+'Sch M 2.2B'!K100+'Sch M 2.2B'!K128+'Sch M 2.2B'!K171</f>
        <v>1700605.24</v>
      </c>
      <c r="O17" s="238">
        <f>SUM(C17:N17)</f>
        <v>41319820.990000002</v>
      </c>
      <c r="Q17" s="250"/>
    </row>
    <row r="18" spans="1:18" x14ac:dyDescent="0.35">
      <c r="A18" s="232">
        <f>A17+1</f>
        <v>4</v>
      </c>
      <c r="B18" s="233" t="s">
        <v>444</v>
      </c>
      <c r="C18" s="425">
        <f>57567.32+9750.62-C74-C75-C77-D133-D134-D137-D138+C133+C134+C137+C138</f>
        <v>67179.930000000008</v>
      </c>
      <c r="D18" s="425">
        <f>123816.56+20384.28-D74-D75-D77-E133-E134-E137-E138+D133+D134+D137+D138</f>
        <v>143306.65</v>
      </c>
      <c r="E18" s="425">
        <f>190052.37+35309.53-E74-E75-E77-F133-F134-F137-F138+E133+E134+E137+E138</f>
        <v>223644.68999999997</v>
      </c>
      <c r="F18" s="425">
        <f>50615.6-32081.84-F74-F75-F77-G133-G134-G137-G138+F133+F134+F137+F138</f>
        <v>20583.649999999998</v>
      </c>
      <c r="G18" s="425">
        <f>260073.66-32.19-G74-G75-G77-H133-H134-H137-H138+G133+G134+G137+G138</f>
        <v>257491.00999999998</v>
      </c>
      <c r="H18" s="425">
        <f>245713.03-H74-H75-H77-I133-I134-I137-I138+H133+H134+H137+H138</f>
        <v>246269.2</v>
      </c>
      <c r="I18" s="239">
        <f>'Sch M 2.2B'!F178+'Sch M 2.2B'!F185</f>
        <v>142210.56</v>
      </c>
      <c r="J18" s="239">
        <f>'Sch M 2.2B'!G178+'Sch M 2.2B'!G185</f>
        <v>109056.12999999999</v>
      </c>
      <c r="K18" s="239">
        <f>'Sch M 2.2B'!H178+'Sch M 2.2B'!H185</f>
        <v>83138.009999999995</v>
      </c>
      <c r="L18" s="239">
        <f>'Sch M 2.2B'!I178+'Sch M 2.2B'!I185</f>
        <v>68430.76999999999</v>
      </c>
      <c r="M18" s="239">
        <f>'Sch M 2.2B'!J178+'Sch M 2.2B'!J185</f>
        <v>49710.46</v>
      </c>
      <c r="N18" s="239">
        <f>'Sch M 2.2B'!K178+'Sch M 2.2B'!K185</f>
        <v>47813.35</v>
      </c>
      <c r="O18" s="239">
        <f>SUM(C18:N18)</f>
        <v>1458834.4100000001</v>
      </c>
    </row>
    <row r="19" spans="1:18" x14ac:dyDescent="0.35">
      <c r="A19" s="232">
        <f t="shared" ref="A19:A20" si="0">A18+1</f>
        <v>5</v>
      </c>
      <c r="B19" s="233" t="s">
        <v>404</v>
      </c>
      <c r="C19" s="425">
        <v>-1443.61</v>
      </c>
      <c r="D19" s="425">
        <v>542.57000000000005</v>
      </c>
      <c r="E19" s="425">
        <v>2695.74</v>
      </c>
      <c r="F19" s="425">
        <v>4347.41</v>
      </c>
      <c r="G19" s="425">
        <v>3117.35</v>
      </c>
      <c r="H19" s="425">
        <v>-1104.8699999999999</v>
      </c>
      <c r="I19" s="239">
        <v>0</v>
      </c>
      <c r="J19" s="239">
        <v>0</v>
      </c>
      <c r="K19" s="239">
        <v>0</v>
      </c>
      <c r="L19" s="239">
        <v>0</v>
      </c>
      <c r="M19" s="239">
        <v>0</v>
      </c>
      <c r="N19" s="239">
        <v>0</v>
      </c>
      <c r="O19" s="239">
        <f>SUM(C19:N19)</f>
        <v>8154.5899999999992</v>
      </c>
    </row>
    <row r="20" spans="1:18" x14ac:dyDescent="0.35">
      <c r="A20" s="232">
        <f t="shared" si="0"/>
        <v>6</v>
      </c>
      <c r="B20" s="233" t="s">
        <v>465</v>
      </c>
      <c r="C20" s="426">
        <f>10633.43-D135-D136+C135+C136</f>
        <v>10633.029999999999</v>
      </c>
      <c r="D20" s="426">
        <f>-3988.64-E135-E136+D135+D136</f>
        <v>-3994.3399999999997</v>
      </c>
      <c r="E20" s="426">
        <f>3634.37-F135-F136+E135+E136</f>
        <v>3606.0499999999997</v>
      </c>
      <c r="F20" s="426">
        <f>6407.1-G135-G136+F135+F136</f>
        <v>6392.55</v>
      </c>
      <c r="G20" s="426">
        <f>12319.4-H135-H136+G135+G136</f>
        <v>12007.88</v>
      </c>
      <c r="H20" s="426">
        <f>13152.02-I135-I136+H135+H136</f>
        <v>13186.210000000001</v>
      </c>
      <c r="I20" s="240">
        <f>'Sch M 2.2B'!F192</f>
        <v>5496.4000000000005</v>
      </c>
      <c r="J20" s="240">
        <f>'Sch M 2.2B'!G192</f>
        <v>7820.12</v>
      </c>
      <c r="K20" s="240">
        <f>'Sch M 2.2B'!H192</f>
        <v>2853.1699999999996</v>
      </c>
      <c r="L20" s="240">
        <f>'Sch M 2.2B'!I192</f>
        <v>2510.83</v>
      </c>
      <c r="M20" s="240">
        <f>'Sch M 2.2B'!J192</f>
        <v>3977.68</v>
      </c>
      <c r="N20" s="240">
        <f>'Sch M 2.2B'!K192</f>
        <v>2886.3599999999997</v>
      </c>
      <c r="O20" s="240">
        <f>SUM(C20:N20)</f>
        <v>67375.94</v>
      </c>
    </row>
    <row r="21" spans="1:18" x14ac:dyDescent="0.35">
      <c r="A21" s="232">
        <f>A20+1</f>
        <v>7</v>
      </c>
      <c r="B21" s="233" t="s">
        <v>267</v>
      </c>
      <c r="C21" s="236">
        <f t="shared" ref="C21:O21" si="1">SUM(C16:C20)</f>
        <v>4997480.55</v>
      </c>
      <c r="D21" s="236">
        <f t="shared" si="1"/>
        <v>5648363.5200000005</v>
      </c>
      <c r="E21" s="236">
        <f t="shared" si="1"/>
        <v>8935531.0099999998</v>
      </c>
      <c r="F21" s="236">
        <f t="shared" si="1"/>
        <v>18426936.850000001</v>
      </c>
      <c r="G21" s="236">
        <f t="shared" si="1"/>
        <v>25039060.68</v>
      </c>
      <c r="H21" s="236">
        <f t="shared" si="1"/>
        <v>23326147.379999995</v>
      </c>
      <c r="I21" s="236">
        <f t="shared" si="1"/>
        <v>16348079.130000001</v>
      </c>
      <c r="J21" s="236">
        <f t="shared" si="1"/>
        <v>11592773.130000001</v>
      </c>
      <c r="K21" s="236">
        <f t="shared" si="1"/>
        <v>7197408.7599999998</v>
      </c>
      <c r="L21" s="236">
        <f t="shared" si="1"/>
        <v>5425524.6700000009</v>
      </c>
      <c r="M21" s="236">
        <f t="shared" si="1"/>
        <v>4890858.0399999991</v>
      </c>
      <c r="N21" s="236">
        <f t="shared" si="1"/>
        <v>4820593.33</v>
      </c>
      <c r="O21" s="241">
        <f t="shared" si="1"/>
        <v>136648757.04999998</v>
      </c>
    </row>
    <row r="22" spans="1:18" x14ac:dyDescent="0.35">
      <c r="A22" s="232"/>
    </row>
    <row r="23" spans="1:18" x14ac:dyDescent="0.35">
      <c r="A23" s="232">
        <f>A21+1</f>
        <v>8</v>
      </c>
      <c r="B23" s="233" t="s">
        <v>443</v>
      </c>
      <c r="C23" s="425">
        <f>1298915.23-C78-C79-SUM(D139:D150)+SUM(C139:C150)</f>
        <v>1289885.0900000001</v>
      </c>
      <c r="D23" s="425">
        <f>1593841.28-D78-D79-SUM(E139:E150)+SUM(D139:D150)</f>
        <v>1582271.98</v>
      </c>
      <c r="E23" s="425">
        <f>2092214.13-E78-E79-SUM(F139:F150)+SUM(E139:E150)</f>
        <v>2078773.0199999998</v>
      </c>
      <c r="F23" s="425">
        <f>2580418.96-F78-F79-SUM(G139:G150)+SUM(F139:F150)</f>
        <v>2566619.6800000002</v>
      </c>
      <c r="G23" s="425">
        <f>3370029.77-G78-G79-SUM(H139:H150)+SUM(G139:G150)</f>
        <v>3292819.2800000003</v>
      </c>
      <c r="H23" s="425">
        <f>2728285.29-H78-H79-SUM(I139:I150)+SUM(H139:H150)</f>
        <v>2660424.38</v>
      </c>
      <c r="I23" s="239">
        <f>'Sch M 2.2B'!F221+'Sch M 2.2B'!F228+'Sch M 2.2B'!F235+'Sch M 2.2B'!F242+'Sch M 2.2B'!F249+'Sch M 2.2B'!F256+'Sch M 2.2B'!F263+'Sch M 2.2B'!F270+'Sch M 2.2B'!F277+'Sch M 2.2B'!F308+'Sch M 2.2B'!F315+'Sch M 2.2B'!F322+'Sch M 2.2B'!F329+'Sch M 2.2B'!F336</f>
        <v>2557292.33</v>
      </c>
      <c r="J23" s="239">
        <f>'Sch M 2.2B'!G221+'Sch M 2.2B'!G228+'Sch M 2.2B'!G235+'Sch M 2.2B'!G242+'Sch M 2.2B'!G249+'Sch M 2.2B'!G256+'Sch M 2.2B'!G263+'Sch M 2.2B'!G270+'Sch M 2.2B'!G277+'Sch M 2.2B'!G308+'Sch M 2.2B'!G315+'Sch M 2.2B'!G322+'Sch M 2.2B'!G329+'Sch M 2.2B'!G336</f>
        <v>1934314.5500000005</v>
      </c>
      <c r="K23" s="239">
        <f>'Sch M 2.2B'!H221+'Sch M 2.2B'!H228+'Sch M 2.2B'!H235+'Sch M 2.2B'!H242+'Sch M 2.2B'!H249+'Sch M 2.2B'!H256+'Sch M 2.2B'!H263+'Sch M 2.2B'!H270+'Sch M 2.2B'!H277+'Sch M 2.2B'!H308+'Sch M 2.2B'!H315+'Sch M 2.2B'!H322+'Sch M 2.2B'!H329+'Sch M 2.2B'!H336</f>
        <v>1528446.3199999998</v>
      </c>
      <c r="L23" s="239">
        <f>'Sch M 2.2B'!I221+'Sch M 2.2B'!I228+'Sch M 2.2B'!I235+'Sch M 2.2B'!I242+'Sch M 2.2B'!I249+'Sch M 2.2B'!I256+'Sch M 2.2B'!I263+'Sch M 2.2B'!I270+'Sch M 2.2B'!I277+'Sch M 2.2B'!I308+'Sch M 2.2B'!I315+'Sch M 2.2B'!I322+'Sch M 2.2B'!I329+'Sch M 2.2B'!I336</f>
        <v>1326671.95</v>
      </c>
      <c r="M23" s="239">
        <f>'Sch M 2.2B'!J221+'Sch M 2.2B'!J228+'Sch M 2.2B'!J235+'Sch M 2.2B'!J242+'Sch M 2.2B'!J249+'Sch M 2.2B'!J256+'Sch M 2.2B'!J263+'Sch M 2.2B'!J270+'Sch M 2.2B'!J277+'Sch M 2.2B'!J308+'Sch M 2.2B'!J315+'Sch M 2.2B'!J322+'Sch M 2.2B'!J329+'Sch M 2.2B'!J336</f>
        <v>1189593.0899999999</v>
      </c>
      <c r="N23" s="239">
        <f>'Sch M 2.2B'!K221+'Sch M 2.2B'!K228+'Sch M 2.2B'!K235+'Sch M 2.2B'!K242+'Sch M 2.2B'!K249+'Sch M 2.2B'!K256+'Sch M 2.2B'!K263+'Sch M 2.2B'!K270+'Sch M 2.2B'!K277+'Sch M 2.2B'!K308+'Sch M 2.2B'!K315+'Sch M 2.2B'!K322+'Sch M 2.2B'!K329+'Sch M 2.2B'!K336</f>
        <v>1286472.5100000002</v>
      </c>
      <c r="O23" s="242">
        <f>SUM(C23:N23)</f>
        <v>23293584.18</v>
      </c>
      <c r="P23" s="243"/>
    </row>
    <row r="24" spans="1:18" x14ac:dyDescent="0.35">
      <c r="A24" s="232">
        <f>A23+1</f>
        <v>9</v>
      </c>
      <c r="B24" s="233" t="s">
        <v>447</v>
      </c>
      <c r="C24" s="425">
        <f>23016.46+4229.92+177521.38+4995+323336.26-11071.65-9703.33+52.31-C89</f>
        <v>342752.64999999997</v>
      </c>
      <c r="D24" s="425">
        <f>27229.61+16519.9+226004.52+4995+1294197.33+430444.74+78727.65+312248.55-D89</f>
        <v>2175082.6599999997</v>
      </c>
      <c r="E24" s="425">
        <f>26347.47+25870.12+315138.5+4995+4202866.06+1691289.31+72320.84+415168.48-E89</f>
        <v>6450599.669999999</v>
      </c>
      <c r="F24" s="425">
        <f>32779.08+4377.28+390018.89+4995+1699070.71+540861.52-6247.22+137850.44-F89</f>
        <v>2433456.34</v>
      </c>
      <c r="G24" s="425">
        <f>68513.12-10510.79-837337.86+4995+686643.01+81608.09-80392.76+389740.5-G89</f>
        <v>1170370.8700000001</v>
      </c>
      <c r="H24" s="425">
        <f>100219.12+4995.63-1008925.91+7344-3246443.39-1525406.39-41858.82+6387.5-H89</f>
        <v>-4671377.7700000005</v>
      </c>
      <c r="I24" s="239">
        <f>'Sch M 2.2B'!F348</f>
        <v>154164.84864560634</v>
      </c>
      <c r="J24" s="239">
        <f>'Sch M 2.2B'!G348</f>
        <v>87275.443870024523</v>
      </c>
      <c r="K24" s="239">
        <f>'Sch M 2.2B'!H348</f>
        <v>66925.912219585851</v>
      </c>
      <c r="L24" s="239">
        <f>'Sch M 2.2B'!I348</f>
        <v>18458.295930234832</v>
      </c>
      <c r="M24" s="239">
        <f>'Sch M 2.2B'!J348</f>
        <v>16050.649387794663</v>
      </c>
      <c r="N24" s="239">
        <f>'Sch M 2.2B'!K348</f>
        <v>59408.532544459827</v>
      </c>
      <c r="O24" s="242">
        <f>SUM(C24:N24)</f>
        <v>8303168.1025977032</v>
      </c>
      <c r="P24" s="241"/>
      <c r="R24" s="335"/>
    </row>
    <row r="25" spans="1:18" x14ac:dyDescent="0.35">
      <c r="A25" s="232"/>
      <c r="O25" s="244"/>
      <c r="P25" s="241"/>
      <c r="R25" s="245"/>
    </row>
    <row r="26" spans="1:18" x14ac:dyDescent="0.35">
      <c r="A26" s="232">
        <f>A24+1</f>
        <v>10</v>
      </c>
      <c r="B26" s="233" t="s">
        <v>269</v>
      </c>
      <c r="C26" s="427">
        <f>C21+C23+C24</f>
        <v>6630118.29</v>
      </c>
      <c r="D26" s="427">
        <f t="shared" ref="D26:M26" si="2">D21+D23+D24</f>
        <v>9405718.1600000001</v>
      </c>
      <c r="E26" s="427">
        <f t="shared" si="2"/>
        <v>17464903.699999999</v>
      </c>
      <c r="F26" s="427">
        <f t="shared" si="2"/>
        <v>23427012.870000001</v>
      </c>
      <c r="G26" s="427">
        <f>G21+G23+G24</f>
        <v>29502250.830000002</v>
      </c>
      <c r="H26" s="427">
        <f t="shared" si="2"/>
        <v>21315193.989999995</v>
      </c>
      <c r="I26" s="427">
        <f t="shared" si="2"/>
        <v>19059536.308645606</v>
      </c>
      <c r="J26" s="427">
        <f t="shared" si="2"/>
        <v>13614363.123870026</v>
      </c>
      <c r="K26" s="427">
        <f t="shared" si="2"/>
        <v>8792780.9922195859</v>
      </c>
      <c r="L26" s="427">
        <f t="shared" si="2"/>
        <v>6770654.9159302358</v>
      </c>
      <c r="M26" s="427">
        <f t="shared" si="2"/>
        <v>6096501.7793877935</v>
      </c>
      <c r="N26" s="246">
        <f>N21+N23+N24</f>
        <v>6166474.37254446</v>
      </c>
      <c r="O26" s="246">
        <f>SUM(C26:N26)</f>
        <v>168245509.33259773</v>
      </c>
      <c r="R26" s="245"/>
    </row>
    <row r="27" spans="1:18" x14ac:dyDescent="0.35">
      <c r="A27" s="232"/>
      <c r="B27" s="233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42"/>
      <c r="Q27" s="241"/>
      <c r="R27" s="245"/>
    </row>
    <row r="28" spans="1:18" x14ac:dyDescent="0.35">
      <c r="A28" s="232">
        <f>A26+1</f>
        <v>11</v>
      </c>
      <c r="B28" s="233" t="s">
        <v>132</v>
      </c>
      <c r="C28" s="428">
        <f>1327628.84-32072.16</f>
        <v>1295556.6800000002</v>
      </c>
      <c r="D28" s="428">
        <f>2206183.99-30798.72</f>
        <v>2175385.27</v>
      </c>
      <c r="E28" s="428">
        <f>6465745.27-32403.53</f>
        <v>6433341.7399999993</v>
      </c>
      <c r="F28" s="428">
        <f>8230877.34-31678.07</f>
        <v>8199199.2699999996</v>
      </c>
      <c r="G28" s="428">
        <f>11946258.32-35419.95</f>
        <v>11910838.370000001</v>
      </c>
      <c r="H28" s="428">
        <f>5941608.94-35653.06</f>
        <v>5905955.8800000008</v>
      </c>
      <c r="I28" s="247">
        <f>'Sch M 2.2B'!F71+'Sch M 2.2B'!F78+'Sch M 2.2B'!F85+'Sch M 2.2B'!F92+'Sch M 2.2B'!F99+'Sch M 2.2B'!F106+'Sch M 2.2B'!F113+'Sch M 2.2B'!F120+'Sch M 2.2B'!F127+'Sch M 2.2B'!F156+'Sch M 2.2B'!F163+'Sch M 2.2B'!F170+'Sch M 2.2B'!F177+'Sch M 2.2B'!F184+'Sch M 2.2B'!F191</f>
        <v>5177624.07</v>
      </c>
      <c r="J28" s="247">
        <f>'Sch M 2.2B'!G71+'Sch M 2.2B'!G78+'Sch M 2.2B'!G85+'Sch M 2.2B'!G92+'Sch M 2.2B'!G99+'Sch M 2.2B'!G106+'Sch M 2.2B'!G113+'Sch M 2.2B'!G120+'Sch M 2.2B'!G127+'Sch M 2.2B'!G156+'Sch M 2.2B'!G163+'Sch M 2.2B'!G170+'Sch M 2.2B'!G177+'Sch M 2.2B'!G184+'Sch M 2.2B'!G191</f>
        <v>3324216.89</v>
      </c>
      <c r="K28" s="247">
        <f>'Sch M 2.2B'!H71+'Sch M 2.2B'!H78+'Sch M 2.2B'!H85+'Sch M 2.2B'!H92+'Sch M 2.2B'!H99+'Sch M 2.2B'!H106+'Sch M 2.2B'!H113+'Sch M 2.2B'!H120+'Sch M 2.2B'!H127+'Sch M 2.2B'!H156+'Sch M 2.2B'!H163+'Sch M 2.2B'!H170+'Sch M 2.2B'!H177++'Sch M 2.2B'!H184+'Sch M 2.2B'!H191</f>
        <v>1589007.6100000003</v>
      </c>
      <c r="L28" s="247">
        <f>'Sch M 2.2B'!I71+'Sch M 2.2B'!I78+'Sch M 2.2B'!I85+'Sch M 2.2B'!I92+'Sch M 2.2B'!I99+'Sch M 2.2B'!I106+'Sch M 2.2B'!I113+'Sch M 2.2B'!I120+'Sch M 2.2B'!I127+'Sch M 2.2B'!I156+'Sch M 2.2B'!I163+'Sch M 2.2B'!I170+'Sch M 2.2B'!I177+'Sch M 2.2B'!I184+'Sch M 2.2B'!I191</f>
        <v>904253.57</v>
      </c>
      <c r="M28" s="247">
        <f>'Sch M 2.2B'!J71+'Sch M 2.2B'!J78+'Sch M 2.2B'!J85+'Sch M 2.2B'!J92+'Sch M 2.2B'!J99+'Sch M 2.2B'!J106+'Sch M 2.2B'!J113+'Sch M 2.2B'!J120+'Sch M 2.2B'!J127+'Sch M 2.2B'!J156+'Sch M 2.2B'!J163+'Sch M 2.2B'!J170+'Sch M 2.2B'!J177+'Sch M 2.2B'!J184+'Sch M 2.2B'!J191</f>
        <v>694922.26</v>
      </c>
      <c r="N28" s="247">
        <f>'Sch M 2.2B'!K71+'Sch M 2.2B'!K78+'Sch M 2.2B'!K85+'Sch M 2.2B'!K92+'Sch M 2.2B'!K99+'Sch M 2.2B'!K106+'Sch M 2.2B'!K113+'Sch M 2.2B'!K120+'Sch M 2.2B'!K127+'Sch M 2.2B'!K156+'Sch M 2.2B'!K163+'Sch M 2.2B'!K170+'Sch M 2.2B'!K177++'Sch M 2.2B'!K184+'Sch M 2.2B'!K191</f>
        <v>663662.64</v>
      </c>
      <c r="O28" s="242">
        <f>SUM(C28:N28)</f>
        <v>48273964.25</v>
      </c>
      <c r="R28" s="245"/>
    </row>
    <row r="29" spans="1:18" x14ac:dyDescent="0.35">
      <c r="A29" s="232"/>
      <c r="B29" s="233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8"/>
      <c r="Q29" s="241"/>
      <c r="R29" s="245"/>
    </row>
    <row r="30" spans="1:18" ht="14.6" thickBot="1" x14ac:dyDescent="0.4">
      <c r="A30" s="232">
        <f>A28+1</f>
        <v>12</v>
      </c>
      <c r="B30" s="233" t="s">
        <v>272</v>
      </c>
      <c r="C30" s="249">
        <f t="shared" ref="C30:H30" si="3">C26-C28</f>
        <v>5334561.6099999994</v>
      </c>
      <c r="D30" s="249">
        <f t="shared" si="3"/>
        <v>7230332.8900000006</v>
      </c>
      <c r="E30" s="249">
        <f t="shared" si="3"/>
        <v>11031561.960000001</v>
      </c>
      <c r="F30" s="249">
        <f t="shared" si="3"/>
        <v>15227813.600000001</v>
      </c>
      <c r="G30" s="249">
        <f t="shared" si="3"/>
        <v>17591412.460000001</v>
      </c>
      <c r="H30" s="249">
        <f t="shared" si="3"/>
        <v>15409238.109999994</v>
      </c>
      <c r="I30" s="249">
        <f t="shared" ref="I30:O30" si="4">I26-I28</f>
        <v>13881912.238645606</v>
      </c>
      <c r="J30" s="249">
        <f t="shared" si="4"/>
        <v>10290146.233870026</v>
      </c>
      <c r="K30" s="249">
        <f t="shared" si="4"/>
        <v>7203773.3822195856</v>
      </c>
      <c r="L30" s="249">
        <f t="shared" si="4"/>
        <v>5866401.3459302355</v>
      </c>
      <c r="M30" s="249">
        <f t="shared" si="4"/>
        <v>5401579.5193877937</v>
      </c>
      <c r="N30" s="249">
        <f>N26-N28</f>
        <v>5502811.7325444603</v>
      </c>
      <c r="O30" s="249">
        <f t="shared" si="4"/>
        <v>119971545.08259773</v>
      </c>
    </row>
    <row r="31" spans="1:18" ht="14.6" thickTop="1" x14ac:dyDescent="0.35">
      <c r="A31" s="232"/>
      <c r="B31" s="233"/>
      <c r="C31" s="248"/>
      <c r="D31" s="248"/>
      <c r="E31" s="248"/>
      <c r="F31" s="248"/>
      <c r="G31" s="250"/>
      <c r="H31" s="247"/>
      <c r="I31" s="248"/>
      <c r="J31" s="248"/>
      <c r="K31" s="248"/>
      <c r="L31" s="248"/>
      <c r="M31" s="248"/>
      <c r="N31" s="248"/>
      <c r="O31" s="248"/>
    </row>
    <row r="32" spans="1:18" x14ac:dyDescent="0.35">
      <c r="A32" s="232"/>
      <c r="B32" s="233"/>
      <c r="C32" s="248"/>
      <c r="D32" s="248"/>
      <c r="E32" s="248"/>
      <c r="F32" s="248"/>
      <c r="G32" s="250"/>
      <c r="H32" s="247"/>
      <c r="I32" s="248"/>
      <c r="J32" s="248"/>
      <c r="K32" s="248"/>
      <c r="L32" s="248"/>
      <c r="M32" s="248"/>
      <c r="N32" s="248"/>
      <c r="O32" s="248"/>
    </row>
    <row r="33" spans="1:18" x14ac:dyDescent="0.35">
      <c r="A33" s="232">
        <f>A30+1</f>
        <v>13</v>
      </c>
      <c r="B33" s="233" t="s">
        <v>339</v>
      </c>
      <c r="C33" s="234" t="s">
        <v>271</v>
      </c>
      <c r="D33" s="234" t="s">
        <v>271</v>
      </c>
      <c r="E33" s="234" t="s">
        <v>271</v>
      </c>
      <c r="F33" s="234" t="s">
        <v>271</v>
      </c>
      <c r="G33" s="234" t="s">
        <v>271</v>
      </c>
      <c r="H33" s="234" t="s">
        <v>271</v>
      </c>
      <c r="I33" s="234" t="s">
        <v>338</v>
      </c>
      <c r="J33" s="234" t="s">
        <v>338</v>
      </c>
      <c r="K33" s="234" t="s">
        <v>338</v>
      </c>
      <c r="L33" s="234" t="s">
        <v>338</v>
      </c>
      <c r="M33" s="234" t="s">
        <v>338</v>
      </c>
      <c r="N33" s="234" t="s">
        <v>338</v>
      </c>
      <c r="O33" s="252"/>
      <c r="P33" s="229"/>
      <c r="R33" s="229"/>
    </row>
    <row r="34" spans="1:18" x14ac:dyDescent="0.35">
      <c r="A34" s="232"/>
      <c r="B34" s="233"/>
      <c r="C34" s="251"/>
      <c r="D34" s="248"/>
      <c r="E34" s="251"/>
      <c r="F34" s="251"/>
      <c r="I34" s="251"/>
      <c r="J34" s="251"/>
      <c r="K34" s="251"/>
      <c r="L34" s="251"/>
      <c r="M34" s="251"/>
      <c r="N34" s="251"/>
      <c r="O34" s="252"/>
      <c r="P34" s="229"/>
      <c r="Q34" s="229"/>
      <c r="R34" s="229"/>
    </row>
    <row r="35" spans="1:18" x14ac:dyDescent="0.35">
      <c r="A35" s="232">
        <f>A33+1</f>
        <v>14</v>
      </c>
      <c r="B35" s="235" t="s">
        <v>263</v>
      </c>
      <c r="C35" s="425">
        <v>101507.2</v>
      </c>
      <c r="D35" s="425">
        <v>151059</v>
      </c>
      <c r="E35" s="425">
        <v>416725.5</v>
      </c>
      <c r="F35" s="425">
        <v>985219.3</v>
      </c>
      <c r="G35" s="425">
        <v>1469056.7</v>
      </c>
      <c r="H35" s="424">
        <f>1302397.6</f>
        <v>1302397.6000000001</v>
      </c>
      <c r="I35" s="238">
        <f>'Sch M 2.2B'!F69+'Sch M 2.2B'!F83+'Sch M 2.2B'!F90+'Sch M 2.2B'!F104+'Sch M 2.2B'!F111+'Sch M 2.2B'!F118+'Sch M 2.2B'!F154+'Sch M 2.2B'!F161</f>
        <v>1173473.7</v>
      </c>
      <c r="J35" s="238">
        <f>'Sch M 2.2B'!G69+'Sch M 2.2B'!G83+'Sch M 2.2B'!G90+'Sch M 2.2B'!G104+'Sch M 2.2B'!G111+'Sch M 2.2B'!G118+'Sch M 2.2B'!G154+'Sch M 2.2B'!G161</f>
        <v>709019.4</v>
      </c>
      <c r="K35" s="238">
        <f>'Sch M 2.2B'!H69+'Sch M 2.2B'!H83+'Sch M 2.2B'!H90+'Sch M 2.2B'!H104+'Sch M 2.2B'!H111+'Sch M 2.2B'!H118+'Sch M 2.2B'!H154+'Sch M 2.2B'!H161</f>
        <v>308159.09999999998</v>
      </c>
      <c r="L35" s="238">
        <f>'Sch M 2.2B'!I69+'Sch M 2.2B'!I83+'Sch M 2.2B'!I90+'Sch M 2.2B'!I104+'Sch M 2.2B'!I111+'Sch M 2.2B'!I118+'Sch M 2.2B'!I154+'Sch M 2.2B'!I161</f>
        <v>142914.30000000002</v>
      </c>
      <c r="M35" s="238">
        <f>'Sch M 2.2B'!J69+'Sch M 2.2B'!J83+'Sch M 2.2B'!J90+'Sch M 2.2B'!J104+'Sch M 2.2B'!J111+'Sch M 2.2B'!J118+'Sch M 2.2B'!J154+'Sch M 2.2B'!J161</f>
        <v>97750.900000000009</v>
      </c>
      <c r="N35" s="238">
        <f>'Sch M 2.2B'!K69+'Sch M 2.2B'!K83+'Sch M 2.2B'!K90+'Sch M 2.2B'!K104+'Sch M 2.2B'!K111+'Sch M 2.2B'!K118+'Sch M 2.2B'!K154+'Sch M 2.2B'!K161</f>
        <v>97091.5</v>
      </c>
      <c r="O35" s="238">
        <f>SUM(C35:N35)</f>
        <v>6954374.2000000011</v>
      </c>
      <c r="P35" s="253"/>
      <c r="Q35" s="253"/>
      <c r="R35" s="253"/>
    </row>
    <row r="36" spans="1:18" x14ac:dyDescent="0.35">
      <c r="A36" s="232">
        <f>A35+1</f>
        <v>15</v>
      </c>
      <c r="B36" s="233" t="s">
        <v>264</v>
      </c>
      <c r="C36" s="425">
        <v>154114.79999999999</v>
      </c>
      <c r="D36" s="425">
        <v>146927.70000000001</v>
      </c>
      <c r="E36" s="425">
        <v>271224.40000000002</v>
      </c>
      <c r="F36" s="425">
        <v>573821</v>
      </c>
      <c r="G36" s="425">
        <v>843194.8</v>
      </c>
      <c r="H36" s="425">
        <f>722273.3</f>
        <v>722273.3</v>
      </c>
      <c r="I36" s="238">
        <f>'Sch M 2.2B'!F76+'Sch M 2.2B'!F97+'Sch M 2.2B'!F125+'Sch M 2.2B'!F168</f>
        <v>559510.5</v>
      </c>
      <c r="J36" s="238">
        <f>'Sch M 2.2B'!G76+'Sch M 2.2B'!G97+'Sch M 2.2B'!G125+'Sch M 2.2B'!G168</f>
        <v>399793</v>
      </c>
      <c r="K36" s="238">
        <f>'Sch M 2.2B'!H76+'Sch M 2.2B'!H97+'Sch M 2.2B'!H125+'Sch M 2.2B'!H168</f>
        <v>217013.69999999998</v>
      </c>
      <c r="L36" s="238">
        <f>'Sch M 2.2B'!I76+'Sch M 2.2B'!I97+'Sch M 2.2B'!I125+'Sch M 2.2B'!I168</f>
        <v>152354.59999999998</v>
      </c>
      <c r="M36" s="238">
        <f>'Sch M 2.2B'!J76+'Sch M 2.2B'!J97+'Sch M 2.2B'!J125+'Sch M 2.2B'!J168</f>
        <v>129485.5</v>
      </c>
      <c r="N36" s="238">
        <f>'Sch M 2.2B'!K76+'Sch M 2.2B'!K97+'Sch M 2.2B'!K125+'Sch M 2.2B'!K168</f>
        <v>120159.30000000002</v>
      </c>
      <c r="O36" s="238">
        <f>SUM(C36:N36)</f>
        <v>4289872.6000000006</v>
      </c>
      <c r="P36" s="229"/>
      <c r="Q36" s="229"/>
      <c r="R36" s="229"/>
    </row>
    <row r="37" spans="1:18" x14ac:dyDescent="0.35">
      <c r="A37" s="232">
        <f>A36+1</f>
        <v>16</v>
      </c>
      <c r="B37" s="233" t="s">
        <v>265</v>
      </c>
      <c r="C37" s="425">
        <v>10641.2</v>
      </c>
      <c r="D37" s="425">
        <v>22993.8</v>
      </c>
      <c r="E37" s="425">
        <v>36784.199999999997</v>
      </c>
      <c r="F37" s="425">
        <v>-3995.1</v>
      </c>
      <c r="G37" s="425">
        <v>34398</v>
      </c>
      <c r="H37" s="425">
        <f>32649.2</f>
        <v>32649.200000000001</v>
      </c>
      <c r="I37" s="238">
        <f>'Sch M 2.2B'!F175+'Sch M 2.2B'!F182</f>
        <v>25632.400000000001</v>
      </c>
      <c r="J37" s="238">
        <f>'Sch M 2.2B'!G175+'Sch M 2.2B'!G182</f>
        <v>19330.900000000001</v>
      </c>
      <c r="K37" s="238">
        <f>'Sch M 2.2B'!H175+'Sch M 2.2B'!H182</f>
        <v>14546.3</v>
      </c>
      <c r="L37" s="238">
        <f>'Sch M 2.2B'!I175+'Sch M 2.2B'!I182</f>
        <v>11850.1</v>
      </c>
      <c r="M37" s="238">
        <f>'Sch M 2.2B'!J175+'Sch M 2.2B'!J182</f>
        <v>8386.5</v>
      </c>
      <c r="N37" s="238">
        <f>'Sch M 2.2B'!K175+'Sch M 2.2B'!K182</f>
        <v>8015.3</v>
      </c>
      <c r="O37" s="238">
        <f>SUM(C37:N37)</f>
        <v>221232.79999999996</v>
      </c>
      <c r="P37" s="232"/>
    </row>
    <row r="38" spans="1:18" x14ac:dyDescent="0.35">
      <c r="A38" s="232">
        <f t="shared" ref="A38:A39" si="5">A37+1</f>
        <v>17</v>
      </c>
      <c r="B38" s="233" t="s">
        <v>404</v>
      </c>
      <c r="C38" s="425">
        <v>9</v>
      </c>
      <c r="D38" s="425">
        <v>127.5</v>
      </c>
      <c r="E38" s="425">
        <v>633.5</v>
      </c>
      <c r="F38" s="425">
        <v>325.60000000000002</v>
      </c>
      <c r="G38" s="425">
        <v>445.5</v>
      </c>
      <c r="H38" s="425">
        <v>-170</v>
      </c>
      <c r="I38" s="238">
        <v>0</v>
      </c>
      <c r="J38" s="238">
        <v>0</v>
      </c>
      <c r="K38" s="238">
        <v>0</v>
      </c>
      <c r="L38" s="238">
        <v>0</v>
      </c>
      <c r="M38" s="238">
        <v>0</v>
      </c>
      <c r="N38" s="238">
        <v>0</v>
      </c>
      <c r="O38" s="238">
        <f>SUM(C38:N38)</f>
        <v>1371.1</v>
      </c>
      <c r="P38" s="232"/>
    </row>
    <row r="39" spans="1:18" x14ac:dyDescent="0.35">
      <c r="A39" s="232">
        <f t="shared" si="5"/>
        <v>18</v>
      </c>
      <c r="B39" s="233" t="s">
        <v>266</v>
      </c>
      <c r="C39" s="426">
        <v>991</v>
      </c>
      <c r="D39" s="426">
        <v>-512</v>
      </c>
      <c r="E39" s="426">
        <v>411</v>
      </c>
      <c r="F39" s="426">
        <v>1064</v>
      </c>
      <c r="G39" s="426">
        <v>1714</v>
      </c>
      <c r="H39" s="426">
        <v>1739</v>
      </c>
      <c r="I39" s="240">
        <f>'Sch M 2.2B'!F189</f>
        <v>869</v>
      </c>
      <c r="J39" s="240">
        <f>'Sch M 2.2B'!G189</f>
        <v>1429</v>
      </c>
      <c r="K39" s="240">
        <f>'Sch M 2.2B'!H189</f>
        <v>232</v>
      </c>
      <c r="L39" s="240">
        <f>'Sch M 2.2B'!I189</f>
        <v>149.5</v>
      </c>
      <c r="M39" s="240">
        <f>'Sch M 2.2B'!J189</f>
        <v>503</v>
      </c>
      <c r="N39" s="240">
        <f>'Sch M 2.2B'!K189</f>
        <v>240</v>
      </c>
      <c r="O39" s="240">
        <f>SUM(C39:N39)</f>
        <v>8829.5</v>
      </c>
      <c r="P39" s="254"/>
      <c r="Q39" s="254"/>
    </row>
    <row r="40" spans="1:18" x14ac:dyDescent="0.35">
      <c r="A40" s="232">
        <f>A39+1</f>
        <v>19</v>
      </c>
      <c r="B40" s="233" t="s">
        <v>267</v>
      </c>
      <c r="C40" s="239">
        <f t="shared" ref="C40:O40" si="6">SUM(C35:C39)</f>
        <v>267263.2</v>
      </c>
      <c r="D40" s="239">
        <f t="shared" si="6"/>
        <v>320596</v>
      </c>
      <c r="E40" s="239">
        <f t="shared" si="6"/>
        <v>725778.6</v>
      </c>
      <c r="F40" s="239">
        <f t="shared" si="6"/>
        <v>1556434.8</v>
      </c>
      <c r="G40" s="239">
        <f t="shared" si="6"/>
        <v>2348809</v>
      </c>
      <c r="H40" s="239">
        <f t="shared" si="6"/>
        <v>2058889.1</v>
      </c>
      <c r="I40" s="239">
        <f t="shared" si="6"/>
        <v>1759485.5999999999</v>
      </c>
      <c r="J40" s="239">
        <f t="shared" si="6"/>
        <v>1129572.2999999998</v>
      </c>
      <c r="K40" s="239">
        <f t="shared" si="6"/>
        <v>539951.1</v>
      </c>
      <c r="L40" s="239">
        <f t="shared" si="6"/>
        <v>307268.5</v>
      </c>
      <c r="M40" s="239">
        <f t="shared" si="6"/>
        <v>236125.90000000002</v>
      </c>
      <c r="N40" s="239">
        <f t="shared" si="6"/>
        <v>225506.1</v>
      </c>
      <c r="O40" s="239">
        <f t="shared" si="6"/>
        <v>11475680.200000001</v>
      </c>
    </row>
    <row r="41" spans="1:18" x14ac:dyDescent="0.35">
      <c r="A41" s="232"/>
      <c r="B41" s="233"/>
      <c r="C41" s="239"/>
      <c r="D41" s="239"/>
      <c r="E41" s="239"/>
      <c r="F41" s="239"/>
      <c r="G41" s="239"/>
      <c r="H41" s="239"/>
    </row>
    <row r="42" spans="1:18" x14ac:dyDescent="0.35">
      <c r="A42" s="232">
        <f>A40+1</f>
        <v>20</v>
      </c>
      <c r="B42" s="233" t="s">
        <v>268</v>
      </c>
      <c r="C42" s="425">
        <f>10520.9+202206.9+1360742.4</f>
        <v>1573470.2</v>
      </c>
      <c r="D42" s="425">
        <f>17040.7+280125+1454250.8</f>
        <v>1751416.5</v>
      </c>
      <c r="E42" s="425">
        <f>50877.8+369637.6+1487012.2</f>
        <v>1907527.5999999999</v>
      </c>
      <c r="F42" s="425">
        <f>111705+456365.3+1471325.7</f>
        <v>2039396</v>
      </c>
      <c r="G42" s="425">
        <f>163734.3+606335.9+1842408.5</f>
        <v>2612478.7000000002</v>
      </c>
      <c r="H42" s="425">
        <f>142821.6+516908.8+1419038.4</f>
        <v>2078768.7999999998</v>
      </c>
      <c r="I42" s="239">
        <f>'Sch M 2.2B'!F218+'Sch M 2.2B'!F225+'Sch M 2.2B'!F232+'Sch M 2.2B'!F239+'Sch M 2.2B'!F246+'Sch M 2.2B'!F253+'Sch M 2.2B'!F260+'Sch M 2.2B'!F267+'Sch M 2.2B'!F274+'Sch M 2.2B'!F305+'Sch M 2.2B'!F312+'Sch M 2.2B'!F319+'Sch M 2.2B'!F326+'Sch M 2.2B'!F333</f>
        <v>2041944.3</v>
      </c>
      <c r="J42" s="239">
        <f>'Sch M 2.2B'!G218+'Sch M 2.2B'!G225+'Sch M 2.2B'!G232+'Sch M 2.2B'!G239+'Sch M 2.2B'!G246+'Sch M 2.2B'!G253+'Sch M 2.2B'!G260+'Sch M 2.2B'!G267+'Sch M 2.2B'!G274+'Sch M 2.2B'!G305+'Sch M 2.2B'!G312+'Sch M 2.2B'!G319+'Sch M 2.2B'!G326+'Sch M 2.2B'!G333</f>
        <v>1631843</v>
      </c>
      <c r="K42" s="239">
        <f>'Sch M 2.2B'!H218+'Sch M 2.2B'!H225+'Sch M 2.2B'!H232+'Sch M 2.2B'!H239+'Sch M 2.2B'!H246+'Sch M 2.2B'!H253+'Sch M 2.2B'!H260+'Sch M 2.2B'!H267+'Sch M 2.2B'!H274+'Sch M 2.2B'!H305+'Sch M 2.2B'!H312+'Sch M 2.2B'!H319+'Sch M 2.2B'!H326+'Sch M 2.2B'!H333</f>
        <v>1399589.4</v>
      </c>
      <c r="L42" s="239">
        <f>'Sch M 2.2B'!I218+'Sch M 2.2B'!I225+'Sch M 2.2B'!I232+'Sch M 2.2B'!I239+'Sch M 2.2B'!I246+'Sch M 2.2B'!I253+'Sch M 2.2B'!I260+'Sch M 2.2B'!I267+'Sch M 2.2B'!I274+'Sch M 2.2B'!I305+'Sch M 2.2B'!I312+'Sch M 2.2B'!I319+'Sch M 2.2B'!I326+'Sch M 2.2B'!I333</f>
        <v>1203024.6000000001</v>
      </c>
      <c r="M42" s="239">
        <f>'Sch M 2.2B'!J218+'Sch M 2.2B'!J225+'Sch M 2.2B'!J232+'Sch M 2.2B'!J239+'Sch M 2.2B'!J246+'Sch M 2.2B'!J253+'Sch M 2.2B'!J260+'Sch M 2.2B'!J267+'Sch M 2.2B'!J274+'Sch M 2.2B'!J305+'Sch M 2.2B'!J312+'Sch M 2.2B'!J319+'Sch M 2.2B'!J326+'Sch M 2.2B'!J333</f>
        <v>1000649.8999999999</v>
      </c>
      <c r="N42" s="239">
        <f>'Sch M 2.2B'!K218+'Sch M 2.2B'!K225+'Sch M 2.2B'!K232+'Sch M 2.2B'!K239+'Sch M 2.2B'!K246+'Sch M 2.2B'!K253+'Sch M 2.2B'!K260+'Sch M 2.2B'!K267+'Sch M 2.2B'!K274+'Sch M 2.2B'!K305+'Sch M 2.2B'!K312+'Sch M 2.2B'!K319+'Sch M 2.2B'!K326+'Sch M 2.2B'!K333</f>
        <v>1223924</v>
      </c>
      <c r="O42" s="238">
        <f>SUM(C42:N42)</f>
        <v>20464033</v>
      </c>
    </row>
    <row r="43" spans="1:18" x14ac:dyDescent="0.35">
      <c r="A43" s="232"/>
      <c r="C43" s="239"/>
      <c r="D43" s="239"/>
      <c r="E43" s="425"/>
      <c r="F43" s="239"/>
      <c r="G43" s="429"/>
      <c r="H43" s="251"/>
      <c r="I43" s="251"/>
      <c r="J43" s="251"/>
      <c r="K43" s="251"/>
      <c r="L43" s="251"/>
      <c r="M43" s="251"/>
      <c r="N43" s="251"/>
      <c r="O43" s="251"/>
    </row>
    <row r="44" spans="1:18" ht="14.6" thickBot="1" x14ac:dyDescent="0.4">
      <c r="A44" s="232">
        <f>A42+1</f>
        <v>21</v>
      </c>
      <c r="B44" s="222" t="s">
        <v>270</v>
      </c>
      <c r="C44" s="255">
        <f>C40+C42</f>
        <v>1840733.4</v>
      </c>
      <c r="D44" s="255">
        <f>D40+D42</f>
        <v>2072012.5</v>
      </c>
      <c r="E44" s="255">
        <f>E40+E42</f>
        <v>2633306.1999999997</v>
      </c>
      <c r="F44" s="255">
        <f>F40+F42</f>
        <v>3595830.8</v>
      </c>
      <c r="G44" s="255">
        <f>G40+G42</f>
        <v>4961287.7</v>
      </c>
      <c r="H44" s="255">
        <f t="shared" ref="H44:M44" si="7">H40+H42</f>
        <v>4137657.9</v>
      </c>
      <c r="I44" s="255">
        <f t="shared" si="7"/>
        <v>3801429.9</v>
      </c>
      <c r="J44" s="255">
        <f t="shared" si="7"/>
        <v>2761415.3</v>
      </c>
      <c r="K44" s="255">
        <f t="shared" si="7"/>
        <v>1939540.5</v>
      </c>
      <c r="L44" s="255">
        <f t="shared" si="7"/>
        <v>1510293.1</v>
      </c>
      <c r="M44" s="255">
        <f t="shared" si="7"/>
        <v>1236775.7999999998</v>
      </c>
      <c r="N44" s="255">
        <f>N40+N42</f>
        <v>1449430.1</v>
      </c>
      <c r="O44" s="255">
        <f>SUM(C44:N44)</f>
        <v>31939713.199999999</v>
      </c>
      <c r="P44" s="239"/>
      <c r="Q44" s="256"/>
      <c r="R44" s="239"/>
    </row>
    <row r="45" spans="1:18" ht="14.6" thickTop="1" x14ac:dyDescent="0.35">
      <c r="A45" s="232"/>
      <c r="C45" s="430"/>
      <c r="D45" s="248"/>
      <c r="E45" s="257"/>
      <c r="F45" s="257"/>
      <c r="G45" s="251"/>
      <c r="H45" s="239"/>
      <c r="I45" s="257"/>
      <c r="J45" s="257"/>
      <c r="K45" s="257"/>
      <c r="L45" s="257"/>
      <c r="M45" s="257"/>
      <c r="N45" s="257"/>
      <c r="O45" s="257"/>
      <c r="P45" s="240"/>
      <c r="Q45" s="258"/>
      <c r="R45" s="240"/>
    </row>
    <row r="46" spans="1:18" x14ac:dyDescent="0.35">
      <c r="A46" s="232"/>
      <c r="C46" s="425"/>
      <c r="D46" s="425"/>
      <c r="E46" s="425"/>
      <c r="F46" s="425"/>
      <c r="G46" s="425"/>
      <c r="I46" s="248"/>
      <c r="J46" s="248"/>
      <c r="K46" s="248"/>
      <c r="L46" s="248"/>
      <c r="M46" s="248"/>
      <c r="N46" s="248"/>
      <c r="O46" s="248"/>
      <c r="P46" s="239"/>
      <c r="Q46" s="256"/>
      <c r="R46" s="239"/>
    </row>
    <row r="47" spans="1:18" x14ac:dyDescent="0.35">
      <c r="A47" s="232"/>
      <c r="C47" s="425"/>
      <c r="D47" s="425"/>
      <c r="E47" s="425"/>
      <c r="F47" s="425"/>
      <c r="G47" s="425"/>
      <c r="I47" s="248"/>
      <c r="J47" s="248"/>
      <c r="K47" s="248"/>
      <c r="L47" s="248"/>
      <c r="M47" s="248"/>
      <c r="N47" s="248"/>
      <c r="O47" s="248"/>
      <c r="P47" s="239"/>
      <c r="Q47" s="256"/>
      <c r="R47" s="239"/>
    </row>
    <row r="48" spans="1:18" x14ac:dyDescent="0.35">
      <c r="A48" s="259" t="s">
        <v>303</v>
      </c>
      <c r="B48" s="260"/>
      <c r="C48" s="425"/>
      <c r="D48" s="425"/>
      <c r="E48" s="425"/>
      <c r="F48" s="425"/>
      <c r="G48" s="425"/>
      <c r="H48" s="260"/>
      <c r="I48" s="431"/>
      <c r="J48" s="248"/>
      <c r="K48" s="248"/>
      <c r="L48" s="248"/>
      <c r="M48" s="248"/>
      <c r="N48" s="248"/>
      <c r="O48" s="248"/>
      <c r="P48" s="239"/>
      <c r="Q48" s="256"/>
      <c r="R48" s="239"/>
    </row>
    <row r="49" spans="1:18" x14ac:dyDescent="0.35">
      <c r="A49" s="259" t="s">
        <v>304</v>
      </c>
      <c r="B49" s="260"/>
      <c r="C49" s="425"/>
      <c r="D49" s="425"/>
      <c r="E49" s="425"/>
      <c r="F49" s="425"/>
      <c r="G49" s="425"/>
      <c r="H49" s="260"/>
      <c r="I49" s="431"/>
      <c r="J49" s="248"/>
      <c r="K49" s="248"/>
      <c r="L49" s="248"/>
      <c r="M49" s="248"/>
      <c r="N49" s="248"/>
      <c r="O49" s="248"/>
      <c r="P49" s="239"/>
      <c r="Q49" s="256"/>
      <c r="R49" s="239"/>
    </row>
    <row r="50" spans="1:18" x14ac:dyDescent="0.35">
      <c r="A50" s="259" t="s">
        <v>340</v>
      </c>
      <c r="B50" s="260"/>
      <c r="C50" s="425"/>
      <c r="D50" s="425"/>
      <c r="E50" s="425"/>
      <c r="F50" s="425"/>
      <c r="G50" s="425"/>
      <c r="H50" s="260"/>
      <c r="I50" s="431"/>
      <c r="J50" s="248"/>
      <c r="K50" s="248"/>
      <c r="L50" s="248"/>
      <c r="M50" s="248"/>
      <c r="N50" s="248"/>
      <c r="O50" s="248"/>
      <c r="P50" s="239"/>
      <c r="Q50" s="256"/>
      <c r="R50" s="239"/>
    </row>
    <row r="51" spans="1:18" x14ac:dyDescent="0.35">
      <c r="A51" s="259" t="s">
        <v>441</v>
      </c>
      <c r="B51" s="260"/>
      <c r="C51" s="425"/>
      <c r="D51" s="425"/>
      <c r="E51" s="425"/>
      <c r="F51" s="425"/>
      <c r="G51" s="425"/>
      <c r="H51" s="431"/>
      <c r="I51" s="431"/>
      <c r="J51" s="248"/>
      <c r="K51" s="248"/>
      <c r="L51" s="248"/>
      <c r="M51" s="248"/>
      <c r="N51" s="248"/>
      <c r="O51" s="248"/>
      <c r="P51" s="239"/>
      <c r="Q51" s="256"/>
      <c r="R51" s="239"/>
    </row>
    <row r="52" spans="1:18" x14ac:dyDescent="0.35">
      <c r="A52" s="259" t="s">
        <v>448</v>
      </c>
      <c r="B52" s="260"/>
      <c r="C52" s="261"/>
      <c r="D52" s="261"/>
      <c r="E52" s="261"/>
      <c r="F52" s="261"/>
      <c r="G52" s="261"/>
      <c r="H52" s="261"/>
      <c r="I52" s="431"/>
      <c r="J52" s="248"/>
      <c r="K52" s="248"/>
      <c r="L52" s="248"/>
      <c r="M52" s="248"/>
      <c r="N52" s="248"/>
      <c r="O52" s="248"/>
      <c r="P52" s="239"/>
      <c r="Q52" s="256"/>
      <c r="R52" s="239"/>
    </row>
    <row r="53" spans="1:18" x14ac:dyDescent="0.35">
      <c r="A53" s="261"/>
      <c r="B53" s="261"/>
      <c r="C53" s="261"/>
      <c r="D53" s="261"/>
      <c r="E53" s="261"/>
      <c r="F53" s="261"/>
      <c r="G53" s="261"/>
      <c r="H53" s="261"/>
      <c r="I53" s="431"/>
      <c r="J53" s="248"/>
      <c r="K53" s="248"/>
      <c r="L53" s="248"/>
      <c r="M53" s="248"/>
      <c r="N53" s="248"/>
      <c r="O53" s="248"/>
      <c r="P53" s="239"/>
      <c r="Q53" s="256"/>
      <c r="R53" s="239"/>
    </row>
    <row r="54" spans="1:18" x14ac:dyDescent="0.35">
      <c r="A54" s="261"/>
      <c r="B54" s="261"/>
      <c r="C54" s="261"/>
      <c r="D54" s="261"/>
      <c r="E54" s="261"/>
      <c r="F54" s="261"/>
      <c r="G54" s="261"/>
      <c r="H54" s="261"/>
      <c r="I54" s="431"/>
      <c r="J54" s="248"/>
      <c r="K54" s="248"/>
      <c r="L54" s="248"/>
      <c r="M54" s="248"/>
      <c r="N54" s="248"/>
      <c r="O54" s="248"/>
      <c r="P54" s="239"/>
      <c r="Q54" s="256"/>
      <c r="R54" s="239"/>
    </row>
    <row r="55" spans="1:18" ht="14.6" thickBot="1" x14ac:dyDescent="0.4">
      <c r="A55" s="386" t="s">
        <v>442</v>
      </c>
      <c r="B55" s="261"/>
      <c r="C55" s="261"/>
      <c r="D55" s="261"/>
      <c r="E55" s="261"/>
      <c r="F55" s="261"/>
      <c r="G55" s="261"/>
      <c r="H55" s="261"/>
      <c r="I55" s="431"/>
      <c r="J55" s="248"/>
      <c r="K55" s="248"/>
      <c r="L55" s="248"/>
      <c r="M55" s="248"/>
      <c r="N55" s="248"/>
      <c r="O55" s="248"/>
      <c r="P55" s="239"/>
      <c r="Q55" s="256"/>
      <c r="R55" s="239"/>
    </row>
    <row r="56" spans="1:18" x14ac:dyDescent="0.35">
      <c r="A56" s="232"/>
      <c r="B56" s="380" t="s">
        <v>368</v>
      </c>
      <c r="C56" s="432">
        <v>6835065.0499999998</v>
      </c>
      <c r="D56" s="432">
        <v>9668808.6799999997</v>
      </c>
      <c r="E56" s="432">
        <v>17867185.109999999</v>
      </c>
      <c r="F56" s="432">
        <v>23997874.850000001</v>
      </c>
      <c r="G56" s="432">
        <v>29929907.300000001</v>
      </c>
      <c r="H56" s="433">
        <v>21419359.27</v>
      </c>
      <c r="I56" s="248"/>
      <c r="J56" s="248"/>
      <c r="K56" s="248"/>
      <c r="L56" s="248"/>
      <c r="M56" s="248"/>
      <c r="N56" s="248"/>
      <c r="O56" s="248"/>
      <c r="P56" s="239"/>
      <c r="Q56" s="240"/>
      <c r="R56" s="239"/>
    </row>
    <row r="57" spans="1:18" ht="14.6" thickBot="1" x14ac:dyDescent="0.4">
      <c r="A57" s="232"/>
      <c r="B57" s="381" t="s">
        <v>369</v>
      </c>
      <c r="C57" s="434">
        <f t="shared" ref="C57:H57" si="8">C26+C82-C56+C89</f>
        <v>0</v>
      </c>
      <c r="D57" s="434">
        <f t="shared" si="8"/>
        <v>1.280568540096283E-9</v>
      </c>
      <c r="E57" s="434">
        <f t="shared" si="8"/>
        <v>5.8207660913467407E-10</v>
      </c>
      <c r="F57" s="434">
        <f t="shared" si="8"/>
        <v>5.8207660913467407E-10</v>
      </c>
      <c r="G57" s="435">
        <f t="shared" si="8"/>
        <v>2.3283064365386963E-9</v>
      </c>
      <c r="H57" s="436">
        <f t="shared" si="8"/>
        <v>-5.3551048040390015E-9</v>
      </c>
      <c r="I57" s="248"/>
      <c r="J57" s="248"/>
      <c r="K57" s="248"/>
      <c r="L57" s="248"/>
      <c r="M57" s="248"/>
      <c r="N57" s="248"/>
      <c r="O57" s="248"/>
      <c r="P57" s="239"/>
      <c r="Q57" s="239"/>
      <c r="R57" s="239"/>
    </row>
    <row r="58" spans="1:18" ht="14.6" thickBot="1" x14ac:dyDescent="0.4"/>
    <row r="59" spans="1:18" x14ac:dyDescent="0.35">
      <c r="B59" s="382" t="s">
        <v>370</v>
      </c>
      <c r="C59" s="374"/>
      <c r="D59" s="374"/>
      <c r="E59" s="374"/>
      <c r="F59" s="374"/>
      <c r="G59" s="374"/>
      <c r="H59" s="437"/>
      <c r="K59" s="239"/>
    </row>
    <row r="60" spans="1:18" x14ac:dyDescent="0.35">
      <c r="B60" s="383" t="s">
        <v>371</v>
      </c>
      <c r="C60" s="438">
        <v>462088.84</v>
      </c>
      <c r="D60" s="438">
        <v>749937.4</v>
      </c>
      <c r="E60" s="438">
        <v>1437657.45</v>
      </c>
      <c r="F60" s="438">
        <v>1775538.85</v>
      </c>
      <c r="G60" s="438">
        <v>2532070.71</v>
      </c>
      <c r="H60" s="439">
        <v>1648503.54</v>
      </c>
    </row>
    <row r="61" spans="1:18" x14ac:dyDescent="0.35">
      <c r="B61" s="383" t="s">
        <v>374</v>
      </c>
      <c r="C61" s="438">
        <f>-999.8-1007.3+0.3+196832.44</f>
        <v>194825.64</v>
      </c>
      <c r="D61" s="438">
        <f>155999.9+75017.4+14999.9+183324.2</f>
        <v>429341.4</v>
      </c>
      <c r="E61" s="438">
        <f>347999.9+172953.9+3999.8+186925.25</f>
        <v>711878.85000000009</v>
      </c>
      <c r="F61" s="438">
        <f>103000.2+49023.8-1000+68080.05</f>
        <v>219104.05</v>
      </c>
      <c r="G61" s="438">
        <f>105999.9+17985.5-11000.4+70276.71</f>
        <v>183261.71000000002</v>
      </c>
      <c r="H61" s="439">
        <f>-270999.9-140995.3-2999.5+4609.14</f>
        <v>-410385.56</v>
      </c>
    </row>
    <row r="62" spans="1:18" x14ac:dyDescent="0.35">
      <c r="B62" s="383" t="s">
        <v>268</v>
      </c>
      <c r="C62" s="438">
        <v>1573472.1</v>
      </c>
      <c r="D62" s="438">
        <v>1787423.7</v>
      </c>
      <c r="E62" s="438">
        <v>1983516.8</v>
      </c>
      <c r="F62" s="438">
        <v>2043397.7</v>
      </c>
      <c r="G62" s="438">
        <v>2671480.9</v>
      </c>
      <c r="H62" s="439">
        <v>2007766.8</v>
      </c>
    </row>
    <row r="63" spans="1:18" ht="16.75" x14ac:dyDescent="0.65">
      <c r="B63" s="383" t="s">
        <v>372</v>
      </c>
      <c r="C63" s="440">
        <f>0+2-0.1</f>
        <v>1.9</v>
      </c>
      <c r="D63" s="440">
        <f>19000+16007+1000.2</f>
        <v>36007.199999999997</v>
      </c>
      <c r="E63" s="440">
        <f>39000+36989.4-0.2</f>
        <v>75989.2</v>
      </c>
      <c r="F63" s="440">
        <f>10000-5998.5+0.2</f>
        <v>4001.7</v>
      </c>
      <c r="G63" s="440">
        <f>18000+41002.2+0</f>
        <v>59002.2</v>
      </c>
      <c r="H63" s="441">
        <f>-31000-39001.9-1000.1</f>
        <v>-71002</v>
      </c>
    </row>
    <row r="64" spans="1:18" x14ac:dyDescent="0.35">
      <c r="B64" s="384"/>
      <c r="C64" s="442">
        <f>C60-C61+C62-C63</f>
        <v>1840733.4000000001</v>
      </c>
      <c r="D64" s="442">
        <f t="shared" ref="D64:H64" si="9">D60-D61+D62-D63</f>
        <v>2072012.5000000002</v>
      </c>
      <c r="E64" s="442">
        <f>E60-E61+E62-E63</f>
        <v>2633306.1999999997</v>
      </c>
      <c r="F64" s="442">
        <f t="shared" si="9"/>
        <v>3595830.8</v>
      </c>
      <c r="G64" s="442">
        <f t="shared" si="9"/>
        <v>4961287.7</v>
      </c>
      <c r="H64" s="443">
        <f t="shared" si="9"/>
        <v>4137657.9000000004</v>
      </c>
    </row>
    <row r="65" spans="1:15" ht="14.6" thickBot="1" x14ac:dyDescent="0.4">
      <c r="B65" s="385" t="s">
        <v>373</v>
      </c>
      <c r="C65" s="444">
        <f t="shared" ref="C65:H65" si="10">C44-C64</f>
        <v>0</v>
      </c>
      <c r="D65" s="444">
        <f t="shared" si="10"/>
        <v>0</v>
      </c>
      <c r="E65" s="444">
        <f t="shared" si="10"/>
        <v>0</v>
      </c>
      <c r="F65" s="444">
        <f t="shared" si="10"/>
        <v>0</v>
      </c>
      <c r="G65" s="444">
        <f t="shared" si="10"/>
        <v>0</v>
      </c>
      <c r="H65" s="445">
        <f t="shared" si="10"/>
        <v>0</v>
      </c>
    </row>
    <row r="67" spans="1:15" ht="14.6" thickBot="1" x14ac:dyDescent="0.4">
      <c r="E67" s="446"/>
    </row>
    <row r="68" spans="1:15" x14ac:dyDescent="0.35">
      <c r="A68" s="373"/>
      <c r="B68" s="374"/>
      <c r="C68" s="447" t="s">
        <v>402</v>
      </c>
      <c r="D68" s="447" t="s">
        <v>380</v>
      </c>
      <c r="E68" s="447" t="s">
        <v>381</v>
      </c>
      <c r="F68" s="447" t="s">
        <v>382</v>
      </c>
      <c r="G68" s="447" t="s">
        <v>383</v>
      </c>
      <c r="H68" s="448" t="s">
        <v>384</v>
      </c>
    </row>
    <row r="69" spans="1:15" x14ac:dyDescent="0.35">
      <c r="A69" s="375" t="s">
        <v>418</v>
      </c>
      <c r="C69" s="251">
        <f>SUM(C70:C79)</f>
        <v>35507.119999999995</v>
      </c>
      <c r="D69" s="251">
        <f t="shared" ref="D69:F69" si="11">SUM(D70:D79)</f>
        <v>44396.280000000006</v>
      </c>
      <c r="E69" s="251">
        <f t="shared" si="11"/>
        <v>94915.250000000015</v>
      </c>
      <c r="F69" s="251">
        <f t="shared" si="11"/>
        <v>201745.68</v>
      </c>
      <c r="G69" s="251">
        <f t="shared" ref="G69" si="12">SUM(G70:G79)</f>
        <v>1224712.5400000003</v>
      </c>
      <c r="H69" s="449">
        <f t="shared" ref="H69" si="13">SUM(H70:H79)</f>
        <v>1150759.23</v>
      </c>
      <c r="I69" s="248"/>
      <c r="J69" s="248"/>
      <c r="K69" s="248"/>
      <c r="L69" s="248"/>
      <c r="M69" s="248"/>
      <c r="N69" s="248"/>
      <c r="O69" s="248"/>
    </row>
    <row r="70" spans="1:15" x14ac:dyDescent="0.35">
      <c r="A70" s="376" t="s">
        <v>405</v>
      </c>
      <c r="C70" s="248">
        <v>14350.38</v>
      </c>
      <c r="D70" s="248">
        <v>20884.419999999998</v>
      </c>
      <c r="E70" s="248">
        <v>57516.53</v>
      </c>
      <c r="F70" s="248">
        <v>135942.26999999999</v>
      </c>
      <c r="G70" s="248">
        <v>865595.44</v>
      </c>
      <c r="H70" s="450">
        <v>768505.4</v>
      </c>
      <c r="I70" s="248"/>
      <c r="J70" s="248"/>
      <c r="K70" s="248"/>
      <c r="L70" s="248"/>
      <c r="M70" s="248"/>
      <c r="N70" s="248"/>
      <c r="O70" s="248"/>
    </row>
    <row r="71" spans="1:15" x14ac:dyDescent="0.35">
      <c r="A71" s="376" t="s">
        <v>406</v>
      </c>
      <c r="C71" s="248">
        <v>-665.11</v>
      </c>
      <c r="D71" s="248">
        <v>-343.29</v>
      </c>
      <c r="E71" s="248">
        <v>-311.35000000000002</v>
      </c>
      <c r="F71" s="248">
        <v>-1721.11</v>
      </c>
      <c r="G71" s="248">
        <v>-734.2</v>
      </c>
      <c r="H71" s="450">
        <v>-2509.54</v>
      </c>
      <c r="I71" s="248"/>
      <c r="J71" s="248"/>
      <c r="K71" s="248"/>
      <c r="L71" s="248"/>
      <c r="M71" s="248"/>
      <c r="N71" s="248"/>
      <c r="O71" s="248"/>
    </row>
    <row r="72" spans="1:15" x14ac:dyDescent="0.35">
      <c r="A72" s="376" t="s">
        <v>407</v>
      </c>
      <c r="C72" s="248">
        <v>14591.62</v>
      </c>
      <c r="D72" s="248">
        <v>15723.65</v>
      </c>
      <c r="E72" s="248">
        <v>26275.58</v>
      </c>
      <c r="F72" s="248">
        <v>52963.53</v>
      </c>
      <c r="G72" s="248">
        <v>345127.33</v>
      </c>
      <c r="H72" s="450">
        <v>297188.12</v>
      </c>
      <c r="I72" s="248"/>
      <c r="J72" s="248"/>
      <c r="K72" s="248"/>
      <c r="L72" s="248"/>
      <c r="M72" s="248"/>
      <c r="N72" s="248"/>
      <c r="O72" s="248"/>
    </row>
    <row r="73" spans="1:15" x14ac:dyDescent="0.35">
      <c r="A73" s="376" t="s">
        <v>408</v>
      </c>
      <c r="C73" s="248">
        <v>-2561.81</v>
      </c>
      <c r="D73" s="248">
        <v>-1562.53</v>
      </c>
      <c r="E73" s="248">
        <v>-1000.17</v>
      </c>
      <c r="F73" s="248">
        <v>-701.65</v>
      </c>
      <c r="G73" s="248">
        <v>-2273.67</v>
      </c>
      <c r="H73" s="450">
        <v>-6090.65</v>
      </c>
      <c r="I73" s="248"/>
      <c r="J73" s="248"/>
      <c r="K73" s="248"/>
      <c r="L73" s="248"/>
      <c r="M73" s="248"/>
      <c r="N73" s="248"/>
      <c r="O73" s="248"/>
    </row>
    <row r="74" spans="1:15" x14ac:dyDescent="0.35">
      <c r="A74" s="376" t="s">
        <v>409</v>
      </c>
      <c r="C74" s="248">
        <v>0</v>
      </c>
      <c r="D74" s="248">
        <v>0</v>
      </c>
      <c r="E74" s="248">
        <v>0</v>
      </c>
      <c r="F74" s="248">
        <v>0</v>
      </c>
      <c r="G74" s="248">
        <v>0</v>
      </c>
      <c r="H74" s="450">
        <v>0</v>
      </c>
      <c r="I74" s="248"/>
      <c r="J74" s="248"/>
      <c r="K74" s="248"/>
      <c r="L74" s="248"/>
      <c r="M74" s="248"/>
      <c r="N74" s="248"/>
      <c r="O74" s="248"/>
    </row>
    <row r="75" spans="1:15" x14ac:dyDescent="0.35">
      <c r="A75" s="376" t="s">
        <v>410</v>
      </c>
      <c r="C75" s="248">
        <v>0</v>
      </c>
      <c r="D75" s="248">
        <v>0</v>
      </c>
      <c r="E75" s="248">
        <v>0</v>
      </c>
      <c r="F75" s="248">
        <v>0</v>
      </c>
      <c r="G75" s="248">
        <v>0</v>
      </c>
      <c r="H75" s="450">
        <v>0</v>
      </c>
      <c r="I75" s="248"/>
      <c r="J75" s="248"/>
      <c r="K75" s="248"/>
      <c r="L75" s="248"/>
      <c r="M75" s="248"/>
      <c r="N75" s="248"/>
      <c r="O75" s="248"/>
    </row>
    <row r="76" spans="1:15" x14ac:dyDescent="0.35">
      <c r="A76" s="376" t="s">
        <v>411</v>
      </c>
      <c r="C76" s="248">
        <v>408.45</v>
      </c>
      <c r="D76" s="248">
        <v>580.4</v>
      </c>
      <c r="E76" s="248">
        <v>852.92</v>
      </c>
      <c r="F76" s="248">
        <v>1706.15</v>
      </c>
      <c r="G76" s="248">
        <v>2014.31</v>
      </c>
      <c r="H76" s="450">
        <v>12483.38</v>
      </c>
      <c r="I76" s="248"/>
      <c r="J76" s="248"/>
      <c r="K76" s="248"/>
      <c r="L76" s="248"/>
      <c r="M76" s="248"/>
      <c r="N76" s="248"/>
      <c r="O76" s="248"/>
    </row>
    <row r="77" spans="1:15" x14ac:dyDescent="0.35">
      <c r="A77" s="376" t="s">
        <v>412</v>
      </c>
      <c r="C77" s="248">
        <v>48.28</v>
      </c>
      <c r="D77" s="248">
        <v>13.19</v>
      </c>
      <c r="E77" s="248">
        <v>17.88</v>
      </c>
      <c r="F77" s="248">
        <v>39.06</v>
      </c>
      <c r="G77" s="248">
        <v>67.540000000000006</v>
      </c>
      <c r="H77" s="450">
        <v>327</v>
      </c>
      <c r="I77" s="248"/>
      <c r="J77" s="248"/>
      <c r="K77" s="248"/>
      <c r="L77" s="248"/>
      <c r="M77" s="248"/>
      <c r="N77" s="248"/>
      <c r="O77" s="248"/>
    </row>
    <row r="78" spans="1:15" x14ac:dyDescent="0.35">
      <c r="A78" s="376" t="s">
        <v>413</v>
      </c>
      <c r="C78" s="248">
        <v>3172.03</v>
      </c>
      <c r="D78" s="248">
        <v>3151.9</v>
      </c>
      <c r="E78" s="248">
        <v>3925.0899999999997</v>
      </c>
      <c r="F78" s="248">
        <v>5365.07</v>
      </c>
      <c r="G78" s="248">
        <v>6530.04</v>
      </c>
      <c r="H78" s="450">
        <v>35649.649999999994</v>
      </c>
      <c r="I78" s="248"/>
      <c r="J78" s="248"/>
      <c r="K78" s="248"/>
      <c r="L78" s="248"/>
      <c r="M78" s="248"/>
      <c r="N78" s="248"/>
      <c r="O78" s="248"/>
    </row>
    <row r="79" spans="1:15" x14ac:dyDescent="0.35">
      <c r="A79" s="376" t="s">
        <v>414</v>
      </c>
      <c r="C79" s="248">
        <v>6163.28</v>
      </c>
      <c r="D79" s="248">
        <v>5948.54</v>
      </c>
      <c r="E79" s="248">
        <v>7638.77</v>
      </c>
      <c r="F79" s="248">
        <v>8152.3600000000006</v>
      </c>
      <c r="G79" s="248">
        <v>8385.75</v>
      </c>
      <c r="H79" s="450">
        <v>45205.869999999995</v>
      </c>
      <c r="I79" s="248"/>
      <c r="J79" s="248"/>
      <c r="K79" s="248"/>
      <c r="L79" s="248"/>
      <c r="M79" s="248"/>
      <c r="N79" s="248"/>
      <c r="O79" s="248"/>
    </row>
    <row r="80" spans="1:15" x14ac:dyDescent="0.35">
      <c r="A80" s="376" t="s">
        <v>415</v>
      </c>
      <c r="C80" s="248">
        <v>11247.64</v>
      </c>
      <c r="D80" s="248">
        <v>14657.24</v>
      </c>
      <c r="E80" s="248">
        <v>18627.29</v>
      </c>
      <c r="F80" s="248">
        <v>17494.23</v>
      </c>
      <c r="G80" s="248">
        <v>87550.720000000001</v>
      </c>
      <c r="H80" s="450">
        <v>73267.259999999995</v>
      </c>
      <c r="I80" s="248"/>
      <c r="J80" s="248"/>
      <c r="K80" s="248"/>
      <c r="L80" s="248"/>
      <c r="M80" s="248"/>
      <c r="N80" s="248"/>
      <c r="O80" s="248"/>
    </row>
    <row r="81" spans="1:15" x14ac:dyDescent="0.35">
      <c r="A81" s="376" t="s">
        <v>416</v>
      </c>
      <c r="C81" s="257">
        <v>-11431.7</v>
      </c>
      <c r="D81" s="257">
        <v>-11247.64</v>
      </c>
      <c r="E81" s="257">
        <v>-14657.24</v>
      </c>
      <c r="F81" s="257">
        <v>-18627.29</v>
      </c>
      <c r="G81" s="257">
        <v>-17494.23</v>
      </c>
      <c r="H81" s="451">
        <v>-87550.720000000001</v>
      </c>
      <c r="I81" s="248"/>
      <c r="J81" s="248"/>
      <c r="K81" s="248"/>
      <c r="L81" s="248"/>
      <c r="M81" s="248"/>
      <c r="N81" s="248"/>
      <c r="O81" s="248"/>
    </row>
    <row r="82" spans="1:15" x14ac:dyDescent="0.35">
      <c r="A82" s="376" t="s">
        <v>419</v>
      </c>
      <c r="C82" s="248">
        <f>SUM(C70:C81)</f>
        <v>35323.06</v>
      </c>
      <c r="D82" s="248">
        <f t="shared" ref="D82:H82" si="14">SUM(D70:D81)</f>
        <v>47805.880000000005</v>
      </c>
      <c r="E82" s="248">
        <f t="shared" si="14"/>
        <v>98885.3</v>
      </c>
      <c r="F82" s="248">
        <f t="shared" si="14"/>
        <v>200612.62</v>
      </c>
      <c r="G82" s="248">
        <f t="shared" si="14"/>
        <v>1294769.0300000003</v>
      </c>
      <c r="H82" s="450">
        <f t="shared" si="14"/>
        <v>1136475.77</v>
      </c>
      <c r="I82" s="248"/>
      <c r="J82" s="248"/>
      <c r="K82" s="248"/>
      <c r="L82" s="248"/>
      <c r="M82" s="248"/>
      <c r="N82" s="248"/>
      <c r="O82" s="248"/>
    </row>
    <row r="83" spans="1:15" x14ac:dyDescent="0.35">
      <c r="A83" s="376"/>
      <c r="C83" s="248"/>
      <c r="D83" s="248"/>
      <c r="E83" s="248"/>
      <c r="F83" s="248"/>
      <c r="G83" s="248"/>
      <c r="H83" s="450"/>
      <c r="I83" s="248"/>
      <c r="J83" s="248"/>
      <c r="K83" s="248"/>
      <c r="L83" s="248"/>
      <c r="M83" s="248"/>
      <c r="N83" s="248"/>
      <c r="O83" s="248"/>
    </row>
    <row r="84" spans="1:15" x14ac:dyDescent="0.35">
      <c r="A84" s="376" t="s">
        <v>417</v>
      </c>
      <c r="C84" s="251">
        <f>SUM(C70:C79)</f>
        <v>35507.119999999995</v>
      </c>
      <c r="D84" s="251">
        <f t="shared" ref="D84:H84" si="15">SUM(D70:D79)</f>
        <v>44396.280000000006</v>
      </c>
      <c r="E84" s="251">
        <f t="shared" si="15"/>
        <v>94915.250000000015</v>
      </c>
      <c r="F84" s="251">
        <f t="shared" si="15"/>
        <v>201745.68</v>
      </c>
      <c r="G84" s="251">
        <f t="shared" si="15"/>
        <v>1224712.5400000003</v>
      </c>
      <c r="H84" s="449">
        <f t="shared" si="15"/>
        <v>1150759.23</v>
      </c>
      <c r="I84" s="248"/>
      <c r="J84" s="248"/>
      <c r="K84" s="248"/>
      <c r="L84" s="248"/>
      <c r="M84" s="248"/>
      <c r="N84" s="248"/>
      <c r="O84" s="248"/>
    </row>
    <row r="85" spans="1:15" x14ac:dyDescent="0.35">
      <c r="A85" s="376"/>
      <c r="H85" s="452"/>
    </row>
    <row r="86" spans="1:15" x14ac:dyDescent="0.35">
      <c r="A86" s="376"/>
      <c r="H86" s="452"/>
    </row>
    <row r="87" spans="1:15" x14ac:dyDescent="0.35">
      <c r="A87" s="376" t="s">
        <v>420</v>
      </c>
      <c r="C87" s="248">
        <v>169623.7</v>
      </c>
      <c r="D87" s="248">
        <v>215284.64</v>
      </c>
      <c r="E87" s="248">
        <v>303396.11</v>
      </c>
      <c r="F87" s="248">
        <v>370249.36</v>
      </c>
      <c r="G87" s="248">
        <v>-867112.56</v>
      </c>
      <c r="H87" s="450">
        <v>-711319.49</v>
      </c>
    </row>
    <row r="88" spans="1:15" x14ac:dyDescent="0.35">
      <c r="A88" s="376"/>
      <c r="B88" s="222" t="s">
        <v>421</v>
      </c>
      <c r="C88" s="257"/>
      <c r="D88" s="257"/>
      <c r="E88" s="257"/>
      <c r="F88" s="257"/>
      <c r="G88" s="257"/>
      <c r="H88" s="451">
        <v>-320991</v>
      </c>
    </row>
    <row r="89" spans="1:15" x14ac:dyDescent="0.35">
      <c r="A89" s="376"/>
      <c r="B89" s="222" t="s">
        <v>422</v>
      </c>
      <c r="C89" s="248">
        <f t="shared" ref="C89:G89" si="16">SUM(C87:C88)</f>
        <v>169623.7</v>
      </c>
      <c r="D89" s="248">
        <f t="shared" si="16"/>
        <v>215284.64</v>
      </c>
      <c r="E89" s="248">
        <f t="shared" si="16"/>
        <v>303396.11</v>
      </c>
      <c r="F89" s="248">
        <f t="shared" si="16"/>
        <v>370249.36</v>
      </c>
      <c r="G89" s="248">
        <f t="shared" si="16"/>
        <v>-867112.56</v>
      </c>
      <c r="H89" s="450">
        <f>SUM(H87:H88)</f>
        <v>-1032310.49</v>
      </c>
    </row>
    <row r="90" spans="1:15" ht="14.6" thickBot="1" x14ac:dyDescent="0.4">
      <c r="A90" s="377"/>
      <c r="B90" s="378"/>
      <c r="C90" s="378"/>
      <c r="D90" s="378"/>
      <c r="E90" s="378"/>
      <c r="F90" s="378"/>
      <c r="G90" s="378"/>
      <c r="H90" s="453"/>
    </row>
    <row r="91" spans="1:15" ht="14.6" thickBot="1" x14ac:dyDescent="0.4"/>
    <row r="92" spans="1:15" x14ac:dyDescent="0.35">
      <c r="A92" s="379" t="s">
        <v>423</v>
      </c>
      <c r="B92" s="374"/>
      <c r="C92" s="447" t="s">
        <v>402</v>
      </c>
      <c r="D92" s="447" t="s">
        <v>380</v>
      </c>
      <c r="E92" s="447" t="s">
        <v>381</v>
      </c>
      <c r="F92" s="447" t="s">
        <v>382</v>
      </c>
      <c r="G92" s="447" t="s">
        <v>383</v>
      </c>
      <c r="H92" s="448" t="s">
        <v>384</v>
      </c>
    </row>
    <row r="93" spans="1:15" x14ac:dyDescent="0.35">
      <c r="A93" s="376" t="s">
        <v>424</v>
      </c>
      <c r="C93" s="454">
        <v>1465.69</v>
      </c>
      <c r="D93" s="454">
        <v>2165.17</v>
      </c>
      <c r="E93" s="454">
        <v>5920.83</v>
      </c>
      <c r="F93" s="454">
        <v>13817.550000000001</v>
      </c>
      <c r="G93" s="454">
        <v>20569.73</v>
      </c>
      <c r="H93" s="455">
        <v>18202.809999999998</v>
      </c>
    </row>
    <row r="94" spans="1:15" x14ac:dyDescent="0.35">
      <c r="A94" s="376" t="s">
        <v>425</v>
      </c>
      <c r="C94" s="454">
        <v>1967.32</v>
      </c>
      <c r="D94" s="454">
        <v>2343.34</v>
      </c>
      <c r="E94" s="454">
        <v>4249.43</v>
      </c>
      <c r="F94" s="454">
        <v>8862.93</v>
      </c>
      <c r="G94" s="454">
        <v>13160.51</v>
      </c>
      <c r="H94" s="455">
        <v>11318.55</v>
      </c>
    </row>
    <row r="95" spans="1:15" x14ac:dyDescent="0.35">
      <c r="A95" s="376" t="s">
        <v>426</v>
      </c>
      <c r="C95" s="454">
        <v>174.82</v>
      </c>
      <c r="D95" s="454">
        <v>196.24</v>
      </c>
      <c r="E95" s="454">
        <v>249.39999999999998</v>
      </c>
      <c r="F95" s="454">
        <v>426.49</v>
      </c>
      <c r="G95" s="454">
        <v>580.4</v>
      </c>
      <c r="H95" s="455">
        <v>607.64</v>
      </c>
    </row>
    <row r="96" spans="1:15" x14ac:dyDescent="0.35">
      <c r="A96" s="376" t="s">
        <v>427</v>
      </c>
      <c r="C96" s="454">
        <v>13.61</v>
      </c>
      <c r="D96" s="454">
        <v>3.71</v>
      </c>
      <c r="E96" s="454">
        <v>5.04</v>
      </c>
      <c r="F96" s="454">
        <v>11.01</v>
      </c>
      <c r="G96" s="454">
        <v>19.04</v>
      </c>
      <c r="H96" s="455">
        <v>20.260000000000002</v>
      </c>
    </row>
    <row r="97" spans="1:8" x14ac:dyDescent="0.35">
      <c r="A97" s="376" t="s">
        <v>428</v>
      </c>
      <c r="C97" s="454">
        <v>2284.44</v>
      </c>
      <c r="D97" s="454">
        <v>2268.15</v>
      </c>
      <c r="E97" s="454">
        <v>2808.14</v>
      </c>
      <c r="F97" s="454">
        <v>3677.37</v>
      </c>
      <c r="G97" s="454">
        <v>4206.3599999999997</v>
      </c>
      <c r="H97" s="455">
        <v>5287.77</v>
      </c>
    </row>
    <row r="98" spans="1:8" x14ac:dyDescent="0.35">
      <c r="A98" s="376" t="s">
        <v>429</v>
      </c>
      <c r="C98" s="456">
        <v>5954.68</v>
      </c>
      <c r="D98" s="456">
        <v>5896.54</v>
      </c>
      <c r="E98" s="456">
        <v>7372.38</v>
      </c>
      <c r="F98" s="456">
        <v>7714.62</v>
      </c>
      <c r="G98" s="456">
        <v>7895.96</v>
      </c>
      <c r="H98" s="457">
        <v>9937.41</v>
      </c>
    </row>
    <row r="99" spans="1:8" x14ac:dyDescent="0.35">
      <c r="A99" s="376" t="s">
        <v>430</v>
      </c>
      <c r="C99" s="454">
        <f>SUM(C93:C98)</f>
        <v>11860.560000000001</v>
      </c>
      <c r="D99" s="454">
        <f t="shared" ref="D99:H99" si="17">SUM(D93:D98)</f>
        <v>12873.150000000001</v>
      </c>
      <c r="E99" s="454">
        <f t="shared" si="17"/>
        <v>20605.22</v>
      </c>
      <c r="F99" s="454">
        <f t="shared" si="17"/>
        <v>34509.97</v>
      </c>
      <c r="G99" s="454">
        <f t="shared" si="17"/>
        <v>46432</v>
      </c>
      <c r="H99" s="455">
        <f t="shared" si="17"/>
        <v>45374.44</v>
      </c>
    </row>
    <row r="100" spans="1:8" x14ac:dyDescent="0.35">
      <c r="A100" s="376"/>
      <c r="C100" s="454"/>
      <c r="D100" s="454"/>
      <c r="E100" s="454"/>
      <c r="F100" s="454"/>
      <c r="G100" s="454"/>
      <c r="H100" s="455"/>
    </row>
    <row r="101" spans="1:8" x14ac:dyDescent="0.35">
      <c r="A101" s="376"/>
      <c r="H101" s="452"/>
    </row>
    <row r="102" spans="1:8" ht="14.6" thickBot="1" x14ac:dyDescent="0.4">
      <c r="A102" s="377"/>
      <c r="B102" s="378"/>
      <c r="C102" s="378"/>
      <c r="D102" s="378"/>
      <c r="E102" s="378"/>
      <c r="F102" s="378"/>
      <c r="G102" s="378"/>
      <c r="H102" s="453"/>
    </row>
    <row r="105" spans="1:8" ht="14.6" thickBot="1" x14ac:dyDescent="0.4"/>
    <row r="106" spans="1:8" x14ac:dyDescent="0.35">
      <c r="A106" s="373"/>
      <c r="B106" s="374"/>
      <c r="C106" s="447" t="s">
        <v>402</v>
      </c>
      <c r="D106" s="447" t="s">
        <v>380</v>
      </c>
      <c r="E106" s="447" t="s">
        <v>381</v>
      </c>
      <c r="F106" s="447" t="s">
        <v>382</v>
      </c>
      <c r="G106" s="447" t="s">
        <v>383</v>
      </c>
      <c r="H106" s="448" t="s">
        <v>384</v>
      </c>
    </row>
    <row r="107" spans="1:8" x14ac:dyDescent="0.35">
      <c r="A107" s="376"/>
      <c r="B107" s="222" t="s">
        <v>431</v>
      </c>
      <c r="C107" s="454">
        <f>-11071.65</f>
        <v>-11071.65</v>
      </c>
      <c r="D107" s="454">
        <f>1294197.33</f>
        <v>1294197.33</v>
      </c>
      <c r="E107" s="454">
        <f>4202866.06</f>
        <v>4202866.0599999996</v>
      </c>
      <c r="F107" s="454">
        <f>1699070.71</f>
        <v>1699070.71</v>
      </c>
      <c r="G107" s="454">
        <f>686643.01</f>
        <v>686643.01</v>
      </c>
      <c r="H107" s="455">
        <f>-3246443.39</f>
        <v>-3246443.39</v>
      </c>
    </row>
    <row r="108" spans="1:8" x14ac:dyDescent="0.35">
      <c r="A108" s="376"/>
      <c r="B108" s="222" t="s">
        <v>432</v>
      </c>
      <c r="C108" s="454">
        <v>-9703.33</v>
      </c>
      <c r="D108" s="454">
        <f>430444.74</f>
        <v>430444.74</v>
      </c>
      <c r="E108" s="454">
        <f>1691289.31</f>
        <v>1691289.31</v>
      </c>
      <c r="F108" s="454">
        <f>540861.52</f>
        <v>540861.52</v>
      </c>
      <c r="G108" s="454">
        <f>81608.09</f>
        <v>81608.09</v>
      </c>
      <c r="H108" s="455">
        <f>-1525406.39</f>
        <v>-1525406.39</v>
      </c>
    </row>
    <row r="109" spans="1:8" x14ac:dyDescent="0.35">
      <c r="A109" s="376"/>
      <c r="B109" s="222" t="s">
        <v>433</v>
      </c>
      <c r="C109" s="454">
        <f>52.31</f>
        <v>52.31</v>
      </c>
      <c r="D109" s="454">
        <f>78727.65</f>
        <v>78727.649999999994</v>
      </c>
      <c r="E109" s="454">
        <f>72320.84</f>
        <v>72320.84</v>
      </c>
      <c r="F109" s="454">
        <f>-6247.22</f>
        <v>-6247.22</v>
      </c>
      <c r="G109" s="454">
        <f>-80392.76</f>
        <v>-80392.759999999995</v>
      </c>
      <c r="H109" s="455">
        <f>-41858.82</f>
        <v>-41858.82</v>
      </c>
    </row>
    <row r="110" spans="1:8" x14ac:dyDescent="0.35">
      <c r="A110" s="376"/>
      <c r="B110" s="222" t="s">
        <v>434</v>
      </c>
      <c r="C110" s="454">
        <v>323336.26</v>
      </c>
      <c r="D110" s="454">
        <v>312248.55</v>
      </c>
      <c r="E110" s="454">
        <v>415168.48</v>
      </c>
      <c r="F110" s="454">
        <v>137850.44</v>
      </c>
      <c r="G110" s="454">
        <v>389740.5</v>
      </c>
      <c r="H110" s="455">
        <v>6387.5</v>
      </c>
    </row>
    <row r="111" spans="1:8" x14ac:dyDescent="0.35">
      <c r="A111" s="376"/>
      <c r="B111" s="250" t="s">
        <v>435</v>
      </c>
      <c r="C111" s="454">
        <v>4995</v>
      </c>
      <c r="D111" s="454">
        <v>4995</v>
      </c>
      <c r="E111" s="454">
        <v>4995</v>
      </c>
      <c r="F111" s="454">
        <v>4995</v>
      </c>
      <c r="G111" s="454">
        <v>4995</v>
      </c>
      <c r="H111" s="455">
        <v>7344</v>
      </c>
    </row>
    <row r="112" spans="1:8" x14ac:dyDescent="0.35">
      <c r="A112" s="376"/>
      <c r="B112" s="250" t="s">
        <v>436</v>
      </c>
      <c r="C112" s="454">
        <v>23016.46</v>
      </c>
      <c r="D112" s="454">
        <v>27229.61</v>
      </c>
      <c r="E112" s="454">
        <v>26347.47</v>
      </c>
      <c r="F112" s="454">
        <v>32779.08</v>
      </c>
      <c r="G112" s="454">
        <v>68513.119999999995</v>
      </c>
      <c r="H112" s="455">
        <v>100219.12</v>
      </c>
    </row>
    <row r="113" spans="1:9" x14ac:dyDescent="0.35">
      <c r="A113" s="376"/>
      <c r="B113" s="250" t="s">
        <v>437</v>
      </c>
      <c r="C113" s="454">
        <v>4229.92</v>
      </c>
      <c r="D113" s="454">
        <v>16519.900000000001</v>
      </c>
      <c r="E113" s="454">
        <v>25870.12</v>
      </c>
      <c r="F113" s="454">
        <v>4377.28</v>
      </c>
      <c r="G113" s="454">
        <v>-10510.79</v>
      </c>
      <c r="H113" s="455">
        <v>4995.63</v>
      </c>
    </row>
    <row r="114" spans="1:9" ht="16.75" x14ac:dyDescent="0.65">
      <c r="A114" s="376"/>
      <c r="B114" s="250" t="s">
        <v>438</v>
      </c>
      <c r="C114" s="458">
        <v>177521.38</v>
      </c>
      <c r="D114" s="458">
        <v>226004.52</v>
      </c>
      <c r="E114" s="458">
        <v>315138.5</v>
      </c>
      <c r="F114" s="458">
        <v>390018.89</v>
      </c>
      <c r="G114" s="458">
        <v>-837337.86</v>
      </c>
      <c r="H114" s="459">
        <v>-1008925.91</v>
      </c>
    </row>
    <row r="115" spans="1:9" x14ac:dyDescent="0.35">
      <c r="A115" s="376"/>
      <c r="C115" s="446">
        <f t="shared" ref="C115:H115" si="18">SUM(C107:C114)</f>
        <v>512376.35000000003</v>
      </c>
      <c r="D115" s="446">
        <f t="shared" si="18"/>
        <v>2390367.2999999998</v>
      </c>
      <c r="E115" s="446">
        <f t="shared" si="18"/>
        <v>6753995.7799999993</v>
      </c>
      <c r="F115" s="446">
        <f t="shared" si="18"/>
        <v>2803705.6999999997</v>
      </c>
      <c r="G115" s="446">
        <f t="shared" si="18"/>
        <v>303258.30999999994</v>
      </c>
      <c r="H115" s="460">
        <f t="shared" si="18"/>
        <v>-5703688.2600000007</v>
      </c>
    </row>
    <row r="116" spans="1:9" x14ac:dyDescent="0.35">
      <c r="A116" s="376"/>
      <c r="H116" s="452"/>
    </row>
    <row r="117" spans="1:9" x14ac:dyDescent="0.35">
      <c r="A117" s="376"/>
      <c r="B117" s="222" t="s">
        <v>439</v>
      </c>
      <c r="C117" s="248">
        <f t="shared" ref="C117:H117" si="19">C89</f>
        <v>169623.7</v>
      </c>
      <c r="D117" s="248">
        <f t="shared" si="19"/>
        <v>215284.64</v>
      </c>
      <c r="E117" s="248">
        <f t="shared" si="19"/>
        <v>303396.11</v>
      </c>
      <c r="F117" s="248">
        <f t="shared" si="19"/>
        <v>370249.36</v>
      </c>
      <c r="G117" s="248">
        <f t="shared" si="19"/>
        <v>-867112.56</v>
      </c>
      <c r="H117" s="450">
        <f t="shared" si="19"/>
        <v>-1032310.49</v>
      </c>
    </row>
    <row r="118" spans="1:9" x14ac:dyDescent="0.35">
      <c r="A118" s="376"/>
      <c r="H118" s="452"/>
    </row>
    <row r="119" spans="1:9" x14ac:dyDescent="0.35">
      <c r="A119" s="376"/>
      <c r="B119" s="222" t="s">
        <v>440</v>
      </c>
      <c r="C119" s="446">
        <f>C115-C117</f>
        <v>342752.65</v>
      </c>
      <c r="D119" s="446">
        <f t="shared" ref="D119:H119" si="20">D115-D117</f>
        <v>2175082.6599999997</v>
      </c>
      <c r="E119" s="446">
        <f t="shared" si="20"/>
        <v>6450599.669999999</v>
      </c>
      <c r="F119" s="446">
        <f t="shared" si="20"/>
        <v>2433456.34</v>
      </c>
      <c r="G119" s="446">
        <f t="shared" si="20"/>
        <v>1170370.8700000001</v>
      </c>
      <c r="H119" s="460">
        <f t="shared" si="20"/>
        <v>-4671377.7700000005</v>
      </c>
    </row>
    <row r="120" spans="1:9" x14ac:dyDescent="0.35">
      <c r="A120" s="376"/>
      <c r="H120" s="452"/>
    </row>
    <row r="121" spans="1:9" ht="14.6" thickBot="1" x14ac:dyDescent="0.4">
      <c r="A121" s="377"/>
      <c r="B121" s="378" t="s">
        <v>376</v>
      </c>
      <c r="C121" s="444">
        <f t="shared" ref="C121:H121" si="21">C24-C119</f>
        <v>0</v>
      </c>
      <c r="D121" s="444">
        <f t="shared" si="21"/>
        <v>0</v>
      </c>
      <c r="E121" s="444">
        <f t="shared" si="21"/>
        <v>0</v>
      </c>
      <c r="F121" s="444">
        <f t="shared" si="21"/>
        <v>0</v>
      </c>
      <c r="G121" s="444">
        <f t="shared" si="21"/>
        <v>0</v>
      </c>
      <c r="H121" s="445">
        <f t="shared" si="21"/>
        <v>0</v>
      </c>
    </row>
    <row r="125" spans="1:9" x14ac:dyDescent="0.35">
      <c r="A125" s="387" t="s">
        <v>449</v>
      </c>
      <c r="B125" s="388"/>
      <c r="C125" s="461">
        <v>45139</v>
      </c>
      <c r="D125" s="461">
        <v>45170</v>
      </c>
      <c r="E125" s="461">
        <v>45200</v>
      </c>
      <c r="F125" s="461">
        <v>45231</v>
      </c>
      <c r="G125" s="461">
        <v>45261</v>
      </c>
      <c r="H125" s="461">
        <v>45292</v>
      </c>
      <c r="I125" s="461">
        <v>45323</v>
      </c>
    </row>
    <row r="126" spans="1:9" x14ac:dyDescent="0.35">
      <c r="A126" s="388" t="s">
        <v>415</v>
      </c>
      <c r="B126" s="388"/>
      <c r="C126" s="389">
        <f>94.28+145.36+14.46+1224.5+2104.33+1281.22+6544.62+22.86+0.07</f>
        <v>11431.7</v>
      </c>
      <c r="D126" s="389">
        <f>125.26+235.09+14.86+883.31+2010.16+1352.31+6601.07+25.51+0.07</f>
        <v>11247.64</v>
      </c>
      <c r="E126" s="389">
        <f>179.3+1116.09+20.56+1343.51+2760.29+1803.83+7348.83+42.4+42.43</f>
        <v>14657.24</v>
      </c>
      <c r="F126" s="389">
        <f>544.45+2768.13+48.88+47.29+1869.67+3696.55+1073.62+8344.64+138.34+95.72</f>
        <v>18627.29</v>
      </c>
      <c r="G126" s="389">
        <v>17494.23</v>
      </c>
      <c r="H126" s="389">
        <v>87550.720000000001</v>
      </c>
      <c r="I126" s="389">
        <v>73267.259999999995</v>
      </c>
    </row>
    <row r="127" spans="1:9" x14ac:dyDescent="0.35">
      <c r="A127" s="388" t="s">
        <v>416</v>
      </c>
      <c r="B127" s="388"/>
      <c r="C127" s="389">
        <v>-9207.66</v>
      </c>
      <c r="D127" s="389">
        <f>-C126</f>
        <v>-11431.7</v>
      </c>
      <c r="E127" s="389">
        <f t="shared" ref="E127:I127" si="22">-D126</f>
        <v>-11247.64</v>
      </c>
      <c r="F127" s="389">
        <f t="shared" si="22"/>
        <v>-14657.24</v>
      </c>
      <c r="G127" s="389">
        <f t="shared" si="22"/>
        <v>-18627.29</v>
      </c>
      <c r="H127" s="389">
        <f t="shared" si="22"/>
        <v>-17494.23</v>
      </c>
      <c r="I127" s="389">
        <f t="shared" si="22"/>
        <v>-87550.720000000001</v>
      </c>
    </row>
    <row r="128" spans="1:9" x14ac:dyDescent="0.35">
      <c r="A128" s="388"/>
      <c r="B128" s="388"/>
      <c r="C128" s="388"/>
      <c r="D128" s="388"/>
      <c r="E128" s="388"/>
      <c r="F128" s="388"/>
      <c r="G128" s="388"/>
      <c r="H128" s="388"/>
      <c r="I128" s="388"/>
    </row>
    <row r="129" spans="1:11" x14ac:dyDescent="0.35">
      <c r="A129" s="388"/>
      <c r="B129" s="388"/>
      <c r="C129" s="388"/>
      <c r="D129" s="388"/>
      <c r="E129" s="388"/>
      <c r="F129" s="388"/>
      <c r="G129" s="388"/>
      <c r="H129" s="388"/>
      <c r="I129" s="388"/>
    </row>
    <row r="130" spans="1:11" x14ac:dyDescent="0.35">
      <c r="A130" s="388" t="s">
        <v>450</v>
      </c>
      <c r="B130" s="388"/>
      <c r="C130" s="388"/>
      <c r="D130" s="388"/>
      <c r="E130" s="388"/>
      <c r="F130" s="388"/>
      <c r="G130" s="388"/>
      <c r="H130" s="388"/>
      <c r="I130" s="388"/>
    </row>
    <row r="131" spans="1:11" x14ac:dyDescent="0.35">
      <c r="A131" s="388" t="s">
        <v>452</v>
      </c>
      <c r="B131" s="388" t="s">
        <v>451</v>
      </c>
      <c r="C131" s="388">
        <v>94.28</v>
      </c>
      <c r="D131" s="388">
        <v>125.26</v>
      </c>
      <c r="E131" s="388">
        <v>179.3</v>
      </c>
      <c r="F131" s="388">
        <v>544.45000000000005</v>
      </c>
      <c r="G131" s="388">
        <v>1203.94</v>
      </c>
      <c r="H131" s="388">
        <v>6171.29</v>
      </c>
      <c r="I131" s="388">
        <v>5799.8</v>
      </c>
      <c r="K131" s="388"/>
    </row>
    <row r="132" spans="1:11" x14ac:dyDescent="0.35">
      <c r="A132" s="388" t="s">
        <v>453</v>
      </c>
      <c r="B132" s="388" t="s">
        <v>451</v>
      </c>
      <c r="C132" s="388">
        <v>0</v>
      </c>
      <c r="D132" s="388">
        <v>0</v>
      </c>
      <c r="E132" s="388">
        <v>0</v>
      </c>
      <c r="F132" s="388">
        <v>0</v>
      </c>
      <c r="G132" s="388">
        <v>0</v>
      </c>
      <c r="H132" s="388">
        <v>0</v>
      </c>
      <c r="I132" s="388">
        <v>0</v>
      </c>
      <c r="K132" s="388"/>
    </row>
    <row r="133" spans="1:11" x14ac:dyDescent="0.35">
      <c r="A133" s="388" t="s">
        <v>452</v>
      </c>
      <c r="B133" s="388" t="s">
        <v>454</v>
      </c>
      <c r="C133" s="388">
        <v>145.36000000000001</v>
      </c>
      <c r="D133" s="388">
        <v>235.09</v>
      </c>
      <c r="E133" s="388">
        <v>1116.0899999999999</v>
      </c>
      <c r="F133" s="388">
        <v>2768.13</v>
      </c>
      <c r="G133" s="388">
        <v>726.47</v>
      </c>
      <c r="H133" s="388">
        <v>3209.39</v>
      </c>
      <c r="I133" s="388">
        <v>2326.2199999999998</v>
      </c>
      <c r="K133" s="388"/>
    </row>
    <row r="134" spans="1:11" x14ac:dyDescent="0.35">
      <c r="A134" s="388" t="s">
        <v>453</v>
      </c>
      <c r="B134" s="388" t="s">
        <v>454</v>
      </c>
      <c r="C134" s="388">
        <v>0</v>
      </c>
      <c r="D134" s="388">
        <v>0</v>
      </c>
      <c r="E134" s="388">
        <v>0</v>
      </c>
      <c r="F134" s="388">
        <v>0</v>
      </c>
      <c r="G134" s="388">
        <v>0</v>
      </c>
      <c r="H134" s="388">
        <v>0</v>
      </c>
      <c r="I134" s="388">
        <v>0</v>
      </c>
      <c r="K134" s="388"/>
    </row>
    <row r="135" spans="1:11" x14ac:dyDescent="0.35">
      <c r="A135" s="388" t="s">
        <v>456</v>
      </c>
      <c r="B135" s="388" t="s">
        <v>455</v>
      </c>
      <c r="C135" s="388">
        <v>14.46</v>
      </c>
      <c r="D135" s="388">
        <v>14.86</v>
      </c>
      <c r="E135" s="388">
        <v>20.56</v>
      </c>
      <c r="F135" s="388">
        <v>48.88</v>
      </c>
      <c r="G135" s="388">
        <v>63.43</v>
      </c>
      <c r="H135" s="388">
        <v>374.95</v>
      </c>
      <c r="I135" s="388">
        <v>340.76</v>
      </c>
      <c r="K135" s="388"/>
    </row>
    <row r="136" spans="1:11" x14ac:dyDescent="0.35">
      <c r="A136" s="388" t="s">
        <v>457</v>
      </c>
      <c r="B136" s="388" t="s">
        <v>455</v>
      </c>
      <c r="C136" s="388">
        <v>0</v>
      </c>
      <c r="D136" s="388">
        <v>0</v>
      </c>
      <c r="E136" s="388">
        <v>0</v>
      </c>
      <c r="F136" s="388">
        <v>0</v>
      </c>
      <c r="G136" s="388">
        <v>0</v>
      </c>
      <c r="H136" s="388">
        <v>0</v>
      </c>
      <c r="I136" s="388">
        <v>0</v>
      </c>
      <c r="K136" s="388"/>
    </row>
    <row r="137" spans="1:11" x14ac:dyDescent="0.35">
      <c r="A137" s="388" t="s">
        <v>452</v>
      </c>
      <c r="B137" s="388" t="s">
        <v>458</v>
      </c>
      <c r="C137" s="388"/>
      <c r="D137" s="388">
        <v>0</v>
      </c>
      <c r="E137" s="388"/>
      <c r="F137" s="388">
        <v>47.29</v>
      </c>
      <c r="G137" s="388"/>
      <c r="H137" s="388"/>
      <c r="I137" s="388"/>
      <c r="K137" s="388"/>
    </row>
    <row r="138" spans="1:11" x14ac:dyDescent="0.35">
      <c r="A138" s="388" t="s">
        <v>453</v>
      </c>
      <c r="B138" s="388" t="s">
        <v>458</v>
      </c>
      <c r="C138" s="388"/>
      <c r="D138" s="388">
        <v>0</v>
      </c>
      <c r="E138" s="388"/>
      <c r="F138" s="388">
        <v>0</v>
      </c>
      <c r="G138" s="388"/>
      <c r="H138" s="388"/>
      <c r="I138" s="388"/>
      <c r="K138" s="388"/>
    </row>
    <row r="139" spans="1:11" x14ac:dyDescent="0.35">
      <c r="A139" s="388" t="s">
        <v>452</v>
      </c>
      <c r="B139" s="388" t="s">
        <v>459</v>
      </c>
      <c r="C139" s="388">
        <v>1224.5</v>
      </c>
      <c r="D139" s="388">
        <v>883.31</v>
      </c>
      <c r="E139" s="388">
        <v>1343.51</v>
      </c>
      <c r="F139" s="388">
        <v>1869.67</v>
      </c>
      <c r="G139" s="388">
        <v>2522.44</v>
      </c>
      <c r="H139" s="388">
        <v>12142.18</v>
      </c>
      <c r="I139" s="388">
        <v>15135.34</v>
      </c>
      <c r="K139" s="388"/>
    </row>
    <row r="140" spans="1:11" x14ac:dyDescent="0.35">
      <c r="A140" s="388" t="s">
        <v>453</v>
      </c>
      <c r="B140" s="388" t="s">
        <v>459</v>
      </c>
      <c r="C140" s="388">
        <v>0</v>
      </c>
      <c r="D140" s="388">
        <v>0</v>
      </c>
      <c r="E140" s="388">
        <v>0</v>
      </c>
      <c r="F140" s="388">
        <v>0</v>
      </c>
      <c r="G140" s="388">
        <v>0</v>
      </c>
      <c r="H140" s="388">
        <v>0</v>
      </c>
      <c r="I140" s="388">
        <v>0</v>
      </c>
      <c r="K140" s="388"/>
    </row>
    <row r="141" spans="1:11" x14ac:dyDescent="0.35">
      <c r="A141" s="388" t="s">
        <v>460</v>
      </c>
      <c r="B141" s="388" t="s">
        <v>459</v>
      </c>
      <c r="C141" s="388">
        <v>2104.33</v>
      </c>
      <c r="D141" s="388">
        <v>2010.16</v>
      </c>
      <c r="E141" s="388">
        <v>2760.29</v>
      </c>
      <c r="F141" s="388">
        <v>3696.55</v>
      </c>
      <c r="G141" s="388">
        <v>3924.35</v>
      </c>
      <c r="H141" s="388">
        <v>20400.73</v>
      </c>
      <c r="I141" s="388">
        <v>15294.21</v>
      </c>
      <c r="K141" s="388"/>
    </row>
    <row r="142" spans="1:11" x14ac:dyDescent="0.35">
      <c r="A142" s="388" t="s">
        <v>461</v>
      </c>
      <c r="B142" s="388" t="s">
        <v>459</v>
      </c>
      <c r="C142" s="388">
        <v>0</v>
      </c>
      <c r="D142" s="388">
        <v>0</v>
      </c>
      <c r="E142" s="388">
        <v>0</v>
      </c>
      <c r="F142" s="388">
        <v>0</v>
      </c>
      <c r="G142" s="388">
        <v>0</v>
      </c>
      <c r="H142" s="388">
        <v>0</v>
      </c>
      <c r="I142" s="388">
        <v>0</v>
      </c>
      <c r="K142" s="388"/>
    </row>
    <row r="143" spans="1:11" x14ac:dyDescent="0.35">
      <c r="A143" s="388" t="s">
        <v>452</v>
      </c>
      <c r="B143" s="388" t="s">
        <v>462</v>
      </c>
      <c r="C143" s="388">
        <v>1281.22</v>
      </c>
      <c r="D143" s="388">
        <v>1352.31</v>
      </c>
      <c r="E143" s="388">
        <v>1803.83</v>
      </c>
      <c r="F143" s="388">
        <v>1073.6199999999999</v>
      </c>
      <c r="G143" s="388">
        <v>622.84</v>
      </c>
      <c r="H143" s="388">
        <v>4080.33</v>
      </c>
      <c r="I143" s="388">
        <v>2974.51</v>
      </c>
      <c r="K143" s="388"/>
    </row>
    <row r="144" spans="1:11" x14ac:dyDescent="0.35">
      <c r="A144" s="388" t="s">
        <v>453</v>
      </c>
      <c r="B144" s="388" t="s">
        <v>462</v>
      </c>
      <c r="C144" s="388">
        <v>0</v>
      </c>
      <c r="D144" s="388">
        <v>0</v>
      </c>
      <c r="E144" s="388">
        <v>0</v>
      </c>
      <c r="F144" s="388">
        <v>0</v>
      </c>
      <c r="G144" s="388">
        <v>0</v>
      </c>
      <c r="H144" s="388">
        <v>0</v>
      </c>
      <c r="I144" s="388">
        <v>0</v>
      </c>
      <c r="K144" s="388"/>
    </row>
    <row r="145" spans="1:11" x14ac:dyDescent="0.35">
      <c r="A145" s="388" t="s">
        <v>460</v>
      </c>
      <c r="B145" s="388" t="s">
        <v>462</v>
      </c>
      <c r="C145" s="388">
        <v>6544.62</v>
      </c>
      <c r="D145" s="388">
        <v>6601.07</v>
      </c>
      <c r="E145" s="388">
        <v>7348.83</v>
      </c>
      <c r="F145" s="388">
        <v>8344.64</v>
      </c>
      <c r="G145" s="388">
        <v>8070.62</v>
      </c>
      <c r="H145" s="388">
        <v>39564.28</v>
      </c>
      <c r="I145" s="388">
        <v>29954.46</v>
      </c>
      <c r="K145" s="388"/>
    </row>
    <row r="146" spans="1:11" x14ac:dyDescent="0.35">
      <c r="A146" s="388" t="s">
        <v>461</v>
      </c>
      <c r="B146" s="388" t="s">
        <v>462</v>
      </c>
      <c r="C146" s="388">
        <v>0</v>
      </c>
      <c r="D146" s="388">
        <v>0</v>
      </c>
      <c r="E146" s="388">
        <v>0</v>
      </c>
      <c r="F146" s="388">
        <v>0</v>
      </c>
      <c r="G146" s="388">
        <v>0</v>
      </c>
      <c r="H146" s="388">
        <v>0</v>
      </c>
      <c r="I146" s="388">
        <v>0</v>
      </c>
      <c r="K146" s="388"/>
    </row>
    <row r="147" spans="1:11" x14ac:dyDescent="0.35">
      <c r="A147" s="388" t="s">
        <v>452</v>
      </c>
      <c r="B147" s="388" t="s">
        <v>463</v>
      </c>
      <c r="C147" s="388">
        <v>22.86</v>
      </c>
      <c r="D147" s="388">
        <v>25.51</v>
      </c>
      <c r="E147" s="388">
        <v>42.4</v>
      </c>
      <c r="F147" s="388">
        <v>138.34</v>
      </c>
      <c r="G147" s="388">
        <v>182.87</v>
      </c>
      <c r="H147" s="388">
        <v>787.19</v>
      </c>
      <c r="I147" s="388">
        <v>794.73</v>
      </c>
      <c r="K147" s="388"/>
    </row>
    <row r="148" spans="1:11" x14ac:dyDescent="0.35">
      <c r="A148" s="388" t="s">
        <v>453</v>
      </c>
      <c r="B148" s="388" t="s">
        <v>463</v>
      </c>
      <c r="C148" s="388">
        <v>0</v>
      </c>
      <c r="D148" s="388">
        <v>0</v>
      </c>
      <c r="E148" s="388">
        <v>0</v>
      </c>
      <c r="F148" s="388">
        <v>0</v>
      </c>
      <c r="G148" s="388">
        <v>0</v>
      </c>
      <c r="H148" s="388">
        <v>0</v>
      </c>
      <c r="I148" s="388">
        <v>0</v>
      </c>
      <c r="K148" s="388"/>
    </row>
    <row r="149" spans="1:11" x14ac:dyDescent="0.35">
      <c r="A149" s="388" t="s">
        <v>452</v>
      </c>
      <c r="B149" s="388" t="s">
        <v>464</v>
      </c>
      <c r="C149" s="388">
        <v>7.0000000000000007E-2</v>
      </c>
      <c r="D149" s="388">
        <v>7.0000000000000007E-2</v>
      </c>
      <c r="E149" s="388">
        <v>42.43</v>
      </c>
      <c r="F149" s="388">
        <v>95.72</v>
      </c>
      <c r="G149" s="388">
        <v>177.27</v>
      </c>
      <c r="H149" s="388">
        <v>820.38</v>
      </c>
      <c r="I149" s="388">
        <v>647.23</v>
      </c>
      <c r="K149" s="388"/>
    </row>
    <row r="150" spans="1:11" x14ac:dyDescent="0.35">
      <c r="A150" s="388" t="s">
        <v>453</v>
      </c>
      <c r="B150" s="388" t="s">
        <v>464</v>
      </c>
      <c r="C150" s="462">
        <v>0</v>
      </c>
      <c r="D150" s="462">
        <v>0</v>
      </c>
      <c r="E150" s="462">
        <v>0</v>
      </c>
      <c r="F150" s="462">
        <v>0</v>
      </c>
      <c r="G150" s="462">
        <v>0</v>
      </c>
      <c r="H150" s="462">
        <v>0</v>
      </c>
      <c r="I150" s="462">
        <v>0</v>
      </c>
      <c r="K150" s="388"/>
    </row>
    <row r="151" spans="1:11" x14ac:dyDescent="0.35">
      <c r="A151" s="388"/>
      <c r="B151" s="388"/>
      <c r="C151" s="388">
        <f>SUM(C131:C150)</f>
        <v>11431.7</v>
      </c>
      <c r="D151" s="388">
        <f>SUM(D131:D150)</f>
        <v>11247.64</v>
      </c>
      <c r="E151" s="388">
        <f>SUM(E131:E150)</f>
        <v>14657.24</v>
      </c>
      <c r="F151" s="388">
        <f t="shared" ref="F151" si="23">SUM(F131:F150)</f>
        <v>18627.29</v>
      </c>
      <c r="G151" s="388">
        <f>SUM(G131:G150)</f>
        <v>17494.23</v>
      </c>
      <c r="H151" s="388">
        <f t="shared" ref="H151" si="24">SUM(H131:H150)</f>
        <v>87550.720000000001</v>
      </c>
      <c r="I151" s="388">
        <f>SUM(I131:I150)</f>
        <v>73267.259999999995</v>
      </c>
    </row>
    <row r="162" spans="2:9" x14ac:dyDescent="0.35">
      <c r="B162" s="222" t="s">
        <v>467</v>
      </c>
      <c r="C162" s="248">
        <f>-C78-SUM(D139:D142)-SUM(D147:D148)+SUM(C139:C142)+SUM(C147:C148)</f>
        <v>-2739.32</v>
      </c>
      <c r="D162" s="248">
        <f t="shared" ref="D162:I162" si="25">-D78-SUM(E139:E142)-SUM(E147:E148)+SUM(D139:D142)+SUM(D147:D148)</f>
        <v>-4379.12</v>
      </c>
      <c r="E162" s="248">
        <f t="shared" si="25"/>
        <v>-5483.45</v>
      </c>
      <c r="F162" s="248">
        <f t="shared" si="25"/>
        <v>-6290.170000000001</v>
      </c>
      <c r="G162" s="248">
        <f t="shared" si="25"/>
        <v>-33230.479999999996</v>
      </c>
      <c r="H162" s="248">
        <f t="shared" si="25"/>
        <v>-33543.829999999987</v>
      </c>
      <c r="I162" s="248">
        <f t="shared" si="25"/>
        <v>31224.28</v>
      </c>
    </row>
    <row r="163" spans="2:9" x14ac:dyDescent="0.35">
      <c r="B163" s="222" t="s">
        <v>468</v>
      </c>
      <c r="C163" s="248">
        <f>-C79-SUM(D143:D146)-SUM(D149:D150)+SUM(C143:C146)+SUM(C149:C150)</f>
        <v>-6290.82</v>
      </c>
      <c r="D163" s="248">
        <f t="shared" ref="D163:I163" si="26">-D79-SUM(E143:E146)-SUM(E149:E150)+SUM(D143:D146)+SUM(D149:D150)</f>
        <v>-7190.1800000000021</v>
      </c>
      <c r="E163" s="248">
        <f t="shared" si="26"/>
        <v>-7957.66</v>
      </c>
      <c r="F163" s="248">
        <f t="shared" si="26"/>
        <v>-7509.1100000000015</v>
      </c>
      <c r="G163" s="248">
        <f t="shared" si="26"/>
        <v>-43980.01</v>
      </c>
      <c r="H163" s="248">
        <f t="shared" si="26"/>
        <v>-34317.079999999994</v>
      </c>
      <c r="I163" s="248">
        <f t="shared" si="26"/>
        <v>33576.200000000004</v>
      </c>
    </row>
  </sheetData>
  <mergeCells count="5">
    <mergeCell ref="A1:O1"/>
    <mergeCell ref="A2:O2"/>
    <mergeCell ref="A3:O3"/>
    <mergeCell ref="A4:O4"/>
    <mergeCell ref="A5:O5"/>
  </mergeCells>
  <printOptions horizontalCentered="1"/>
  <pageMargins left="0.25" right="0.25" top="1" bottom="0.25" header="0.5" footer="0.5"/>
  <pageSetup scale="51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8"/>
  <dimension ref="A1:U1227"/>
  <sheetViews>
    <sheetView zoomScale="70" zoomScaleNormal="70" zoomScaleSheetLayoutView="70" workbookViewId="0">
      <selection sqref="A1:L1"/>
    </sheetView>
  </sheetViews>
  <sheetFormatPr defaultColWidth="10" defaultRowHeight="15" x14ac:dyDescent="0.35"/>
  <cols>
    <col min="1" max="1" width="7" style="31" customWidth="1"/>
    <col min="2" max="2" width="9.5546875" style="31" customWidth="1"/>
    <col min="3" max="3" width="58.77734375" style="31" customWidth="1"/>
    <col min="4" max="4" width="9.5546875" style="31" customWidth="1"/>
    <col min="5" max="5" width="16.5546875" style="36" bestFit="1" customWidth="1"/>
    <col min="6" max="6" width="22.44140625" style="31" bestFit="1" customWidth="1"/>
    <col min="7" max="7" width="22.44140625" style="38" bestFit="1" customWidth="1"/>
    <col min="8" max="8" width="22.44140625" style="39" bestFit="1" customWidth="1"/>
    <col min="9" max="9" width="22.44140625" style="38" bestFit="1" customWidth="1"/>
    <col min="10" max="10" width="22.44140625" style="37" bestFit="1" customWidth="1"/>
    <col min="11" max="12" width="22.44140625" style="38" bestFit="1" customWidth="1"/>
    <col min="13" max="13" width="20.21875" style="38" bestFit="1" customWidth="1"/>
    <col min="14" max="14" width="21.77734375" style="38" bestFit="1" customWidth="1"/>
    <col min="15" max="15" width="24.44140625" style="38" bestFit="1" customWidth="1"/>
    <col min="16" max="17" width="20.5546875" style="38" bestFit="1" customWidth="1"/>
    <col min="18" max="18" width="33" style="31" bestFit="1" customWidth="1"/>
    <col min="19" max="20" width="10" style="31" customWidth="1"/>
    <col min="21" max="21" width="24.77734375" style="31" bestFit="1" customWidth="1"/>
    <col min="22" max="24" width="10" style="31" customWidth="1"/>
    <col min="25" max="25" width="13.44140625" style="31" customWidth="1"/>
    <col min="26" max="16384" width="10" style="31"/>
  </cols>
  <sheetData>
    <row r="1" spans="1:21" ht="15.45" x14ac:dyDescent="0.4">
      <c r="A1" s="480" t="str">
        <f>CONAME</f>
        <v>Columbia Gas of Kentucky, Inc.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89"/>
      <c r="N1" s="89"/>
      <c r="O1" s="89"/>
      <c r="P1" s="89"/>
      <c r="Q1" s="89"/>
      <c r="R1" s="89"/>
    </row>
    <row r="2" spans="1:21" ht="15.45" x14ac:dyDescent="0.4">
      <c r="A2" s="480" t="str">
        <f>case</f>
        <v>Case No. 2024-00092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35"/>
      <c r="N2" s="35"/>
      <c r="O2" s="35"/>
      <c r="P2" s="35"/>
      <c r="Q2" s="35"/>
      <c r="R2" s="35"/>
    </row>
    <row r="3" spans="1:21" ht="15.45" x14ac:dyDescent="0.4">
      <c r="A3" s="480" t="s">
        <v>319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110"/>
      <c r="N3" s="110"/>
      <c r="O3" s="110"/>
      <c r="P3" s="110"/>
      <c r="Q3" s="110"/>
      <c r="R3" s="110"/>
    </row>
    <row r="4" spans="1:21" ht="15.45" x14ac:dyDescent="0.4">
      <c r="A4" s="480" t="str">
        <f>TYDESC</f>
        <v>For the 6 Months Ended August 31, 2024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89"/>
      <c r="N4" s="89"/>
      <c r="O4" s="89"/>
      <c r="P4" s="89"/>
      <c r="Q4" s="89"/>
      <c r="R4" s="89"/>
    </row>
    <row r="5" spans="1:21" ht="15.45" x14ac:dyDescent="0.4">
      <c r="A5" s="480" t="s">
        <v>46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220"/>
      <c r="N5" s="220"/>
      <c r="O5" s="220"/>
      <c r="P5" s="220"/>
      <c r="Q5" s="220"/>
      <c r="R5" s="220"/>
    </row>
    <row r="6" spans="1:21" ht="15.45" x14ac:dyDescent="0.4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</row>
    <row r="7" spans="1:21" ht="15.45" x14ac:dyDescent="0.4">
      <c r="A7" s="35" t="s">
        <v>180</v>
      </c>
    </row>
    <row r="8" spans="1:21" ht="15.45" x14ac:dyDescent="0.4">
      <c r="A8" s="35" t="s">
        <v>181</v>
      </c>
      <c r="L8" s="40" t="str">
        <f>$L$55</f>
        <v>Schedule M-2.2B</v>
      </c>
    </row>
    <row r="9" spans="1:21" ht="15.45" x14ac:dyDescent="0.4">
      <c r="A9" s="35" t="s">
        <v>64</v>
      </c>
      <c r="L9" s="40" t="s">
        <v>320</v>
      </c>
    </row>
    <row r="10" spans="1:21" ht="15.45" x14ac:dyDescent="0.4">
      <c r="A10" s="320" t="str">
        <f>$A$57</f>
        <v>6 Mos Actual / 6 Mos Forecasted</v>
      </c>
      <c r="B10" s="321"/>
      <c r="C10" s="321"/>
      <c r="D10" s="321"/>
      <c r="E10" s="322"/>
      <c r="F10" s="321"/>
      <c r="G10" s="323"/>
      <c r="H10" s="324"/>
      <c r="I10" s="323"/>
      <c r="J10" s="325"/>
      <c r="K10" s="323"/>
      <c r="L10" s="326" t="str">
        <f>Witness</f>
        <v>Witness: J. C. Wozniak</v>
      </c>
    </row>
    <row r="11" spans="1:21" ht="15.45" x14ac:dyDescent="0.4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21" x14ac:dyDescent="0.35">
      <c r="F12" s="38"/>
      <c r="H12" s="38"/>
      <c r="J12" s="38"/>
      <c r="R12" s="38"/>
    </row>
    <row r="13" spans="1:21" ht="15.45" x14ac:dyDescent="0.4">
      <c r="A13" s="32" t="s">
        <v>11</v>
      </c>
      <c r="B13" s="32" t="s">
        <v>182</v>
      </c>
      <c r="C13" s="32" t="s">
        <v>48</v>
      </c>
      <c r="D13" s="32"/>
      <c r="E13" s="33" t="s">
        <v>53</v>
      </c>
      <c r="F13" s="41"/>
      <c r="G13" s="42"/>
      <c r="H13" s="41"/>
      <c r="I13" s="30"/>
      <c r="J13" s="41"/>
      <c r="K13" s="41"/>
      <c r="L13" s="41"/>
      <c r="M13" s="41"/>
      <c r="N13" s="41"/>
      <c r="O13" s="41"/>
      <c r="P13" s="34"/>
      <c r="Q13" s="34"/>
      <c r="R13" s="34"/>
    </row>
    <row r="14" spans="1:21" ht="15.45" x14ac:dyDescent="0.4">
      <c r="A14" s="43" t="s">
        <v>13</v>
      </c>
      <c r="B14" s="43" t="s">
        <v>183</v>
      </c>
      <c r="C14" s="43" t="s">
        <v>14</v>
      </c>
      <c r="D14" s="43"/>
      <c r="E14" s="44" t="s">
        <v>54</v>
      </c>
      <c r="F14" s="45" t="str">
        <f>B!$D$13</f>
        <v>Mar-24</v>
      </c>
      <c r="G14" s="45" t="str">
        <f>B!$E$13</f>
        <v>Apr-24</v>
      </c>
      <c r="H14" s="45" t="str">
        <f>B!$F$13</f>
        <v>May-24</v>
      </c>
      <c r="I14" s="45" t="str">
        <f>B!$G$13</f>
        <v>Jun-24</v>
      </c>
      <c r="J14" s="45" t="str">
        <f>B!$H$13</f>
        <v>Jul-24</v>
      </c>
      <c r="K14" s="45" t="str">
        <f>B!$I$13</f>
        <v>Aug-24</v>
      </c>
      <c r="L14" s="45" t="s">
        <v>15</v>
      </c>
      <c r="M14" s="31"/>
      <c r="N14" s="31"/>
      <c r="O14" s="31"/>
      <c r="P14" s="31"/>
      <c r="Q14" s="31"/>
    </row>
    <row r="15" spans="1:21" ht="15.45" x14ac:dyDescent="0.4">
      <c r="A15" s="32"/>
      <c r="B15" s="34" t="s">
        <v>49</v>
      </c>
      <c r="C15" s="34" t="s">
        <v>50</v>
      </c>
      <c r="D15" s="34"/>
      <c r="E15" s="47" t="s">
        <v>51</v>
      </c>
      <c r="F15" s="48" t="s">
        <v>470</v>
      </c>
      <c r="G15" s="48" t="s">
        <v>471</v>
      </c>
      <c r="H15" s="48" t="s">
        <v>472</v>
      </c>
      <c r="I15" s="48" t="s">
        <v>473</v>
      </c>
      <c r="J15" s="48" t="s">
        <v>55</v>
      </c>
      <c r="K15" s="48" t="s">
        <v>56</v>
      </c>
      <c r="L15" s="48" t="s">
        <v>57</v>
      </c>
      <c r="M15" s="31"/>
      <c r="N15" s="390"/>
      <c r="O15" s="390"/>
      <c r="P15" s="390"/>
      <c r="Q15" s="390"/>
      <c r="R15" s="390"/>
      <c r="S15" s="390"/>
      <c r="T15" s="391"/>
      <c r="U15" s="391"/>
    </row>
    <row r="16" spans="1:21" x14ac:dyDescent="0.35">
      <c r="F16" s="38"/>
      <c r="H16" s="38"/>
      <c r="J16" s="38"/>
      <c r="M16" s="31"/>
      <c r="N16" s="31"/>
      <c r="O16" s="31"/>
      <c r="P16" s="31"/>
      <c r="Q16" s="31"/>
    </row>
    <row r="17" spans="1:17" x14ac:dyDescent="0.35">
      <c r="A17" s="31">
        <v>1</v>
      </c>
      <c r="C17" s="63" t="s">
        <v>184</v>
      </c>
      <c r="F17" s="38"/>
      <c r="H17" s="38"/>
      <c r="J17" s="38"/>
      <c r="L17" s="31"/>
      <c r="M17" s="31"/>
      <c r="N17" s="31"/>
      <c r="O17" s="31"/>
      <c r="P17" s="31"/>
      <c r="Q17" s="31"/>
    </row>
    <row r="18" spans="1:17" ht="15.45" thickBot="1" x14ac:dyDescent="0.4">
      <c r="C18" s="63"/>
      <c r="F18" s="38"/>
      <c r="H18" s="38"/>
      <c r="J18" s="38"/>
      <c r="L18" s="31"/>
      <c r="M18" s="31"/>
      <c r="N18" s="31"/>
      <c r="O18" s="31"/>
      <c r="P18" s="31"/>
      <c r="Q18" s="31"/>
    </row>
    <row r="19" spans="1:17" x14ac:dyDescent="0.35">
      <c r="A19" s="31">
        <f>A17+1</f>
        <v>2</v>
      </c>
      <c r="C19" s="63" t="s">
        <v>185</v>
      </c>
      <c r="F19" s="38"/>
      <c r="H19" s="38"/>
      <c r="J19" s="38"/>
      <c r="L19" s="31"/>
      <c r="M19" s="31"/>
      <c r="N19" s="345" t="s">
        <v>376</v>
      </c>
      <c r="O19" s="346" t="s">
        <v>375</v>
      </c>
      <c r="P19" s="31"/>
      <c r="Q19" s="31"/>
    </row>
    <row r="20" spans="1:17" x14ac:dyDescent="0.35">
      <c r="A20" s="31">
        <f>A19+1</f>
        <v>3</v>
      </c>
      <c r="B20" s="64">
        <v>480</v>
      </c>
      <c r="C20" s="31" t="s">
        <v>187</v>
      </c>
      <c r="F20" s="169">
        <f>F72+F86+F93+F107+F114+F121+F157+F164</f>
        <v>11939994.01</v>
      </c>
      <c r="G20" s="169">
        <f>G72+G86+G93+G107+G114+G121+G157+G164</f>
        <v>8126166.0000000009</v>
      </c>
      <c r="H20" s="169">
        <f t="shared" ref="H20:K20" si="0">H72+H86+H93+H107+H114+H121+H157+H164</f>
        <v>4825321.5999999996</v>
      </c>
      <c r="I20" s="169">
        <f t="shared" si="0"/>
        <v>3458795.9800000009</v>
      </c>
      <c r="J20" s="169">
        <f t="shared" si="0"/>
        <v>3079235.09</v>
      </c>
      <c r="K20" s="169">
        <f t="shared" si="0"/>
        <v>3069288.3800000004</v>
      </c>
      <c r="L20" s="169">
        <f>SUM(F20:K20)</f>
        <v>34498801.060000002</v>
      </c>
      <c r="M20" s="31"/>
      <c r="N20" s="347">
        <f>L72+L86+L93+L107+L114+L121+L157+L164</f>
        <v>34498801.06000001</v>
      </c>
      <c r="O20" s="348">
        <f>N20-L20</f>
        <v>0</v>
      </c>
      <c r="P20" s="31"/>
      <c r="Q20" s="31"/>
    </row>
    <row r="21" spans="1:17" x14ac:dyDescent="0.35">
      <c r="A21" s="31">
        <f>A20+1</f>
        <v>4</v>
      </c>
      <c r="B21" s="64">
        <v>481.1</v>
      </c>
      <c r="C21" s="31" t="s">
        <v>188</v>
      </c>
      <c r="F21" s="170">
        <f t="shared" ref="F21:K21" si="1">F79+F100+F128+F171</f>
        <v>4260378.16</v>
      </c>
      <c r="G21" s="170">
        <f t="shared" si="1"/>
        <v>3349730.88</v>
      </c>
      <c r="H21" s="170">
        <f t="shared" si="1"/>
        <v>2286095.98</v>
      </c>
      <c r="I21" s="170">
        <f t="shared" si="1"/>
        <v>1895787.09</v>
      </c>
      <c r="J21" s="170">
        <f t="shared" si="1"/>
        <v>1757934.8099999998</v>
      </c>
      <c r="K21" s="170">
        <f t="shared" si="1"/>
        <v>1700605.24</v>
      </c>
      <c r="L21" s="36">
        <f>SUM(F21:K21)</f>
        <v>15250532.16</v>
      </c>
      <c r="M21" s="31"/>
      <c r="N21" s="347">
        <f>L79+L100+L128+L171</f>
        <v>15250532.16</v>
      </c>
      <c r="O21" s="348">
        <f t="shared" ref="O21:O23" si="2">N21-L21</f>
        <v>0</v>
      </c>
      <c r="P21" s="31"/>
      <c r="Q21" s="31"/>
    </row>
    <row r="22" spans="1:17" x14ac:dyDescent="0.35">
      <c r="A22" s="31">
        <f>A21+1</f>
        <v>5</v>
      </c>
      <c r="B22" s="65">
        <v>481.2</v>
      </c>
      <c r="C22" s="31" t="s">
        <v>189</v>
      </c>
      <c r="F22" s="36">
        <f t="shared" ref="F22:K22" si="3">F178+F185</f>
        <v>142210.56</v>
      </c>
      <c r="G22" s="36">
        <f t="shared" si="3"/>
        <v>109056.12999999999</v>
      </c>
      <c r="H22" s="36">
        <f t="shared" si="3"/>
        <v>83138.009999999995</v>
      </c>
      <c r="I22" s="36">
        <f t="shared" si="3"/>
        <v>68430.76999999999</v>
      </c>
      <c r="J22" s="36">
        <f t="shared" si="3"/>
        <v>49710.46</v>
      </c>
      <c r="K22" s="36">
        <f t="shared" si="3"/>
        <v>47813.35</v>
      </c>
      <c r="L22" s="36">
        <f>SUM(F22:K22)</f>
        <v>500359.27999999997</v>
      </c>
      <c r="M22" s="31"/>
      <c r="N22" s="347">
        <f>L178+L185</f>
        <v>500359.27999999997</v>
      </c>
      <c r="O22" s="348">
        <f t="shared" si="2"/>
        <v>0</v>
      </c>
      <c r="P22" s="31"/>
      <c r="Q22" s="31"/>
    </row>
    <row r="23" spans="1:17" x14ac:dyDescent="0.35">
      <c r="A23" s="31">
        <f>A26+1</f>
        <v>8</v>
      </c>
      <c r="B23" s="64">
        <v>483</v>
      </c>
      <c r="C23" s="31" t="s">
        <v>191</v>
      </c>
      <c r="F23" s="51">
        <f t="shared" ref="F23:K23" si="4">F192</f>
        <v>5496.4000000000005</v>
      </c>
      <c r="G23" s="51">
        <f t="shared" si="4"/>
        <v>7820.12</v>
      </c>
      <c r="H23" s="51">
        <f t="shared" si="4"/>
        <v>2853.1699999999996</v>
      </c>
      <c r="I23" s="51">
        <f t="shared" si="4"/>
        <v>2510.83</v>
      </c>
      <c r="J23" s="51">
        <f t="shared" si="4"/>
        <v>3977.68</v>
      </c>
      <c r="K23" s="51">
        <f t="shared" si="4"/>
        <v>2886.3599999999997</v>
      </c>
      <c r="L23" s="51">
        <f>SUM(F23:K23)</f>
        <v>25544.560000000001</v>
      </c>
      <c r="M23" s="31"/>
      <c r="N23" s="347">
        <f>L192</f>
        <v>25544.560000000001</v>
      </c>
      <c r="O23" s="348">
        <f t="shared" si="2"/>
        <v>0</v>
      </c>
      <c r="P23" s="31"/>
      <c r="Q23" s="31"/>
    </row>
    <row r="24" spans="1:17" ht="15.45" thickBot="1" x14ac:dyDescent="0.4">
      <c r="A24" s="31">
        <f>A22+1</f>
        <v>6</v>
      </c>
      <c r="B24" s="65"/>
      <c r="C24" s="31" t="s">
        <v>190</v>
      </c>
      <c r="F24" s="169">
        <f t="shared" ref="F24:J24" si="5">SUM(F20:F23)</f>
        <v>16348079.130000001</v>
      </c>
      <c r="G24" s="169">
        <f t="shared" si="5"/>
        <v>11592773.130000001</v>
      </c>
      <c r="H24" s="169">
        <f t="shared" si="5"/>
        <v>7197408.7599999998</v>
      </c>
      <c r="I24" s="169">
        <f t="shared" si="5"/>
        <v>5425524.6700000009</v>
      </c>
      <c r="J24" s="169">
        <f t="shared" si="5"/>
        <v>4890858.0399999991</v>
      </c>
      <c r="K24" s="169">
        <f>SUM(K20:K23)</f>
        <v>4820593.33</v>
      </c>
      <c r="L24" s="169">
        <f>SUM(F24:K24)</f>
        <v>50275237.060000002</v>
      </c>
      <c r="M24" s="31"/>
      <c r="N24" s="349">
        <f>SUM(N20:N23)</f>
        <v>50275237.060000017</v>
      </c>
      <c r="O24" s="350">
        <f>SUM(O20:O23)</f>
        <v>0</v>
      </c>
      <c r="P24" s="31"/>
      <c r="Q24" s="31"/>
    </row>
    <row r="25" spans="1:17" x14ac:dyDescent="0.35">
      <c r="B25" s="65"/>
      <c r="F25" s="38"/>
      <c r="H25" s="38"/>
      <c r="J25" s="38"/>
      <c r="L25" s="31"/>
      <c r="M25" s="31"/>
      <c r="N25" s="31"/>
      <c r="O25" s="31"/>
      <c r="P25" s="31"/>
      <c r="Q25" s="31"/>
    </row>
    <row r="26" spans="1:17" ht="15.45" thickBot="1" x14ac:dyDescent="0.4">
      <c r="A26" s="31">
        <f>A24+1</f>
        <v>7</v>
      </c>
      <c r="B26" s="65"/>
      <c r="C26" s="63" t="s">
        <v>244</v>
      </c>
      <c r="F26" s="38"/>
      <c r="H26" s="38"/>
      <c r="J26" s="38"/>
      <c r="L26" s="31"/>
      <c r="M26" s="31"/>
      <c r="N26" s="31"/>
      <c r="O26" s="31"/>
      <c r="P26" s="31"/>
      <c r="Q26" s="31"/>
    </row>
    <row r="27" spans="1:17" x14ac:dyDescent="0.35">
      <c r="A27" s="31">
        <f>A23+1</f>
        <v>9</v>
      </c>
      <c r="B27" s="64">
        <v>489</v>
      </c>
      <c r="C27" s="31" t="s">
        <v>192</v>
      </c>
      <c r="F27" s="169">
        <f t="shared" ref="F27:K27" si="6">F221</f>
        <v>931139.14</v>
      </c>
      <c r="G27" s="169">
        <f t="shared" si="6"/>
        <v>654366.87000000011</v>
      </c>
      <c r="H27" s="169">
        <f t="shared" si="6"/>
        <v>418433.98</v>
      </c>
      <c r="I27" s="169">
        <f t="shared" si="6"/>
        <v>313318.7</v>
      </c>
      <c r="J27" s="169">
        <f t="shared" si="6"/>
        <v>282602.54000000004</v>
      </c>
      <c r="K27" s="169">
        <f t="shared" si="6"/>
        <v>284451.13</v>
      </c>
      <c r="L27" s="169">
        <f t="shared" ref="L27:L35" si="7">SUM(F27:K27)</f>
        <v>2884312.3600000003</v>
      </c>
      <c r="M27" s="31"/>
      <c r="N27" s="351">
        <f>L221</f>
        <v>2884312.3600000003</v>
      </c>
      <c r="O27" s="352">
        <f>N27-L27</f>
        <v>0</v>
      </c>
      <c r="P27" s="31"/>
      <c r="Q27" s="31"/>
    </row>
    <row r="28" spans="1:17" x14ac:dyDescent="0.35">
      <c r="A28" s="31">
        <f t="shared" ref="A28:A35" si="8">A27+1</f>
        <v>10</v>
      </c>
      <c r="B28" s="64">
        <v>489</v>
      </c>
      <c r="C28" s="31" t="s">
        <v>193</v>
      </c>
      <c r="F28" s="36">
        <f>F228+F242+F256+F277+F308+F329</f>
        <v>1034367.65</v>
      </c>
      <c r="G28" s="36">
        <f t="shared" ref="G28:K28" si="9">G228+G242+G256+G277+G308+G329</f>
        <v>728538.37999999989</v>
      </c>
      <c r="H28" s="36">
        <f t="shared" si="9"/>
        <v>592447.27000000014</v>
      </c>
      <c r="I28" s="36">
        <f t="shared" si="9"/>
        <v>532595.07000000007</v>
      </c>
      <c r="J28" s="36">
        <f t="shared" si="9"/>
        <v>503549.05000000005</v>
      </c>
      <c r="K28" s="36">
        <f t="shared" si="9"/>
        <v>510490.85000000003</v>
      </c>
      <c r="L28" s="36">
        <f t="shared" si="7"/>
        <v>3901988.27</v>
      </c>
      <c r="M28" s="31"/>
      <c r="N28" s="347">
        <f>L228+L242+L256+L277+L308</f>
        <v>3901988.27</v>
      </c>
      <c r="O28" s="348">
        <f t="shared" ref="O28:O29" si="10">N28-L28</f>
        <v>0</v>
      </c>
      <c r="P28" s="31"/>
      <c r="Q28" s="31"/>
    </row>
    <row r="29" spans="1:17" ht="15.45" thickBot="1" x14ac:dyDescent="0.4">
      <c r="A29" s="31">
        <f t="shared" si="8"/>
        <v>11</v>
      </c>
      <c r="B29" s="64">
        <v>489</v>
      </c>
      <c r="C29" s="31" t="s">
        <v>194</v>
      </c>
      <c r="F29" s="36">
        <f>F235+F249+F263+F270+F315+F322+F336</f>
        <v>591785.53999999992</v>
      </c>
      <c r="G29" s="36">
        <f t="shared" ref="G29:K29" si="11">G235+G249+G263+G270+G315+G322+G336</f>
        <v>551409.30000000005</v>
      </c>
      <c r="H29" s="36">
        <f t="shared" si="11"/>
        <v>517565.07</v>
      </c>
      <c r="I29" s="36">
        <f t="shared" si="11"/>
        <v>480758.17999999993</v>
      </c>
      <c r="J29" s="36">
        <f t="shared" si="11"/>
        <v>403441.50000000006</v>
      </c>
      <c r="K29" s="36">
        <f t="shared" si="11"/>
        <v>491530.53</v>
      </c>
      <c r="L29" s="36">
        <f t="shared" si="7"/>
        <v>3036490.12</v>
      </c>
      <c r="M29" s="31"/>
      <c r="N29" s="349">
        <f>L235+L249+L263+L270+L315+L322+L329+L336</f>
        <v>3036490.1200000006</v>
      </c>
      <c r="O29" s="350">
        <f t="shared" si="10"/>
        <v>0</v>
      </c>
      <c r="P29" s="31"/>
      <c r="Q29" s="31"/>
    </row>
    <row r="30" spans="1:17" x14ac:dyDescent="0.35">
      <c r="A30" s="31">
        <f t="shared" si="8"/>
        <v>12</v>
      </c>
      <c r="B30" s="64">
        <v>487</v>
      </c>
      <c r="C30" s="31" t="s">
        <v>195</v>
      </c>
      <c r="F30" s="36">
        <f t="shared" ref="F30:K34" si="12">F342</f>
        <v>102037.32746628365</v>
      </c>
      <c r="G30" s="36">
        <f t="shared" si="12"/>
        <v>68398.169834640852</v>
      </c>
      <c r="H30" s="36">
        <f t="shared" si="12"/>
        <v>47509.012229421402</v>
      </c>
      <c r="I30" s="36">
        <f t="shared" si="12"/>
        <v>41943.998542022578</v>
      </c>
      <c r="J30" s="36">
        <f t="shared" si="12"/>
        <v>30402.199791001611</v>
      </c>
      <c r="K30" s="36">
        <f t="shared" si="12"/>
        <v>24505.311805909379</v>
      </c>
      <c r="L30" s="36">
        <f t="shared" si="7"/>
        <v>314796.01966927946</v>
      </c>
      <c r="M30" s="31"/>
      <c r="N30" s="31"/>
      <c r="O30" s="31"/>
      <c r="P30" s="31"/>
      <c r="Q30" s="31"/>
    </row>
    <row r="31" spans="1:17" x14ac:dyDescent="0.35">
      <c r="A31" s="31">
        <f t="shared" si="8"/>
        <v>13</v>
      </c>
      <c r="B31" s="64">
        <v>488</v>
      </c>
      <c r="C31" s="31" t="s">
        <v>196</v>
      </c>
      <c r="F31" s="36">
        <f t="shared" si="12"/>
        <v>9994.5161211327213</v>
      </c>
      <c r="G31" s="36">
        <f t="shared" si="12"/>
        <v>13598.968573674867</v>
      </c>
      <c r="H31" s="36">
        <f t="shared" si="12"/>
        <v>5802.8149023813303</v>
      </c>
      <c r="I31" s="36">
        <f t="shared" si="12"/>
        <v>4680.7182750986458</v>
      </c>
      <c r="J31" s="36">
        <f t="shared" si="12"/>
        <v>6948.6445776570772</v>
      </c>
      <c r="K31" s="36">
        <f t="shared" si="12"/>
        <v>18166.026376554706</v>
      </c>
      <c r="L31" s="36">
        <f t="shared" si="7"/>
        <v>59191.688826499347</v>
      </c>
      <c r="M31" s="31"/>
      <c r="N31" s="31"/>
      <c r="O31" s="31"/>
      <c r="P31" s="31"/>
      <c r="Q31" s="31"/>
    </row>
    <row r="32" spans="1:17" x14ac:dyDescent="0.35">
      <c r="A32" s="31">
        <f t="shared" si="8"/>
        <v>14</v>
      </c>
      <c r="B32" s="80">
        <v>493</v>
      </c>
      <c r="C32" s="31" t="s">
        <v>273</v>
      </c>
      <c r="F32" s="36">
        <f t="shared" si="12"/>
        <v>8529.8761085115002</v>
      </c>
      <c r="G32" s="36">
        <f t="shared" si="12"/>
        <v>9700.1717035415204</v>
      </c>
      <c r="H32" s="36">
        <f t="shared" si="12"/>
        <v>9700.1717035415204</v>
      </c>
      <c r="I32" s="36">
        <f t="shared" si="12"/>
        <v>9700.1717035415204</v>
      </c>
      <c r="J32" s="36">
        <f t="shared" si="12"/>
        <v>7610.6718797001995</v>
      </c>
      <c r="K32" s="36">
        <f t="shared" si="12"/>
        <v>7610.6718797001995</v>
      </c>
      <c r="L32" s="36">
        <f t="shared" si="7"/>
        <v>52851.734978536449</v>
      </c>
      <c r="M32" s="31"/>
      <c r="N32" s="31"/>
      <c r="O32" s="31"/>
      <c r="P32" s="31"/>
      <c r="Q32" s="31"/>
    </row>
    <row r="33" spans="1:18" x14ac:dyDescent="0.35">
      <c r="A33" s="31">
        <f t="shared" si="8"/>
        <v>15</v>
      </c>
      <c r="B33" s="64">
        <v>495</v>
      </c>
      <c r="C33" s="31" t="s">
        <v>197</v>
      </c>
      <c r="F33" s="36">
        <f t="shared" si="12"/>
        <v>0</v>
      </c>
      <c r="G33" s="36">
        <f t="shared" si="12"/>
        <v>0</v>
      </c>
      <c r="H33" s="36">
        <f t="shared" si="12"/>
        <v>0</v>
      </c>
      <c r="I33" s="36">
        <f t="shared" si="12"/>
        <v>0</v>
      </c>
      <c r="J33" s="36">
        <f t="shared" si="12"/>
        <v>0</v>
      </c>
      <c r="K33" s="36">
        <f t="shared" si="12"/>
        <v>0</v>
      </c>
      <c r="L33" s="36">
        <f t="shared" si="7"/>
        <v>0</v>
      </c>
      <c r="M33" s="31"/>
      <c r="N33" s="31"/>
      <c r="O33" s="31"/>
      <c r="P33" s="31"/>
      <c r="Q33" s="31"/>
    </row>
    <row r="34" spans="1:18" x14ac:dyDescent="0.35">
      <c r="A34" s="31">
        <f t="shared" si="8"/>
        <v>16</v>
      </c>
      <c r="B34" s="64">
        <v>495</v>
      </c>
      <c r="C34" s="31" t="s">
        <v>198</v>
      </c>
      <c r="F34" s="51">
        <f t="shared" si="12"/>
        <v>33603.128949678481</v>
      </c>
      <c r="G34" s="51">
        <f t="shared" si="12"/>
        <v>-4421.8662418327158</v>
      </c>
      <c r="H34" s="51">
        <f t="shared" si="12"/>
        <v>3913.913384241604</v>
      </c>
      <c r="I34" s="51">
        <f t="shared" si="12"/>
        <v>-37866.592590427914</v>
      </c>
      <c r="J34" s="51">
        <f t="shared" si="12"/>
        <v>-28910.866860564231</v>
      </c>
      <c r="K34" s="51">
        <f t="shared" si="12"/>
        <v>9126.5224822955461</v>
      </c>
      <c r="L34" s="51">
        <f t="shared" si="7"/>
        <v>-24555.760876609227</v>
      </c>
      <c r="M34" s="31"/>
      <c r="N34" s="31"/>
      <c r="O34" s="31"/>
      <c r="P34" s="31"/>
      <c r="Q34" s="31"/>
    </row>
    <row r="35" spans="1:18" x14ac:dyDescent="0.35">
      <c r="A35" s="31">
        <f t="shared" si="8"/>
        <v>17</v>
      </c>
      <c r="C35" s="31" t="s">
        <v>245</v>
      </c>
      <c r="F35" s="169">
        <f t="shared" ref="F35:K35" si="13">SUM(F27:F34)</f>
        <v>2711457.1786456062</v>
      </c>
      <c r="G35" s="169">
        <f t="shared" si="13"/>
        <v>2021589.9938700243</v>
      </c>
      <c r="H35" s="169">
        <f t="shared" si="13"/>
        <v>1595372.2322195857</v>
      </c>
      <c r="I35" s="169">
        <f t="shared" si="13"/>
        <v>1345130.2459302347</v>
      </c>
      <c r="J35" s="169">
        <f t="shared" si="13"/>
        <v>1205643.7393877946</v>
      </c>
      <c r="K35" s="169">
        <f t="shared" si="13"/>
        <v>1345881.0425444597</v>
      </c>
      <c r="L35" s="169">
        <f t="shared" si="7"/>
        <v>10225074.432597706</v>
      </c>
      <c r="M35" s="31"/>
      <c r="N35" s="31"/>
      <c r="O35" s="31"/>
      <c r="P35" s="31"/>
      <c r="Q35" s="31"/>
    </row>
    <row r="36" spans="1:18" x14ac:dyDescent="0.35">
      <c r="F36" s="38"/>
      <c r="H36" s="38"/>
      <c r="J36" s="38"/>
      <c r="L36" s="31"/>
      <c r="M36" s="31"/>
      <c r="N36" s="31"/>
      <c r="O36" s="31"/>
      <c r="P36" s="31"/>
      <c r="Q36" s="31"/>
    </row>
    <row r="37" spans="1:18" x14ac:dyDescent="0.35">
      <c r="A37" s="31">
        <f>A35+1</f>
        <v>18</v>
      </c>
      <c r="C37" s="31" t="s">
        <v>186</v>
      </c>
      <c r="F37" s="169">
        <f t="shared" ref="F37:K37" si="14">F24+F35</f>
        <v>19059536.308645606</v>
      </c>
      <c r="G37" s="169">
        <f t="shared" si="14"/>
        <v>13614363.123870024</v>
      </c>
      <c r="H37" s="169">
        <f t="shared" si="14"/>
        <v>8792780.9922195859</v>
      </c>
      <c r="I37" s="169">
        <f t="shared" si="14"/>
        <v>6770654.9159302358</v>
      </c>
      <c r="J37" s="169">
        <f t="shared" si="14"/>
        <v>6096501.7793877935</v>
      </c>
      <c r="K37" s="169">
        <f t="shared" si="14"/>
        <v>6166474.37254446</v>
      </c>
      <c r="L37" s="169">
        <f>SUM(F37:K37)</f>
        <v>60500311.492597707</v>
      </c>
      <c r="M37" s="31"/>
      <c r="N37" s="31"/>
      <c r="O37" s="31"/>
      <c r="P37" s="31"/>
      <c r="Q37" s="31"/>
    </row>
    <row r="38" spans="1:18" x14ac:dyDescent="0.35">
      <c r="F38" s="38"/>
      <c r="H38" s="38"/>
      <c r="J38" s="38"/>
      <c r="L38" s="31"/>
      <c r="M38" s="31"/>
      <c r="N38" s="31"/>
      <c r="O38" s="31"/>
      <c r="P38" s="31"/>
      <c r="Q38" s="31"/>
    </row>
    <row r="39" spans="1:18" x14ac:dyDescent="0.35">
      <c r="F39" s="36"/>
      <c r="G39" s="36"/>
      <c r="H39" s="36"/>
      <c r="I39" s="36"/>
      <c r="J39" s="36"/>
      <c r="K39" s="36"/>
    </row>
    <row r="40" spans="1:18" x14ac:dyDescent="0.35">
      <c r="F40" s="38"/>
      <c r="H40" s="38"/>
      <c r="J40" s="38"/>
    </row>
    <row r="41" spans="1:18" x14ac:dyDescent="0.35">
      <c r="F41" s="36"/>
      <c r="G41" s="36"/>
      <c r="H41" s="36"/>
      <c r="I41" s="36"/>
      <c r="J41" s="36"/>
      <c r="K41" s="36"/>
    </row>
    <row r="42" spans="1:18" x14ac:dyDescent="0.35">
      <c r="F42" s="38"/>
      <c r="H42" s="38"/>
      <c r="J42" s="38"/>
    </row>
    <row r="43" spans="1:18" x14ac:dyDescent="0.35">
      <c r="F43" s="38"/>
      <c r="H43" s="38"/>
      <c r="J43" s="38"/>
    </row>
    <row r="44" spans="1:18" x14ac:dyDescent="0.35">
      <c r="F44" s="37"/>
      <c r="G44" s="37"/>
      <c r="H44" s="37"/>
      <c r="I44" s="37"/>
    </row>
    <row r="45" spans="1:18" x14ac:dyDescent="0.35">
      <c r="F45" s="37"/>
      <c r="G45" s="37"/>
      <c r="H45" s="37"/>
      <c r="I45" s="37"/>
    </row>
    <row r="46" spans="1:18" x14ac:dyDescent="0.35">
      <c r="F46" s="37"/>
      <c r="G46" s="37"/>
      <c r="H46" s="37"/>
      <c r="I46" s="37"/>
      <c r="K46" s="37"/>
      <c r="L46" s="37"/>
      <c r="M46" s="37"/>
      <c r="N46" s="37"/>
      <c r="O46" s="37"/>
      <c r="P46" s="37"/>
      <c r="Q46" s="37"/>
    </row>
    <row r="47" spans="1:18" x14ac:dyDescent="0.35">
      <c r="F47" s="37"/>
      <c r="G47" s="37"/>
      <c r="H47" s="37"/>
      <c r="I47" s="37"/>
      <c r="K47" s="37"/>
      <c r="L47" s="37"/>
      <c r="M47" s="37"/>
      <c r="N47" s="37"/>
      <c r="O47" s="37"/>
      <c r="P47" s="37"/>
      <c r="Q47" s="37"/>
    </row>
    <row r="48" spans="1:18" ht="15.45" x14ac:dyDescent="0.4">
      <c r="A48" s="480" t="str">
        <f>CONAME</f>
        <v>Columbia Gas of Kentucky, Inc.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89"/>
      <c r="N48" s="89"/>
      <c r="O48" s="89"/>
      <c r="P48" s="89"/>
      <c r="Q48" s="89"/>
      <c r="R48" s="89"/>
    </row>
    <row r="49" spans="1:18" ht="15.45" x14ac:dyDescent="0.4">
      <c r="A49" s="480" t="str">
        <f>case</f>
        <v>Case No. 2024-00092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  <c r="M49" s="35"/>
      <c r="N49" s="35"/>
      <c r="O49" s="35"/>
      <c r="P49" s="35"/>
      <c r="Q49" s="35"/>
      <c r="R49" s="35"/>
    </row>
    <row r="50" spans="1:18" ht="15.45" x14ac:dyDescent="0.4">
      <c r="A50" s="480" t="s">
        <v>319</v>
      </c>
      <c r="B50" s="480"/>
      <c r="C50" s="480"/>
      <c r="D50" s="480"/>
      <c r="E50" s="480"/>
      <c r="F50" s="480"/>
      <c r="G50" s="480"/>
      <c r="H50" s="480"/>
      <c r="I50" s="480"/>
      <c r="J50" s="480"/>
      <c r="K50" s="480"/>
      <c r="L50" s="480"/>
      <c r="M50" s="110"/>
      <c r="N50" s="110"/>
      <c r="O50" s="110"/>
      <c r="P50" s="110"/>
      <c r="Q50" s="110"/>
      <c r="R50" s="110"/>
    </row>
    <row r="51" spans="1:18" ht="15.45" x14ac:dyDescent="0.4">
      <c r="A51" s="480" t="str">
        <f>TYDESC</f>
        <v>For the 6 Months Ended August 31, 2024</v>
      </c>
      <c r="B51" s="480"/>
      <c r="C51" s="480"/>
      <c r="D51" s="480"/>
      <c r="E51" s="480"/>
      <c r="F51" s="480"/>
      <c r="G51" s="480"/>
      <c r="H51" s="480"/>
      <c r="I51" s="480"/>
      <c r="J51" s="480"/>
      <c r="K51" s="480"/>
      <c r="L51" s="480"/>
      <c r="M51" s="89"/>
      <c r="N51" s="89"/>
      <c r="O51" s="89"/>
      <c r="P51" s="89"/>
      <c r="Q51" s="89"/>
      <c r="R51" s="89"/>
    </row>
    <row r="52" spans="1:18" ht="15.45" x14ac:dyDescent="0.4">
      <c r="A52" s="480" t="s">
        <v>46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220"/>
      <c r="N52" s="220"/>
      <c r="O52" s="220"/>
      <c r="P52" s="220"/>
      <c r="Q52" s="220"/>
      <c r="R52" s="220"/>
    </row>
    <row r="53" spans="1:18" ht="15.45" x14ac:dyDescent="0.4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</row>
    <row r="54" spans="1:18" ht="15.45" x14ac:dyDescent="0.4">
      <c r="A54" s="35" t="s">
        <v>180</v>
      </c>
    </row>
    <row r="55" spans="1:18" ht="15.45" x14ac:dyDescent="0.4">
      <c r="A55" s="35" t="s">
        <v>181</v>
      </c>
      <c r="L55" s="40" t="s">
        <v>298</v>
      </c>
    </row>
    <row r="56" spans="1:18" ht="15.45" x14ac:dyDescent="0.4">
      <c r="A56" s="174" t="s">
        <v>305</v>
      </c>
      <c r="L56" s="40" t="s">
        <v>321</v>
      </c>
    </row>
    <row r="57" spans="1:18" ht="15.45" x14ac:dyDescent="0.4">
      <c r="A57" s="320" t="s">
        <v>154</v>
      </c>
      <c r="B57" s="321"/>
      <c r="C57" s="321"/>
      <c r="D57" s="321"/>
      <c r="E57" s="322"/>
      <c r="F57" s="321"/>
      <c r="G57" s="323"/>
      <c r="H57" s="324"/>
      <c r="I57" s="323"/>
      <c r="J57" s="325"/>
      <c r="K57" s="323"/>
      <c r="L57" s="326" t="str">
        <f>Witness</f>
        <v>Witness: J. C. Wozniak</v>
      </c>
    </row>
    <row r="58" spans="1:18" ht="15.45" x14ac:dyDescent="0.4">
      <c r="A58" s="327"/>
      <c r="B58" s="327"/>
      <c r="C58" s="327"/>
      <c r="D58" s="327"/>
      <c r="E58" s="89"/>
      <c r="F58" s="89"/>
      <c r="G58" s="89"/>
      <c r="H58" s="89"/>
      <c r="I58" s="89"/>
      <c r="J58" s="89"/>
      <c r="K58" s="89"/>
      <c r="L58" s="89"/>
      <c r="M58" s="327"/>
      <c r="N58" s="327"/>
      <c r="O58" s="327"/>
      <c r="P58" s="327"/>
      <c r="Q58" s="327"/>
      <c r="R58" s="327"/>
    </row>
    <row r="59" spans="1:18" ht="15.45" x14ac:dyDescent="0.4">
      <c r="A59" s="35"/>
    </row>
    <row r="60" spans="1:18" ht="15.45" x14ac:dyDescent="0.4">
      <c r="A60" s="32"/>
      <c r="B60" s="32"/>
      <c r="C60" s="32"/>
      <c r="D60" s="32"/>
      <c r="E60" s="33" t="s">
        <v>52</v>
      </c>
      <c r="F60" s="41"/>
      <c r="G60" s="42"/>
      <c r="H60" s="41"/>
      <c r="I60" s="30"/>
      <c r="J60" s="41"/>
      <c r="K60" s="41"/>
      <c r="L60" s="41"/>
      <c r="M60" s="41"/>
      <c r="N60" s="41"/>
      <c r="O60" s="41"/>
      <c r="P60" s="32"/>
      <c r="Q60" s="32"/>
      <c r="R60" s="32"/>
    </row>
    <row r="61" spans="1:18" ht="15.45" x14ac:dyDescent="0.4">
      <c r="A61" s="32" t="s">
        <v>11</v>
      </c>
      <c r="B61" s="32" t="s">
        <v>10</v>
      </c>
      <c r="C61" s="32" t="s">
        <v>48</v>
      </c>
      <c r="D61" s="32"/>
      <c r="E61" s="33" t="s">
        <v>53</v>
      </c>
      <c r="F61" s="41"/>
      <c r="G61" s="42"/>
      <c r="H61" s="41"/>
      <c r="I61" s="30"/>
      <c r="J61" s="41"/>
      <c r="K61" s="41"/>
      <c r="L61" s="41"/>
      <c r="M61" s="41"/>
      <c r="N61" s="41"/>
      <c r="O61" s="41"/>
      <c r="P61" s="34"/>
      <c r="Q61" s="34"/>
      <c r="R61" s="34"/>
    </row>
    <row r="62" spans="1:18" ht="15.45" x14ac:dyDescent="0.4">
      <c r="A62" s="43" t="s">
        <v>13</v>
      </c>
      <c r="B62" s="43" t="s">
        <v>47</v>
      </c>
      <c r="C62" s="43" t="s">
        <v>14</v>
      </c>
      <c r="D62" s="43"/>
      <c r="E62" s="44" t="s">
        <v>54</v>
      </c>
      <c r="F62" s="45" t="str">
        <f>B!$D$13</f>
        <v>Mar-24</v>
      </c>
      <c r="G62" s="45" t="str">
        <f>B!$E$13</f>
        <v>Apr-24</v>
      </c>
      <c r="H62" s="45" t="str">
        <f>B!$F$13</f>
        <v>May-24</v>
      </c>
      <c r="I62" s="45" t="str">
        <f>B!$G$13</f>
        <v>Jun-24</v>
      </c>
      <c r="J62" s="45" t="str">
        <f>B!$H$13</f>
        <v>Jul-24</v>
      </c>
      <c r="K62" s="45" t="str">
        <f>B!$I$13</f>
        <v>Aug-24</v>
      </c>
      <c r="L62" s="45" t="s">
        <v>15</v>
      </c>
      <c r="M62" s="46"/>
      <c r="N62" s="31"/>
      <c r="O62" s="31"/>
      <c r="P62" s="31"/>
      <c r="Q62" s="31"/>
    </row>
    <row r="63" spans="1:18" ht="15.45" x14ac:dyDescent="0.4">
      <c r="A63" s="32"/>
      <c r="B63" s="34" t="s">
        <v>49</v>
      </c>
      <c r="C63" s="34" t="s">
        <v>50</v>
      </c>
      <c r="D63" s="34"/>
      <c r="E63" s="47" t="s">
        <v>51</v>
      </c>
      <c r="F63" s="48" t="s">
        <v>470</v>
      </c>
      <c r="G63" s="48" t="s">
        <v>471</v>
      </c>
      <c r="H63" s="48" t="s">
        <v>472</v>
      </c>
      <c r="I63" s="48" t="s">
        <v>473</v>
      </c>
      <c r="J63" s="48" t="s">
        <v>55</v>
      </c>
      <c r="K63" s="48" t="s">
        <v>56</v>
      </c>
      <c r="L63" s="48" t="s">
        <v>57</v>
      </c>
      <c r="M63" s="34"/>
      <c r="N63" s="31"/>
      <c r="O63" s="31"/>
      <c r="P63" s="31"/>
      <c r="Q63" s="31"/>
    </row>
    <row r="64" spans="1:18" ht="15.45" x14ac:dyDescent="0.4">
      <c r="F64" s="48"/>
      <c r="G64" s="48"/>
      <c r="H64" s="48"/>
      <c r="I64" s="48"/>
      <c r="J64" s="48"/>
      <c r="K64" s="48"/>
      <c r="L64" s="34"/>
      <c r="M64" s="31"/>
      <c r="N64" s="31"/>
      <c r="O64" s="31"/>
      <c r="P64" s="31"/>
      <c r="Q64" s="31"/>
    </row>
    <row r="65" spans="1:18" ht="15.9" thickBot="1" x14ac:dyDescent="0.45">
      <c r="A65" s="31">
        <v>1</v>
      </c>
      <c r="C65" s="49" t="s">
        <v>89</v>
      </c>
      <c r="D65" s="49"/>
      <c r="F65" s="38"/>
      <c r="H65" s="38"/>
      <c r="J65" s="38"/>
      <c r="L65" s="31"/>
      <c r="M65" s="31"/>
      <c r="N65" s="31"/>
      <c r="O65" s="31"/>
      <c r="P65" s="31"/>
      <c r="Q65" s="31"/>
    </row>
    <row r="66" spans="1:18" x14ac:dyDescent="0.35">
      <c r="F66" s="38"/>
      <c r="H66" s="38"/>
      <c r="J66" s="38"/>
      <c r="L66" s="31"/>
      <c r="M66" s="31"/>
      <c r="N66" s="111"/>
      <c r="O66" s="97"/>
      <c r="P66" s="97"/>
      <c r="Q66" s="97"/>
      <c r="R66" s="105"/>
    </row>
    <row r="67" spans="1:18" ht="15.45" x14ac:dyDescent="0.4">
      <c r="A67" s="31">
        <f>A65+1</f>
        <v>2</v>
      </c>
      <c r="B67" s="31" t="str">
        <f>Input!A25</f>
        <v>GSR</v>
      </c>
      <c r="C67" s="31" t="str">
        <f>Input!B25</f>
        <v>General Service - Residential</v>
      </c>
      <c r="F67" s="38"/>
      <c r="H67" s="38"/>
      <c r="J67" s="38"/>
      <c r="M67" s="31"/>
      <c r="N67" s="141" t="s">
        <v>260</v>
      </c>
      <c r="O67" s="31"/>
      <c r="P67" s="31"/>
      <c r="Q67" s="31"/>
      <c r="R67" s="99"/>
    </row>
    <row r="68" spans="1:18" x14ac:dyDescent="0.35">
      <c r="A68" s="31">
        <f>A67+1</f>
        <v>3</v>
      </c>
      <c r="C68" s="50" t="s">
        <v>175</v>
      </c>
      <c r="F68" s="36">
        <f t="shared" ref="F68:K68" si="15">F377</f>
        <v>114893</v>
      </c>
      <c r="G68" s="36">
        <f t="shared" si="15"/>
        <v>114706</v>
      </c>
      <c r="H68" s="36">
        <f t="shared" si="15"/>
        <v>114109</v>
      </c>
      <c r="I68" s="36">
        <f t="shared" si="15"/>
        <v>113576</v>
      </c>
      <c r="J68" s="36">
        <f t="shared" si="15"/>
        <v>113124</v>
      </c>
      <c r="K68" s="36">
        <f t="shared" si="15"/>
        <v>112899</v>
      </c>
      <c r="L68" s="36">
        <f>SUM(F68:K68)</f>
        <v>683307</v>
      </c>
      <c r="M68" s="31"/>
      <c r="N68" s="98" t="s">
        <v>30</v>
      </c>
      <c r="O68" s="36">
        <f>L68+L75+L82+L89+L96+L103+L110+L117+L124+L153+L160+L167+L174+L181+L188+L217+L224+L231+L238+L245+L252+L259+L266+L273+L304+L311+L318+L325+L332</f>
        <v>837167</v>
      </c>
      <c r="P68" s="31"/>
      <c r="Q68" s="31"/>
      <c r="R68" s="99"/>
    </row>
    <row r="69" spans="1:18" x14ac:dyDescent="0.35">
      <c r="A69" s="31">
        <f>A68+1</f>
        <v>4</v>
      </c>
      <c r="C69" s="50" t="s">
        <v>176</v>
      </c>
      <c r="D69" s="31" t="s">
        <v>29</v>
      </c>
      <c r="F69" s="37">
        <f t="shared" ref="F69:K69" si="16">F380</f>
        <v>1173075.3999999999</v>
      </c>
      <c r="G69" s="37">
        <f t="shared" si="16"/>
        <v>708826.4</v>
      </c>
      <c r="H69" s="37">
        <f t="shared" si="16"/>
        <v>308062.3</v>
      </c>
      <c r="I69" s="37">
        <f t="shared" si="16"/>
        <v>142866.6</v>
      </c>
      <c r="J69" s="37">
        <f t="shared" si="16"/>
        <v>97726.3</v>
      </c>
      <c r="K69" s="37">
        <f t="shared" si="16"/>
        <v>97066.4</v>
      </c>
      <c r="L69" s="37">
        <f>SUM(F69:K69)</f>
        <v>2527623.3999999994</v>
      </c>
      <c r="M69" s="31"/>
      <c r="N69" s="98" t="s">
        <v>286</v>
      </c>
      <c r="O69" s="36">
        <f>L69+L76+L83+L90+L97+L104+L111+L118+L125+L154+L161+L168+L175+L182+L189+L218+L225+L232+L239+L246+L253+L260+L267+L274+L305+L312+L319+L326+L333</f>
        <v>12698884.700000001</v>
      </c>
      <c r="P69" s="31"/>
      <c r="Q69" s="31"/>
      <c r="R69" s="99"/>
    </row>
    <row r="70" spans="1:18" x14ac:dyDescent="0.35">
      <c r="A70" s="31">
        <f>A69+1</f>
        <v>5</v>
      </c>
      <c r="C70" s="50" t="s">
        <v>177</v>
      </c>
      <c r="D70" s="31" t="s">
        <v>28</v>
      </c>
      <c r="F70" s="169">
        <f t="shared" ref="F70:K70" si="17">F383+F393</f>
        <v>8486809.2300000004</v>
      </c>
      <c r="G70" s="169">
        <f t="shared" si="17"/>
        <v>6039656.0000000009</v>
      </c>
      <c r="H70" s="169">
        <f t="shared" si="17"/>
        <v>3918376.86</v>
      </c>
      <c r="I70" s="169">
        <f t="shared" si="17"/>
        <v>3038206.0900000003</v>
      </c>
      <c r="J70" s="169">
        <f t="shared" si="17"/>
        <v>2791529.41</v>
      </c>
      <c r="K70" s="169">
        <f t="shared" si="17"/>
        <v>2783527.04</v>
      </c>
      <c r="L70" s="169">
        <f>SUM(F70:K70)</f>
        <v>27058104.629999999</v>
      </c>
      <c r="M70" s="31"/>
      <c r="N70" s="98" t="s">
        <v>275</v>
      </c>
      <c r="O70" s="36">
        <f>L70+L77+L84+L91+L98+L105+L112+L119+L126+L155+L162+L169+L176+L183+L190+L219+L226+L233+L240+L247+L254+L261+L268+L275+L306+L313+L320+L327+L334</f>
        <v>47744340.770000003</v>
      </c>
      <c r="P70" s="31"/>
      <c r="Q70" s="36"/>
      <c r="R70" s="99"/>
    </row>
    <row r="71" spans="1:18" x14ac:dyDescent="0.35">
      <c r="A71" s="31">
        <f>A70+1</f>
        <v>6</v>
      </c>
      <c r="C71" s="50" t="s">
        <v>178</v>
      </c>
      <c r="D71" s="31" t="s">
        <v>28</v>
      </c>
      <c r="F71" s="169">
        <f t="shared" ref="F71:K71" si="18">F385</f>
        <v>3452712.82</v>
      </c>
      <c r="G71" s="169">
        <f t="shared" si="18"/>
        <v>2086288.74</v>
      </c>
      <c r="H71" s="169">
        <f t="shared" si="18"/>
        <v>906719.77</v>
      </c>
      <c r="I71" s="169">
        <f t="shared" si="18"/>
        <v>420499.26</v>
      </c>
      <c r="J71" s="169">
        <f t="shared" si="18"/>
        <v>287637.82</v>
      </c>
      <c r="K71" s="169">
        <f t="shared" si="18"/>
        <v>285695.53999999998</v>
      </c>
      <c r="L71" s="169">
        <f>SUM(F71:K71)</f>
        <v>7439553.9500000002</v>
      </c>
      <c r="M71" s="31"/>
      <c r="N71" s="98" t="s">
        <v>261</v>
      </c>
      <c r="O71" s="36">
        <f>L71+L78+L85+L92+L99+L106+L113+L120+L127+L156+L163+L170+L177+L184+L191+L220+L227+L234+L241+L248+L255+L262+L269+L276+L307+L314+L321+L328+L335</f>
        <v>12353687.040000001</v>
      </c>
      <c r="P71" s="31"/>
      <c r="Q71" s="31"/>
      <c r="R71" s="99"/>
    </row>
    <row r="72" spans="1:18" x14ac:dyDescent="0.35">
      <c r="A72" s="31">
        <f>A71+1</f>
        <v>7</v>
      </c>
      <c r="C72" s="50" t="s">
        <v>179</v>
      </c>
      <c r="D72" s="31" t="s">
        <v>246</v>
      </c>
      <c r="F72" s="221">
        <f>F395</f>
        <v>11939522.050000001</v>
      </c>
      <c r="G72" s="221">
        <f t="shared" ref="G72:K72" si="19">G395</f>
        <v>8125944.7400000012</v>
      </c>
      <c r="H72" s="221">
        <f t="shared" si="19"/>
        <v>4825096.63</v>
      </c>
      <c r="I72" s="221">
        <f t="shared" si="19"/>
        <v>3458705.3500000006</v>
      </c>
      <c r="J72" s="221">
        <f t="shared" si="19"/>
        <v>3079167.23</v>
      </c>
      <c r="K72" s="221">
        <f t="shared" si="19"/>
        <v>3069222.58</v>
      </c>
      <c r="L72" s="221">
        <f>SUM(F72:K72)</f>
        <v>34497658.580000006</v>
      </c>
      <c r="M72" s="31"/>
      <c r="N72" s="31" t="s">
        <v>15</v>
      </c>
      <c r="O72" s="36">
        <f>L72+L79+L86+L93+L100+L107+L114+L121+L128+L157+L164+L171+L178+L185+L192+L221+L228+L235+L242+L249+L256+L263+L270+L277+L308+L315+L322+L329+L336</f>
        <v>60098027.810000025</v>
      </c>
      <c r="P72" s="31"/>
      <c r="Q72" s="31"/>
    </row>
    <row r="73" spans="1:18" x14ac:dyDescent="0.35">
      <c r="F73" s="38"/>
      <c r="H73" s="38"/>
      <c r="J73" s="38"/>
      <c r="M73" s="31"/>
      <c r="N73" s="31"/>
      <c r="O73" s="31"/>
      <c r="P73" s="31"/>
      <c r="Q73" s="31"/>
    </row>
    <row r="74" spans="1:18" x14ac:dyDescent="0.35">
      <c r="A74" s="31">
        <f>A72+1</f>
        <v>8</v>
      </c>
      <c r="B74" s="31" t="str">
        <f>Input!A26</f>
        <v>G1C</v>
      </c>
      <c r="C74" s="31" t="str">
        <f>Input!B26</f>
        <v>LG&amp;E Commercial</v>
      </c>
      <c r="F74" s="38"/>
      <c r="H74" s="38"/>
      <c r="J74" s="38"/>
      <c r="M74" s="31"/>
      <c r="N74" s="31" t="s">
        <v>287</v>
      </c>
      <c r="O74" s="334">
        <f>L378+L403+L419+L456+L472+L488+L504+L541+L557+L573+L595+L632+L665+L719+L748+L792+L815+L841+L886+L887+L910+L911+L933+L934+L980+L981+L1007+L1008+L1024+L1025+L1061+L1062+L1078+L1079+L1095+L1096+L1138+L1139+L1160+L1161</f>
        <v>23419774.82</v>
      </c>
      <c r="P74" s="31"/>
      <c r="Q74" s="31"/>
    </row>
    <row r="75" spans="1:18" x14ac:dyDescent="0.35">
      <c r="A75" s="31">
        <f>A74+1</f>
        <v>9</v>
      </c>
      <c r="C75" s="50" t="s">
        <v>175</v>
      </c>
      <c r="F75" s="36">
        <f t="shared" ref="F75:K75" si="20">F402</f>
        <v>0</v>
      </c>
      <c r="G75" s="36">
        <f t="shared" si="20"/>
        <v>0</v>
      </c>
      <c r="H75" s="36">
        <f t="shared" si="20"/>
        <v>0</v>
      </c>
      <c r="I75" s="36">
        <f t="shared" si="20"/>
        <v>0</v>
      </c>
      <c r="J75" s="36">
        <f t="shared" si="20"/>
        <v>0</v>
      </c>
      <c r="K75" s="36">
        <f t="shared" si="20"/>
        <v>0</v>
      </c>
      <c r="L75" s="36">
        <f>SUM(F75:K75)</f>
        <v>0</v>
      </c>
      <c r="M75" s="31"/>
      <c r="N75" s="31" t="s">
        <v>288</v>
      </c>
      <c r="O75" s="334">
        <f>L381+L406+L422+L459+L475+L491+L507+L544+L560+L582+L598+L645+L678+L728+L751+L795+L828+L854+L897+L921+L946+L993+L1010+L1027++L1064+L1081+L1104+L1147+L1169</f>
        <v>23995420.150000002</v>
      </c>
      <c r="P75" s="31"/>
      <c r="Q75" s="31"/>
    </row>
    <row r="76" spans="1:18" x14ac:dyDescent="0.35">
      <c r="A76" s="31">
        <f>A75+1</f>
        <v>10</v>
      </c>
      <c r="C76" s="50" t="s">
        <v>176</v>
      </c>
      <c r="D76" s="31" t="s">
        <v>29</v>
      </c>
      <c r="F76" s="37">
        <f t="shared" ref="F76:K76" si="21">F405</f>
        <v>0</v>
      </c>
      <c r="G76" s="37">
        <f t="shared" si="21"/>
        <v>0</v>
      </c>
      <c r="H76" s="37">
        <f t="shared" si="21"/>
        <v>0</v>
      </c>
      <c r="I76" s="37">
        <f t="shared" si="21"/>
        <v>0</v>
      </c>
      <c r="J76" s="37">
        <f t="shared" si="21"/>
        <v>0</v>
      </c>
      <c r="K76" s="37">
        <f t="shared" si="21"/>
        <v>0</v>
      </c>
      <c r="L76" s="37">
        <f>SUM(F76:K76)</f>
        <v>0</v>
      </c>
      <c r="M76" s="31"/>
      <c r="N76" s="31"/>
      <c r="O76" s="31"/>
      <c r="P76" s="31"/>
      <c r="Q76" s="31"/>
    </row>
    <row r="77" spans="1:18" x14ac:dyDescent="0.35">
      <c r="A77" s="31">
        <f>A76+1</f>
        <v>11</v>
      </c>
      <c r="C77" s="50" t="s">
        <v>177</v>
      </c>
      <c r="D77" s="31" t="s">
        <v>28</v>
      </c>
      <c r="F77" s="221">
        <f t="shared" ref="F77:K77" si="22">F407</f>
        <v>0</v>
      </c>
      <c r="G77" s="221">
        <f t="shared" si="22"/>
        <v>0</v>
      </c>
      <c r="H77" s="221">
        <f t="shared" si="22"/>
        <v>0</v>
      </c>
      <c r="I77" s="221">
        <f t="shared" si="22"/>
        <v>0</v>
      </c>
      <c r="J77" s="221">
        <f t="shared" si="22"/>
        <v>0</v>
      </c>
      <c r="K77" s="221">
        <f t="shared" si="22"/>
        <v>0</v>
      </c>
      <c r="L77" s="221">
        <f>SUM(F77:K77)</f>
        <v>0</v>
      </c>
      <c r="M77" s="31"/>
      <c r="N77" s="31"/>
      <c r="O77" s="57"/>
      <c r="P77" s="31"/>
      <c r="Q77" s="31"/>
    </row>
    <row r="78" spans="1:18" x14ac:dyDescent="0.35">
      <c r="A78" s="31">
        <f>A77+1</f>
        <v>12</v>
      </c>
      <c r="C78" s="50" t="s">
        <v>178</v>
      </c>
      <c r="D78" s="31" t="s">
        <v>28</v>
      </c>
      <c r="F78" s="221">
        <f t="shared" ref="F78:K78" si="23">F409</f>
        <v>0</v>
      </c>
      <c r="G78" s="221">
        <f>G409</f>
        <v>0</v>
      </c>
      <c r="H78" s="221">
        <f t="shared" si="23"/>
        <v>0</v>
      </c>
      <c r="I78" s="221">
        <f t="shared" si="23"/>
        <v>0</v>
      </c>
      <c r="J78" s="221">
        <f t="shared" si="23"/>
        <v>0</v>
      </c>
      <c r="K78" s="221">
        <f t="shared" si="23"/>
        <v>0</v>
      </c>
      <c r="L78" s="221">
        <f>SUM(F78:K78)</f>
        <v>0</v>
      </c>
      <c r="M78" s="31"/>
      <c r="N78" s="31"/>
      <c r="O78" s="31"/>
      <c r="P78" s="31"/>
      <c r="Q78" s="31"/>
    </row>
    <row r="79" spans="1:18" x14ac:dyDescent="0.35">
      <c r="A79" s="31">
        <f>A78+1</f>
        <v>13</v>
      </c>
      <c r="C79" s="50" t="s">
        <v>179</v>
      </c>
      <c r="D79" s="31" t="s">
        <v>246</v>
      </c>
      <c r="F79" s="221">
        <f t="shared" ref="F79:K79" si="24">F411</f>
        <v>0</v>
      </c>
      <c r="G79" s="221">
        <f t="shared" si="24"/>
        <v>0</v>
      </c>
      <c r="H79" s="221">
        <f t="shared" si="24"/>
        <v>0</v>
      </c>
      <c r="I79" s="221">
        <f t="shared" si="24"/>
        <v>0</v>
      </c>
      <c r="J79" s="221">
        <f t="shared" si="24"/>
        <v>0</v>
      </c>
      <c r="K79" s="221">
        <f t="shared" si="24"/>
        <v>0</v>
      </c>
      <c r="L79" s="221">
        <f>SUM(F79:K79)</f>
        <v>0</v>
      </c>
      <c r="M79" s="31"/>
      <c r="N79" s="31"/>
      <c r="O79" s="31"/>
      <c r="P79" s="31"/>
      <c r="Q79" s="31"/>
    </row>
    <row r="80" spans="1:18" x14ac:dyDescent="0.35">
      <c r="F80" s="38"/>
      <c r="H80" s="38"/>
      <c r="J80" s="38"/>
      <c r="M80" s="31"/>
      <c r="N80" s="31"/>
      <c r="O80" s="31"/>
      <c r="P80" s="31"/>
      <c r="Q80" s="31"/>
    </row>
    <row r="81" spans="1:17" x14ac:dyDescent="0.35">
      <c r="A81" s="31">
        <f>A79+1</f>
        <v>14</v>
      </c>
      <c r="B81" s="31" t="str">
        <f>Input!A27</f>
        <v>G1R</v>
      </c>
      <c r="C81" s="31" t="str">
        <f>Input!B27</f>
        <v>LG&amp;E Residential</v>
      </c>
      <c r="F81" s="38"/>
      <c r="H81" s="38"/>
      <c r="J81" s="38"/>
      <c r="M81" s="31"/>
      <c r="N81" s="31" t="s">
        <v>276</v>
      </c>
      <c r="O81" s="36">
        <f>O72-(O71+O70)</f>
        <v>0</v>
      </c>
      <c r="P81" s="31"/>
      <c r="Q81" s="31"/>
    </row>
    <row r="82" spans="1:17" x14ac:dyDescent="0.35">
      <c r="A82" s="31">
        <f>A81+1</f>
        <v>15</v>
      </c>
      <c r="C82" s="50" t="s">
        <v>175</v>
      </c>
      <c r="F82" s="36">
        <f t="shared" ref="F82:K82" si="25">F418</f>
        <v>2</v>
      </c>
      <c r="G82" s="36">
        <f t="shared" si="25"/>
        <v>2</v>
      </c>
      <c r="H82" s="36">
        <f t="shared" si="25"/>
        <v>2</v>
      </c>
      <c r="I82" s="36">
        <f t="shared" si="25"/>
        <v>2</v>
      </c>
      <c r="J82" s="36">
        <f t="shared" si="25"/>
        <v>2</v>
      </c>
      <c r="K82" s="36">
        <f t="shared" si="25"/>
        <v>2</v>
      </c>
      <c r="L82" s="36">
        <f>SUM(F82:K82)</f>
        <v>12</v>
      </c>
      <c r="M82" s="31"/>
      <c r="N82" s="31" t="s">
        <v>153</v>
      </c>
      <c r="O82" s="334">
        <f>L390+L804</f>
        <v>60192.72</v>
      </c>
      <c r="P82" s="31"/>
      <c r="Q82" s="31"/>
    </row>
    <row r="83" spans="1:17" x14ac:dyDescent="0.35">
      <c r="A83" s="31">
        <f>A82+1</f>
        <v>16</v>
      </c>
      <c r="C83" s="50" t="s">
        <v>176</v>
      </c>
      <c r="D83" s="31" t="s">
        <v>29</v>
      </c>
      <c r="F83" s="37">
        <f t="shared" ref="F83:K83" si="26">F421</f>
        <v>34.799999999999997</v>
      </c>
      <c r="G83" s="37">
        <f t="shared" si="26"/>
        <v>39</v>
      </c>
      <c r="H83" s="37">
        <f t="shared" si="26"/>
        <v>18.5</v>
      </c>
      <c r="I83" s="37">
        <f t="shared" si="26"/>
        <v>3.6</v>
      </c>
      <c r="J83" s="37">
        <f t="shared" si="26"/>
        <v>1.8</v>
      </c>
      <c r="K83" s="37">
        <f t="shared" si="26"/>
        <v>1.5</v>
      </c>
      <c r="L83" s="37">
        <f>SUM(F83:K83)</f>
        <v>99.199999999999989</v>
      </c>
      <c r="M83" s="31"/>
      <c r="N83" s="31" t="s">
        <v>150</v>
      </c>
      <c r="O83" s="57">
        <f>L391+L654+L687+L737+L760</f>
        <v>43230.38</v>
      </c>
      <c r="P83" s="31"/>
      <c r="Q83" s="31"/>
    </row>
    <row r="84" spans="1:17" x14ac:dyDescent="0.35">
      <c r="A84" s="31">
        <f>A83+1</f>
        <v>17</v>
      </c>
      <c r="C84" s="50" t="s">
        <v>177</v>
      </c>
      <c r="D84" s="31" t="s">
        <v>28</v>
      </c>
      <c r="F84" s="221">
        <f t="shared" ref="F84:K84" si="27">F423</f>
        <v>222.63</v>
      </c>
      <c r="G84" s="221">
        <f t="shared" si="27"/>
        <v>44.04</v>
      </c>
      <c r="H84" s="221">
        <f t="shared" si="27"/>
        <v>138.97999999999999</v>
      </c>
      <c r="I84" s="221">
        <f t="shared" si="27"/>
        <v>62.519999999999996</v>
      </c>
      <c r="J84" s="221">
        <f t="shared" si="27"/>
        <v>53.28</v>
      </c>
      <c r="K84" s="221">
        <f t="shared" si="27"/>
        <v>51.74</v>
      </c>
      <c r="L84" s="221">
        <f>SUM(F84:K84)</f>
        <v>573.18999999999994</v>
      </c>
      <c r="M84" s="31"/>
      <c r="N84" s="31" t="s">
        <v>131</v>
      </c>
      <c r="O84" s="38">
        <f>L392+L805</f>
        <v>225722.70000000004</v>
      </c>
      <c r="P84" s="31"/>
      <c r="Q84" s="31"/>
    </row>
    <row r="85" spans="1:17" x14ac:dyDescent="0.35">
      <c r="A85" s="31">
        <f>A84+1</f>
        <v>18</v>
      </c>
      <c r="C85" s="50" t="s">
        <v>178</v>
      </c>
      <c r="D85" s="31" t="s">
        <v>28</v>
      </c>
      <c r="F85" s="221">
        <f t="shared" ref="F85:K85" si="28">F425</f>
        <v>102.43</v>
      </c>
      <c r="G85" s="221">
        <f>G425</f>
        <v>114.79</v>
      </c>
      <c r="H85" s="221">
        <f t="shared" si="28"/>
        <v>54.45</v>
      </c>
      <c r="I85" s="221">
        <f t="shared" si="28"/>
        <v>10.6</v>
      </c>
      <c r="J85" s="221">
        <f t="shared" si="28"/>
        <v>5.3</v>
      </c>
      <c r="K85" s="221">
        <f t="shared" si="28"/>
        <v>4.41</v>
      </c>
      <c r="L85" s="221">
        <f>SUM(F85:K85)</f>
        <v>291.98000000000008</v>
      </c>
      <c r="M85" s="31"/>
      <c r="N85" s="31"/>
      <c r="O85" s="31"/>
      <c r="P85" s="31"/>
      <c r="Q85" s="31"/>
    </row>
    <row r="86" spans="1:17" x14ac:dyDescent="0.35">
      <c r="A86" s="31">
        <f>A85+1</f>
        <v>19</v>
      </c>
      <c r="C86" s="50" t="s">
        <v>179</v>
      </c>
      <c r="D86" s="31" t="s">
        <v>246</v>
      </c>
      <c r="F86" s="221">
        <f t="shared" ref="F86:K86" si="29">F427</f>
        <v>325.06</v>
      </c>
      <c r="G86" s="221">
        <f t="shared" si="29"/>
        <v>158.83000000000001</v>
      </c>
      <c r="H86" s="221">
        <f t="shared" si="29"/>
        <v>193.43</v>
      </c>
      <c r="I86" s="221">
        <f t="shared" si="29"/>
        <v>73.11999999999999</v>
      </c>
      <c r="J86" s="221">
        <f t="shared" si="29"/>
        <v>58.58</v>
      </c>
      <c r="K86" s="221">
        <f t="shared" si="29"/>
        <v>56.150000000000006</v>
      </c>
      <c r="L86" s="221">
        <f>SUM(F86:K86)</f>
        <v>865.17</v>
      </c>
      <c r="M86" s="31"/>
      <c r="N86" s="31"/>
      <c r="O86" s="31"/>
      <c r="P86" s="31"/>
      <c r="Q86" s="31"/>
    </row>
    <row r="87" spans="1:17" x14ac:dyDescent="0.35">
      <c r="F87" s="38"/>
      <c r="H87" s="38"/>
      <c r="J87" s="38"/>
      <c r="M87" s="31"/>
      <c r="N87" s="31"/>
      <c r="O87" s="31"/>
      <c r="P87" s="31"/>
      <c r="Q87" s="31"/>
    </row>
    <row r="88" spans="1:17" x14ac:dyDescent="0.35">
      <c r="A88" s="31">
        <f>A86+1</f>
        <v>20</v>
      </c>
      <c r="B88" s="31" t="str">
        <f>Input!A28</f>
        <v>IN3</v>
      </c>
      <c r="C88" s="31" t="str">
        <f>Input!B28</f>
        <v>Inland Gas General Service - Residential</v>
      </c>
      <c r="F88" s="38"/>
      <c r="H88" s="38"/>
      <c r="J88" s="38"/>
      <c r="M88" s="31"/>
      <c r="N88" s="31"/>
      <c r="O88" s="31"/>
      <c r="P88" s="31"/>
      <c r="Q88" s="31"/>
    </row>
    <row r="89" spans="1:17" x14ac:dyDescent="0.35">
      <c r="A89" s="31">
        <f>A88+1</f>
        <v>21</v>
      </c>
      <c r="C89" s="50" t="s">
        <v>175</v>
      </c>
      <c r="F89" s="36">
        <f t="shared" ref="F89:K89" si="30">F455</f>
        <v>7</v>
      </c>
      <c r="G89" s="36">
        <f t="shared" si="30"/>
        <v>7</v>
      </c>
      <c r="H89" s="36">
        <f t="shared" si="30"/>
        <v>7</v>
      </c>
      <c r="I89" s="36">
        <f t="shared" si="30"/>
        <v>7</v>
      </c>
      <c r="J89" s="36">
        <f t="shared" si="30"/>
        <v>7</v>
      </c>
      <c r="K89" s="36">
        <f t="shared" si="30"/>
        <v>7</v>
      </c>
      <c r="L89" s="36">
        <f>SUM(F89:K89)</f>
        <v>42</v>
      </c>
      <c r="M89" s="31"/>
      <c r="N89" s="31"/>
      <c r="O89" s="31"/>
      <c r="P89" s="31"/>
      <c r="Q89" s="31"/>
    </row>
    <row r="90" spans="1:17" x14ac:dyDescent="0.35">
      <c r="A90" s="31">
        <f>A89+1</f>
        <v>22</v>
      </c>
      <c r="C90" s="50" t="s">
        <v>176</v>
      </c>
      <c r="D90" s="31" t="s">
        <v>29</v>
      </c>
      <c r="F90" s="37">
        <f t="shared" ref="F90:K90" si="31">F458</f>
        <v>180.3</v>
      </c>
      <c r="G90" s="37">
        <f t="shared" si="31"/>
        <v>86.5</v>
      </c>
      <c r="H90" s="37">
        <f t="shared" si="31"/>
        <v>42.7</v>
      </c>
      <c r="I90" s="37">
        <f t="shared" si="31"/>
        <v>19</v>
      </c>
      <c r="J90" s="37">
        <f t="shared" si="31"/>
        <v>8</v>
      </c>
      <c r="K90" s="37">
        <f t="shared" si="31"/>
        <v>9.1</v>
      </c>
      <c r="L90" s="37">
        <f>SUM(F90:K90)</f>
        <v>345.6</v>
      </c>
      <c r="M90" s="31"/>
      <c r="N90" s="31"/>
      <c r="O90" s="31"/>
      <c r="P90" s="31"/>
      <c r="Q90" s="31"/>
    </row>
    <row r="91" spans="1:17" x14ac:dyDescent="0.35">
      <c r="A91" s="31">
        <f>A90+1</f>
        <v>23</v>
      </c>
      <c r="C91" s="50" t="s">
        <v>177</v>
      </c>
      <c r="D91" s="31" t="s">
        <v>28</v>
      </c>
      <c r="F91" s="221">
        <f t="shared" ref="F91:K91" si="32">F460</f>
        <v>72.12</v>
      </c>
      <c r="G91" s="221">
        <f>G460</f>
        <v>34.6</v>
      </c>
      <c r="H91" s="221">
        <f t="shared" si="32"/>
        <v>17.079999999999998</v>
      </c>
      <c r="I91" s="221">
        <f t="shared" si="32"/>
        <v>7.6</v>
      </c>
      <c r="J91" s="221">
        <f t="shared" si="32"/>
        <v>3.2</v>
      </c>
      <c r="K91" s="221">
        <f t="shared" si="32"/>
        <v>3.64</v>
      </c>
      <c r="L91" s="221">
        <f>SUM(F91:K91)</f>
        <v>138.23999999999998</v>
      </c>
      <c r="M91" s="31"/>
      <c r="N91" s="31"/>
      <c r="O91" s="31"/>
      <c r="P91" s="31"/>
      <c r="Q91" s="31"/>
    </row>
    <row r="92" spans="1:17" x14ac:dyDescent="0.35">
      <c r="A92" s="31">
        <f>A91+1</f>
        <v>24</v>
      </c>
      <c r="C92" s="50" t="s">
        <v>178</v>
      </c>
      <c r="D92" s="31" t="s">
        <v>28</v>
      </c>
      <c r="F92" s="221">
        <f t="shared" ref="F92:K92" si="33">F462</f>
        <v>0</v>
      </c>
      <c r="G92" s="221">
        <f t="shared" si="33"/>
        <v>0</v>
      </c>
      <c r="H92" s="221">
        <f t="shared" si="33"/>
        <v>0</v>
      </c>
      <c r="I92" s="221">
        <f t="shared" si="33"/>
        <v>0</v>
      </c>
      <c r="J92" s="221">
        <f t="shared" si="33"/>
        <v>0</v>
      </c>
      <c r="K92" s="221">
        <f t="shared" si="33"/>
        <v>0</v>
      </c>
      <c r="L92" s="221">
        <f>SUM(F92:K92)</f>
        <v>0</v>
      </c>
      <c r="M92" s="31"/>
      <c r="N92" s="31"/>
      <c r="O92" s="31"/>
      <c r="P92" s="31"/>
      <c r="Q92" s="31"/>
    </row>
    <row r="93" spans="1:17" x14ac:dyDescent="0.35">
      <c r="A93" s="31">
        <f>A92+1</f>
        <v>25</v>
      </c>
      <c r="C93" s="50" t="s">
        <v>179</v>
      </c>
      <c r="D93" s="31" t="s">
        <v>246</v>
      </c>
      <c r="F93" s="221">
        <f t="shared" ref="F93:K93" si="34">F464</f>
        <v>72.12</v>
      </c>
      <c r="G93" s="221">
        <f t="shared" si="34"/>
        <v>34.6</v>
      </c>
      <c r="H93" s="221">
        <f t="shared" si="34"/>
        <v>17.079999999999998</v>
      </c>
      <c r="I93" s="221">
        <f t="shared" si="34"/>
        <v>7.6</v>
      </c>
      <c r="J93" s="221">
        <f t="shared" si="34"/>
        <v>3.2</v>
      </c>
      <c r="K93" s="221">
        <f t="shared" si="34"/>
        <v>3.64</v>
      </c>
      <c r="L93" s="221">
        <f>SUM(F93:K93)</f>
        <v>138.23999999999998</v>
      </c>
      <c r="M93" s="31"/>
      <c r="N93" s="31"/>
      <c r="O93" s="31"/>
      <c r="P93" s="31"/>
      <c r="Q93" s="31"/>
    </row>
    <row r="94" spans="1:17" x14ac:dyDescent="0.35">
      <c r="F94" s="38"/>
      <c r="H94" s="38"/>
      <c r="J94" s="38"/>
      <c r="M94" s="31"/>
      <c r="N94" s="31"/>
      <c r="O94" s="31"/>
      <c r="P94" s="31"/>
      <c r="Q94" s="31"/>
    </row>
    <row r="95" spans="1:17" x14ac:dyDescent="0.35">
      <c r="A95" s="31">
        <f>A93+1</f>
        <v>26</v>
      </c>
      <c r="B95" s="31" t="str">
        <f>Input!A29</f>
        <v>IN3</v>
      </c>
      <c r="C95" s="31" t="str">
        <f>Input!B29</f>
        <v>Inland Gas General Service - Commercial</v>
      </c>
      <c r="F95" s="38"/>
      <c r="H95" s="38"/>
      <c r="J95" s="38"/>
      <c r="M95" s="31"/>
      <c r="N95" s="31"/>
      <c r="O95" s="31"/>
      <c r="P95" s="31"/>
      <c r="Q95" s="31"/>
    </row>
    <row r="96" spans="1:17" x14ac:dyDescent="0.35">
      <c r="A96" s="31">
        <f>A95+1</f>
        <v>27</v>
      </c>
      <c r="C96" s="50" t="s">
        <v>175</v>
      </c>
      <c r="F96" s="36">
        <f t="shared" ref="F96:K96" si="35">F471</f>
        <v>0</v>
      </c>
      <c r="G96" s="36">
        <f t="shared" si="35"/>
        <v>0</v>
      </c>
      <c r="H96" s="36">
        <f t="shared" si="35"/>
        <v>0</v>
      </c>
      <c r="I96" s="36">
        <f t="shared" si="35"/>
        <v>0</v>
      </c>
      <c r="J96" s="36">
        <f t="shared" si="35"/>
        <v>0</v>
      </c>
      <c r="K96" s="36">
        <f t="shared" si="35"/>
        <v>0</v>
      </c>
      <c r="L96" s="36">
        <f>SUM(F96:K96)</f>
        <v>0</v>
      </c>
      <c r="M96" s="31"/>
      <c r="N96" s="31"/>
      <c r="O96" s="31"/>
      <c r="P96" s="31"/>
      <c r="Q96" s="31"/>
    </row>
    <row r="97" spans="1:17" x14ac:dyDescent="0.35">
      <c r="A97" s="31">
        <f>A96+1</f>
        <v>28</v>
      </c>
      <c r="C97" s="50" t="s">
        <v>176</v>
      </c>
      <c r="D97" s="31" t="s">
        <v>29</v>
      </c>
      <c r="F97" s="37">
        <f t="shared" ref="F97:K97" si="36">F474</f>
        <v>0</v>
      </c>
      <c r="G97" s="37">
        <f t="shared" si="36"/>
        <v>0</v>
      </c>
      <c r="H97" s="37">
        <f t="shared" si="36"/>
        <v>0</v>
      </c>
      <c r="I97" s="37">
        <f t="shared" si="36"/>
        <v>0</v>
      </c>
      <c r="J97" s="37">
        <f t="shared" si="36"/>
        <v>0</v>
      </c>
      <c r="K97" s="37">
        <f t="shared" si="36"/>
        <v>0</v>
      </c>
      <c r="L97" s="37">
        <f>SUM(F97:K97)</f>
        <v>0</v>
      </c>
      <c r="M97" s="31"/>
      <c r="N97" s="31"/>
      <c r="O97" s="31"/>
      <c r="P97" s="31"/>
      <c r="Q97" s="31"/>
    </row>
    <row r="98" spans="1:17" x14ac:dyDescent="0.35">
      <c r="A98" s="31">
        <f>A97+1</f>
        <v>29</v>
      </c>
      <c r="C98" s="50" t="s">
        <v>177</v>
      </c>
      <c r="D98" s="31" t="s">
        <v>28</v>
      </c>
      <c r="F98" s="221">
        <f t="shared" ref="F98:K98" si="37">F476</f>
        <v>0</v>
      </c>
      <c r="G98" s="221">
        <f t="shared" si="37"/>
        <v>0</v>
      </c>
      <c r="H98" s="221">
        <f t="shared" si="37"/>
        <v>0</v>
      </c>
      <c r="I98" s="221">
        <f t="shared" si="37"/>
        <v>0</v>
      </c>
      <c r="J98" s="221">
        <f t="shared" si="37"/>
        <v>0</v>
      </c>
      <c r="K98" s="221">
        <f t="shared" si="37"/>
        <v>0</v>
      </c>
      <c r="L98" s="221">
        <f>SUM(F98:K98)</f>
        <v>0</v>
      </c>
      <c r="M98" s="31"/>
      <c r="N98" s="31"/>
      <c r="O98" s="31"/>
      <c r="P98" s="31"/>
      <c r="Q98" s="31"/>
    </row>
    <row r="99" spans="1:17" x14ac:dyDescent="0.35">
      <c r="A99" s="31">
        <f>A98+1</f>
        <v>30</v>
      </c>
      <c r="C99" s="50" t="s">
        <v>178</v>
      </c>
      <c r="D99" s="31" t="s">
        <v>28</v>
      </c>
      <c r="F99" s="221">
        <f t="shared" ref="F99:K99" si="38">F478</f>
        <v>0</v>
      </c>
      <c r="G99" s="221">
        <f t="shared" si="38"/>
        <v>0</v>
      </c>
      <c r="H99" s="221">
        <f t="shared" si="38"/>
        <v>0</v>
      </c>
      <c r="I99" s="221">
        <f t="shared" si="38"/>
        <v>0</v>
      </c>
      <c r="J99" s="221">
        <f t="shared" si="38"/>
        <v>0</v>
      </c>
      <c r="K99" s="221">
        <f t="shared" si="38"/>
        <v>0</v>
      </c>
      <c r="L99" s="221">
        <f>SUM(F99:K99)</f>
        <v>0</v>
      </c>
      <c r="M99" s="31"/>
      <c r="N99" s="31"/>
      <c r="O99" s="31"/>
      <c r="P99" s="31"/>
      <c r="Q99" s="31"/>
    </row>
    <row r="100" spans="1:17" x14ac:dyDescent="0.35">
      <c r="A100" s="31">
        <f>A99+1</f>
        <v>31</v>
      </c>
      <c r="C100" s="50" t="s">
        <v>179</v>
      </c>
      <c r="D100" s="31" t="s">
        <v>246</v>
      </c>
      <c r="F100" s="221">
        <f t="shared" ref="F100:K100" si="39">F480</f>
        <v>0</v>
      </c>
      <c r="G100" s="221">
        <f t="shared" si="39"/>
        <v>0</v>
      </c>
      <c r="H100" s="221">
        <f t="shared" si="39"/>
        <v>0</v>
      </c>
      <c r="I100" s="221">
        <f t="shared" si="39"/>
        <v>0</v>
      </c>
      <c r="J100" s="221">
        <f t="shared" si="39"/>
        <v>0</v>
      </c>
      <c r="K100" s="221">
        <f t="shared" si="39"/>
        <v>0</v>
      </c>
      <c r="L100" s="221">
        <f>SUM(F100:K100)</f>
        <v>0</v>
      </c>
      <c r="M100" s="31"/>
      <c r="N100" s="31"/>
      <c r="O100" s="31"/>
      <c r="P100" s="31"/>
      <c r="Q100" s="31"/>
    </row>
    <row r="101" spans="1:17" x14ac:dyDescent="0.35">
      <c r="F101" s="38"/>
      <c r="H101" s="38"/>
      <c r="J101" s="38"/>
      <c r="M101" s="31"/>
      <c r="N101" s="31"/>
      <c r="O101" s="31"/>
      <c r="P101" s="31"/>
      <c r="Q101" s="31"/>
    </row>
    <row r="102" spans="1:17" x14ac:dyDescent="0.35">
      <c r="A102" s="31">
        <f>A100+1</f>
        <v>32</v>
      </c>
      <c r="B102" s="31" t="str">
        <f>Input!A30</f>
        <v>IN4</v>
      </c>
      <c r="C102" s="31" t="str">
        <f>Input!B30</f>
        <v>Inland Gas General Service - Residential</v>
      </c>
      <c r="F102" s="38"/>
      <c r="H102" s="38"/>
      <c r="J102" s="38"/>
      <c r="M102" s="31"/>
      <c r="N102" s="31"/>
      <c r="O102" s="31"/>
      <c r="P102" s="31"/>
      <c r="Q102" s="31"/>
    </row>
    <row r="103" spans="1:17" x14ac:dyDescent="0.35">
      <c r="A103" s="31">
        <f>A102+1</f>
        <v>33</v>
      </c>
      <c r="C103" s="50" t="s">
        <v>175</v>
      </c>
      <c r="F103" s="36">
        <f t="shared" ref="F103:K103" si="40">F487</f>
        <v>0</v>
      </c>
      <c r="G103" s="36">
        <f t="shared" si="40"/>
        <v>0</v>
      </c>
      <c r="H103" s="36">
        <f t="shared" si="40"/>
        <v>0</v>
      </c>
      <c r="I103" s="36">
        <f t="shared" si="40"/>
        <v>0</v>
      </c>
      <c r="J103" s="36">
        <f t="shared" si="40"/>
        <v>0</v>
      </c>
      <c r="K103" s="36">
        <f t="shared" si="40"/>
        <v>0</v>
      </c>
      <c r="L103" s="36">
        <f>SUM(F103:K103)</f>
        <v>0</v>
      </c>
      <c r="M103" s="31"/>
      <c r="N103" s="31"/>
      <c r="O103" s="31"/>
      <c r="P103" s="31"/>
      <c r="Q103" s="31"/>
    </row>
    <row r="104" spans="1:17" x14ac:dyDescent="0.35">
      <c r="A104" s="31">
        <f>A103+1</f>
        <v>34</v>
      </c>
      <c r="C104" s="50" t="s">
        <v>176</v>
      </c>
      <c r="D104" s="31" t="s">
        <v>29</v>
      </c>
      <c r="F104" s="37">
        <f t="shared" ref="F104:K104" si="41">F490</f>
        <v>0</v>
      </c>
      <c r="G104" s="37">
        <f t="shared" si="41"/>
        <v>0</v>
      </c>
      <c r="H104" s="37">
        <f t="shared" si="41"/>
        <v>0</v>
      </c>
      <c r="I104" s="37">
        <f t="shared" si="41"/>
        <v>0</v>
      </c>
      <c r="J104" s="37">
        <f t="shared" si="41"/>
        <v>0</v>
      </c>
      <c r="K104" s="37">
        <f t="shared" si="41"/>
        <v>0</v>
      </c>
      <c r="L104" s="37">
        <f>SUM(F104:K104)</f>
        <v>0</v>
      </c>
      <c r="M104" s="31"/>
      <c r="N104" s="31"/>
      <c r="O104" s="31"/>
      <c r="P104" s="31"/>
      <c r="Q104" s="31"/>
    </row>
    <row r="105" spans="1:17" x14ac:dyDescent="0.35">
      <c r="A105" s="31">
        <f>A104+1</f>
        <v>35</v>
      </c>
      <c r="C105" s="50" t="s">
        <v>177</v>
      </c>
      <c r="D105" s="31" t="s">
        <v>28</v>
      </c>
      <c r="F105" s="221">
        <f t="shared" ref="F105:K105" si="42">F492</f>
        <v>0</v>
      </c>
      <c r="G105" s="221">
        <f t="shared" si="42"/>
        <v>0</v>
      </c>
      <c r="H105" s="221">
        <f t="shared" si="42"/>
        <v>0</v>
      </c>
      <c r="I105" s="221">
        <f t="shared" si="42"/>
        <v>0</v>
      </c>
      <c r="J105" s="221">
        <f t="shared" si="42"/>
        <v>0</v>
      </c>
      <c r="K105" s="221">
        <f t="shared" si="42"/>
        <v>0</v>
      </c>
      <c r="L105" s="221">
        <f>SUM(F105:K105)</f>
        <v>0</v>
      </c>
      <c r="M105" s="31"/>
      <c r="N105" s="31"/>
      <c r="O105" s="31"/>
      <c r="P105" s="31"/>
      <c r="Q105" s="31"/>
    </row>
    <row r="106" spans="1:17" x14ac:dyDescent="0.35">
      <c r="A106" s="31">
        <f>A105+1</f>
        <v>36</v>
      </c>
      <c r="C106" s="50" t="s">
        <v>178</v>
      </c>
      <c r="D106" s="31" t="s">
        <v>28</v>
      </c>
      <c r="F106" s="221">
        <f t="shared" ref="F106:K106" si="43">F494</f>
        <v>0</v>
      </c>
      <c r="G106" s="221">
        <f t="shared" si="43"/>
        <v>0</v>
      </c>
      <c r="H106" s="221">
        <f t="shared" si="43"/>
        <v>0</v>
      </c>
      <c r="I106" s="221">
        <f t="shared" si="43"/>
        <v>0</v>
      </c>
      <c r="J106" s="221">
        <f t="shared" si="43"/>
        <v>0</v>
      </c>
      <c r="K106" s="221">
        <f t="shared" si="43"/>
        <v>0</v>
      </c>
      <c r="L106" s="221">
        <f>SUM(F106:K106)</f>
        <v>0</v>
      </c>
      <c r="M106" s="31"/>
      <c r="N106" s="31"/>
      <c r="O106" s="31"/>
      <c r="P106" s="31"/>
      <c r="Q106" s="31"/>
    </row>
    <row r="107" spans="1:17" ht="16.5" customHeight="1" x14ac:dyDescent="0.35">
      <c r="A107" s="31">
        <f>A106+1</f>
        <v>37</v>
      </c>
      <c r="C107" s="50" t="s">
        <v>179</v>
      </c>
      <c r="D107" s="31" t="s">
        <v>246</v>
      </c>
      <c r="F107" s="221">
        <f t="shared" ref="F107:K107" si="44">F496</f>
        <v>0</v>
      </c>
      <c r="G107" s="221">
        <f t="shared" si="44"/>
        <v>0</v>
      </c>
      <c r="H107" s="221">
        <f t="shared" si="44"/>
        <v>0</v>
      </c>
      <c r="I107" s="221">
        <f t="shared" si="44"/>
        <v>0</v>
      </c>
      <c r="J107" s="221">
        <f t="shared" si="44"/>
        <v>0</v>
      </c>
      <c r="K107" s="221">
        <f t="shared" si="44"/>
        <v>0</v>
      </c>
      <c r="L107" s="221">
        <f>SUM(F107:K107)</f>
        <v>0</v>
      </c>
      <c r="M107" s="31"/>
      <c r="N107" s="31"/>
      <c r="O107" s="31"/>
      <c r="P107" s="31"/>
      <c r="Q107" s="31"/>
    </row>
    <row r="108" spans="1:17" x14ac:dyDescent="0.35">
      <c r="F108" s="38"/>
      <c r="H108" s="38"/>
      <c r="J108" s="38"/>
      <c r="M108" s="31"/>
      <c r="N108" s="31"/>
      <c r="O108" s="31"/>
      <c r="P108" s="31"/>
      <c r="Q108" s="31"/>
    </row>
    <row r="109" spans="1:17" x14ac:dyDescent="0.35">
      <c r="A109" s="31">
        <f>A107+1</f>
        <v>38</v>
      </c>
      <c r="B109" s="31" t="str">
        <f>Input!A31</f>
        <v>IN5</v>
      </c>
      <c r="C109" s="31" t="str">
        <f>Input!B31</f>
        <v>Inland Gas General Service - Residential</v>
      </c>
      <c r="F109" s="38"/>
      <c r="H109" s="38"/>
      <c r="J109" s="38"/>
      <c r="M109" s="31"/>
      <c r="N109" s="31"/>
      <c r="O109" s="31"/>
      <c r="P109" s="31"/>
      <c r="Q109" s="31"/>
    </row>
    <row r="110" spans="1:17" x14ac:dyDescent="0.35">
      <c r="A110" s="31">
        <f>A109+1</f>
        <v>39</v>
      </c>
      <c r="C110" s="50" t="s">
        <v>175</v>
      </c>
      <c r="F110" s="36">
        <f t="shared" ref="F110:K110" si="45">F503</f>
        <v>2</v>
      </c>
      <c r="G110" s="36">
        <f t="shared" si="45"/>
        <v>2</v>
      </c>
      <c r="H110" s="36">
        <f t="shared" si="45"/>
        <v>2</v>
      </c>
      <c r="I110" s="36">
        <f t="shared" si="45"/>
        <v>2</v>
      </c>
      <c r="J110" s="36">
        <f t="shared" si="45"/>
        <v>2</v>
      </c>
      <c r="K110" s="36">
        <f t="shared" si="45"/>
        <v>2</v>
      </c>
      <c r="L110" s="36">
        <f>SUM(F110:K110)</f>
        <v>12</v>
      </c>
      <c r="M110" s="31"/>
      <c r="N110" s="31"/>
      <c r="O110" s="31"/>
      <c r="P110" s="31"/>
      <c r="Q110" s="31"/>
    </row>
    <row r="111" spans="1:17" x14ac:dyDescent="0.35">
      <c r="A111" s="31">
        <f>A110+1</f>
        <v>40</v>
      </c>
      <c r="C111" s="50" t="s">
        <v>176</v>
      </c>
      <c r="D111" s="31" t="s">
        <v>29</v>
      </c>
      <c r="F111" s="37">
        <f t="shared" ref="F111:K111" si="46">F506</f>
        <v>40.6</v>
      </c>
      <c r="G111" s="37">
        <f t="shared" si="46"/>
        <v>14.8</v>
      </c>
      <c r="H111" s="37">
        <f t="shared" si="46"/>
        <v>6</v>
      </c>
      <c r="I111" s="37">
        <f t="shared" si="46"/>
        <v>2.5</v>
      </c>
      <c r="J111" s="37">
        <f t="shared" si="46"/>
        <v>1.6</v>
      </c>
      <c r="K111" s="37">
        <f t="shared" si="46"/>
        <v>1.7</v>
      </c>
      <c r="L111" s="37">
        <f>SUM(F111:K111)</f>
        <v>67.2</v>
      </c>
      <c r="M111" s="31"/>
      <c r="N111" s="31"/>
      <c r="O111" s="31"/>
      <c r="P111" s="31"/>
      <c r="Q111" s="31"/>
    </row>
    <row r="112" spans="1:17" x14ac:dyDescent="0.35">
      <c r="A112" s="31">
        <f>A111+1</f>
        <v>41</v>
      </c>
      <c r="C112" s="50" t="s">
        <v>177</v>
      </c>
      <c r="D112" s="31" t="s">
        <v>28</v>
      </c>
      <c r="F112" s="221">
        <f t="shared" ref="F112:K112" si="47">F508</f>
        <v>24.36</v>
      </c>
      <c r="G112" s="221">
        <f t="shared" si="47"/>
        <v>8.8800000000000008</v>
      </c>
      <c r="H112" s="221">
        <f t="shared" si="47"/>
        <v>3.6</v>
      </c>
      <c r="I112" s="221">
        <f t="shared" si="47"/>
        <v>1.5</v>
      </c>
      <c r="J112" s="221">
        <f t="shared" si="47"/>
        <v>0.96</v>
      </c>
      <c r="K112" s="221">
        <f t="shared" si="47"/>
        <v>1.02</v>
      </c>
      <c r="L112" s="221">
        <f>SUM(F112:K112)</f>
        <v>40.320000000000007</v>
      </c>
      <c r="M112" s="31"/>
      <c r="N112" s="31"/>
      <c r="O112" s="31"/>
      <c r="P112" s="31"/>
      <c r="Q112" s="31"/>
    </row>
    <row r="113" spans="1:18" x14ac:dyDescent="0.35">
      <c r="A113" s="31">
        <f>A112+1</f>
        <v>42</v>
      </c>
      <c r="C113" s="50" t="s">
        <v>178</v>
      </c>
      <c r="D113" s="31" t="s">
        <v>28</v>
      </c>
      <c r="F113" s="221">
        <f t="shared" ref="F113:K113" si="48">F510</f>
        <v>0</v>
      </c>
      <c r="G113" s="221">
        <f t="shared" si="48"/>
        <v>0</v>
      </c>
      <c r="H113" s="221">
        <f t="shared" si="48"/>
        <v>0</v>
      </c>
      <c r="I113" s="221">
        <f t="shared" si="48"/>
        <v>0</v>
      </c>
      <c r="J113" s="221">
        <f t="shared" si="48"/>
        <v>0</v>
      </c>
      <c r="K113" s="221">
        <f t="shared" si="48"/>
        <v>0</v>
      </c>
      <c r="L113" s="221">
        <f>SUM(F113:K113)</f>
        <v>0</v>
      </c>
      <c r="M113" s="31"/>
      <c r="N113" s="31"/>
      <c r="O113" s="31"/>
      <c r="P113" s="31"/>
      <c r="Q113" s="31"/>
    </row>
    <row r="114" spans="1:18" x14ac:dyDescent="0.35">
      <c r="A114" s="31">
        <f>A113+1</f>
        <v>43</v>
      </c>
      <c r="C114" s="50" t="s">
        <v>179</v>
      </c>
      <c r="D114" s="31" t="s">
        <v>246</v>
      </c>
      <c r="F114" s="221">
        <f t="shared" ref="F114:K114" si="49">F512</f>
        <v>24.36</v>
      </c>
      <c r="G114" s="221">
        <f t="shared" si="49"/>
        <v>8.8800000000000008</v>
      </c>
      <c r="H114" s="221">
        <f t="shared" si="49"/>
        <v>3.6</v>
      </c>
      <c r="I114" s="221">
        <f t="shared" si="49"/>
        <v>1.5</v>
      </c>
      <c r="J114" s="221">
        <f t="shared" si="49"/>
        <v>0.96</v>
      </c>
      <c r="K114" s="221">
        <f t="shared" si="49"/>
        <v>1.02</v>
      </c>
      <c r="L114" s="221">
        <f>SUM(F114:K114)</f>
        <v>40.320000000000007</v>
      </c>
      <c r="M114" s="31"/>
      <c r="N114" s="31"/>
      <c r="O114" s="31"/>
      <c r="P114" s="31"/>
      <c r="Q114" s="31"/>
    </row>
    <row r="115" spans="1:18" x14ac:dyDescent="0.35">
      <c r="H115" s="38"/>
      <c r="R115" s="38"/>
    </row>
    <row r="116" spans="1:18" x14ac:dyDescent="0.35">
      <c r="A116" s="31">
        <f>A114+1</f>
        <v>44</v>
      </c>
      <c r="B116" s="31" t="str">
        <f>Input!A32</f>
        <v>LG2</v>
      </c>
      <c r="C116" s="31" t="str">
        <f>Input!B32</f>
        <v xml:space="preserve">LG&amp;E Residential </v>
      </c>
      <c r="F116" s="38"/>
      <c r="H116" s="38"/>
      <c r="J116" s="38"/>
      <c r="R116" s="38"/>
    </row>
    <row r="117" spans="1:18" x14ac:dyDescent="0.35">
      <c r="A117" s="31">
        <f>A116+1</f>
        <v>45</v>
      </c>
      <c r="C117" s="50" t="s">
        <v>175</v>
      </c>
      <c r="F117" s="36">
        <f t="shared" ref="F117:K117" si="50">F540</f>
        <v>1</v>
      </c>
      <c r="G117" s="36">
        <f t="shared" si="50"/>
        <v>1</v>
      </c>
      <c r="H117" s="36">
        <f t="shared" si="50"/>
        <v>1</v>
      </c>
      <c r="I117" s="36">
        <f t="shared" si="50"/>
        <v>1</v>
      </c>
      <c r="J117" s="36">
        <f t="shared" si="50"/>
        <v>1</v>
      </c>
      <c r="K117" s="36">
        <f t="shared" si="50"/>
        <v>1</v>
      </c>
      <c r="L117" s="36">
        <f>SUM(F117:K117)</f>
        <v>6</v>
      </c>
      <c r="R117" s="38"/>
    </row>
    <row r="118" spans="1:18" x14ac:dyDescent="0.35">
      <c r="A118" s="31">
        <f t="shared" ref="A118:A121" si="51">A117+1</f>
        <v>46</v>
      </c>
      <c r="C118" s="50" t="s">
        <v>176</v>
      </c>
      <c r="D118" s="31" t="s">
        <v>29</v>
      </c>
      <c r="F118" s="37">
        <f t="shared" ref="F118:K118" si="52">F543</f>
        <v>106.7</v>
      </c>
      <c r="G118" s="37">
        <f t="shared" si="52"/>
        <v>27.7</v>
      </c>
      <c r="H118" s="37">
        <f t="shared" si="52"/>
        <v>14</v>
      </c>
      <c r="I118" s="37">
        <f t="shared" si="52"/>
        <v>4.4000000000000004</v>
      </c>
      <c r="J118" s="37">
        <f t="shared" si="52"/>
        <v>5.2</v>
      </c>
      <c r="K118" s="37">
        <f t="shared" si="52"/>
        <v>3.3</v>
      </c>
      <c r="L118" s="37">
        <f>SUM(F118:K118)</f>
        <v>161.30000000000001</v>
      </c>
      <c r="R118" s="38"/>
    </row>
    <row r="119" spans="1:18" x14ac:dyDescent="0.35">
      <c r="A119" s="31">
        <f t="shared" si="51"/>
        <v>47</v>
      </c>
      <c r="C119" s="50" t="s">
        <v>177</v>
      </c>
      <c r="D119" s="31" t="s">
        <v>28</v>
      </c>
      <c r="F119" s="221">
        <f t="shared" ref="F119:K119" si="53">F545</f>
        <v>37.35</v>
      </c>
      <c r="G119" s="221">
        <f t="shared" si="53"/>
        <v>9.6999999999999993</v>
      </c>
      <c r="H119" s="221">
        <f t="shared" si="53"/>
        <v>4.9000000000000004</v>
      </c>
      <c r="I119" s="221">
        <f t="shared" si="53"/>
        <v>1.54</v>
      </c>
      <c r="J119" s="221">
        <f t="shared" si="53"/>
        <v>1.82</v>
      </c>
      <c r="K119" s="221">
        <f t="shared" si="53"/>
        <v>1.1599999999999999</v>
      </c>
      <c r="L119" s="221">
        <f>SUM(F119:K119)</f>
        <v>56.469999999999992</v>
      </c>
      <c r="R119" s="38"/>
    </row>
    <row r="120" spans="1:18" x14ac:dyDescent="0.35">
      <c r="A120" s="31">
        <f t="shared" si="51"/>
        <v>48</v>
      </c>
      <c r="C120" s="50" t="s">
        <v>178</v>
      </c>
      <c r="D120" s="31" t="s">
        <v>28</v>
      </c>
      <c r="F120" s="221">
        <f t="shared" ref="F120:K120" si="54">F547</f>
        <v>0</v>
      </c>
      <c r="G120" s="221">
        <f t="shared" si="54"/>
        <v>0</v>
      </c>
      <c r="H120" s="221">
        <f t="shared" si="54"/>
        <v>0</v>
      </c>
      <c r="I120" s="221">
        <f t="shared" si="54"/>
        <v>0</v>
      </c>
      <c r="J120" s="221">
        <f t="shared" si="54"/>
        <v>0</v>
      </c>
      <c r="K120" s="221">
        <f t="shared" si="54"/>
        <v>0</v>
      </c>
      <c r="L120" s="221">
        <f>SUM(F120:K120)</f>
        <v>0</v>
      </c>
      <c r="R120" s="38"/>
    </row>
    <row r="121" spans="1:18" x14ac:dyDescent="0.35">
      <c r="A121" s="31">
        <f t="shared" si="51"/>
        <v>49</v>
      </c>
      <c r="C121" s="50" t="s">
        <v>179</v>
      </c>
      <c r="D121" s="31" t="s">
        <v>246</v>
      </c>
      <c r="F121" s="221">
        <f t="shared" ref="F121:K121" si="55">F549</f>
        <v>37.35</v>
      </c>
      <c r="G121" s="221">
        <f t="shared" si="55"/>
        <v>9.6999999999999993</v>
      </c>
      <c r="H121" s="221">
        <f t="shared" si="55"/>
        <v>4.9000000000000004</v>
      </c>
      <c r="I121" s="221">
        <f t="shared" si="55"/>
        <v>1.54</v>
      </c>
      <c r="J121" s="221">
        <f t="shared" si="55"/>
        <v>1.82</v>
      </c>
      <c r="K121" s="221">
        <f t="shared" si="55"/>
        <v>1.1599999999999999</v>
      </c>
      <c r="L121" s="221">
        <f>SUM(F121:K121)</f>
        <v>56.469999999999992</v>
      </c>
      <c r="R121" s="38"/>
    </row>
    <row r="122" spans="1:18" x14ac:dyDescent="0.35">
      <c r="H122" s="38"/>
      <c r="R122" s="38"/>
    </row>
    <row r="123" spans="1:18" x14ac:dyDescent="0.35">
      <c r="A123" s="31">
        <f>A121+1</f>
        <v>50</v>
      </c>
      <c r="B123" s="31" t="str">
        <f>Input!A33</f>
        <v>LG2</v>
      </c>
      <c r="C123" s="31" t="str">
        <f>Input!B33</f>
        <v>LG&amp;E Commercial</v>
      </c>
      <c r="F123" s="38"/>
      <c r="H123" s="38"/>
      <c r="J123" s="38"/>
      <c r="R123" s="38"/>
    </row>
    <row r="124" spans="1:18" x14ac:dyDescent="0.35">
      <c r="A124" s="31">
        <f>A123+1</f>
        <v>51</v>
      </c>
      <c r="C124" s="50" t="s">
        <v>175</v>
      </c>
      <c r="F124" s="36">
        <f t="shared" ref="F124:K124" si="56">F556</f>
        <v>0</v>
      </c>
      <c r="G124" s="36">
        <f t="shared" si="56"/>
        <v>0</v>
      </c>
      <c r="H124" s="36">
        <f t="shared" si="56"/>
        <v>0</v>
      </c>
      <c r="I124" s="36">
        <f t="shared" si="56"/>
        <v>0</v>
      </c>
      <c r="J124" s="36">
        <f t="shared" si="56"/>
        <v>0</v>
      </c>
      <c r="K124" s="36">
        <f t="shared" si="56"/>
        <v>0</v>
      </c>
      <c r="L124" s="36">
        <f>SUM(F124:K124)</f>
        <v>0</v>
      </c>
      <c r="R124" s="38"/>
    </row>
    <row r="125" spans="1:18" x14ac:dyDescent="0.35">
      <c r="A125" s="31">
        <f t="shared" ref="A125:A128" si="57">A124+1</f>
        <v>52</v>
      </c>
      <c r="C125" s="50" t="s">
        <v>176</v>
      </c>
      <c r="D125" s="31" t="s">
        <v>29</v>
      </c>
      <c r="F125" s="37">
        <f t="shared" ref="F125:K125" si="58">F559</f>
        <v>0</v>
      </c>
      <c r="G125" s="37">
        <f t="shared" si="58"/>
        <v>0</v>
      </c>
      <c r="H125" s="37">
        <f t="shared" si="58"/>
        <v>0</v>
      </c>
      <c r="I125" s="37">
        <f t="shared" si="58"/>
        <v>0</v>
      </c>
      <c r="J125" s="37">
        <f t="shared" si="58"/>
        <v>0</v>
      </c>
      <c r="K125" s="37">
        <f t="shared" si="58"/>
        <v>0</v>
      </c>
      <c r="L125" s="37">
        <f>SUM(F125:K125)</f>
        <v>0</v>
      </c>
      <c r="R125" s="38"/>
    </row>
    <row r="126" spans="1:18" x14ac:dyDescent="0.35">
      <c r="A126" s="31">
        <f t="shared" si="57"/>
        <v>53</v>
      </c>
      <c r="C126" s="50" t="s">
        <v>177</v>
      </c>
      <c r="D126" s="31" t="s">
        <v>28</v>
      </c>
      <c r="F126" s="221">
        <f t="shared" ref="F126:K126" si="59">F561</f>
        <v>0</v>
      </c>
      <c r="G126" s="221">
        <f t="shared" si="59"/>
        <v>0</v>
      </c>
      <c r="H126" s="221">
        <f t="shared" si="59"/>
        <v>0</v>
      </c>
      <c r="I126" s="221">
        <f t="shared" si="59"/>
        <v>0</v>
      </c>
      <c r="J126" s="221">
        <f t="shared" si="59"/>
        <v>0</v>
      </c>
      <c r="K126" s="221">
        <f t="shared" si="59"/>
        <v>0</v>
      </c>
      <c r="L126" s="221">
        <f>SUM(F126:K126)</f>
        <v>0</v>
      </c>
      <c r="R126" s="38"/>
    </row>
    <row r="127" spans="1:18" x14ac:dyDescent="0.35">
      <c r="A127" s="31">
        <f t="shared" si="57"/>
        <v>54</v>
      </c>
      <c r="C127" s="50" t="s">
        <v>178</v>
      </c>
      <c r="D127" s="31" t="s">
        <v>28</v>
      </c>
      <c r="F127" s="221">
        <f t="shared" ref="F127:K127" si="60">F563</f>
        <v>0</v>
      </c>
      <c r="G127" s="221">
        <f t="shared" si="60"/>
        <v>0</v>
      </c>
      <c r="H127" s="221">
        <f t="shared" si="60"/>
        <v>0</v>
      </c>
      <c r="I127" s="221">
        <f t="shared" si="60"/>
        <v>0</v>
      </c>
      <c r="J127" s="221">
        <f t="shared" si="60"/>
        <v>0</v>
      </c>
      <c r="K127" s="221">
        <f t="shared" si="60"/>
        <v>0</v>
      </c>
      <c r="L127" s="221">
        <f>SUM(F127:K127)</f>
        <v>0</v>
      </c>
      <c r="R127" s="38"/>
    </row>
    <row r="128" spans="1:18" x14ac:dyDescent="0.35">
      <c r="A128" s="31">
        <f t="shared" si="57"/>
        <v>55</v>
      </c>
      <c r="C128" s="50" t="s">
        <v>179</v>
      </c>
      <c r="D128" s="31" t="s">
        <v>246</v>
      </c>
      <c r="F128" s="221">
        <f t="shared" ref="F128:K128" si="61">F565</f>
        <v>0</v>
      </c>
      <c r="G128" s="221">
        <f t="shared" si="61"/>
        <v>0</v>
      </c>
      <c r="H128" s="221">
        <f t="shared" si="61"/>
        <v>0</v>
      </c>
      <c r="I128" s="221">
        <f t="shared" si="61"/>
        <v>0</v>
      </c>
      <c r="J128" s="221">
        <f t="shared" si="61"/>
        <v>0</v>
      </c>
      <c r="K128" s="221">
        <f t="shared" si="61"/>
        <v>0</v>
      </c>
      <c r="L128" s="221">
        <f>SUM(F128:K128)</f>
        <v>0</v>
      </c>
      <c r="R128" s="38"/>
    </row>
    <row r="129" spans="1:18" x14ac:dyDescent="0.35">
      <c r="H129" s="38"/>
      <c r="R129" s="38"/>
    </row>
    <row r="130" spans="1:18" x14ac:dyDescent="0.35">
      <c r="C130" s="50"/>
      <c r="F130" s="38"/>
      <c r="H130" s="38"/>
      <c r="J130" s="38"/>
      <c r="R130" s="38"/>
    </row>
    <row r="131" spans="1:18" x14ac:dyDescent="0.35">
      <c r="A131" s="68" t="s">
        <v>403</v>
      </c>
      <c r="C131" s="50"/>
      <c r="F131" s="38"/>
      <c r="H131" s="38"/>
      <c r="J131" s="38"/>
      <c r="R131" s="38"/>
    </row>
    <row r="132" spans="1:18" x14ac:dyDescent="0.35">
      <c r="A132" s="299" t="s">
        <v>335</v>
      </c>
      <c r="C132" s="50"/>
      <c r="F132" s="38"/>
      <c r="H132" s="38"/>
      <c r="J132" s="38"/>
      <c r="R132" s="38"/>
    </row>
    <row r="133" spans="1:18" ht="15.45" x14ac:dyDescent="0.4">
      <c r="A133" s="480" t="str">
        <f>CONAME</f>
        <v>Columbia Gas of Kentucky, Inc.</v>
      </c>
      <c r="B133" s="480"/>
      <c r="C133" s="480"/>
      <c r="D133" s="480"/>
      <c r="E133" s="480"/>
      <c r="F133" s="480"/>
      <c r="G133" s="480"/>
      <c r="H133" s="480"/>
      <c r="I133" s="480"/>
      <c r="J133" s="480"/>
      <c r="K133" s="480"/>
      <c r="L133" s="480"/>
      <c r="M133" s="89"/>
      <c r="N133" s="89"/>
      <c r="O133" s="89"/>
      <c r="P133" s="89"/>
      <c r="Q133" s="89"/>
      <c r="R133" s="89"/>
    </row>
    <row r="134" spans="1:18" ht="15.45" x14ac:dyDescent="0.4">
      <c r="A134" s="480" t="str">
        <f>case</f>
        <v>Case No. 2024-00092</v>
      </c>
      <c r="B134" s="480"/>
      <c r="C134" s="480"/>
      <c r="D134" s="480"/>
      <c r="E134" s="480"/>
      <c r="F134" s="480"/>
      <c r="G134" s="480"/>
      <c r="H134" s="480"/>
      <c r="I134" s="480"/>
      <c r="J134" s="480"/>
      <c r="K134" s="480"/>
      <c r="L134" s="480"/>
      <c r="M134" s="35"/>
      <c r="N134" s="35"/>
      <c r="O134" s="35"/>
      <c r="P134" s="35"/>
      <c r="Q134" s="35"/>
      <c r="R134" s="35"/>
    </row>
    <row r="135" spans="1:18" ht="15.45" x14ac:dyDescent="0.4">
      <c r="A135" s="480" t="s">
        <v>318</v>
      </c>
      <c r="B135" s="480"/>
      <c r="C135" s="480"/>
      <c r="D135" s="480"/>
      <c r="E135" s="480"/>
      <c r="F135" s="480"/>
      <c r="G135" s="480"/>
      <c r="H135" s="480"/>
      <c r="I135" s="480"/>
      <c r="J135" s="480"/>
      <c r="K135" s="480"/>
      <c r="L135" s="480"/>
      <c r="M135" s="110"/>
      <c r="N135" s="110"/>
      <c r="O135" s="110"/>
      <c r="P135" s="110"/>
      <c r="Q135" s="110"/>
      <c r="R135" s="110"/>
    </row>
    <row r="136" spans="1:18" ht="15.45" x14ac:dyDescent="0.4">
      <c r="A136" s="480" t="str">
        <f>TYDESC</f>
        <v>For the 6 Months Ended August 31, 2024</v>
      </c>
      <c r="B136" s="480"/>
      <c r="C136" s="480"/>
      <c r="D136" s="480"/>
      <c r="E136" s="480"/>
      <c r="F136" s="480"/>
      <c r="G136" s="480"/>
      <c r="H136" s="480"/>
      <c r="I136" s="480"/>
      <c r="J136" s="480"/>
      <c r="K136" s="480"/>
      <c r="L136" s="480"/>
      <c r="M136" s="89"/>
      <c r="N136" s="89"/>
      <c r="O136" s="89"/>
      <c r="P136" s="89"/>
      <c r="Q136" s="89"/>
      <c r="R136" s="89"/>
    </row>
    <row r="137" spans="1:18" ht="15.45" x14ac:dyDescent="0.4">
      <c r="A137" s="480" t="s">
        <v>46</v>
      </c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220"/>
      <c r="N137" s="220"/>
      <c r="O137" s="220"/>
      <c r="P137" s="220"/>
      <c r="Q137" s="220"/>
      <c r="R137" s="220"/>
    </row>
    <row r="138" spans="1:18" ht="15.45" x14ac:dyDescent="0.4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</row>
    <row r="139" spans="1:18" ht="15.45" x14ac:dyDescent="0.4">
      <c r="A139" s="35" t="s">
        <v>180</v>
      </c>
    </row>
    <row r="140" spans="1:18" ht="15.45" x14ac:dyDescent="0.4">
      <c r="A140" s="35" t="s">
        <v>181</v>
      </c>
      <c r="L140" s="40" t="str">
        <f>$L$55</f>
        <v>Schedule M-2.2B</v>
      </c>
    </row>
    <row r="141" spans="1:18" ht="15.45" x14ac:dyDescent="0.4">
      <c r="A141" s="35" t="str">
        <f>$A$56</f>
        <v>Work Paper Reference No(s): WPM-B.1, WPM-C.1, WPM-D.1</v>
      </c>
      <c r="L141" s="40" t="s">
        <v>322</v>
      </c>
    </row>
    <row r="142" spans="1:18" ht="15.45" x14ac:dyDescent="0.4">
      <c r="A142" s="320" t="str">
        <f>$A$57</f>
        <v>6 Mos Actual / 6 Mos Forecasted</v>
      </c>
      <c r="B142" s="321"/>
      <c r="C142" s="321"/>
      <c r="D142" s="321"/>
      <c r="E142" s="322"/>
      <c r="F142" s="321"/>
      <c r="G142" s="323"/>
      <c r="H142" s="324"/>
      <c r="I142" s="323"/>
      <c r="J142" s="325"/>
      <c r="K142" s="323"/>
      <c r="L142" s="326" t="str">
        <f>Witness</f>
        <v>Witness: J. C. Wozniak</v>
      </c>
    </row>
    <row r="143" spans="1:18" ht="15.45" x14ac:dyDescent="0.4">
      <c r="A143" s="327"/>
      <c r="B143" s="327"/>
      <c r="C143" s="327"/>
      <c r="D143" s="327"/>
      <c r="E143" s="89"/>
      <c r="F143" s="89"/>
      <c r="G143" s="89"/>
      <c r="H143" s="89"/>
      <c r="I143" s="89"/>
      <c r="J143" s="89"/>
      <c r="K143" s="89"/>
      <c r="L143" s="89"/>
      <c r="M143" s="327"/>
      <c r="N143" s="327"/>
      <c r="O143" s="327"/>
      <c r="P143" s="327"/>
      <c r="Q143" s="327"/>
      <c r="R143" s="327"/>
    </row>
    <row r="144" spans="1:18" x14ac:dyDescent="0.35">
      <c r="C144" s="50"/>
      <c r="H144" s="38"/>
      <c r="R144" s="38"/>
    </row>
    <row r="145" spans="1:18" ht="15.45" x14ac:dyDescent="0.4">
      <c r="A145" s="32"/>
      <c r="B145" s="32"/>
      <c r="C145" s="32"/>
      <c r="D145" s="32"/>
      <c r="E145" s="33" t="s">
        <v>52</v>
      </c>
      <c r="F145" s="41"/>
      <c r="G145" s="42"/>
      <c r="H145" s="41"/>
      <c r="I145" s="30"/>
      <c r="J145" s="41"/>
      <c r="K145" s="41"/>
      <c r="L145" s="41"/>
      <c r="M145" s="41"/>
      <c r="N145" s="41"/>
      <c r="O145" s="41"/>
      <c r="P145" s="32"/>
      <c r="Q145" s="32"/>
      <c r="R145" s="32"/>
    </row>
    <row r="146" spans="1:18" ht="15.45" x14ac:dyDescent="0.4">
      <c r="A146" s="32" t="s">
        <v>11</v>
      </c>
      <c r="B146" s="32" t="s">
        <v>10</v>
      </c>
      <c r="C146" s="32" t="s">
        <v>48</v>
      </c>
      <c r="D146" s="32"/>
      <c r="E146" s="33" t="s">
        <v>53</v>
      </c>
      <c r="F146" s="41"/>
      <c r="G146" s="42"/>
      <c r="H146" s="41"/>
      <c r="I146" s="30"/>
      <c r="J146" s="41"/>
      <c r="K146" s="41"/>
      <c r="L146" s="41"/>
      <c r="M146" s="41"/>
      <c r="N146" s="41"/>
      <c r="O146" s="41"/>
      <c r="P146" s="34"/>
      <c r="Q146" s="34"/>
      <c r="R146" s="34"/>
    </row>
    <row r="147" spans="1:18" ht="15.45" x14ac:dyDescent="0.4">
      <c r="A147" s="43" t="s">
        <v>13</v>
      </c>
      <c r="B147" s="43" t="s">
        <v>47</v>
      </c>
      <c r="C147" s="43" t="s">
        <v>14</v>
      </c>
      <c r="D147" s="43"/>
      <c r="E147" s="44" t="s">
        <v>54</v>
      </c>
      <c r="F147" s="45" t="str">
        <f>B!$D$13</f>
        <v>Mar-24</v>
      </c>
      <c r="G147" s="45" t="str">
        <f>B!$E$13</f>
        <v>Apr-24</v>
      </c>
      <c r="H147" s="45" t="str">
        <f>B!$F$13</f>
        <v>May-24</v>
      </c>
      <c r="I147" s="45" t="str">
        <f>B!$G$13</f>
        <v>Jun-24</v>
      </c>
      <c r="J147" s="45" t="str">
        <f>B!$H$13</f>
        <v>Jul-24</v>
      </c>
      <c r="K147" s="45" t="str">
        <f>B!$I$13</f>
        <v>Aug-24</v>
      </c>
      <c r="L147" s="45" t="s">
        <v>15</v>
      </c>
      <c r="M147" s="31"/>
      <c r="N147" s="31"/>
      <c r="O147" s="31"/>
      <c r="P147" s="31"/>
      <c r="Q147" s="31"/>
    </row>
    <row r="148" spans="1:18" ht="15.45" x14ac:dyDescent="0.4">
      <c r="A148" s="32"/>
      <c r="B148" s="34" t="s">
        <v>49</v>
      </c>
      <c r="C148" s="34" t="s">
        <v>50</v>
      </c>
      <c r="D148" s="34"/>
      <c r="E148" s="47" t="s">
        <v>51</v>
      </c>
      <c r="F148" s="48" t="s">
        <v>470</v>
      </c>
      <c r="G148" s="48" t="s">
        <v>471</v>
      </c>
      <c r="H148" s="48" t="s">
        <v>472</v>
      </c>
      <c r="I148" s="48" t="s">
        <v>473</v>
      </c>
      <c r="J148" s="48" t="s">
        <v>55</v>
      </c>
      <c r="K148" s="48" t="s">
        <v>56</v>
      </c>
      <c r="L148" s="48" t="s">
        <v>57</v>
      </c>
      <c r="M148" s="31"/>
      <c r="N148" s="31"/>
      <c r="O148" s="31"/>
      <c r="P148" s="31"/>
      <c r="Q148" s="31"/>
    </row>
    <row r="149" spans="1:18" x14ac:dyDescent="0.35">
      <c r="C149" s="50"/>
      <c r="F149" s="38"/>
      <c r="H149" s="38"/>
      <c r="J149" s="38"/>
      <c r="M149" s="31"/>
      <c r="N149" s="31"/>
      <c r="O149" s="31"/>
      <c r="P149" s="31"/>
      <c r="Q149" s="31"/>
    </row>
    <row r="150" spans="1:18" ht="15.45" x14ac:dyDescent="0.4">
      <c r="A150" s="31">
        <v>1</v>
      </c>
      <c r="C150" s="49" t="s">
        <v>89</v>
      </c>
      <c r="F150" s="38"/>
      <c r="H150" s="38"/>
      <c r="J150" s="38"/>
      <c r="M150" s="31"/>
      <c r="N150" s="31"/>
      <c r="O150" s="31"/>
      <c r="P150" s="31"/>
      <c r="Q150" s="31"/>
    </row>
    <row r="151" spans="1:18" x14ac:dyDescent="0.35">
      <c r="C151" s="50"/>
      <c r="F151" s="38"/>
      <c r="H151" s="38"/>
      <c r="J151" s="38"/>
      <c r="M151" s="31"/>
      <c r="N151" s="31"/>
      <c r="O151" s="31"/>
      <c r="P151" s="31"/>
      <c r="Q151" s="31"/>
    </row>
    <row r="152" spans="1:18" x14ac:dyDescent="0.35">
      <c r="A152" s="31">
        <f>A150+1</f>
        <v>2</v>
      </c>
      <c r="B152" s="31" t="str">
        <f>Input!A34</f>
        <v>LG3</v>
      </c>
      <c r="C152" s="31" t="str">
        <f>Input!B34</f>
        <v>LG&amp;E Residential</v>
      </c>
      <c r="F152" s="38"/>
      <c r="H152" s="38"/>
      <c r="J152" s="38"/>
      <c r="M152" s="31"/>
      <c r="N152" s="31"/>
      <c r="O152" s="31"/>
      <c r="P152" s="31"/>
      <c r="Q152" s="31"/>
    </row>
    <row r="153" spans="1:18" x14ac:dyDescent="0.35">
      <c r="A153" s="31">
        <f>A152+1</f>
        <v>3</v>
      </c>
      <c r="C153" s="50" t="s">
        <v>175</v>
      </c>
      <c r="F153" s="36">
        <f t="shared" ref="F153:K153" si="62">F572</f>
        <v>1</v>
      </c>
      <c r="G153" s="36">
        <f t="shared" si="62"/>
        <v>1</v>
      </c>
      <c r="H153" s="36">
        <f t="shared" si="62"/>
        <v>1</v>
      </c>
      <c r="I153" s="36">
        <f t="shared" si="62"/>
        <v>1</v>
      </c>
      <c r="J153" s="36">
        <f t="shared" si="62"/>
        <v>1</v>
      </c>
      <c r="K153" s="36">
        <f t="shared" si="62"/>
        <v>1</v>
      </c>
      <c r="L153" s="36">
        <f>SUM(F153:K153)</f>
        <v>6</v>
      </c>
      <c r="M153" s="31"/>
      <c r="N153" s="31"/>
      <c r="O153" s="31"/>
      <c r="P153" s="31"/>
      <c r="Q153" s="31"/>
    </row>
    <row r="154" spans="1:18" x14ac:dyDescent="0.35">
      <c r="A154" s="31">
        <f>A153+1</f>
        <v>4</v>
      </c>
      <c r="C154" s="50" t="s">
        <v>176</v>
      </c>
      <c r="D154" s="31" t="s">
        <v>29</v>
      </c>
      <c r="F154" s="37">
        <f t="shared" ref="F154:K154" si="63">F578</f>
        <v>35.9</v>
      </c>
      <c r="G154" s="37">
        <f t="shared" si="63"/>
        <v>25</v>
      </c>
      <c r="H154" s="37">
        <f t="shared" si="63"/>
        <v>15.6</v>
      </c>
      <c r="I154" s="37">
        <f t="shared" si="63"/>
        <v>18.2</v>
      </c>
      <c r="J154" s="37">
        <f t="shared" si="63"/>
        <v>8</v>
      </c>
      <c r="K154" s="37">
        <f t="shared" si="63"/>
        <v>9.5</v>
      </c>
      <c r="L154" s="37">
        <f>SUM(F154:K154)</f>
        <v>112.2</v>
      </c>
      <c r="M154" s="31"/>
      <c r="N154" s="31"/>
      <c r="O154" s="31"/>
      <c r="P154" s="31"/>
      <c r="Q154" s="31"/>
    </row>
    <row r="155" spans="1:18" x14ac:dyDescent="0.35">
      <c r="A155" s="31">
        <f>A154+1</f>
        <v>5</v>
      </c>
      <c r="C155" s="50" t="s">
        <v>177</v>
      </c>
      <c r="D155" s="31" t="s">
        <v>28</v>
      </c>
      <c r="F155" s="221">
        <f t="shared" ref="F155:K155" si="64">F583</f>
        <v>13.069999999999999</v>
      </c>
      <c r="G155" s="221">
        <f t="shared" si="64"/>
        <v>9.25</v>
      </c>
      <c r="H155" s="221">
        <f t="shared" si="64"/>
        <v>5.96</v>
      </c>
      <c r="I155" s="221">
        <f t="shared" si="64"/>
        <v>6.87</v>
      </c>
      <c r="J155" s="221">
        <f t="shared" si="64"/>
        <v>3.3</v>
      </c>
      <c r="K155" s="221">
        <f t="shared" si="64"/>
        <v>3.83</v>
      </c>
      <c r="L155" s="221">
        <f>SUM(F155:K155)</f>
        <v>42.279999999999994</v>
      </c>
      <c r="M155" s="31"/>
      <c r="N155" s="31"/>
      <c r="O155" s="31"/>
      <c r="P155" s="31"/>
      <c r="Q155" s="31"/>
    </row>
    <row r="156" spans="1:18" x14ac:dyDescent="0.35">
      <c r="A156" s="31">
        <f>A155+1</f>
        <v>6</v>
      </c>
      <c r="C156" s="50" t="s">
        <v>178</v>
      </c>
      <c r="D156" s="31" t="s">
        <v>28</v>
      </c>
      <c r="F156" s="221">
        <f t="shared" ref="F156:K156" si="65">F585</f>
        <v>0</v>
      </c>
      <c r="G156" s="221">
        <f t="shared" si="65"/>
        <v>0</v>
      </c>
      <c r="H156" s="221">
        <f t="shared" si="65"/>
        <v>0</v>
      </c>
      <c r="I156" s="221">
        <f t="shared" si="65"/>
        <v>0</v>
      </c>
      <c r="J156" s="221">
        <f t="shared" si="65"/>
        <v>0</v>
      </c>
      <c r="K156" s="221">
        <f t="shared" si="65"/>
        <v>0</v>
      </c>
      <c r="L156" s="221">
        <f>SUM(F156:K156)</f>
        <v>0</v>
      </c>
      <c r="M156" s="31"/>
      <c r="N156" s="31"/>
      <c r="O156" s="31"/>
      <c r="P156" s="31"/>
      <c r="Q156" s="31"/>
    </row>
    <row r="157" spans="1:18" x14ac:dyDescent="0.35">
      <c r="A157" s="31">
        <f>A156+1</f>
        <v>7</v>
      </c>
      <c r="C157" s="50" t="s">
        <v>179</v>
      </c>
      <c r="D157" s="31" t="s">
        <v>246</v>
      </c>
      <c r="F157" s="221">
        <f t="shared" ref="F157:K157" si="66">F587</f>
        <v>13.069999999999999</v>
      </c>
      <c r="G157" s="221">
        <f t="shared" si="66"/>
        <v>9.25</v>
      </c>
      <c r="H157" s="221">
        <f t="shared" si="66"/>
        <v>5.96</v>
      </c>
      <c r="I157" s="221">
        <f t="shared" si="66"/>
        <v>6.87</v>
      </c>
      <c r="J157" s="221">
        <f t="shared" si="66"/>
        <v>3.3</v>
      </c>
      <c r="K157" s="221">
        <f t="shared" si="66"/>
        <v>3.83</v>
      </c>
      <c r="L157" s="221">
        <f>SUM(F157:K157)</f>
        <v>42.279999999999994</v>
      </c>
      <c r="M157" s="31"/>
      <c r="N157" s="31"/>
      <c r="O157" s="31"/>
      <c r="P157" s="31"/>
      <c r="Q157" s="31"/>
    </row>
    <row r="158" spans="1:18" x14ac:dyDescent="0.35">
      <c r="F158" s="38"/>
      <c r="H158" s="38"/>
      <c r="J158" s="38"/>
      <c r="M158" s="31"/>
      <c r="N158" s="31"/>
      <c r="O158" s="31"/>
      <c r="P158" s="31"/>
      <c r="Q158" s="31"/>
    </row>
    <row r="159" spans="1:18" x14ac:dyDescent="0.35">
      <c r="A159" s="31">
        <f>A157+1</f>
        <v>8</v>
      </c>
      <c r="B159" s="31" t="str">
        <f>Input!A35</f>
        <v>LG4</v>
      </c>
      <c r="C159" s="31" t="str">
        <f>Input!B35</f>
        <v>LG&amp;E Residential</v>
      </c>
      <c r="F159" s="38"/>
      <c r="H159" s="38"/>
      <c r="J159" s="38"/>
      <c r="M159" s="31"/>
      <c r="N159" s="31"/>
      <c r="O159" s="31"/>
      <c r="P159" s="31"/>
      <c r="Q159" s="31"/>
    </row>
    <row r="160" spans="1:18" x14ac:dyDescent="0.35">
      <c r="A160" s="31">
        <f>A159+1</f>
        <v>9</v>
      </c>
      <c r="C160" s="50" t="s">
        <v>175</v>
      </c>
      <c r="F160" s="36">
        <f t="shared" ref="F160:K160" si="67">F594</f>
        <v>0</v>
      </c>
      <c r="G160" s="36">
        <f t="shared" si="67"/>
        <v>0</v>
      </c>
      <c r="H160" s="36">
        <f t="shared" si="67"/>
        <v>0</v>
      </c>
      <c r="I160" s="36">
        <f t="shared" si="67"/>
        <v>0</v>
      </c>
      <c r="J160" s="36">
        <f t="shared" si="67"/>
        <v>0</v>
      </c>
      <c r="K160" s="36">
        <f t="shared" si="67"/>
        <v>0</v>
      </c>
      <c r="L160" s="36">
        <f>SUM(F160:K160)</f>
        <v>0</v>
      </c>
      <c r="M160" s="31"/>
      <c r="N160" s="31"/>
      <c r="O160" s="31"/>
      <c r="P160" s="31"/>
      <c r="Q160" s="31"/>
    </row>
    <row r="161" spans="1:17" x14ac:dyDescent="0.35">
      <c r="A161" s="31">
        <f>A160+1</f>
        <v>10</v>
      </c>
      <c r="C161" s="50" t="s">
        <v>176</v>
      </c>
      <c r="D161" s="31" t="s">
        <v>29</v>
      </c>
      <c r="F161" s="37">
        <f t="shared" ref="F161:K161" si="68">F597</f>
        <v>0</v>
      </c>
      <c r="G161" s="37">
        <f t="shared" si="68"/>
        <v>0</v>
      </c>
      <c r="H161" s="37">
        <f t="shared" si="68"/>
        <v>0</v>
      </c>
      <c r="I161" s="37">
        <f t="shared" si="68"/>
        <v>0</v>
      </c>
      <c r="J161" s="37">
        <f t="shared" si="68"/>
        <v>0</v>
      </c>
      <c r="K161" s="37">
        <f t="shared" si="68"/>
        <v>0</v>
      </c>
      <c r="L161" s="37">
        <f>SUM(F161:K161)</f>
        <v>0</v>
      </c>
      <c r="M161" s="31"/>
      <c r="N161" s="31"/>
      <c r="O161" s="31"/>
      <c r="P161" s="31"/>
      <c r="Q161" s="31"/>
    </row>
    <row r="162" spans="1:17" x14ac:dyDescent="0.35">
      <c r="A162" s="31">
        <f>A161+1</f>
        <v>11</v>
      </c>
      <c r="C162" s="50" t="s">
        <v>177</v>
      </c>
      <c r="D162" s="31" t="s">
        <v>28</v>
      </c>
      <c r="F162" s="221">
        <f t="shared" ref="F162:K162" si="69">F599</f>
        <v>0</v>
      </c>
      <c r="G162" s="221">
        <f t="shared" si="69"/>
        <v>0</v>
      </c>
      <c r="H162" s="221">
        <f t="shared" si="69"/>
        <v>0</v>
      </c>
      <c r="I162" s="221">
        <f t="shared" si="69"/>
        <v>0</v>
      </c>
      <c r="J162" s="221">
        <f t="shared" si="69"/>
        <v>0</v>
      </c>
      <c r="K162" s="221">
        <f t="shared" si="69"/>
        <v>0</v>
      </c>
      <c r="L162" s="221">
        <f>SUM(F162:K162)</f>
        <v>0</v>
      </c>
      <c r="M162" s="31"/>
      <c r="N162" s="31"/>
      <c r="O162" s="31"/>
      <c r="P162" s="31"/>
      <c r="Q162" s="31"/>
    </row>
    <row r="163" spans="1:17" x14ac:dyDescent="0.35">
      <c r="A163" s="31">
        <f>A162+1</f>
        <v>12</v>
      </c>
      <c r="C163" s="50" t="s">
        <v>178</v>
      </c>
      <c r="D163" s="31" t="s">
        <v>28</v>
      </c>
      <c r="F163" s="221">
        <f t="shared" ref="F163:K163" si="70">F601</f>
        <v>0</v>
      </c>
      <c r="G163" s="221">
        <f t="shared" si="70"/>
        <v>0</v>
      </c>
      <c r="H163" s="221">
        <f t="shared" si="70"/>
        <v>0</v>
      </c>
      <c r="I163" s="221">
        <f t="shared" si="70"/>
        <v>0</v>
      </c>
      <c r="J163" s="221">
        <f t="shared" si="70"/>
        <v>0</v>
      </c>
      <c r="K163" s="221">
        <f t="shared" si="70"/>
        <v>0</v>
      </c>
      <c r="L163" s="221">
        <f>SUM(F163:K163)</f>
        <v>0</v>
      </c>
      <c r="M163" s="31"/>
      <c r="N163" s="31"/>
      <c r="O163" s="31"/>
      <c r="P163" s="31"/>
      <c r="Q163" s="31"/>
    </row>
    <row r="164" spans="1:17" x14ac:dyDescent="0.35">
      <c r="A164" s="31">
        <f>A163+1</f>
        <v>13</v>
      </c>
      <c r="C164" s="50" t="s">
        <v>179</v>
      </c>
      <c r="D164" s="31" t="s">
        <v>246</v>
      </c>
      <c r="F164" s="221">
        <f t="shared" ref="F164:K164" si="71">F603</f>
        <v>0</v>
      </c>
      <c r="G164" s="221">
        <f t="shared" si="71"/>
        <v>0</v>
      </c>
      <c r="H164" s="221">
        <f t="shared" si="71"/>
        <v>0</v>
      </c>
      <c r="I164" s="221">
        <f t="shared" si="71"/>
        <v>0</v>
      </c>
      <c r="J164" s="221">
        <f t="shared" si="71"/>
        <v>0</v>
      </c>
      <c r="K164" s="221">
        <f t="shared" si="71"/>
        <v>0</v>
      </c>
      <c r="L164" s="221">
        <f>SUM(F164:K164)</f>
        <v>0</v>
      </c>
      <c r="M164" s="31"/>
      <c r="N164" s="31"/>
      <c r="O164" s="31"/>
      <c r="P164" s="31"/>
      <c r="Q164" s="31"/>
    </row>
    <row r="165" spans="1:17" x14ac:dyDescent="0.35">
      <c r="C165" s="50"/>
      <c r="F165" s="38"/>
      <c r="H165" s="38"/>
      <c r="J165" s="38"/>
      <c r="M165" s="31"/>
      <c r="N165" s="31"/>
      <c r="O165" s="31"/>
      <c r="P165" s="31"/>
      <c r="Q165" s="31"/>
    </row>
    <row r="166" spans="1:17" x14ac:dyDescent="0.35">
      <c r="A166" s="31">
        <f>A164+1</f>
        <v>14</v>
      </c>
      <c r="B166" s="31" t="str">
        <f>Input!A36</f>
        <v>GSO</v>
      </c>
      <c r="C166" s="31" t="str">
        <f>Input!B36</f>
        <v>General Service - Commercial</v>
      </c>
      <c r="F166" s="38"/>
      <c r="H166" s="38"/>
      <c r="J166" s="38"/>
      <c r="M166" s="31"/>
      <c r="N166" s="31"/>
      <c r="O166" s="31"/>
      <c r="P166" s="31"/>
      <c r="Q166" s="31"/>
    </row>
    <row r="167" spans="1:17" x14ac:dyDescent="0.35">
      <c r="A167" s="31">
        <f>A166+1</f>
        <v>15</v>
      </c>
      <c r="C167" s="50" t="s">
        <v>175</v>
      </c>
      <c r="F167" s="36">
        <f t="shared" ref="F167:K167" si="72">F631</f>
        <v>12245</v>
      </c>
      <c r="G167" s="36">
        <f t="shared" si="72"/>
        <v>12228</v>
      </c>
      <c r="H167" s="36">
        <f t="shared" si="72"/>
        <v>12143</v>
      </c>
      <c r="I167" s="36">
        <f t="shared" si="72"/>
        <v>12069</v>
      </c>
      <c r="J167" s="36">
        <f t="shared" si="72"/>
        <v>11973</v>
      </c>
      <c r="K167" s="36">
        <f t="shared" si="72"/>
        <v>11924</v>
      </c>
      <c r="L167" s="36">
        <f>SUM(F167:K167)</f>
        <v>72582</v>
      </c>
      <c r="M167" s="31"/>
      <c r="N167" s="31"/>
      <c r="O167" s="31"/>
      <c r="P167" s="31"/>
      <c r="Q167" s="31"/>
    </row>
    <row r="168" spans="1:17" x14ac:dyDescent="0.35">
      <c r="A168" s="31">
        <f>A167+1</f>
        <v>16</v>
      </c>
      <c r="C168" s="50" t="s">
        <v>176</v>
      </c>
      <c r="D168" s="31" t="s">
        <v>29</v>
      </c>
      <c r="F168" s="37">
        <f t="shared" ref="F168:K168" si="73">F639</f>
        <v>559510.5</v>
      </c>
      <c r="G168" s="37">
        <f t="shared" si="73"/>
        <v>399793</v>
      </c>
      <c r="H168" s="37">
        <f t="shared" si="73"/>
        <v>217013.69999999998</v>
      </c>
      <c r="I168" s="37">
        <f t="shared" si="73"/>
        <v>152354.59999999998</v>
      </c>
      <c r="J168" s="37">
        <f t="shared" si="73"/>
        <v>129485.5</v>
      </c>
      <c r="K168" s="37">
        <f t="shared" si="73"/>
        <v>120159.30000000002</v>
      </c>
      <c r="L168" s="37">
        <f>SUM(F168:K168)</f>
        <v>1578316.5999999999</v>
      </c>
      <c r="M168" s="31"/>
      <c r="N168" s="31"/>
      <c r="O168" s="31"/>
      <c r="P168" s="31"/>
      <c r="Q168" s="31"/>
    </row>
    <row r="169" spans="1:17" x14ac:dyDescent="0.35">
      <c r="A169" s="31">
        <f>A168+1</f>
        <v>17</v>
      </c>
      <c r="C169" s="50" t="s">
        <v>177</v>
      </c>
      <c r="D169" s="31" t="s">
        <v>28</v>
      </c>
      <c r="F169" s="221">
        <f t="shared" ref="F169:K169" si="74">F647+F655</f>
        <v>2613570.91</v>
      </c>
      <c r="G169" s="221">
        <f t="shared" si="74"/>
        <v>2173020.14</v>
      </c>
      <c r="H169" s="221">
        <f t="shared" si="74"/>
        <v>1647359.5599999998</v>
      </c>
      <c r="I169" s="221">
        <f t="shared" si="74"/>
        <v>1447361.8</v>
      </c>
      <c r="J169" s="221">
        <f t="shared" si="74"/>
        <v>1376820.14</v>
      </c>
      <c r="K169" s="221">
        <f t="shared" si="74"/>
        <v>1346940.3699999999</v>
      </c>
      <c r="L169" s="221">
        <f>SUM(F169:K169)</f>
        <v>10605072.92</v>
      </c>
      <c r="M169" s="31"/>
      <c r="N169" s="31"/>
      <c r="O169" s="31"/>
      <c r="P169" s="31"/>
      <c r="Q169" s="31"/>
    </row>
    <row r="170" spans="1:17" x14ac:dyDescent="0.35">
      <c r="A170" s="31">
        <f>A169+1</f>
        <v>18</v>
      </c>
      <c r="C170" s="50" t="s">
        <v>178</v>
      </c>
      <c r="D170" s="31" t="s">
        <v>28</v>
      </c>
      <c r="F170" s="221">
        <f t="shared" ref="F170:K170" si="75">F649</f>
        <v>1646807.25</v>
      </c>
      <c r="G170" s="221">
        <f t="shared" si="75"/>
        <v>1176710.74</v>
      </c>
      <c r="H170" s="221">
        <f t="shared" si="75"/>
        <v>638736.42000000004</v>
      </c>
      <c r="I170" s="221">
        <f t="shared" si="75"/>
        <v>448425.29</v>
      </c>
      <c r="J170" s="221">
        <f t="shared" si="75"/>
        <v>381114.67</v>
      </c>
      <c r="K170" s="221">
        <f t="shared" si="75"/>
        <v>353664.87</v>
      </c>
      <c r="L170" s="221">
        <f>SUM(F170:K170)</f>
        <v>4645459.24</v>
      </c>
      <c r="M170" s="31"/>
      <c r="N170" s="31"/>
      <c r="O170" s="31"/>
      <c r="P170" s="31"/>
      <c r="Q170" s="31"/>
    </row>
    <row r="171" spans="1:17" x14ac:dyDescent="0.35">
      <c r="A171" s="31">
        <f>A170+1</f>
        <v>19</v>
      </c>
      <c r="C171" s="50" t="s">
        <v>179</v>
      </c>
      <c r="D171" s="31" t="s">
        <v>246</v>
      </c>
      <c r="F171" s="221">
        <f t="shared" ref="F171:K171" si="76">F657</f>
        <v>4260378.16</v>
      </c>
      <c r="G171" s="221">
        <f t="shared" si="76"/>
        <v>3349730.88</v>
      </c>
      <c r="H171" s="221">
        <f t="shared" si="76"/>
        <v>2286095.98</v>
      </c>
      <c r="I171" s="221">
        <f t="shared" si="76"/>
        <v>1895787.09</v>
      </c>
      <c r="J171" s="221">
        <f t="shared" si="76"/>
        <v>1757934.8099999998</v>
      </c>
      <c r="K171" s="221">
        <f t="shared" si="76"/>
        <v>1700605.24</v>
      </c>
      <c r="L171" s="221">
        <f>SUM(F171:K171)</f>
        <v>15250532.16</v>
      </c>
      <c r="M171" s="31"/>
      <c r="N171" s="31"/>
      <c r="O171" s="31"/>
      <c r="P171" s="31"/>
      <c r="Q171" s="31"/>
    </row>
    <row r="172" spans="1:17" x14ac:dyDescent="0.35">
      <c r="F172" s="38"/>
      <c r="H172" s="38"/>
      <c r="J172" s="38"/>
      <c r="M172" s="31"/>
      <c r="N172" s="31"/>
      <c r="O172" s="31"/>
      <c r="P172" s="31"/>
      <c r="Q172" s="31"/>
    </row>
    <row r="173" spans="1:17" x14ac:dyDescent="0.35">
      <c r="A173" s="31">
        <f>A171+1</f>
        <v>20</v>
      </c>
      <c r="B173" s="31" t="str">
        <f>Input!A37</f>
        <v>GSO</v>
      </c>
      <c r="C173" s="31" t="str">
        <f>Input!B37</f>
        <v>General Service - Industrial</v>
      </c>
      <c r="F173" s="38"/>
      <c r="H173" s="38"/>
      <c r="J173" s="38"/>
      <c r="M173" s="31"/>
      <c r="N173" s="31"/>
      <c r="O173" s="31"/>
      <c r="P173" s="31"/>
      <c r="Q173" s="31"/>
    </row>
    <row r="174" spans="1:17" x14ac:dyDescent="0.35">
      <c r="A174" s="31">
        <f>A173+1</f>
        <v>21</v>
      </c>
      <c r="C174" s="50" t="s">
        <v>175</v>
      </c>
      <c r="F174" s="36">
        <f t="shared" ref="F174:K174" si="77">F664</f>
        <v>51</v>
      </c>
      <c r="G174" s="36">
        <f t="shared" si="77"/>
        <v>52</v>
      </c>
      <c r="H174" s="36">
        <f t="shared" si="77"/>
        <v>50</v>
      </c>
      <c r="I174" s="36">
        <f t="shared" si="77"/>
        <v>51</v>
      </c>
      <c r="J174" s="36">
        <f t="shared" si="77"/>
        <v>52</v>
      </c>
      <c r="K174" s="36">
        <f t="shared" si="77"/>
        <v>52</v>
      </c>
      <c r="L174" s="36">
        <f>SUM(F174:K174)</f>
        <v>308</v>
      </c>
      <c r="M174" s="31"/>
      <c r="N174" s="31"/>
      <c r="O174" s="31"/>
      <c r="P174" s="31"/>
      <c r="Q174" s="31"/>
    </row>
    <row r="175" spans="1:17" x14ac:dyDescent="0.35">
      <c r="A175" s="31">
        <f>A174+1</f>
        <v>22</v>
      </c>
      <c r="C175" s="50" t="s">
        <v>176</v>
      </c>
      <c r="D175" s="31" t="s">
        <v>29</v>
      </c>
      <c r="F175" s="37">
        <f t="shared" ref="F175:K175" si="78">F672</f>
        <v>25632.400000000001</v>
      </c>
      <c r="G175" s="37">
        <f t="shared" si="78"/>
        <v>19330.900000000001</v>
      </c>
      <c r="H175" s="37">
        <f t="shared" si="78"/>
        <v>14546.3</v>
      </c>
      <c r="I175" s="37">
        <f t="shared" si="78"/>
        <v>11850.1</v>
      </c>
      <c r="J175" s="37">
        <f t="shared" si="78"/>
        <v>8386.5</v>
      </c>
      <c r="K175" s="37">
        <f t="shared" si="78"/>
        <v>8015.3</v>
      </c>
      <c r="L175" s="37">
        <f>SUM(F175:K175)</f>
        <v>87761.500000000015</v>
      </c>
      <c r="M175" s="31"/>
      <c r="N175" s="31"/>
      <c r="O175" s="31"/>
      <c r="P175" s="31"/>
      <c r="Q175" s="31"/>
    </row>
    <row r="176" spans="1:17" x14ac:dyDescent="0.35">
      <c r="A176" s="31">
        <f>A175+1</f>
        <v>23</v>
      </c>
      <c r="C176" s="50" t="s">
        <v>177</v>
      </c>
      <c r="D176" s="31" t="s">
        <v>28</v>
      </c>
      <c r="F176" s="221">
        <f t="shared" ref="F176:K176" si="79">F680+F688</f>
        <v>66766.720000000001</v>
      </c>
      <c r="G176" s="221">
        <f t="shared" si="79"/>
        <v>52159.49</v>
      </c>
      <c r="H176" s="221">
        <f t="shared" si="79"/>
        <v>40323.89</v>
      </c>
      <c r="I176" s="221">
        <f t="shared" si="79"/>
        <v>33552.369999999995</v>
      </c>
      <c r="J176" s="221">
        <f t="shared" si="79"/>
        <v>25026.469999999998</v>
      </c>
      <c r="K176" s="221">
        <f t="shared" si="79"/>
        <v>24221.920000000002</v>
      </c>
      <c r="L176" s="221">
        <f>SUM(F176:K176)</f>
        <v>242050.86</v>
      </c>
      <c r="M176" s="31"/>
      <c r="N176" s="31"/>
      <c r="O176" s="31"/>
      <c r="P176" s="31"/>
      <c r="Q176" s="31"/>
    </row>
    <row r="177" spans="1:17" x14ac:dyDescent="0.35">
      <c r="A177" s="31">
        <f>A176+1</f>
        <v>24</v>
      </c>
      <c r="C177" s="50" t="s">
        <v>178</v>
      </c>
      <c r="D177" s="31" t="s">
        <v>28</v>
      </c>
      <c r="F177" s="221">
        <f t="shared" ref="F177:K177" si="80">F682</f>
        <v>75443.839999999997</v>
      </c>
      <c r="G177" s="221">
        <f t="shared" si="80"/>
        <v>56896.639999999999</v>
      </c>
      <c r="H177" s="221">
        <f t="shared" si="80"/>
        <v>42814.12</v>
      </c>
      <c r="I177" s="221">
        <f t="shared" si="80"/>
        <v>34878.400000000001</v>
      </c>
      <c r="J177" s="221">
        <f t="shared" si="80"/>
        <v>24683.99</v>
      </c>
      <c r="K177" s="221">
        <f t="shared" si="80"/>
        <v>23591.43</v>
      </c>
      <c r="L177" s="221">
        <f>SUM(F177:K177)</f>
        <v>258308.41999999995</v>
      </c>
      <c r="M177" s="31"/>
      <c r="N177" s="31"/>
      <c r="O177" s="31"/>
      <c r="P177" s="31"/>
      <c r="Q177" s="31"/>
    </row>
    <row r="178" spans="1:17" x14ac:dyDescent="0.35">
      <c r="A178" s="31">
        <f>A177+1</f>
        <v>25</v>
      </c>
      <c r="C178" s="50" t="s">
        <v>179</v>
      </c>
      <c r="D178" s="31" t="s">
        <v>246</v>
      </c>
      <c r="F178" s="221">
        <f t="shared" ref="F178:K178" si="81">F690</f>
        <v>142210.56</v>
      </c>
      <c r="G178" s="221">
        <f t="shared" si="81"/>
        <v>109056.12999999999</v>
      </c>
      <c r="H178" s="221">
        <f t="shared" si="81"/>
        <v>83138.009999999995</v>
      </c>
      <c r="I178" s="221">
        <f t="shared" si="81"/>
        <v>68430.76999999999</v>
      </c>
      <c r="J178" s="221">
        <f t="shared" si="81"/>
        <v>49710.46</v>
      </c>
      <c r="K178" s="221">
        <f t="shared" si="81"/>
        <v>47813.35</v>
      </c>
      <c r="L178" s="221">
        <f>SUM(F178:K178)</f>
        <v>500359.27999999997</v>
      </c>
      <c r="M178" s="31"/>
      <c r="N178" s="31"/>
      <c r="O178" s="31"/>
      <c r="P178" s="31"/>
      <c r="Q178" s="31"/>
    </row>
    <row r="179" spans="1:17" x14ac:dyDescent="0.35">
      <c r="C179" s="50"/>
      <c r="F179" s="38"/>
      <c r="H179" s="38"/>
      <c r="J179" s="38"/>
      <c r="M179" s="31"/>
      <c r="N179" s="31"/>
      <c r="O179" s="31"/>
      <c r="P179" s="31"/>
      <c r="Q179" s="31"/>
    </row>
    <row r="180" spans="1:17" x14ac:dyDescent="0.35">
      <c r="A180" s="31">
        <f>A178+1</f>
        <v>26</v>
      </c>
      <c r="B180" s="31" t="str">
        <f>Input!A42</f>
        <v xml:space="preserve">IS </v>
      </c>
      <c r="C180" s="31" t="str">
        <f>Input!B42</f>
        <v>Interruptible Service - Industrial</v>
      </c>
      <c r="F180" s="38"/>
      <c r="H180" s="38"/>
      <c r="J180" s="38"/>
      <c r="M180" s="31"/>
      <c r="N180" s="31"/>
      <c r="O180" s="31"/>
      <c r="P180" s="31"/>
      <c r="Q180" s="31"/>
    </row>
    <row r="181" spans="1:17" x14ac:dyDescent="0.35">
      <c r="A181" s="31">
        <f>A180+1</f>
        <v>27</v>
      </c>
      <c r="C181" s="50" t="s">
        <v>175</v>
      </c>
      <c r="F181" s="36">
        <f t="shared" ref="F181:K181" si="82">F718</f>
        <v>0</v>
      </c>
      <c r="G181" s="36">
        <f t="shared" si="82"/>
        <v>0</v>
      </c>
      <c r="H181" s="36">
        <f t="shared" si="82"/>
        <v>0</v>
      </c>
      <c r="I181" s="36">
        <f t="shared" si="82"/>
        <v>0</v>
      </c>
      <c r="J181" s="36">
        <f t="shared" si="82"/>
        <v>0</v>
      </c>
      <c r="K181" s="36">
        <f t="shared" si="82"/>
        <v>0</v>
      </c>
      <c r="L181" s="36">
        <f>SUM(F181:K181)</f>
        <v>0</v>
      </c>
      <c r="M181" s="31"/>
      <c r="N181" s="31"/>
      <c r="O181" s="31"/>
      <c r="P181" s="31"/>
      <c r="Q181" s="31"/>
    </row>
    <row r="182" spans="1:17" x14ac:dyDescent="0.35">
      <c r="A182" s="31">
        <f>A181+1</f>
        <v>28</v>
      </c>
      <c r="C182" s="50" t="s">
        <v>176</v>
      </c>
      <c r="D182" s="31" t="s">
        <v>29</v>
      </c>
      <c r="F182" s="37">
        <f t="shared" ref="F182:K182" si="83">F724</f>
        <v>0</v>
      </c>
      <c r="G182" s="37">
        <f t="shared" si="83"/>
        <v>0</v>
      </c>
      <c r="H182" s="37">
        <f t="shared" si="83"/>
        <v>0</v>
      </c>
      <c r="I182" s="37">
        <f t="shared" si="83"/>
        <v>0</v>
      </c>
      <c r="J182" s="37">
        <f t="shared" si="83"/>
        <v>0</v>
      </c>
      <c r="K182" s="37">
        <f t="shared" si="83"/>
        <v>0</v>
      </c>
      <c r="L182" s="37">
        <f>SUM(F182:K182)</f>
        <v>0</v>
      </c>
      <c r="M182" s="31"/>
      <c r="N182" s="31"/>
      <c r="O182" s="31"/>
      <c r="P182" s="31"/>
      <c r="Q182" s="31"/>
    </row>
    <row r="183" spans="1:17" x14ac:dyDescent="0.35">
      <c r="A183" s="31">
        <f>A182+1</f>
        <v>29</v>
      </c>
      <c r="C183" s="50" t="s">
        <v>177</v>
      </c>
      <c r="D183" s="31" t="s">
        <v>28</v>
      </c>
      <c r="F183" s="221">
        <f t="shared" ref="F183:K183" si="84">F730+F737</f>
        <v>0</v>
      </c>
      <c r="G183" s="221">
        <f t="shared" si="84"/>
        <v>0</v>
      </c>
      <c r="H183" s="221">
        <f t="shared" si="84"/>
        <v>0</v>
      </c>
      <c r="I183" s="221">
        <f t="shared" si="84"/>
        <v>0</v>
      </c>
      <c r="J183" s="221">
        <f t="shared" si="84"/>
        <v>0</v>
      </c>
      <c r="K183" s="221">
        <f t="shared" si="84"/>
        <v>0</v>
      </c>
      <c r="L183" s="221">
        <f>SUM(F183:K183)</f>
        <v>0</v>
      </c>
      <c r="M183" s="31"/>
      <c r="N183" s="31"/>
      <c r="O183" s="31"/>
      <c r="P183" s="31"/>
      <c r="Q183" s="31"/>
    </row>
    <row r="184" spans="1:17" x14ac:dyDescent="0.35">
      <c r="A184" s="31">
        <f>A183+1</f>
        <v>30</v>
      </c>
      <c r="C184" s="50" t="s">
        <v>178</v>
      </c>
      <c r="D184" s="31" t="s">
        <v>28</v>
      </c>
      <c r="F184" s="221">
        <f t="shared" ref="F184:K184" si="85">F732</f>
        <v>0</v>
      </c>
      <c r="G184" s="221">
        <f t="shared" si="85"/>
        <v>0</v>
      </c>
      <c r="H184" s="221">
        <f t="shared" si="85"/>
        <v>0</v>
      </c>
      <c r="I184" s="221">
        <f t="shared" si="85"/>
        <v>0</v>
      </c>
      <c r="J184" s="221">
        <f t="shared" si="85"/>
        <v>0</v>
      </c>
      <c r="K184" s="221">
        <f t="shared" si="85"/>
        <v>0</v>
      </c>
      <c r="L184" s="221">
        <f>SUM(F184:K184)</f>
        <v>0</v>
      </c>
      <c r="M184" s="31"/>
      <c r="N184" s="31"/>
      <c r="O184" s="31"/>
      <c r="P184" s="31"/>
      <c r="Q184" s="31"/>
    </row>
    <row r="185" spans="1:17" x14ac:dyDescent="0.35">
      <c r="A185" s="31">
        <f>A184+1</f>
        <v>31</v>
      </c>
      <c r="C185" s="50" t="s">
        <v>179</v>
      </c>
      <c r="D185" s="31" t="s">
        <v>246</v>
      </c>
      <c r="F185" s="221">
        <f t="shared" ref="F185:K185" si="86">F740</f>
        <v>0</v>
      </c>
      <c r="G185" s="221">
        <f t="shared" si="86"/>
        <v>0</v>
      </c>
      <c r="H185" s="221">
        <f t="shared" si="86"/>
        <v>0</v>
      </c>
      <c r="I185" s="221">
        <f t="shared" si="86"/>
        <v>0</v>
      </c>
      <c r="J185" s="221">
        <f t="shared" si="86"/>
        <v>0</v>
      </c>
      <c r="K185" s="221">
        <f t="shared" si="86"/>
        <v>0</v>
      </c>
      <c r="L185" s="221">
        <f>SUM(F185:K185)</f>
        <v>0</v>
      </c>
      <c r="M185" s="31"/>
      <c r="N185" s="31"/>
      <c r="O185" s="31"/>
      <c r="P185" s="31"/>
      <c r="Q185" s="31"/>
    </row>
    <row r="186" spans="1:17" x14ac:dyDescent="0.35">
      <c r="C186" s="50"/>
      <c r="F186" s="221"/>
      <c r="G186" s="221"/>
      <c r="H186" s="221"/>
      <c r="I186" s="221"/>
      <c r="J186" s="221"/>
      <c r="K186" s="221"/>
      <c r="L186" s="221"/>
      <c r="M186" s="31"/>
      <c r="N186" s="31"/>
      <c r="O186" s="31"/>
      <c r="P186" s="31"/>
      <c r="Q186" s="31"/>
    </row>
    <row r="187" spans="1:17" x14ac:dyDescent="0.35">
      <c r="A187" s="31">
        <f>A185+1</f>
        <v>32</v>
      </c>
      <c r="B187" s="31" t="str">
        <f>Input!A43</f>
        <v>IUS</v>
      </c>
      <c r="C187" s="31" t="str">
        <f>Input!B43</f>
        <v>Intrastate Utility Service - Wholesale</v>
      </c>
      <c r="F187" s="38"/>
      <c r="H187" s="38"/>
      <c r="J187" s="38"/>
      <c r="M187" s="31"/>
      <c r="N187" s="31"/>
      <c r="O187" s="31"/>
      <c r="P187" s="31"/>
      <c r="Q187" s="31"/>
    </row>
    <row r="188" spans="1:17" x14ac:dyDescent="0.35">
      <c r="A188" s="31">
        <f>A187+1</f>
        <v>33</v>
      </c>
      <c r="C188" s="50" t="s">
        <v>175</v>
      </c>
      <c r="F188" s="36">
        <f t="shared" ref="F188:K188" si="87">F747</f>
        <v>2</v>
      </c>
      <c r="G188" s="36">
        <f t="shared" si="87"/>
        <v>2</v>
      </c>
      <c r="H188" s="36">
        <f t="shared" si="87"/>
        <v>2</v>
      </c>
      <c r="I188" s="36">
        <f t="shared" si="87"/>
        <v>2</v>
      </c>
      <c r="J188" s="36">
        <f t="shared" si="87"/>
        <v>2</v>
      </c>
      <c r="K188" s="36">
        <f t="shared" si="87"/>
        <v>2</v>
      </c>
      <c r="L188" s="36">
        <f>SUM(F188:K188)</f>
        <v>12</v>
      </c>
      <c r="M188" s="31"/>
      <c r="N188" s="31"/>
      <c r="O188" s="31"/>
      <c r="P188" s="31"/>
      <c r="Q188" s="31"/>
    </row>
    <row r="189" spans="1:17" x14ac:dyDescent="0.35">
      <c r="A189" s="31">
        <f>A188+1</f>
        <v>34</v>
      </c>
      <c r="C189" s="50" t="s">
        <v>176</v>
      </c>
      <c r="D189" s="31" t="s">
        <v>29</v>
      </c>
      <c r="F189" s="37">
        <f>F750</f>
        <v>869</v>
      </c>
      <c r="G189" s="37">
        <f t="shared" ref="G189:K189" si="88">G750</f>
        <v>1429</v>
      </c>
      <c r="H189" s="37">
        <f t="shared" si="88"/>
        <v>232</v>
      </c>
      <c r="I189" s="37">
        <f t="shared" si="88"/>
        <v>149.5</v>
      </c>
      <c r="J189" s="37">
        <f t="shared" si="88"/>
        <v>503</v>
      </c>
      <c r="K189" s="37">
        <f t="shared" si="88"/>
        <v>240</v>
      </c>
      <c r="L189" s="37">
        <f>SUM(F189:K189)</f>
        <v>3422.5</v>
      </c>
      <c r="M189" s="31"/>
      <c r="N189" s="31"/>
      <c r="O189" s="31"/>
      <c r="P189" s="31"/>
      <c r="Q189" s="31"/>
    </row>
    <row r="190" spans="1:17" x14ac:dyDescent="0.35">
      <c r="A190" s="31">
        <f>A189+1</f>
        <v>35</v>
      </c>
      <c r="C190" s="50" t="s">
        <v>177</v>
      </c>
      <c r="D190" s="31" t="s">
        <v>28</v>
      </c>
      <c r="F190" s="221">
        <f t="shared" ref="F190:K190" si="89">F753+F761</f>
        <v>2938.67</v>
      </c>
      <c r="G190" s="221">
        <f t="shared" si="89"/>
        <v>3614.14</v>
      </c>
      <c r="H190" s="221">
        <f t="shared" si="89"/>
        <v>2170.3199999999997</v>
      </c>
      <c r="I190" s="221">
        <f t="shared" si="89"/>
        <v>2070.81</v>
      </c>
      <c r="J190" s="221">
        <f t="shared" si="89"/>
        <v>2497.1999999999998</v>
      </c>
      <c r="K190" s="221">
        <f t="shared" si="89"/>
        <v>2179.9699999999998</v>
      </c>
      <c r="L190" s="221">
        <f>SUM(F190:K190)</f>
        <v>15471.109999999999</v>
      </c>
      <c r="M190" s="31"/>
      <c r="N190" s="31"/>
      <c r="O190" s="31"/>
      <c r="P190" s="31"/>
      <c r="Q190" s="31"/>
    </row>
    <row r="191" spans="1:17" x14ac:dyDescent="0.35">
      <c r="A191" s="31">
        <f>A190+1</f>
        <v>36</v>
      </c>
      <c r="C191" s="50" t="s">
        <v>178</v>
      </c>
      <c r="D191" s="31" t="s">
        <v>28</v>
      </c>
      <c r="F191" s="221">
        <f t="shared" ref="F191:K191" si="90">F755</f>
        <v>2557.73</v>
      </c>
      <c r="G191" s="221">
        <f t="shared" si="90"/>
        <v>4205.9799999999996</v>
      </c>
      <c r="H191" s="221">
        <f t="shared" si="90"/>
        <v>682.85</v>
      </c>
      <c r="I191" s="221">
        <f t="shared" si="90"/>
        <v>440.02</v>
      </c>
      <c r="J191" s="221">
        <f t="shared" si="90"/>
        <v>1480.48</v>
      </c>
      <c r="K191" s="221">
        <f t="shared" si="90"/>
        <v>706.39</v>
      </c>
      <c r="L191" s="221">
        <f>SUM(F191:K191)</f>
        <v>10073.449999999999</v>
      </c>
      <c r="M191" s="31"/>
      <c r="N191" s="31"/>
      <c r="O191" s="31"/>
      <c r="P191" s="31"/>
      <c r="Q191" s="31"/>
    </row>
    <row r="192" spans="1:17" x14ac:dyDescent="0.35">
      <c r="A192" s="31">
        <f>A191+1</f>
        <v>37</v>
      </c>
      <c r="C192" s="50" t="s">
        <v>179</v>
      </c>
      <c r="D192" s="31" t="s">
        <v>246</v>
      </c>
      <c r="F192" s="221">
        <f t="shared" ref="F192:K192" si="91">F763</f>
        <v>5496.4000000000005</v>
      </c>
      <c r="G192" s="221">
        <f t="shared" si="91"/>
        <v>7820.12</v>
      </c>
      <c r="H192" s="221">
        <f t="shared" si="91"/>
        <v>2853.1699999999996</v>
      </c>
      <c r="I192" s="221">
        <f t="shared" si="91"/>
        <v>2510.83</v>
      </c>
      <c r="J192" s="221">
        <f t="shared" si="91"/>
        <v>3977.68</v>
      </c>
      <c r="K192" s="221">
        <f t="shared" si="91"/>
        <v>2886.3599999999997</v>
      </c>
      <c r="L192" s="221">
        <f>SUM(F192:K192)</f>
        <v>25544.560000000001</v>
      </c>
      <c r="M192" s="31"/>
      <c r="N192" s="31"/>
      <c r="O192" s="31"/>
      <c r="P192" s="31"/>
      <c r="Q192" s="31"/>
    </row>
    <row r="193" spans="1:18" x14ac:dyDescent="0.35">
      <c r="C193" s="50"/>
      <c r="F193" s="221"/>
      <c r="G193" s="221"/>
      <c r="H193" s="221"/>
      <c r="I193" s="221"/>
      <c r="J193" s="221"/>
      <c r="K193" s="221"/>
      <c r="L193" s="221"/>
      <c r="M193" s="31"/>
      <c r="N193" s="31"/>
      <c r="O193" s="31"/>
      <c r="P193" s="31"/>
      <c r="Q193" s="31"/>
    </row>
    <row r="194" spans="1:18" x14ac:dyDescent="0.35">
      <c r="C194" s="50"/>
      <c r="F194" s="38"/>
      <c r="H194" s="38"/>
      <c r="J194" s="38"/>
      <c r="R194" s="38"/>
    </row>
    <row r="195" spans="1:18" x14ac:dyDescent="0.35">
      <c r="A195" s="31" t="str">
        <f>$A$131</f>
        <v>[1] Reflects forecasted volumes for March through August 2024.</v>
      </c>
      <c r="C195" s="50"/>
      <c r="F195" s="38"/>
      <c r="H195" s="38"/>
      <c r="J195" s="38"/>
      <c r="R195" s="38"/>
    </row>
    <row r="196" spans="1:18" x14ac:dyDescent="0.35">
      <c r="A196" s="300" t="str">
        <f>$A$132</f>
        <v>[2] See Schedule M-2.2B Pages 6 through 15 for detail.</v>
      </c>
      <c r="H196" s="38"/>
      <c r="R196" s="38"/>
    </row>
    <row r="197" spans="1:18" ht="15.45" x14ac:dyDescent="0.4">
      <c r="A197" s="480" t="str">
        <f>CONAME</f>
        <v>Columbia Gas of Kentucky, Inc.</v>
      </c>
      <c r="B197" s="480"/>
      <c r="C197" s="480"/>
      <c r="D197" s="480"/>
      <c r="E197" s="480"/>
      <c r="F197" s="480"/>
      <c r="G197" s="480"/>
      <c r="H197" s="480"/>
      <c r="I197" s="480"/>
      <c r="J197" s="480"/>
      <c r="K197" s="480"/>
      <c r="L197" s="480"/>
      <c r="M197" s="89"/>
      <c r="N197" s="89"/>
      <c r="O197" s="89"/>
      <c r="P197" s="89"/>
      <c r="Q197" s="89"/>
      <c r="R197" s="89"/>
    </row>
    <row r="198" spans="1:18" ht="15.45" x14ac:dyDescent="0.4">
      <c r="A198" s="480" t="str">
        <f>case</f>
        <v>Case No. 2024-00092</v>
      </c>
      <c r="B198" s="480"/>
      <c r="C198" s="480"/>
      <c r="D198" s="480"/>
      <c r="E198" s="480"/>
      <c r="F198" s="480"/>
      <c r="G198" s="480"/>
      <c r="H198" s="480"/>
      <c r="I198" s="480"/>
      <c r="J198" s="480"/>
      <c r="K198" s="480"/>
      <c r="L198" s="480"/>
      <c r="M198" s="35"/>
      <c r="N198" s="35"/>
      <c r="O198" s="35"/>
      <c r="P198" s="35"/>
      <c r="Q198" s="35"/>
      <c r="R198" s="35"/>
    </row>
    <row r="199" spans="1:18" ht="15.45" x14ac:dyDescent="0.4">
      <c r="A199" s="480" t="s">
        <v>319</v>
      </c>
      <c r="B199" s="480"/>
      <c r="C199" s="480"/>
      <c r="D199" s="480"/>
      <c r="E199" s="480"/>
      <c r="F199" s="480"/>
      <c r="G199" s="480"/>
      <c r="H199" s="480"/>
      <c r="I199" s="480"/>
      <c r="J199" s="480"/>
      <c r="K199" s="480"/>
      <c r="L199" s="480"/>
      <c r="M199" s="110"/>
      <c r="N199" s="110"/>
      <c r="O199" s="110"/>
      <c r="P199" s="110"/>
      <c r="Q199" s="110"/>
      <c r="R199" s="110"/>
    </row>
    <row r="200" spans="1:18" ht="15.45" x14ac:dyDescent="0.4">
      <c r="A200" s="480" t="str">
        <f>TYDESC</f>
        <v>For the 6 Months Ended August 31, 2024</v>
      </c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89"/>
      <c r="N200" s="89"/>
      <c r="O200" s="89"/>
      <c r="P200" s="89"/>
      <c r="Q200" s="89"/>
      <c r="R200" s="89"/>
    </row>
    <row r="201" spans="1:18" ht="15.45" x14ac:dyDescent="0.4">
      <c r="A201" s="480" t="s">
        <v>46</v>
      </c>
      <c r="B201" s="480"/>
      <c r="C201" s="480"/>
      <c r="D201" s="480"/>
      <c r="E201" s="480"/>
      <c r="F201" s="480"/>
      <c r="G201" s="480"/>
      <c r="H201" s="480"/>
      <c r="I201" s="480"/>
      <c r="J201" s="480"/>
      <c r="K201" s="480"/>
      <c r="L201" s="480"/>
      <c r="M201" s="220"/>
      <c r="N201" s="220"/>
      <c r="O201" s="220"/>
      <c r="P201" s="220"/>
      <c r="Q201" s="220"/>
      <c r="R201" s="220"/>
    </row>
    <row r="202" spans="1:18" ht="15.45" x14ac:dyDescent="0.4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</row>
    <row r="203" spans="1:18" ht="15.45" x14ac:dyDescent="0.4">
      <c r="A203" s="35" t="s">
        <v>180</v>
      </c>
    </row>
    <row r="204" spans="1:18" ht="15.45" x14ac:dyDescent="0.4">
      <c r="A204" s="35" t="s">
        <v>181</v>
      </c>
      <c r="L204" s="40" t="str">
        <f>$L$55</f>
        <v>Schedule M-2.2B</v>
      </c>
    </row>
    <row r="205" spans="1:18" ht="15.45" x14ac:dyDescent="0.4">
      <c r="A205" s="35" t="str">
        <f>$A$56</f>
        <v>Work Paper Reference No(s): WPM-B.1, WPM-C.1, WPM-D.1</v>
      </c>
      <c r="L205" s="40" t="s">
        <v>323</v>
      </c>
    </row>
    <row r="206" spans="1:18" ht="15.45" x14ac:dyDescent="0.4">
      <c r="A206" s="320" t="str">
        <f>$A$57</f>
        <v>6 Mos Actual / 6 Mos Forecasted</v>
      </c>
      <c r="B206" s="321"/>
      <c r="C206" s="321"/>
      <c r="D206" s="321"/>
      <c r="E206" s="322"/>
      <c r="F206" s="321"/>
      <c r="G206" s="323"/>
      <c r="H206" s="324"/>
      <c r="I206" s="323"/>
      <c r="J206" s="325"/>
      <c r="K206" s="323"/>
      <c r="L206" s="326" t="str">
        <f>Witness</f>
        <v>Witness: J. C. Wozniak</v>
      </c>
    </row>
    <row r="207" spans="1:18" ht="15.45" x14ac:dyDescent="0.4">
      <c r="A207" s="327"/>
      <c r="B207" s="327"/>
      <c r="C207" s="327"/>
      <c r="D207" s="327"/>
      <c r="E207" s="89"/>
      <c r="F207" s="89"/>
      <c r="G207" s="89"/>
      <c r="H207" s="89"/>
      <c r="I207" s="89"/>
      <c r="J207" s="89"/>
      <c r="K207" s="89"/>
      <c r="L207" s="89"/>
      <c r="M207" s="327"/>
      <c r="N207" s="327"/>
      <c r="O207" s="327"/>
      <c r="P207" s="327"/>
      <c r="Q207" s="327"/>
      <c r="R207" s="327"/>
    </row>
    <row r="208" spans="1:18" ht="15.45" x14ac:dyDescent="0.4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1:18" ht="15.45" x14ac:dyDescent="0.4">
      <c r="A209" s="32"/>
      <c r="B209" s="32"/>
      <c r="C209" s="32"/>
      <c r="D209" s="32"/>
      <c r="E209" s="33" t="s">
        <v>52</v>
      </c>
      <c r="F209" s="41"/>
      <c r="G209" s="42"/>
      <c r="H209" s="41"/>
      <c r="I209" s="30"/>
      <c r="J209" s="41"/>
      <c r="K209" s="41"/>
      <c r="L209" s="41"/>
      <c r="M209" s="41"/>
      <c r="N209" s="41"/>
      <c r="O209" s="41"/>
      <c r="P209" s="32"/>
      <c r="Q209" s="32"/>
      <c r="R209" s="32"/>
    </row>
    <row r="210" spans="1:18" ht="15.45" x14ac:dyDescent="0.4">
      <c r="A210" s="32" t="s">
        <v>11</v>
      </c>
      <c r="B210" s="32" t="s">
        <v>10</v>
      </c>
      <c r="C210" s="32" t="s">
        <v>48</v>
      </c>
      <c r="D210" s="32"/>
      <c r="E210" s="33" t="s">
        <v>53</v>
      </c>
      <c r="F210" s="41"/>
      <c r="G210" s="42"/>
      <c r="H210" s="41"/>
      <c r="I210" s="30"/>
      <c r="J210" s="41"/>
      <c r="K210" s="41"/>
      <c r="L210" s="41"/>
      <c r="M210" s="41"/>
      <c r="N210" s="41"/>
      <c r="O210" s="41"/>
      <c r="P210" s="34"/>
      <c r="Q210" s="34"/>
      <c r="R210" s="34"/>
    </row>
    <row r="211" spans="1:18" ht="15.45" x14ac:dyDescent="0.4">
      <c r="A211" s="43" t="s">
        <v>13</v>
      </c>
      <c r="B211" s="43" t="s">
        <v>47</v>
      </c>
      <c r="C211" s="43" t="s">
        <v>14</v>
      </c>
      <c r="D211" s="43"/>
      <c r="E211" s="44" t="s">
        <v>54</v>
      </c>
      <c r="F211" s="45" t="str">
        <f>B!$D$13</f>
        <v>Mar-24</v>
      </c>
      <c r="G211" s="45" t="str">
        <f>B!$E$13</f>
        <v>Apr-24</v>
      </c>
      <c r="H211" s="45" t="str">
        <f>B!$F$13</f>
        <v>May-24</v>
      </c>
      <c r="I211" s="45" t="str">
        <f>B!$G$13</f>
        <v>Jun-24</v>
      </c>
      <c r="J211" s="45" t="str">
        <f>B!$H$13</f>
        <v>Jul-24</v>
      </c>
      <c r="K211" s="45" t="str">
        <f>B!$I$13</f>
        <v>Aug-24</v>
      </c>
      <c r="L211" s="45" t="s">
        <v>15</v>
      </c>
      <c r="M211" s="31"/>
      <c r="N211" s="31"/>
      <c r="O211" s="31"/>
      <c r="P211" s="31"/>
      <c r="Q211" s="31"/>
    </row>
    <row r="212" spans="1:18" ht="15.45" x14ac:dyDescent="0.4">
      <c r="A212" s="32"/>
      <c r="B212" s="34" t="s">
        <v>49</v>
      </c>
      <c r="C212" s="34" t="s">
        <v>50</v>
      </c>
      <c r="D212" s="34"/>
      <c r="E212" s="47" t="s">
        <v>51</v>
      </c>
      <c r="F212" s="48" t="s">
        <v>470</v>
      </c>
      <c r="G212" s="48" t="s">
        <v>471</v>
      </c>
      <c r="H212" s="48" t="s">
        <v>472</v>
      </c>
      <c r="I212" s="48" t="s">
        <v>473</v>
      </c>
      <c r="J212" s="48" t="s">
        <v>55</v>
      </c>
      <c r="K212" s="48" t="s">
        <v>56</v>
      </c>
      <c r="L212" s="48" t="s">
        <v>57</v>
      </c>
      <c r="M212" s="31"/>
      <c r="N212" s="31"/>
      <c r="O212" s="31"/>
      <c r="P212" s="31"/>
      <c r="Q212" s="31"/>
    </row>
    <row r="213" spans="1:18" ht="15.45" x14ac:dyDescent="0.4">
      <c r="A213" s="32"/>
      <c r="B213" s="34"/>
      <c r="C213" s="34"/>
      <c r="D213" s="34"/>
      <c r="E213" s="47"/>
      <c r="F213" s="48"/>
      <c r="G213" s="48"/>
      <c r="H213" s="48"/>
      <c r="I213" s="48"/>
      <c r="J213" s="48"/>
      <c r="K213" s="48"/>
      <c r="L213" s="48"/>
      <c r="M213" s="31"/>
      <c r="N213" s="31"/>
      <c r="O213" s="31"/>
      <c r="P213" s="31"/>
      <c r="Q213" s="31"/>
    </row>
    <row r="214" spans="1:18" ht="15.45" x14ac:dyDescent="0.4">
      <c r="A214" s="31">
        <v>1</v>
      </c>
      <c r="C214" s="49" t="s">
        <v>90</v>
      </c>
      <c r="F214" s="38"/>
      <c r="H214" s="38"/>
      <c r="J214" s="38"/>
      <c r="L214" s="31"/>
      <c r="M214" s="31"/>
      <c r="N214" s="31"/>
      <c r="O214" s="31"/>
      <c r="P214" s="31"/>
      <c r="Q214" s="31"/>
    </row>
    <row r="215" spans="1:18" x14ac:dyDescent="0.35">
      <c r="F215" s="38"/>
      <c r="H215" s="38"/>
      <c r="J215" s="38"/>
      <c r="L215" s="31"/>
      <c r="M215" s="31"/>
      <c r="N215" s="31"/>
      <c r="O215" s="31"/>
      <c r="P215" s="31"/>
      <c r="Q215" s="31"/>
    </row>
    <row r="216" spans="1:18" x14ac:dyDescent="0.35">
      <c r="A216" s="31">
        <f>A214+1</f>
        <v>2</v>
      </c>
      <c r="B216" s="31" t="str">
        <f>Input!A47</f>
        <v>GTR</v>
      </c>
      <c r="C216" s="31" t="str">
        <f>Input!B47</f>
        <v xml:space="preserve">GTS Choice - Residential </v>
      </c>
      <c r="F216" s="38"/>
      <c r="H216" s="38"/>
      <c r="J216" s="38"/>
      <c r="M216" s="31"/>
      <c r="N216" s="31"/>
      <c r="O216" s="31"/>
      <c r="P216" s="31"/>
      <c r="Q216" s="31"/>
    </row>
    <row r="217" spans="1:18" x14ac:dyDescent="0.35">
      <c r="A217" s="31">
        <f>A216+1</f>
        <v>3</v>
      </c>
      <c r="C217" s="50" t="s">
        <v>175</v>
      </c>
      <c r="F217" s="36">
        <f t="shared" ref="F217:K217" si="92">F791</f>
        <v>11519</v>
      </c>
      <c r="G217" s="36">
        <f t="shared" si="92"/>
        <v>11512</v>
      </c>
      <c r="H217" s="36">
        <f t="shared" si="92"/>
        <v>11520</v>
      </c>
      <c r="I217" s="36">
        <f t="shared" si="92"/>
        <v>11508</v>
      </c>
      <c r="J217" s="36">
        <f t="shared" si="92"/>
        <v>11518</v>
      </c>
      <c r="K217" s="36">
        <f t="shared" si="92"/>
        <v>11525</v>
      </c>
      <c r="L217" s="36">
        <f>SUM(F217:K217)</f>
        <v>69102</v>
      </c>
      <c r="M217" s="31"/>
      <c r="N217" s="31"/>
      <c r="O217" s="31"/>
      <c r="P217" s="31"/>
      <c r="Q217" s="31"/>
    </row>
    <row r="218" spans="1:18" x14ac:dyDescent="0.35">
      <c r="A218" s="31">
        <f>A217+1</f>
        <v>4</v>
      </c>
      <c r="C218" s="50" t="s">
        <v>176</v>
      </c>
      <c r="D218" s="31" t="s">
        <v>29</v>
      </c>
      <c r="F218" s="37">
        <f t="shared" ref="F218:K218" si="93">F794</f>
        <v>133121.70000000001</v>
      </c>
      <c r="G218" s="37">
        <f t="shared" si="93"/>
        <v>80458.100000000006</v>
      </c>
      <c r="H218" s="37">
        <f t="shared" si="93"/>
        <v>35511.800000000003</v>
      </c>
      <c r="I218" s="37">
        <f t="shared" si="93"/>
        <v>15546.5</v>
      </c>
      <c r="J218" s="37">
        <f t="shared" si="93"/>
        <v>9660.6</v>
      </c>
      <c r="K218" s="37">
        <f t="shared" si="93"/>
        <v>9985.7000000000007</v>
      </c>
      <c r="L218" s="37">
        <f>SUM(F218:K218)</f>
        <v>284284.40000000002</v>
      </c>
      <c r="M218" s="31"/>
      <c r="N218" s="31"/>
      <c r="O218" s="31"/>
      <c r="P218" s="31"/>
      <c r="Q218" s="31"/>
    </row>
    <row r="219" spans="1:18" x14ac:dyDescent="0.35">
      <c r="A219" s="31">
        <f>A218+1</f>
        <v>5</v>
      </c>
      <c r="C219" s="50" t="s">
        <v>177</v>
      </c>
      <c r="D219" s="31" t="s">
        <v>28</v>
      </c>
      <c r="F219" s="221">
        <f t="shared" ref="F219:K219" si="94">F797+F806</f>
        <v>931139.14</v>
      </c>
      <c r="G219" s="221">
        <f t="shared" si="94"/>
        <v>654366.87000000011</v>
      </c>
      <c r="H219" s="221">
        <f t="shared" si="94"/>
        <v>418433.98</v>
      </c>
      <c r="I219" s="221">
        <f t="shared" si="94"/>
        <v>313318.7</v>
      </c>
      <c r="J219" s="221">
        <f t="shared" si="94"/>
        <v>282602.54000000004</v>
      </c>
      <c r="K219" s="221">
        <f t="shared" si="94"/>
        <v>284451.13</v>
      </c>
      <c r="L219" s="221">
        <f>SUM(F219:K219)</f>
        <v>2884312.3600000003</v>
      </c>
      <c r="M219" s="31"/>
      <c r="N219" s="31"/>
      <c r="O219" s="31"/>
      <c r="P219" s="31"/>
      <c r="Q219" s="31"/>
    </row>
    <row r="220" spans="1:18" x14ac:dyDescent="0.35">
      <c r="A220" s="31">
        <f>A219+1</f>
        <v>6</v>
      </c>
      <c r="C220" s="50" t="s">
        <v>178</v>
      </c>
      <c r="D220" s="31" t="s">
        <v>28</v>
      </c>
      <c r="F220" s="221">
        <f t="shared" ref="F220:K220" si="95">F799</f>
        <v>0</v>
      </c>
      <c r="G220" s="221">
        <f t="shared" si="95"/>
        <v>0</v>
      </c>
      <c r="H220" s="221">
        <f t="shared" si="95"/>
        <v>0</v>
      </c>
      <c r="I220" s="221">
        <f t="shared" si="95"/>
        <v>0</v>
      </c>
      <c r="J220" s="221">
        <f t="shared" si="95"/>
        <v>0</v>
      </c>
      <c r="K220" s="221">
        <f t="shared" si="95"/>
        <v>0</v>
      </c>
      <c r="L220" s="221">
        <f>SUM(F220:K220)</f>
        <v>0</v>
      </c>
      <c r="M220" s="31"/>
      <c r="N220" s="31"/>
      <c r="O220" s="31"/>
      <c r="P220" s="31"/>
      <c r="Q220" s="31"/>
    </row>
    <row r="221" spans="1:18" x14ac:dyDescent="0.35">
      <c r="A221" s="31">
        <f>A220+1</f>
        <v>7</v>
      </c>
      <c r="C221" s="50" t="s">
        <v>179</v>
      </c>
      <c r="D221" s="31" t="s">
        <v>246</v>
      </c>
      <c r="F221" s="221">
        <f>F808</f>
        <v>931139.14</v>
      </c>
      <c r="G221" s="221">
        <f t="shared" ref="G221:K221" si="96">G808</f>
        <v>654366.87000000011</v>
      </c>
      <c r="H221" s="221">
        <f t="shared" si="96"/>
        <v>418433.98</v>
      </c>
      <c r="I221" s="221">
        <f t="shared" si="96"/>
        <v>313318.7</v>
      </c>
      <c r="J221" s="221">
        <f t="shared" si="96"/>
        <v>282602.54000000004</v>
      </c>
      <c r="K221" s="221">
        <f t="shared" si="96"/>
        <v>284451.13</v>
      </c>
      <c r="L221" s="221">
        <f>SUM(F221:K221)</f>
        <v>2884312.3600000003</v>
      </c>
      <c r="M221" s="31"/>
      <c r="N221" s="31"/>
      <c r="O221" s="31"/>
      <c r="P221" s="31"/>
      <c r="Q221" s="31"/>
    </row>
    <row r="222" spans="1:18" x14ac:dyDescent="0.35">
      <c r="C222" s="50"/>
      <c r="F222" s="38"/>
      <c r="H222" s="38"/>
      <c r="J222" s="38"/>
      <c r="M222" s="31"/>
      <c r="N222" s="31"/>
      <c r="O222" s="31"/>
      <c r="P222" s="31"/>
      <c r="Q222" s="31"/>
    </row>
    <row r="223" spans="1:18" x14ac:dyDescent="0.35">
      <c r="A223" s="31">
        <f>A221+1</f>
        <v>8</v>
      </c>
      <c r="B223" s="31" t="str">
        <f>Input!A48</f>
        <v>GTO</v>
      </c>
      <c r="C223" s="31" t="str">
        <f>Input!B48</f>
        <v>GTS Choice - Commercial</v>
      </c>
      <c r="F223" s="38"/>
      <c r="H223" s="38"/>
      <c r="J223" s="38"/>
      <c r="M223" s="31"/>
      <c r="N223" s="31"/>
      <c r="O223" s="31"/>
      <c r="P223" s="31"/>
      <c r="Q223" s="31"/>
    </row>
    <row r="224" spans="1:18" x14ac:dyDescent="0.35">
      <c r="A224" s="31">
        <f>A223+1</f>
        <v>9</v>
      </c>
      <c r="C224" s="50" t="s">
        <v>175</v>
      </c>
      <c r="F224" s="36">
        <f t="shared" ref="F224:K224" si="97">F814</f>
        <v>1862</v>
      </c>
      <c r="G224" s="36">
        <f t="shared" si="97"/>
        <v>1862</v>
      </c>
      <c r="H224" s="36">
        <f t="shared" si="97"/>
        <v>1863</v>
      </c>
      <c r="I224" s="36">
        <f t="shared" si="97"/>
        <v>1864</v>
      </c>
      <c r="J224" s="36">
        <f t="shared" si="97"/>
        <v>1863</v>
      </c>
      <c r="K224" s="36">
        <f t="shared" si="97"/>
        <v>1865</v>
      </c>
      <c r="L224" s="36">
        <f>SUM(F224:K224)</f>
        <v>11179</v>
      </c>
      <c r="M224" s="31"/>
      <c r="N224" s="31"/>
      <c r="O224" s="31"/>
      <c r="P224" s="31"/>
      <c r="Q224" s="31"/>
    </row>
    <row r="225" spans="1:17" x14ac:dyDescent="0.35">
      <c r="A225" s="31">
        <f>A224+1</f>
        <v>10</v>
      </c>
      <c r="C225" s="50" t="s">
        <v>176</v>
      </c>
      <c r="D225" s="31" t="s">
        <v>29</v>
      </c>
      <c r="F225" s="37">
        <f t="shared" ref="F225:K225" si="98">F822</f>
        <v>139766</v>
      </c>
      <c r="G225" s="37">
        <f t="shared" si="98"/>
        <v>89622.599999999991</v>
      </c>
      <c r="H225" s="37">
        <f t="shared" si="98"/>
        <v>54825.600000000006</v>
      </c>
      <c r="I225" s="37">
        <f t="shared" si="98"/>
        <v>37927.1</v>
      </c>
      <c r="J225" s="37">
        <f t="shared" si="98"/>
        <v>32942</v>
      </c>
      <c r="K225" s="37">
        <f t="shared" si="98"/>
        <v>31482.1</v>
      </c>
      <c r="L225" s="37">
        <f>SUM(F225:K225)</f>
        <v>386565.39999999991</v>
      </c>
      <c r="M225" s="31"/>
      <c r="N225" s="31"/>
      <c r="O225" s="31"/>
      <c r="P225" s="31"/>
      <c r="Q225" s="31"/>
    </row>
    <row r="226" spans="1:17" x14ac:dyDescent="0.35">
      <c r="A226" s="31">
        <f>A225+1</f>
        <v>11</v>
      </c>
      <c r="C226" s="50" t="s">
        <v>177</v>
      </c>
      <c r="D226" s="31" t="s">
        <v>28</v>
      </c>
      <c r="F226" s="221">
        <f t="shared" ref="F226:K226" si="99">F830</f>
        <v>541822.53</v>
      </c>
      <c r="G226" s="221">
        <f>G830</f>
        <v>407996.85</v>
      </c>
      <c r="H226" s="221">
        <f t="shared" si="99"/>
        <v>311807.79000000004</v>
      </c>
      <c r="I226" s="221">
        <f t="shared" si="99"/>
        <v>262464.14</v>
      </c>
      <c r="J226" s="221">
        <f t="shared" si="99"/>
        <v>248893.14</v>
      </c>
      <c r="K226" s="221">
        <f t="shared" si="99"/>
        <v>244773.44</v>
      </c>
      <c r="L226" s="221">
        <f>SUM(F226:K226)</f>
        <v>2017757.8900000001</v>
      </c>
      <c r="M226" s="31"/>
      <c r="N226" s="31"/>
      <c r="O226" s="31"/>
      <c r="P226" s="31"/>
      <c r="Q226" s="31"/>
    </row>
    <row r="227" spans="1:17" x14ac:dyDescent="0.35">
      <c r="A227" s="31">
        <f>A226+1</f>
        <v>12</v>
      </c>
      <c r="C227" s="50" t="s">
        <v>178</v>
      </c>
      <c r="D227" s="31" t="s">
        <v>28</v>
      </c>
      <c r="F227" s="221">
        <f t="shared" ref="F227:K227" si="100">F832</f>
        <v>0</v>
      </c>
      <c r="G227" s="221">
        <f t="shared" si="100"/>
        <v>0</v>
      </c>
      <c r="H227" s="221">
        <f t="shared" si="100"/>
        <v>0</v>
      </c>
      <c r="I227" s="221">
        <f t="shared" si="100"/>
        <v>0</v>
      </c>
      <c r="J227" s="221">
        <f t="shared" si="100"/>
        <v>0</v>
      </c>
      <c r="K227" s="221">
        <f t="shared" si="100"/>
        <v>0</v>
      </c>
      <c r="L227" s="221">
        <f>SUM(F227:K227)</f>
        <v>0</v>
      </c>
      <c r="M227" s="31"/>
      <c r="N227" s="31"/>
      <c r="O227" s="31"/>
      <c r="P227" s="31"/>
      <c r="Q227" s="31"/>
    </row>
    <row r="228" spans="1:17" x14ac:dyDescent="0.35">
      <c r="A228" s="31">
        <f>A227+1</f>
        <v>13</v>
      </c>
      <c r="C228" s="50" t="s">
        <v>179</v>
      </c>
      <c r="D228" s="31" t="s">
        <v>246</v>
      </c>
      <c r="F228" s="221">
        <f t="shared" ref="F228:K228" si="101">F834</f>
        <v>541822.53</v>
      </c>
      <c r="G228" s="221">
        <f t="shared" si="101"/>
        <v>407996.85</v>
      </c>
      <c r="H228" s="221">
        <f t="shared" si="101"/>
        <v>311807.79000000004</v>
      </c>
      <c r="I228" s="221">
        <f t="shared" si="101"/>
        <v>262464.14</v>
      </c>
      <c r="J228" s="221">
        <f t="shared" si="101"/>
        <v>248893.14</v>
      </c>
      <c r="K228" s="221">
        <f t="shared" si="101"/>
        <v>244773.44</v>
      </c>
      <c r="L228" s="221">
        <f>SUM(F228:K228)</f>
        <v>2017757.8900000001</v>
      </c>
      <c r="M228" s="31"/>
      <c r="N228" s="31"/>
      <c r="O228" s="31"/>
      <c r="P228" s="31"/>
      <c r="Q228" s="31"/>
    </row>
    <row r="229" spans="1:17" x14ac:dyDescent="0.35">
      <c r="C229" s="50"/>
      <c r="F229" s="38"/>
      <c r="H229" s="38"/>
      <c r="J229" s="38"/>
      <c r="M229" s="31"/>
      <c r="N229" s="31"/>
      <c r="O229" s="31"/>
      <c r="P229" s="31"/>
      <c r="Q229" s="31"/>
    </row>
    <row r="230" spans="1:17" x14ac:dyDescent="0.35">
      <c r="A230" s="31">
        <f>A228+1</f>
        <v>14</v>
      </c>
      <c r="B230" s="31" t="str">
        <f>Input!A49</f>
        <v>GTO</v>
      </c>
      <c r="C230" s="31" t="str">
        <f>Input!B49</f>
        <v>GTS Choice - Industrial</v>
      </c>
      <c r="F230" s="38"/>
      <c r="H230" s="38"/>
      <c r="J230" s="38"/>
      <c r="M230" s="31"/>
      <c r="N230" s="31"/>
      <c r="O230" s="31"/>
      <c r="P230" s="31"/>
      <c r="Q230" s="31"/>
    </row>
    <row r="231" spans="1:17" x14ac:dyDescent="0.35">
      <c r="A231" s="31">
        <f>A230+1</f>
        <v>15</v>
      </c>
      <c r="C231" s="50" t="s">
        <v>175</v>
      </c>
      <c r="F231" s="36">
        <f t="shared" ref="F231:K231" si="102">F840</f>
        <v>13</v>
      </c>
      <c r="G231" s="36">
        <f t="shared" si="102"/>
        <v>13</v>
      </c>
      <c r="H231" s="36">
        <f t="shared" si="102"/>
        <v>13</v>
      </c>
      <c r="I231" s="36">
        <f t="shared" si="102"/>
        <v>13</v>
      </c>
      <c r="J231" s="36">
        <f t="shared" si="102"/>
        <v>12</v>
      </c>
      <c r="K231" s="36">
        <f t="shared" si="102"/>
        <v>12</v>
      </c>
      <c r="L231" s="36">
        <f>SUM(F231:K231)</f>
        <v>76</v>
      </c>
      <c r="M231" s="31"/>
      <c r="N231" s="31"/>
      <c r="O231" s="31"/>
      <c r="P231" s="31"/>
      <c r="Q231" s="31"/>
    </row>
    <row r="232" spans="1:17" x14ac:dyDescent="0.35">
      <c r="A232" s="31">
        <f>A231+1</f>
        <v>16</v>
      </c>
      <c r="C232" s="50" t="s">
        <v>176</v>
      </c>
      <c r="D232" s="31" t="s">
        <v>29</v>
      </c>
      <c r="F232" s="37">
        <f t="shared" ref="F232:K232" si="103">F848</f>
        <v>6697.5</v>
      </c>
      <c r="G232" s="37">
        <f t="shared" si="103"/>
        <v>4905.7</v>
      </c>
      <c r="H232" s="37">
        <f t="shared" si="103"/>
        <v>3772.5</v>
      </c>
      <c r="I232" s="37">
        <f t="shared" si="103"/>
        <v>3327.1</v>
      </c>
      <c r="J232" s="37">
        <f t="shared" si="103"/>
        <v>3114.7000000000003</v>
      </c>
      <c r="K232" s="37">
        <f t="shared" si="103"/>
        <v>3315</v>
      </c>
      <c r="L232" s="37">
        <f>SUM(F232:K232)</f>
        <v>25132.5</v>
      </c>
      <c r="M232" s="31"/>
      <c r="N232" s="31"/>
      <c r="O232" s="31"/>
      <c r="P232" s="31"/>
      <c r="Q232" s="31"/>
    </row>
    <row r="233" spans="1:17" x14ac:dyDescent="0.35">
      <c r="A233" s="31">
        <f>A232+1</f>
        <v>17</v>
      </c>
      <c r="C233" s="50" t="s">
        <v>177</v>
      </c>
      <c r="D233" s="31" t="s">
        <v>28</v>
      </c>
      <c r="F233" s="221">
        <f t="shared" ref="F233:K233" si="104">F856</f>
        <v>17754.080000000002</v>
      </c>
      <c r="G233" s="221">
        <f>G856</f>
        <v>13622.599999999999</v>
      </c>
      <c r="H233" s="221">
        <f t="shared" si="104"/>
        <v>10732.970000000001</v>
      </c>
      <c r="I233" s="221">
        <f t="shared" si="104"/>
        <v>9498.8000000000011</v>
      </c>
      <c r="J233" s="221">
        <f t="shared" si="104"/>
        <v>8894.4399999999987</v>
      </c>
      <c r="K233" s="221">
        <f t="shared" si="104"/>
        <v>9347.85</v>
      </c>
      <c r="L233" s="221">
        <f>SUM(F233:K233)</f>
        <v>69850.740000000005</v>
      </c>
      <c r="M233" s="31"/>
      <c r="N233" s="31"/>
      <c r="O233" s="31"/>
      <c r="P233" s="31"/>
      <c r="Q233" s="31"/>
    </row>
    <row r="234" spans="1:17" x14ac:dyDescent="0.35">
      <c r="A234" s="31">
        <f>A233+1</f>
        <v>18</v>
      </c>
      <c r="C234" s="50" t="s">
        <v>178</v>
      </c>
      <c r="D234" s="31" t="s">
        <v>28</v>
      </c>
      <c r="F234" s="221">
        <f t="shared" ref="F234:K234" si="105">F858</f>
        <v>0</v>
      </c>
      <c r="G234" s="221">
        <f t="shared" si="105"/>
        <v>0</v>
      </c>
      <c r="H234" s="221">
        <f t="shared" si="105"/>
        <v>0</v>
      </c>
      <c r="I234" s="221">
        <f t="shared" si="105"/>
        <v>0</v>
      </c>
      <c r="J234" s="221">
        <f t="shared" si="105"/>
        <v>0</v>
      </c>
      <c r="K234" s="221">
        <f t="shared" si="105"/>
        <v>0</v>
      </c>
      <c r="L234" s="221">
        <f>SUM(F234:K234)</f>
        <v>0</v>
      </c>
      <c r="M234" s="31"/>
      <c r="N234" s="31"/>
      <c r="O234" s="31"/>
      <c r="P234" s="31"/>
      <c r="Q234" s="31"/>
    </row>
    <row r="235" spans="1:17" x14ac:dyDescent="0.35">
      <c r="A235" s="31">
        <f>A234+1</f>
        <v>19</v>
      </c>
      <c r="C235" s="50" t="s">
        <v>179</v>
      </c>
      <c r="D235" s="31" t="s">
        <v>246</v>
      </c>
      <c r="F235" s="221">
        <f t="shared" ref="F235:K235" si="106">F860</f>
        <v>17754.080000000002</v>
      </c>
      <c r="G235" s="221">
        <f t="shared" si="106"/>
        <v>13622.599999999999</v>
      </c>
      <c r="H235" s="221">
        <f t="shared" si="106"/>
        <v>10732.970000000001</v>
      </c>
      <c r="I235" s="221">
        <f t="shared" si="106"/>
        <v>9498.8000000000011</v>
      </c>
      <c r="J235" s="221">
        <f t="shared" si="106"/>
        <v>8894.4399999999987</v>
      </c>
      <c r="K235" s="221">
        <f t="shared" si="106"/>
        <v>9347.85</v>
      </c>
      <c r="L235" s="221">
        <f>SUM(F235:K235)</f>
        <v>69850.740000000005</v>
      </c>
      <c r="M235" s="31"/>
      <c r="N235" s="31"/>
      <c r="O235" s="31"/>
      <c r="P235" s="31"/>
      <c r="Q235" s="31"/>
    </row>
    <row r="236" spans="1:17" x14ac:dyDescent="0.35">
      <c r="F236" s="38"/>
      <c r="H236" s="38"/>
      <c r="J236" s="38"/>
      <c r="L236" s="31"/>
      <c r="M236" s="31"/>
      <c r="N236" s="31"/>
      <c r="O236" s="31"/>
      <c r="P236" s="31"/>
      <c r="Q236" s="31"/>
    </row>
    <row r="237" spans="1:17" x14ac:dyDescent="0.35">
      <c r="A237" s="31">
        <f>A235+1</f>
        <v>20</v>
      </c>
      <c r="B237" s="31" t="str">
        <f>Input!A50</f>
        <v>DS</v>
      </c>
      <c r="C237" s="31" t="str">
        <f>Input!B50</f>
        <v>GTS Delivery Service - Commercial</v>
      </c>
      <c r="F237" s="38"/>
      <c r="H237" s="38"/>
      <c r="J237" s="38"/>
      <c r="M237" s="31"/>
      <c r="N237" s="31"/>
      <c r="O237" s="31"/>
      <c r="P237" s="31"/>
      <c r="Q237" s="31"/>
    </row>
    <row r="238" spans="1:17" x14ac:dyDescent="0.35">
      <c r="A238" s="31">
        <f>A237+1</f>
        <v>21</v>
      </c>
      <c r="C238" s="50" t="s">
        <v>175</v>
      </c>
      <c r="F238" s="36">
        <f t="shared" ref="F238:K238" si="107">F885</f>
        <v>22</v>
      </c>
      <c r="G238" s="36">
        <f t="shared" si="107"/>
        <v>23</v>
      </c>
      <c r="H238" s="36">
        <f t="shared" si="107"/>
        <v>22</v>
      </c>
      <c r="I238" s="36">
        <f t="shared" si="107"/>
        <v>22</v>
      </c>
      <c r="J238" s="36">
        <f t="shared" si="107"/>
        <v>22</v>
      </c>
      <c r="K238" s="36">
        <f t="shared" si="107"/>
        <v>22</v>
      </c>
      <c r="L238" s="36">
        <f>SUM(F238:K238)</f>
        <v>133</v>
      </c>
      <c r="M238" s="31"/>
      <c r="N238" s="31"/>
      <c r="O238" s="31"/>
      <c r="P238" s="31"/>
      <c r="Q238" s="31"/>
    </row>
    <row r="239" spans="1:17" x14ac:dyDescent="0.35">
      <c r="A239" s="31">
        <f>A238+1</f>
        <v>22</v>
      </c>
      <c r="C239" s="50" t="s">
        <v>176</v>
      </c>
      <c r="D239" s="31" t="s">
        <v>29</v>
      </c>
      <c r="F239" s="37">
        <f t="shared" ref="F239:K239" si="108">F892</f>
        <v>311858.7</v>
      </c>
      <c r="G239" s="37">
        <f t="shared" si="108"/>
        <v>229622.8</v>
      </c>
      <c r="H239" s="37">
        <f t="shared" si="108"/>
        <v>189480.8</v>
      </c>
      <c r="I239" s="37">
        <f t="shared" si="108"/>
        <v>173708.1</v>
      </c>
      <c r="J239" s="37">
        <f t="shared" si="108"/>
        <v>161371.29999999999</v>
      </c>
      <c r="K239" s="37">
        <f t="shared" si="108"/>
        <v>166259.20000000001</v>
      </c>
      <c r="L239" s="37">
        <f>SUM(F239:K239)</f>
        <v>1232300.8999999999</v>
      </c>
      <c r="M239" s="31"/>
      <c r="N239" s="31"/>
      <c r="O239" s="31"/>
      <c r="P239" s="31"/>
      <c r="Q239" s="31"/>
    </row>
    <row r="240" spans="1:17" x14ac:dyDescent="0.35">
      <c r="A240" s="31">
        <f>A239+1</f>
        <v>23</v>
      </c>
      <c r="C240" s="50" t="s">
        <v>177</v>
      </c>
      <c r="D240" s="31" t="s">
        <v>28</v>
      </c>
      <c r="F240" s="221">
        <f t="shared" ref="F240:K240" si="109">F899</f>
        <v>292657.73</v>
      </c>
      <c r="G240" s="221">
        <f>G899</f>
        <v>244418.85</v>
      </c>
      <c r="H240" s="221">
        <f t="shared" si="109"/>
        <v>215764.83000000002</v>
      </c>
      <c r="I240" s="221">
        <f t="shared" si="109"/>
        <v>207835.26</v>
      </c>
      <c r="J240" s="221">
        <f t="shared" si="109"/>
        <v>199084.76</v>
      </c>
      <c r="K240" s="221">
        <f t="shared" si="109"/>
        <v>200732.7</v>
      </c>
      <c r="L240" s="221">
        <f>SUM(F240:K240)</f>
        <v>1360494.13</v>
      </c>
      <c r="M240" s="31"/>
      <c r="N240" s="31"/>
      <c r="O240" s="31"/>
      <c r="P240" s="31"/>
      <c r="Q240" s="31"/>
    </row>
    <row r="241" spans="1:17" x14ac:dyDescent="0.35">
      <c r="A241" s="31">
        <f>A240+1</f>
        <v>24</v>
      </c>
      <c r="C241" s="50" t="s">
        <v>178</v>
      </c>
      <c r="D241" s="31" t="s">
        <v>28</v>
      </c>
      <c r="F241" s="221">
        <f t="shared" ref="F241:K241" si="110">F901</f>
        <v>0</v>
      </c>
      <c r="G241" s="221">
        <f t="shared" si="110"/>
        <v>0</v>
      </c>
      <c r="H241" s="221">
        <f t="shared" si="110"/>
        <v>0</v>
      </c>
      <c r="I241" s="221">
        <f t="shared" si="110"/>
        <v>0</v>
      </c>
      <c r="J241" s="221">
        <f t="shared" si="110"/>
        <v>0</v>
      </c>
      <c r="K241" s="221">
        <f t="shared" si="110"/>
        <v>0</v>
      </c>
      <c r="L241" s="221">
        <f>SUM(F241:K241)</f>
        <v>0</v>
      </c>
      <c r="M241" s="31"/>
      <c r="N241" s="31"/>
      <c r="O241" s="31"/>
      <c r="P241" s="31"/>
      <c r="Q241" s="31"/>
    </row>
    <row r="242" spans="1:17" x14ac:dyDescent="0.35">
      <c r="A242" s="31">
        <f>A241+1</f>
        <v>25</v>
      </c>
      <c r="C242" s="50" t="s">
        <v>179</v>
      </c>
      <c r="D242" s="31" t="s">
        <v>246</v>
      </c>
      <c r="F242" s="221">
        <f t="shared" ref="F242:K242" si="111">F903</f>
        <v>292657.73</v>
      </c>
      <c r="G242" s="221">
        <f t="shared" si="111"/>
        <v>244418.85</v>
      </c>
      <c r="H242" s="221">
        <f t="shared" si="111"/>
        <v>215764.83000000002</v>
      </c>
      <c r="I242" s="221">
        <f t="shared" si="111"/>
        <v>207835.26</v>
      </c>
      <c r="J242" s="221">
        <f t="shared" si="111"/>
        <v>199084.76</v>
      </c>
      <c r="K242" s="221">
        <f t="shared" si="111"/>
        <v>200732.7</v>
      </c>
      <c r="L242" s="221">
        <f>SUM(F242:K242)</f>
        <v>1360494.13</v>
      </c>
      <c r="M242" s="31"/>
      <c r="N242" s="31"/>
      <c r="O242" s="31"/>
      <c r="P242" s="31"/>
      <c r="Q242" s="31"/>
    </row>
    <row r="243" spans="1:17" x14ac:dyDescent="0.35">
      <c r="C243" s="50"/>
      <c r="F243" s="38"/>
      <c r="H243" s="38"/>
      <c r="J243" s="38"/>
      <c r="M243" s="31"/>
      <c r="N243" s="31"/>
      <c r="O243" s="31"/>
      <c r="P243" s="31"/>
      <c r="Q243" s="31"/>
    </row>
    <row r="244" spans="1:17" x14ac:dyDescent="0.35">
      <c r="A244" s="31">
        <f>A242+1</f>
        <v>26</v>
      </c>
      <c r="B244" s="31" t="str">
        <f>Input!A51</f>
        <v>DS</v>
      </c>
      <c r="C244" s="31" t="str">
        <f>Input!B51</f>
        <v>GTS Delivery Service - Industrial</v>
      </c>
      <c r="F244" s="38"/>
      <c r="H244" s="38"/>
      <c r="J244" s="38"/>
      <c r="M244" s="31"/>
      <c r="N244" s="31"/>
      <c r="O244" s="31"/>
      <c r="P244" s="31"/>
      <c r="Q244" s="31"/>
    </row>
    <row r="245" spans="1:17" x14ac:dyDescent="0.35">
      <c r="A245" s="31">
        <f>A244+1</f>
        <v>27</v>
      </c>
      <c r="C245" s="50" t="s">
        <v>175</v>
      </c>
      <c r="F245" s="36">
        <f t="shared" ref="F245:K245" si="112">F909</f>
        <v>40</v>
      </c>
      <c r="G245" s="36">
        <f t="shared" si="112"/>
        <v>40</v>
      </c>
      <c r="H245" s="36">
        <f t="shared" si="112"/>
        <v>40</v>
      </c>
      <c r="I245" s="36">
        <f t="shared" si="112"/>
        <v>40</v>
      </c>
      <c r="J245" s="36">
        <f t="shared" si="112"/>
        <v>40</v>
      </c>
      <c r="K245" s="36">
        <f t="shared" si="112"/>
        <v>40</v>
      </c>
      <c r="L245" s="36">
        <f>SUM(F245:K245)</f>
        <v>240</v>
      </c>
      <c r="M245" s="31"/>
      <c r="N245" s="31"/>
      <c r="O245" s="31"/>
      <c r="P245" s="31"/>
      <c r="Q245" s="31"/>
    </row>
    <row r="246" spans="1:17" x14ac:dyDescent="0.35">
      <c r="A246" s="31">
        <f>A245+1</f>
        <v>28</v>
      </c>
      <c r="C246" s="50" t="s">
        <v>176</v>
      </c>
      <c r="D246" s="31" t="s">
        <v>29</v>
      </c>
      <c r="F246" s="37">
        <f t="shared" ref="F246:K246" si="113">F916</f>
        <v>587784.19999999995</v>
      </c>
      <c r="G246" s="37">
        <f t="shared" si="113"/>
        <v>496091</v>
      </c>
      <c r="H246" s="37">
        <f t="shared" si="113"/>
        <v>461578.39999999997</v>
      </c>
      <c r="I246" s="37">
        <f t="shared" si="113"/>
        <v>415108.5</v>
      </c>
      <c r="J246" s="37">
        <f t="shared" si="113"/>
        <v>272022.8</v>
      </c>
      <c r="K246" s="37">
        <f t="shared" si="113"/>
        <v>418879.3</v>
      </c>
      <c r="L246" s="37">
        <f>SUM(F246:K246)</f>
        <v>2651464.1999999997</v>
      </c>
      <c r="M246" s="31"/>
      <c r="N246" s="31"/>
      <c r="O246" s="31"/>
      <c r="P246" s="31"/>
      <c r="Q246" s="31"/>
    </row>
    <row r="247" spans="1:17" x14ac:dyDescent="0.35">
      <c r="A247" s="31">
        <f>A246+1</f>
        <v>29</v>
      </c>
      <c r="C247" s="50" t="s">
        <v>177</v>
      </c>
      <c r="D247" s="31" t="s">
        <v>28</v>
      </c>
      <c r="F247" s="221">
        <f t="shared" ref="F247:K247" si="114">F923</f>
        <v>487830.74</v>
      </c>
      <c r="G247" s="221">
        <f t="shared" si="114"/>
        <v>459467.24000000005</v>
      </c>
      <c r="H247" s="221">
        <f t="shared" si="114"/>
        <v>444954.14</v>
      </c>
      <c r="I247" s="221">
        <f t="shared" si="114"/>
        <v>420221.85</v>
      </c>
      <c r="J247" s="221">
        <f t="shared" si="114"/>
        <v>345228.75</v>
      </c>
      <c r="K247" s="221">
        <f t="shared" si="114"/>
        <v>425180.66000000003</v>
      </c>
      <c r="L247" s="221">
        <f>SUM(F247:K247)</f>
        <v>2582883.3800000004</v>
      </c>
      <c r="M247" s="31"/>
      <c r="N247" s="31"/>
      <c r="O247" s="31"/>
      <c r="P247" s="31"/>
      <c r="Q247" s="31"/>
    </row>
    <row r="248" spans="1:17" x14ac:dyDescent="0.35">
      <c r="A248" s="31">
        <f>A247+1</f>
        <v>30</v>
      </c>
      <c r="C248" s="50" t="s">
        <v>178</v>
      </c>
      <c r="D248" s="31" t="s">
        <v>28</v>
      </c>
      <c r="F248" s="221">
        <f t="shared" ref="F248:K248" si="115">F924</f>
        <v>0</v>
      </c>
      <c r="G248" s="221">
        <f t="shared" si="115"/>
        <v>0</v>
      </c>
      <c r="H248" s="221">
        <f t="shared" si="115"/>
        <v>0</v>
      </c>
      <c r="I248" s="221">
        <f t="shared" si="115"/>
        <v>0</v>
      </c>
      <c r="J248" s="221">
        <f t="shared" si="115"/>
        <v>0</v>
      </c>
      <c r="K248" s="221">
        <f t="shared" si="115"/>
        <v>0</v>
      </c>
      <c r="L248" s="221">
        <f>SUM(F248:K248)</f>
        <v>0</v>
      </c>
      <c r="M248" s="31"/>
      <c r="N248" s="31"/>
      <c r="O248" s="31"/>
      <c r="P248" s="31"/>
      <c r="Q248" s="31"/>
    </row>
    <row r="249" spans="1:17" x14ac:dyDescent="0.35">
      <c r="A249" s="31">
        <f>A248+1</f>
        <v>31</v>
      </c>
      <c r="C249" s="50" t="s">
        <v>179</v>
      </c>
      <c r="D249" s="31" t="s">
        <v>246</v>
      </c>
      <c r="F249" s="221">
        <f t="shared" ref="F249:K249" si="116">F926</f>
        <v>487830.74</v>
      </c>
      <c r="G249" s="221">
        <f t="shared" si="116"/>
        <v>459467.24000000005</v>
      </c>
      <c r="H249" s="221">
        <f t="shared" si="116"/>
        <v>444954.14</v>
      </c>
      <c r="I249" s="221">
        <f t="shared" si="116"/>
        <v>420221.85</v>
      </c>
      <c r="J249" s="221">
        <f t="shared" si="116"/>
        <v>345228.75</v>
      </c>
      <c r="K249" s="221">
        <f t="shared" si="116"/>
        <v>425180.66000000003</v>
      </c>
      <c r="L249" s="221">
        <f>SUM(F249:K249)</f>
        <v>2582883.3800000004</v>
      </c>
      <c r="M249" s="31"/>
      <c r="N249" s="31"/>
      <c r="O249" s="31"/>
      <c r="P249" s="31"/>
      <c r="Q249" s="31"/>
    </row>
    <row r="250" spans="1:17" x14ac:dyDescent="0.35">
      <c r="F250" s="38"/>
      <c r="H250" s="38"/>
      <c r="J250" s="38"/>
      <c r="M250" s="31"/>
      <c r="N250" s="31"/>
      <c r="O250" s="31"/>
      <c r="P250" s="31"/>
      <c r="Q250" s="31"/>
    </row>
    <row r="251" spans="1:17" x14ac:dyDescent="0.35">
      <c r="A251" s="31">
        <f>A249+1</f>
        <v>32</v>
      </c>
      <c r="B251" s="31" t="str">
        <f>Input!A52</f>
        <v>GDS</v>
      </c>
      <c r="C251" s="31" t="str">
        <f>Input!B52</f>
        <v>GTS Grandfathered Delivery Service - Commercial</v>
      </c>
      <c r="F251" s="38"/>
      <c r="H251" s="38"/>
      <c r="J251" s="38"/>
      <c r="M251" s="31"/>
      <c r="N251" s="31"/>
      <c r="O251" s="31"/>
      <c r="P251" s="31"/>
      <c r="Q251" s="31"/>
    </row>
    <row r="252" spans="1:17" x14ac:dyDescent="0.35">
      <c r="A252" s="31">
        <f>A251+1</f>
        <v>33</v>
      </c>
      <c r="C252" s="50" t="s">
        <v>175</v>
      </c>
      <c r="F252" s="36">
        <f t="shared" ref="F252:K252" si="117">F932</f>
        <v>16</v>
      </c>
      <c r="G252" s="36">
        <f t="shared" si="117"/>
        <v>16</v>
      </c>
      <c r="H252" s="36">
        <f t="shared" si="117"/>
        <v>16</v>
      </c>
      <c r="I252" s="36">
        <f t="shared" si="117"/>
        <v>16</v>
      </c>
      <c r="J252" s="36">
        <f t="shared" si="117"/>
        <v>16</v>
      </c>
      <c r="K252" s="36">
        <f t="shared" si="117"/>
        <v>16</v>
      </c>
      <c r="L252" s="36">
        <f>SUM(F252:K252)</f>
        <v>96</v>
      </c>
      <c r="M252" s="31"/>
      <c r="N252" s="31"/>
      <c r="O252" s="31"/>
      <c r="P252" s="31"/>
      <c r="Q252" s="31"/>
    </row>
    <row r="253" spans="1:17" x14ac:dyDescent="0.35">
      <c r="A253" s="31">
        <f>A252+1</f>
        <v>34</v>
      </c>
      <c r="C253" s="50" t="s">
        <v>176</v>
      </c>
      <c r="D253" s="31" t="s">
        <v>29</v>
      </c>
      <c r="F253" s="37">
        <f t="shared" ref="F253:K253" si="118">F940</f>
        <v>89268.4</v>
      </c>
      <c r="G253" s="37">
        <f t="shared" si="118"/>
        <v>32253.1</v>
      </c>
      <c r="H253" s="37">
        <f t="shared" si="118"/>
        <v>27215.9</v>
      </c>
      <c r="I253" s="37">
        <f t="shared" si="118"/>
        <v>26124.5</v>
      </c>
      <c r="J253" s="37">
        <f t="shared" si="118"/>
        <v>23189.200000000001</v>
      </c>
      <c r="K253" s="37">
        <f t="shared" si="118"/>
        <v>27514.799999999999</v>
      </c>
      <c r="L253" s="37">
        <f>SUM(F253:K253)</f>
        <v>225565.9</v>
      </c>
      <c r="M253" s="31"/>
      <c r="N253" s="31"/>
      <c r="O253" s="31"/>
      <c r="P253" s="31"/>
      <c r="Q253" s="31"/>
    </row>
    <row r="254" spans="1:17" x14ac:dyDescent="0.35">
      <c r="A254" s="31">
        <f>A253+1</f>
        <v>35</v>
      </c>
      <c r="C254" s="50" t="s">
        <v>177</v>
      </c>
      <c r="D254" s="31" t="s">
        <v>28</v>
      </c>
      <c r="F254" s="221">
        <f t="shared" ref="F254:K254" si="119">F948</f>
        <v>199887.38999999998</v>
      </c>
      <c r="G254" s="221">
        <f t="shared" si="119"/>
        <v>76122.679999999993</v>
      </c>
      <c r="H254" s="221">
        <f t="shared" si="119"/>
        <v>64874.649999999994</v>
      </c>
      <c r="I254" s="221">
        <f t="shared" si="119"/>
        <v>62295.67</v>
      </c>
      <c r="J254" s="221">
        <f t="shared" si="119"/>
        <v>55571.15</v>
      </c>
      <c r="K254" s="221">
        <f t="shared" si="119"/>
        <v>64984.710000000006</v>
      </c>
      <c r="L254" s="221">
        <f>SUM(F254:K254)</f>
        <v>523736.25</v>
      </c>
      <c r="M254" s="31"/>
      <c r="N254" s="31"/>
      <c r="O254" s="31"/>
      <c r="P254" s="31"/>
      <c r="Q254" s="31"/>
    </row>
    <row r="255" spans="1:17" x14ac:dyDescent="0.35">
      <c r="A255" s="31">
        <f>A254+1</f>
        <v>36</v>
      </c>
      <c r="C255" s="50" t="s">
        <v>178</v>
      </c>
      <c r="D255" s="31" t="s">
        <v>28</v>
      </c>
      <c r="F255" s="221">
        <f t="shared" ref="F255:K255" si="120">F950</f>
        <v>0</v>
      </c>
      <c r="G255" s="221">
        <f t="shared" si="120"/>
        <v>0</v>
      </c>
      <c r="H255" s="221">
        <f t="shared" si="120"/>
        <v>0</v>
      </c>
      <c r="I255" s="221">
        <f t="shared" si="120"/>
        <v>0</v>
      </c>
      <c r="J255" s="221">
        <f t="shared" si="120"/>
        <v>0</v>
      </c>
      <c r="K255" s="221">
        <f t="shared" si="120"/>
        <v>0</v>
      </c>
      <c r="L255" s="221">
        <f>SUM(F255:K255)</f>
        <v>0</v>
      </c>
      <c r="M255" s="31"/>
      <c r="N255" s="31"/>
      <c r="O255" s="31"/>
      <c r="P255" s="31"/>
      <c r="Q255" s="31"/>
    </row>
    <row r="256" spans="1:17" x14ac:dyDescent="0.35">
      <c r="A256" s="31">
        <f>A255+1</f>
        <v>37</v>
      </c>
      <c r="C256" s="50" t="s">
        <v>179</v>
      </c>
      <c r="D256" s="31" t="s">
        <v>246</v>
      </c>
      <c r="F256" s="221">
        <f t="shared" ref="F256:K256" si="121">F952</f>
        <v>199887.38999999998</v>
      </c>
      <c r="G256" s="221">
        <f t="shared" si="121"/>
        <v>76122.679999999993</v>
      </c>
      <c r="H256" s="221">
        <f t="shared" si="121"/>
        <v>64874.649999999994</v>
      </c>
      <c r="I256" s="221">
        <f t="shared" si="121"/>
        <v>62295.67</v>
      </c>
      <c r="J256" s="221">
        <f t="shared" si="121"/>
        <v>55571.15</v>
      </c>
      <c r="K256" s="221">
        <f t="shared" si="121"/>
        <v>64984.710000000006</v>
      </c>
      <c r="L256" s="221">
        <f>SUM(F256:K256)</f>
        <v>523736.25</v>
      </c>
      <c r="M256" s="31"/>
      <c r="N256" s="31"/>
      <c r="O256" s="31"/>
      <c r="P256" s="31"/>
      <c r="Q256" s="31"/>
    </row>
    <row r="257" spans="1:18" x14ac:dyDescent="0.35">
      <c r="F257" s="38"/>
      <c r="H257" s="38"/>
      <c r="J257" s="38"/>
      <c r="M257" s="31"/>
      <c r="N257" s="31"/>
      <c r="O257" s="31"/>
      <c r="P257" s="31"/>
      <c r="Q257" s="31"/>
    </row>
    <row r="258" spans="1:18" x14ac:dyDescent="0.35">
      <c r="A258" s="31">
        <f>A256+1</f>
        <v>38</v>
      </c>
      <c r="B258" s="31" t="str">
        <f>Input!A53</f>
        <v>GDS</v>
      </c>
      <c r="C258" s="31" t="str">
        <f>Input!B53</f>
        <v>GTS Grandfathered Delivery Service - Industrial</v>
      </c>
      <c r="F258" s="38"/>
      <c r="H258" s="38"/>
      <c r="J258" s="38"/>
      <c r="M258" s="31"/>
      <c r="N258" s="31"/>
      <c r="O258" s="31"/>
      <c r="P258" s="31"/>
      <c r="Q258" s="31"/>
    </row>
    <row r="259" spans="1:18" x14ac:dyDescent="0.35">
      <c r="A259" s="31">
        <f>A258+1</f>
        <v>39</v>
      </c>
      <c r="C259" s="50" t="s">
        <v>175</v>
      </c>
      <c r="F259" s="36">
        <f t="shared" ref="F259:K259" si="122">F979</f>
        <v>3</v>
      </c>
      <c r="G259" s="36">
        <f t="shared" si="122"/>
        <v>3</v>
      </c>
      <c r="H259" s="36">
        <f t="shared" si="122"/>
        <v>3</v>
      </c>
      <c r="I259" s="36">
        <f t="shared" si="122"/>
        <v>3</v>
      </c>
      <c r="J259" s="36">
        <f t="shared" si="122"/>
        <v>3</v>
      </c>
      <c r="K259" s="36">
        <f t="shared" si="122"/>
        <v>3</v>
      </c>
      <c r="L259" s="36">
        <f>SUM(F259:K259)</f>
        <v>18</v>
      </c>
      <c r="M259" s="31"/>
      <c r="N259" s="31"/>
      <c r="O259" s="31"/>
      <c r="P259" s="31"/>
      <c r="Q259" s="31"/>
    </row>
    <row r="260" spans="1:18" x14ac:dyDescent="0.35">
      <c r="A260" s="31">
        <f>A259+1</f>
        <v>40</v>
      </c>
      <c r="C260" s="50" t="s">
        <v>176</v>
      </c>
      <c r="D260" s="31" t="s">
        <v>29</v>
      </c>
      <c r="F260" s="37">
        <f t="shared" ref="F260:K260" si="123">F987</f>
        <v>7883.8</v>
      </c>
      <c r="G260" s="37">
        <f t="shared" si="123"/>
        <v>7203.6</v>
      </c>
      <c r="H260" s="37">
        <f t="shared" si="123"/>
        <v>2376</v>
      </c>
      <c r="I260" s="37">
        <f t="shared" si="123"/>
        <v>1268.3999999999999</v>
      </c>
      <c r="J260" s="37">
        <f t="shared" si="123"/>
        <v>1762.6</v>
      </c>
      <c r="K260" s="37">
        <f t="shared" si="123"/>
        <v>2562.6</v>
      </c>
      <c r="L260" s="37">
        <f>SUM(F260:K260)</f>
        <v>23057</v>
      </c>
      <c r="M260" s="31"/>
      <c r="N260" s="31"/>
      <c r="O260" s="31"/>
      <c r="P260" s="31"/>
      <c r="Q260" s="31"/>
    </row>
    <row r="261" spans="1:18" x14ac:dyDescent="0.35">
      <c r="A261" s="31">
        <f>A260+1</f>
        <v>41</v>
      </c>
      <c r="C261" s="50" t="s">
        <v>177</v>
      </c>
      <c r="D261" s="31" t="s">
        <v>28</v>
      </c>
      <c r="F261" s="221">
        <f t="shared" ref="F261:K261" si="124">F995</f>
        <v>18265.66</v>
      </c>
      <c r="G261" s="221">
        <f t="shared" si="124"/>
        <v>16789.62</v>
      </c>
      <c r="H261" s="221">
        <f t="shared" si="124"/>
        <v>6144.68</v>
      </c>
      <c r="I261" s="221">
        <f t="shared" si="124"/>
        <v>3524.62</v>
      </c>
      <c r="J261" s="221">
        <f t="shared" si="124"/>
        <v>4703.58</v>
      </c>
      <c r="K261" s="221">
        <f t="shared" si="124"/>
        <v>6549.0399999999991</v>
      </c>
      <c r="L261" s="221">
        <f>SUM(F261:K261)</f>
        <v>55977.200000000004</v>
      </c>
      <c r="M261" s="31"/>
      <c r="N261" s="31"/>
      <c r="O261" s="31"/>
      <c r="P261" s="31"/>
      <c r="Q261" s="31"/>
    </row>
    <row r="262" spans="1:18" x14ac:dyDescent="0.35">
      <c r="A262" s="31">
        <f>A261+1</f>
        <v>42</v>
      </c>
      <c r="C262" s="50" t="s">
        <v>178</v>
      </c>
      <c r="D262" s="31" t="s">
        <v>28</v>
      </c>
      <c r="F262" s="221">
        <f t="shared" ref="F262:K262" si="125">F997</f>
        <v>0</v>
      </c>
      <c r="G262" s="221">
        <f t="shared" si="125"/>
        <v>0</v>
      </c>
      <c r="H262" s="221">
        <f t="shared" si="125"/>
        <v>0</v>
      </c>
      <c r="I262" s="221">
        <f t="shared" si="125"/>
        <v>0</v>
      </c>
      <c r="J262" s="221">
        <f t="shared" si="125"/>
        <v>0</v>
      </c>
      <c r="K262" s="221">
        <f t="shared" si="125"/>
        <v>0</v>
      </c>
      <c r="L262" s="221">
        <f>SUM(F262:K262)</f>
        <v>0</v>
      </c>
      <c r="M262" s="31"/>
      <c r="N262" s="31"/>
      <c r="O262" s="31"/>
      <c r="P262" s="31"/>
      <c r="Q262" s="31"/>
    </row>
    <row r="263" spans="1:18" x14ac:dyDescent="0.35">
      <c r="A263" s="31">
        <f>A262+1</f>
        <v>43</v>
      </c>
      <c r="C263" s="50" t="s">
        <v>179</v>
      </c>
      <c r="D263" s="31" t="s">
        <v>246</v>
      </c>
      <c r="F263" s="221">
        <f t="shared" ref="F263:K263" si="126">F999</f>
        <v>18265.66</v>
      </c>
      <c r="G263" s="221">
        <f t="shared" si="126"/>
        <v>16789.62</v>
      </c>
      <c r="H263" s="221">
        <f t="shared" si="126"/>
        <v>6144.68</v>
      </c>
      <c r="I263" s="221">
        <f t="shared" si="126"/>
        <v>3524.62</v>
      </c>
      <c r="J263" s="221">
        <f t="shared" si="126"/>
        <v>4703.58</v>
      </c>
      <c r="K263" s="221">
        <f t="shared" si="126"/>
        <v>6549.0399999999991</v>
      </c>
      <c r="L263" s="221">
        <f>SUM(F263:K263)</f>
        <v>55977.200000000004</v>
      </c>
      <c r="M263" s="31"/>
      <c r="N263" s="31"/>
      <c r="O263" s="31"/>
      <c r="P263" s="31"/>
      <c r="Q263" s="31"/>
    </row>
    <row r="264" spans="1:18" x14ac:dyDescent="0.35">
      <c r="H264" s="38"/>
      <c r="R264" s="38"/>
    </row>
    <row r="265" spans="1:18" x14ac:dyDescent="0.35">
      <c r="A265" s="31">
        <f>A263+1</f>
        <v>44</v>
      </c>
      <c r="B265" s="31" t="str">
        <f>Input!A54</f>
        <v>DS3</v>
      </c>
      <c r="C265" s="31" t="str">
        <f>Input!B54</f>
        <v>GTS Main Line Service - Industrial</v>
      </c>
      <c r="F265" s="38"/>
      <c r="H265" s="38"/>
      <c r="J265" s="38"/>
      <c r="R265" s="38"/>
    </row>
    <row r="266" spans="1:18" x14ac:dyDescent="0.35">
      <c r="A266" s="31">
        <f>A265+1</f>
        <v>45</v>
      </c>
      <c r="C266" s="50" t="s">
        <v>175</v>
      </c>
      <c r="F266" s="36">
        <f t="shared" ref="F266:K266" si="127">F1006</f>
        <v>3</v>
      </c>
      <c r="G266" s="36">
        <f t="shared" si="127"/>
        <v>3</v>
      </c>
      <c r="H266" s="36">
        <f t="shared" si="127"/>
        <v>3</v>
      </c>
      <c r="I266" s="36">
        <f t="shared" si="127"/>
        <v>3</v>
      </c>
      <c r="J266" s="36">
        <f t="shared" si="127"/>
        <v>3</v>
      </c>
      <c r="K266" s="36">
        <f t="shared" si="127"/>
        <v>3</v>
      </c>
      <c r="L266" s="36">
        <f>SUM(F266:K266)</f>
        <v>18</v>
      </c>
      <c r="R266" s="38"/>
    </row>
    <row r="267" spans="1:18" x14ac:dyDescent="0.35">
      <c r="A267" s="31">
        <f>A266+1</f>
        <v>46</v>
      </c>
      <c r="C267" s="50" t="s">
        <v>176</v>
      </c>
      <c r="D267" s="31" t="s">
        <v>29</v>
      </c>
      <c r="F267" s="37">
        <f t="shared" ref="F267:K267" si="128">F1009</f>
        <v>45000</v>
      </c>
      <c r="G267" s="37">
        <f t="shared" si="128"/>
        <v>42300</v>
      </c>
      <c r="H267" s="37">
        <f t="shared" si="128"/>
        <v>40400</v>
      </c>
      <c r="I267" s="37">
        <f t="shared" si="128"/>
        <v>42600</v>
      </c>
      <c r="J267" s="37">
        <f t="shared" si="128"/>
        <v>45000</v>
      </c>
      <c r="K267" s="37">
        <f t="shared" si="128"/>
        <v>38500</v>
      </c>
      <c r="L267" s="37">
        <f>SUM(F267:K267)</f>
        <v>253800</v>
      </c>
      <c r="R267" s="38"/>
    </row>
    <row r="268" spans="1:18" x14ac:dyDescent="0.35">
      <c r="A268" s="31">
        <f>A267+1</f>
        <v>47</v>
      </c>
      <c r="C268" s="50" t="s">
        <v>177</v>
      </c>
      <c r="D268" s="31" t="s">
        <v>28</v>
      </c>
      <c r="F268" s="221">
        <f t="shared" ref="F268:K268" si="129">F1012</f>
        <v>4681.83</v>
      </c>
      <c r="G268" s="221">
        <f t="shared" si="129"/>
        <v>4447.74</v>
      </c>
      <c r="H268" s="221">
        <f t="shared" si="129"/>
        <v>4283.01</v>
      </c>
      <c r="I268" s="221">
        <f t="shared" si="129"/>
        <v>4473.75</v>
      </c>
      <c r="J268" s="221">
        <f t="shared" si="129"/>
        <v>4681.83</v>
      </c>
      <c r="K268" s="221">
        <f t="shared" si="129"/>
        <v>4118.28</v>
      </c>
      <c r="L268" s="221">
        <f>SUM(F268:K268)</f>
        <v>26686.440000000002</v>
      </c>
      <c r="R268" s="38"/>
    </row>
    <row r="269" spans="1:18" x14ac:dyDescent="0.35">
      <c r="A269" s="31">
        <f>A268+1</f>
        <v>48</v>
      </c>
      <c r="C269" s="50" t="s">
        <v>178</v>
      </c>
      <c r="D269" s="31" t="s">
        <v>28</v>
      </c>
      <c r="F269" s="221">
        <f t="shared" ref="F269:K269" si="130">F1014</f>
        <v>0</v>
      </c>
      <c r="G269" s="221">
        <f t="shared" si="130"/>
        <v>0</v>
      </c>
      <c r="H269" s="221">
        <f t="shared" si="130"/>
        <v>0</v>
      </c>
      <c r="I269" s="221">
        <f t="shared" si="130"/>
        <v>0</v>
      </c>
      <c r="J269" s="221">
        <f t="shared" si="130"/>
        <v>0</v>
      </c>
      <c r="K269" s="221">
        <f t="shared" si="130"/>
        <v>0</v>
      </c>
      <c r="L269" s="221">
        <f>SUM(F269:K269)</f>
        <v>0</v>
      </c>
      <c r="R269" s="38"/>
    </row>
    <row r="270" spans="1:18" x14ac:dyDescent="0.35">
      <c r="A270" s="31">
        <f>A269+1</f>
        <v>49</v>
      </c>
      <c r="C270" s="50" t="s">
        <v>179</v>
      </c>
      <c r="D270" s="31" t="s">
        <v>246</v>
      </c>
      <c r="F270" s="221">
        <f t="shared" ref="F270:K270" si="131">F1016</f>
        <v>4681.83</v>
      </c>
      <c r="G270" s="221">
        <f t="shared" si="131"/>
        <v>4447.74</v>
      </c>
      <c r="H270" s="221">
        <f t="shared" si="131"/>
        <v>4283.01</v>
      </c>
      <c r="I270" s="221">
        <f t="shared" si="131"/>
        <v>4473.75</v>
      </c>
      <c r="J270" s="221">
        <f t="shared" si="131"/>
        <v>4681.83</v>
      </c>
      <c r="K270" s="221">
        <f t="shared" si="131"/>
        <v>4118.28</v>
      </c>
      <c r="L270" s="221">
        <f>SUM(F270:K270)</f>
        <v>26686.440000000002</v>
      </c>
      <c r="R270" s="38"/>
    </row>
    <row r="271" spans="1:18" x14ac:dyDescent="0.35">
      <c r="H271" s="38"/>
      <c r="R271" s="38"/>
    </row>
    <row r="272" spans="1:18" x14ac:dyDescent="0.35">
      <c r="A272" s="31">
        <f>A270+1</f>
        <v>50</v>
      </c>
      <c r="B272" s="31" t="str">
        <f>Input!A55</f>
        <v>FX1</v>
      </c>
      <c r="C272" s="31" t="str">
        <f>Input!B55</f>
        <v>GTS Flex Rate - Commercial</v>
      </c>
      <c r="F272" s="38"/>
      <c r="H272" s="38"/>
      <c r="J272" s="38"/>
      <c r="R272" s="38"/>
    </row>
    <row r="273" spans="1:18" x14ac:dyDescent="0.35">
      <c r="A273" s="31">
        <f>A272+1</f>
        <v>51</v>
      </c>
      <c r="C273" s="50" t="s">
        <v>175</v>
      </c>
      <c r="F273" s="36">
        <f t="shared" ref="F273:K273" si="132">F1023</f>
        <v>0</v>
      </c>
      <c r="G273" s="36">
        <f t="shared" si="132"/>
        <v>0</v>
      </c>
      <c r="H273" s="36">
        <f t="shared" si="132"/>
        <v>0</v>
      </c>
      <c r="I273" s="36">
        <f t="shared" si="132"/>
        <v>0</v>
      </c>
      <c r="J273" s="36">
        <f t="shared" si="132"/>
        <v>0</v>
      </c>
      <c r="K273" s="36">
        <f t="shared" si="132"/>
        <v>0</v>
      </c>
      <c r="L273" s="36">
        <f>SUM(F273:K273)</f>
        <v>0</v>
      </c>
      <c r="R273" s="38"/>
    </row>
    <row r="274" spans="1:18" x14ac:dyDescent="0.35">
      <c r="A274" s="31">
        <f>A273+1</f>
        <v>52</v>
      </c>
      <c r="C274" s="50" t="s">
        <v>176</v>
      </c>
      <c r="D274" s="31" t="s">
        <v>29</v>
      </c>
      <c r="F274" s="37">
        <f t="shared" ref="F274:K274" si="133">F1026</f>
        <v>0</v>
      </c>
      <c r="G274" s="37">
        <f t="shared" si="133"/>
        <v>0</v>
      </c>
      <c r="H274" s="37">
        <f t="shared" si="133"/>
        <v>0</v>
      </c>
      <c r="I274" s="37">
        <f t="shared" si="133"/>
        <v>0</v>
      </c>
      <c r="J274" s="37">
        <f t="shared" si="133"/>
        <v>0</v>
      </c>
      <c r="K274" s="37">
        <f t="shared" si="133"/>
        <v>0</v>
      </c>
      <c r="L274" s="37">
        <f>SUM(F274:K274)</f>
        <v>0</v>
      </c>
      <c r="R274" s="38"/>
    </row>
    <row r="275" spans="1:18" x14ac:dyDescent="0.35">
      <c r="A275" s="31">
        <f>A274+1</f>
        <v>53</v>
      </c>
      <c r="C275" s="50" t="s">
        <v>177</v>
      </c>
      <c r="D275" s="31" t="s">
        <v>28</v>
      </c>
      <c r="F275" s="221">
        <f t="shared" ref="F275:K275" si="134">F1029</f>
        <v>0</v>
      </c>
      <c r="G275" s="221">
        <f t="shared" si="134"/>
        <v>0</v>
      </c>
      <c r="H275" s="221">
        <f t="shared" si="134"/>
        <v>0</v>
      </c>
      <c r="I275" s="221">
        <f t="shared" si="134"/>
        <v>0</v>
      </c>
      <c r="J275" s="221">
        <f t="shared" si="134"/>
        <v>0</v>
      </c>
      <c r="K275" s="221">
        <f t="shared" si="134"/>
        <v>0</v>
      </c>
      <c r="L275" s="221">
        <f>SUM(F275:K275)</f>
        <v>0</v>
      </c>
      <c r="R275" s="38"/>
    </row>
    <row r="276" spans="1:18" x14ac:dyDescent="0.35">
      <c r="A276" s="31">
        <f>A275+1</f>
        <v>54</v>
      </c>
      <c r="C276" s="50" t="s">
        <v>178</v>
      </c>
      <c r="D276" s="31" t="s">
        <v>28</v>
      </c>
      <c r="F276" s="221">
        <f t="shared" ref="F276:K276" si="135">F1031</f>
        <v>0</v>
      </c>
      <c r="G276" s="221">
        <f t="shared" si="135"/>
        <v>0</v>
      </c>
      <c r="H276" s="221">
        <f t="shared" si="135"/>
        <v>0</v>
      </c>
      <c r="I276" s="221">
        <f t="shared" si="135"/>
        <v>0</v>
      </c>
      <c r="J276" s="221">
        <f t="shared" si="135"/>
        <v>0</v>
      </c>
      <c r="K276" s="221">
        <f t="shared" si="135"/>
        <v>0</v>
      </c>
      <c r="L276" s="221">
        <f>SUM(F276:K276)</f>
        <v>0</v>
      </c>
      <c r="R276" s="38"/>
    </row>
    <row r="277" spans="1:18" x14ac:dyDescent="0.35">
      <c r="A277" s="31">
        <f>A276+1</f>
        <v>55</v>
      </c>
      <c r="C277" s="50" t="s">
        <v>179</v>
      </c>
      <c r="D277" s="31" t="s">
        <v>246</v>
      </c>
      <c r="F277" s="221">
        <f t="shared" ref="F277:K277" si="136">F1033</f>
        <v>0</v>
      </c>
      <c r="G277" s="221">
        <f t="shared" si="136"/>
        <v>0</v>
      </c>
      <c r="H277" s="221">
        <f t="shared" si="136"/>
        <v>0</v>
      </c>
      <c r="I277" s="221">
        <f t="shared" si="136"/>
        <v>0</v>
      </c>
      <c r="J277" s="221">
        <f t="shared" si="136"/>
        <v>0</v>
      </c>
      <c r="K277" s="221">
        <f t="shared" si="136"/>
        <v>0</v>
      </c>
      <c r="L277" s="221">
        <f>SUM(F277:K277)</f>
        <v>0</v>
      </c>
      <c r="R277" s="38"/>
    </row>
    <row r="278" spans="1:18" x14ac:dyDescent="0.35">
      <c r="H278" s="38"/>
      <c r="R278" s="38"/>
    </row>
    <row r="279" spans="1:18" x14ac:dyDescent="0.35">
      <c r="H279" s="38"/>
      <c r="R279" s="38"/>
    </row>
    <row r="280" spans="1:18" x14ac:dyDescent="0.35">
      <c r="A280" s="31" t="str">
        <f>$A$131</f>
        <v>[1] Reflects forecasted volumes for March through August 2024.</v>
      </c>
    </row>
    <row r="281" spans="1:18" x14ac:dyDescent="0.35">
      <c r="A281" s="300" t="str">
        <f>$A$132</f>
        <v>[2] See Schedule M-2.2B Pages 6 through 15 for detail.</v>
      </c>
    </row>
    <row r="282" spans="1:18" ht="15.45" x14ac:dyDescent="0.4">
      <c r="A282" s="480" t="str">
        <f>CONAME</f>
        <v>Columbia Gas of Kentucky, Inc.</v>
      </c>
      <c r="B282" s="480"/>
      <c r="C282" s="480"/>
      <c r="D282" s="480"/>
      <c r="E282" s="480"/>
      <c r="F282" s="480"/>
      <c r="G282" s="480"/>
      <c r="H282" s="480"/>
      <c r="I282" s="480"/>
      <c r="J282" s="480"/>
      <c r="K282" s="480"/>
      <c r="L282" s="480"/>
      <c r="M282" s="89"/>
      <c r="N282" s="89"/>
      <c r="O282" s="89"/>
      <c r="P282" s="89"/>
      <c r="Q282" s="89"/>
      <c r="R282" s="89"/>
    </row>
    <row r="283" spans="1:18" ht="15.45" x14ac:dyDescent="0.4">
      <c r="A283" s="480" t="str">
        <f>case</f>
        <v>Case No. 2024-00092</v>
      </c>
      <c r="B283" s="480"/>
      <c r="C283" s="480"/>
      <c r="D283" s="480"/>
      <c r="E283" s="480"/>
      <c r="F283" s="480"/>
      <c r="G283" s="480"/>
      <c r="H283" s="480"/>
      <c r="I283" s="480"/>
      <c r="J283" s="480"/>
      <c r="K283" s="480"/>
      <c r="L283" s="480"/>
      <c r="M283" s="35"/>
      <c r="N283" s="35"/>
      <c r="O283" s="35"/>
      <c r="P283" s="35"/>
      <c r="Q283" s="35"/>
      <c r="R283" s="35"/>
    </row>
    <row r="284" spans="1:18" ht="15.45" x14ac:dyDescent="0.4">
      <c r="A284" s="480" t="s">
        <v>319</v>
      </c>
      <c r="B284" s="480"/>
      <c r="C284" s="480"/>
      <c r="D284" s="480"/>
      <c r="E284" s="480"/>
      <c r="F284" s="480"/>
      <c r="G284" s="480"/>
      <c r="H284" s="480"/>
      <c r="I284" s="480"/>
      <c r="J284" s="480"/>
      <c r="K284" s="480"/>
      <c r="L284" s="480"/>
      <c r="M284" s="110"/>
      <c r="N284" s="110"/>
      <c r="O284" s="110"/>
      <c r="P284" s="110"/>
      <c r="Q284" s="110"/>
      <c r="R284" s="110"/>
    </row>
    <row r="285" spans="1:18" ht="15.45" x14ac:dyDescent="0.4">
      <c r="A285" s="480" t="str">
        <f>TYDESC</f>
        <v>For the 6 Months Ended August 31, 2024</v>
      </c>
      <c r="B285" s="480"/>
      <c r="C285" s="480"/>
      <c r="D285" s="480"/>
      <c r="E285" s="480"/>
      <c r="F285" s="480"/>
      <c r="G285" s="480"/>
      <c r="H285" s="480"/>
      <c r="I285" s="480"/>
      <c r="J285" s="480"/>
      <c r="K285" s="480"/>
      <c r="L285" s="480"/>
      <c r="M285" s="89"/>
      <c r="N285" s="89"/>
      <c r="O285" s="89"/>
      <c r="P285" s="89"/>
      <c r="Q285" s="89"/>
      <c r="R285" s="89"/>
    </row>
    <row r="286" spans="1:18" ht="15.45" x14ac:dyDescent="0.4">
      <c r="A286" s="480" t="s">
        <v>46</v>
      </c>
      <c r="B286" s="480"/>
      <c r="C286" s="480"/>
      <c r="D286" s="480"/>
      <c r="E286" s="480"/>
      <c r="F286" s="480"/>
      <c r="G286" s="480"/>
      <c r="H286" s="480"/>
      <c r="I286" s="480"/>
      <c r="J286" s="480"/>
      <c r="K286" s="480"/>
      <c r="L286" s="480"/>
      <c r="M286" s="220"/>
      <c r="N286" s="220"/>
      <c r="O286" s="220"/>
      <c r="P286" s="220"/>
      <c r="Q286" s="220"/>
      <c r="R286" s="220"/>
    </row>
    <row r="287" spans="1:18" ht="15.45" x14ac:dyDescent="0.4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</row>
    <row r="288" spans="1:18" ht="15.45" x14ac:dyDescent="0.4">
      <c r="A288" s="35" t="s">
        <v>180</v>
      </c>
    </row>
    <row r="289" spans="1:18" ht="15.45" x14ac:dyDescent="0.4">
      <c r="A289" s="35" t="s">
        <v>181</v>
      </c>
      <c r="L289" s="40" t="str">
        <f>$L$55</f>
        <v>Schedule M-2.2B</v>
      </c>
    </row>
    <row r="290" spans="1:18" ht="15.45" x14ac:dyDescent="0.4">
      <c r="A290" s="35" t="str">
        <f>$A$56</f>
        <v>Work Paper Reference No(s): WPM-B.1, WPM-C.1, WPM-D.1</v>
      </c>
      <c r="L290" s="40" t="s">
        <v>324</v>
      </c>
    </row>
    <row r="291" spans="1:18" ht="15.45" x14ac:dyDescent="0.4">
      <c r="A291" s="320" t="str">
        <f>$A$57</f>
        <v>6 Mos Actual / 6 Mos Forecasted</v>
      </c>
      <c r="B291" s="321"/>
      <c r="C291" s="321"/>
      <c r="D291" s="321"/>
      <c r="E291" s="322"/>
      <c r="F291" s="321"/>
      <c r="G291" s="323"/>
      <c r="H291" s="324"/>
      <c r="I291" s="323"/>
      <c r="J291" s="325"/>
      <c r="K291" s="323"/>
      <c r="L291" s="326" t="str">
        <f>Witness</f>
        <v>Witness: J. C. Wozniak</v>
      </c>
    </row>
    <row r="292" spans="1:18" ht="15.45" x14ac:dyDescent="0.4">
      <c r="A292" s="327"/>
      <c r="B292" s="327"/>
      <c r="C292" s="327"/>
      <c r="D292" s="327"/>
      <c r="E292" s="89"/>
      <c r="F292" s="89"/>
      <c r="G292" s="89"/>
      <c r="H292" s="89"/>
      <c r="I292" s="89"/>
      <c r="J292" s="89"/>
      <c r="K292" s="89"/>
      <c r="L292" s="89"/>
      <c r="M292" s="327"/>
      <c r="N292" s="327"/>
      <c r="O292" s="327"/>
      <c r="P292" s="327"/>
      <c r="Q292" s="327"/>
      <c r="R292" s="327"/>
    </row>
    <row r="293" spans="1:18" ht="15.45" x14ac:dyDescent="0.4">
      <c r="A293" s="35"/>
    </row>
    <row r="294" spans="1:18" ht="15.45" x14ac:dyDescent="0.4">
      <c r="A294" s="32"/>
      <c r="B294" s="32"/>
      <c r="C294" s="32"/>
      <c r="D294" s="32"/>
      <c r="E294" s="33"/>
      <c r="F294" s="32"/>
      <c r="G294" s="41"/>
      <c r="H294" s="301"/>
      <c r="I294" s="41"/>
      <c r="J294" s="120"/>
      <c r="K294" s="41"/>
      <c r="L294" s="41"/>
      <c r="M294" s="41"/>
      <c r="N294" s="41"/>
      <c r="O294" s="41"/>
      <c r="P294" s="41"/>
      <c r="Q294" s="41"/>
      <c r="R294" s="32"/>
    </row>
    <row r="295" spans="1:18" ht="15.45" x14ac:dyDescent="0.4">
      <c r="A295" s="32"/>
      <c r="B295" s="32"/>
      <c r="C295" s="32"/>
      <c r="D295" s="32"/>
      <c r="E295" s="33" t="s">
        <v>52</v>
      </c>
      <c r="F295" s="41"/>
      <c r="G295" s="42"/>
      <c r="H295" s="41"/>
      <c r="I295" s="30"/>
      <c r="J295" s="41"/>
      <c r="K295" s="41"/>
      <c r="L295" s="41"/>
      <c r="M295" s="41"/>
      <c r="N295" s="41"/>
      <c r="O295" s="41"/>
      <c r="P295" s="32"/>
      <c r="Q295" s="32"/>
      <c r="R295" s="32"/>
    </row>
    <row r="296" spans="1:18" ht="15.45" x14ac:dyDescent="0.4">
      <c r="A296" s="32" t="s">
        <v>11</v>
      </c>
      <c r="B296" s="32" t="s">
        <v>10</v>
      </c>
      <c r="C296" s="32" t="s">
        <v>48</v>
      </c>
      <c r="D296" s="32"/>
      <c r="E296" s="33" t="s">
        <v>53</v>
      </c>
      <c r="F296" s="41"/>
      <c r="G296" s="42"/>
      <c r="H296" s="41"/>
      <c r="I296" s="30"/>
      <c r="J296" s="41"/>
      <c r="K296" s="41"/>
      <c r="L296" s="41"/>
      <c r="M296" s="41"/>
      <c r="N296" s="41"/>
      <c r="O296" s="41"/>
      <c r="P296" s="34"/>
      <c r="Q296" s="34"/>
      <c r="R296" s="34"/>
    </row>
    <row r="297" spans="1:18" ht="15.45" x14ac:dyDescent="0.4">
      <c r="A297" s="43" t="s">
        <v>13</v>
      </c>
      <c r="B297" s="43" t="s">
        <v>47</v>
      </c>
      <c r="C297" s="43" t="s">
        <v>14</v>
      </c>
      <c r="D297" s="43"/>
      <c r="E297" s="44" t="s">
        <v>54</v>
      </c>
      <c r="F297" s="45" t="str">
        <f>B!$D$13</f>
        <v>Mar-24</v>
      </c>
      <c r="G297" s="45" t="str">
        <f>B!$E$13</f>
        <v>Apr-24</v>
      </c>
      <c r="H297" s="45" t="str">
        <f>B!$F$13</f>
        <v>May-24</v>
      </c>
      <c r="I297" s="45" t="str">
        <f>B!$G$13</f>
        <v>Jun-24</v>
      </c>
      <c r="J297" s="45" t="str">
        <f>B!$H$13</f>
        <v>Jul-24</v>
      </c>
      <c r="K297" s="45" t="str">
        <f>B!$I$13</f>
        <v>Aug-24</v>
      </c>
      <c r="L297" s="45" t="s">
        <v>15</v>
      </c>
      <c r="M297" s="31"/>
      <c r="N297" s="31"/>
      <c r="O297" s="31"/>
      <c r="P297" s="31"/>
      <c r="Q297" s="31"/>
    </row>
    <row r="298" spans="1:18" ht="15.45" x14ac:dyDescent="0.4">
      <c r="A298" s="32"/>
      <c r="B298" s="34" t="s">
        <v>49</v>
      </c>
      <c r="C298" s="34" t="s">
        <v>50</v>
      </c>
      <c r="D298" s="34"/>
      <c r="E298" s="47" t="s">
        <v>51</v>
      </c>
      <c r="F298" s="48" t="s">
        <v>470</v>
      </c>
      <c r="G298" s="48" t="s">
        <v>471</v>
      </c>
      <c r="H298" s="48" t="s">
        <v>472</v>
      </c>
      <c r="I298" s="48" t="s">
        <v>473</v>
      </c>
      <c r="J298" s="48" t="s">
        <v>55</v>
      </c>
      <c r="K298" s="48" t="s">
        <v>56</v>
      </c>
      <c r="L298" s="48" t="s">
        <v>57</v>
      </c>
      <c r="M298" s="31"/>
      <c r="N298" s="31"/>
      <c r="O298" s="31"/>
      <c r="P298" s="31"/>
      <c r="Q298" s="31"/>
    </row>
    <row r="299" spans="1:18" ht="15.45" x14ac:dyDescent="0.4">
      <c r="F299" s="48"/>
      <c r="G299" s="48"/>
      <c r="H299" s="48"/>
      <c r="I299" s="48"/>
      <c r="J299" s="48"/>
      <c r="K299" s="48"/>
      <c r="L299" s="34"/>
      <c r="M299" s="31"/>
      <c r="N299" s="31"/>
      <c r="O299" s="31"/>
      <c r="P299" s="31"/>
      <c r="Q299" s="31"/>
    </row>
    <row r="300" spans="1:18" x14ac:dyDescent="0.35">
      <c r="F300" s="38"/>
      <c r="H300" s="38"/>
      <c r="J300" s="38"/>
      <c r="L300" s="31"/>
      <c r="M300" s="31"/>
      <c r="N300" s="31"/>
      <c r="O300" s="31"/>
      <c r="P300" s="31"/>
      <c r="Q300" s="31"/>
    </row>
    <row r="301" spans="1:18" ht="15.45" x14ac:dyDescent="0.4">
      <c r="A301" s="31">
        <v>1</v>
      </c>
      <c r="C301" s="49" t="s">
        <v>90</v>
      </c>
      <c r="D301" s="49"/>
      <c r="F301" s="38"/>
      <c r="H301" s="38"/>
      <c r="J301" s="38"/>
      <c r="L301" s="31"/>
      <c r="M301" s="31"/>
      <c r="N301" s="31"/>
      <c r="O301" s="31"/>
      <c r="P301" s="31"/>
      <c r="Q301" s="31"/>
    </row>
    <row r="302" spans="1:18" x14ac:dyDescent="0.35">
      <c r="F302" s="38"/>
      <c r="H302" s="38"/>
      <c r="J302" s="38"/>
      <c r="L302" s="31"/>
      <c r="M302" s="31"/>
      <c r="N302" s="31"/>
      <c r="O302" s="31"/>
      <c r="P302" s="31"/>
      <c r="Q302" s="31"/>
    </row>
    <row r="303" spans="1:18" x14ac:dyDescent="0.35">
      <c r="A303" s="31">
        <f>A301+1</f>
        <v>2</v>
      </c>
      <c r="B303" s="31" t="str">
        <f>Input!A56</f>
        <v>FX2</v>
      </c>
      <c r="C303" s="31" t="str">
        <f>Input!B56</f>
        <v>GTS Flex Rate - Commercial</v>
      </c>
      <c r="F303" s="38"/>
      <c r="H303" s="38"/>
      <c r="J303" s="38"/>
      <c r="M303" s="31"/>
      <c r="N303" s="31"/>
      <c r="O303" s="31"/>
      <c r="P303" s="31"/>
      <c r="Q303" s="31"/>
    </row>
    <row r="304" spans="1:18" x14ac:dyDescent="0.35">
      <c r="A304" s="31">
        <f>A303+1</f>
        <v>3</v>
      </c>
      <c r="C304" s="50" t="s">
        <v>175</v>
      </c>
      <c r="F304" s="36">
        <f t="shared" ref="F304:K304" si="137">F1060</f>
        <v>0</v>
      </c>
      <c r="G304" s="36">
        <f t="shared" si="137"/>
        <v>0</v>
      </c>
      <c r="H304" s="36">
        <f t="shared" si="137"/>
        <v>0</v>
      </c>
      <c r="I304" s="36">
        <f t="shared" si="137"/>
        <v>0</v>
      </c>
      <c r="J304" s="36">
        <f t="shared" si="137"/>
        <v>0</v>
      </c>
      <c r="K304" s="36">
        <f t="shared" si="137"/>
        <v>0</v>
      </c>
      <c r="L304" s="36">
        <f>SUM(F304:K304)</f>
        <v>0</v>
      </c>
      <c r="M304" s="31"/>
      <c r="N304" s="31"/>
      <c r="O304" s="31"/>
      <c r="P304" s="31"/>
      <c r="Q304" s="31"/>
    </row>
    <row r="305" spans="1:17" x14ac:dyDescent="0.35">
      <c r="A305" s="31">
        <f>A304+1</f>
        <v>4</v>
      </c>
      <c r="C305" s="50" t="s">
        <v>176</v>
      </c>
      <c r="D305" s="31" t="s">
        <v>29</v>
      </c>
      <c r="F305" s="37">
        <f t="shared" ref="F305:K305" si="138">F1063</f>
        <v>0</v>
      </c>
      <c r="G305" s="37">
        <f t="shared" si="138"/>
        <v>0</v>
      </c>
      <c r="H305" s="37">
        <f t="shared" si="138"/>
        <v>0</v>
      </c>
      <c r="I305" s="37">
        <f t="shared" si="138"/>
        <v>0</v>
      </c>
      <c r="J305" s="37">
        <f t="shared" si="138"/>
        <v>0</v>
      </c>
      <c r="K305" s="37">
        <f t="shared" si="138"/>
        <v>0</v>
      </c>
      <c r="L305" s="37">
        <f>SUM(F305:K305)</f>
        <v>0</v>
      </c>
      <c r="M305" s="31"/>
      <c r="N305" s="31"/>
      <c r="O305" s="31"/>
      <c r="P305" s="31"/>
      <c r="Q305" s="31"/>
    </row>
    <row r="306" spans="1:17" x14ac:dyDescent="0.35">
      <c r="A306" s="31">
        <f>A305+1</f>
        <v>5</v>
      </c>
      <c r="C306" s="50" t="s">
        <v>177</v>
      </c>
      <c r="D306" s="31" t="s">
        <v>28</v>
      </c>
      <c r="F306" s="221">
        <f t="shared" ref="F306:K306" si="139">F1066</f>
        <v>0</v>
      </c>
      <c r="G306" s="221">
        <f t="shared" si="139"/>
        <v>0</v>
      </c>
      <c r="H306" s="221">
        <f t="shared" si="139"/>
        <v>0</v>
      </c>
      <c r="I306" s="221">
        <f t="shared" si="139"/>
        <v>0</v>
      </c>
      <c r="J306" s="221">
        <f t="shared" si="139"/>
        <v>0</v>
      </c>
      <c r="K306" s="221">
        <f t="shared" si="139"/>
        <v>0</v>
      </c>
      <c r="L306" s="221">
        <f>SUM(F306:K306)</f>
        <v>0</v>
      </c>
      <c r="M306" s="31"/>
      <c r="N306" s="31"/>
      <c r="O306" s="31"/>
      <c r="P306" s="31"/>
      <c r="Q306" s="31"/>
    </row>
    <row r="307" spans="1:17" x14ac:dyDescent="0.35">
      <c r="A307" s="31">
        <f>A306+1</f>
        <v>6</v>
      </c>
      <c r="C307" s="50" t="s">
        <v>178</v>
      </c>
      <c r="D307" s="31" t="s">
        <v>28</v>
      </c>
      <c r="F307" s="221">
        <f t="shared" ref="F307:K307" si="140">F1068</f>
        <v>0</v>
      </c>
      <c r="G307" s="221">
        <f t="shared" si="140"/>
        <v>0</v>
      </c>
      <c r="H307" s="221">
        <f t="shared" si="140"/>
        <v>0</v>
      </c>
      <c r="I307" s="221">
        <f t="shared" si="140"/>
        <v>0</v>
      </c>
      <c r="J307" s="221">
        <f t="shared" si="140"/>
        <v>0</v>
      </c>
      <c r="K307" s="221">
        <f t="shared" si="140"/>
        <v>0</v>
      </c>
      <c r="L307" s="221">
        <f>SUM(F307:K307)</f>
        <v>0</v>
      </c>
      <c r="M307" s="31"/>
      <c r="N307" s="31"/>
      <c r="O307" s="31"/>
      <c r="P307" s="31"/>
      <c r="Q307" s="31"/>
    </row>
    <row r="308" spans="1:17" x14ac:dyDescent="0.35">
      <c r="A308" s="31">
        <f>A307+1</f>
        <v>7</v>
      </c>
      <c r="C308" s="50" t="s">
        <v>179</v>
      </c>
      <c r="D308" s="31" t="s">
        <v>246</v>
      </c>
      <c r="F308" s="221">
        <f t="shared" ref="F308:K308" si="141">F1070</f>
        <v>0</v>
      </c>
      <c r="G308" s="221">
        <f t="shared" si="141"/>
        <v>0</v>
      </c>
      <c r="H308" s="221">
        <f t="shared" si="141"/>
        <v>0</v>
      </c>
      <c r="I308" s="221">
        <f t="shared" si="141"/>
        <v>0</v>
      </c>
      <c r="J308" s="221">
        <f t="shared" si="141"/>
        <v>0</v>
      </c>
      <c r="K308" s="221">
        <f t="shared" si="141"/>
        <v>0</v>
      </c>
      <c r="L308" s="221">
        <f>SUM(F308:K308)</f>
        <v>0</v>
      </c>
      <c r="M308" s="31"/>
      <c r="N308" s="31"/>
      <c r="O308" s="31"/>
      <c r="P308" s="31"/>
      <c r="Q308" s="31"/>
    </row>
    <row r="309" spans="1:17" x14ac:dyDescent="0.35">
      <c r="F309" s="38"/>
      <c r="H309" s="38"/>
      <c r="J309" s="38"/>
      <c r="L309" s="31"/>
      <c r="M309" s="31"/>
      <c r="N309" s="31"/>
      <c r="O309" s="31"/>
      <c r="P309" s="31"/>
      <c r="Q309" s="31"/>
    </row>
    <row r="310" spans="1:17" x14ac:dyDescent="0.35">
      <c r="A310" s="31">
        <f>A308+1</f>
        <v>8</v>
      </c>
      <c r="B310" s="31" t="str">
        <f>Input!A57</f>
        <v>FX5</v>
      </c>
      <c r="C310" s="31" t="str">
        <f>Input!B57</f>
        <v>GTS Flex Rate - Industrial</v>
      </c>
      <c r="F310" s="38"/>
      <c r="H310" s="38"/>
      <c r="J310" s="38"/>
      <c r="M310" s="31"/>
      <c r="N310" s="31"/>
      <c r="O310" s="31"/>
      <c r="P310" s="31"/>
      <c r="Q310" s="31"/>
    </row>
    <row r="311" spans="1:17" x14ac:dyDescent="0.35">
      <c r="A311" s="31">
        <f>A310+1</f>
        <v>9</v>
      </c>
      <c r="C311" s="50" t="s">
        <v>175</v>
      </c>
      <c r="F311" s="36">
        <f t="shared" ref="F311:K311" si="142">F1077</f>
        <v>3</v>
      </c>
      <c r="G311" s="36">
        <f t="shared" si="142"/>
        <v>3</v>
      </c>
      <c r="H311" s="36">
        <f t="shared" si="142"/>
        <v>3</v>
      </c>
      <c r="I311" s="36">
        <f t="shared" si="142"/>
        <v>3</v>
      </c>
      <c r="J311" s="36">
        <f t="shared" si="142"/>
        <v>3</v>
      </c>
      <c r="K311" s="36">
        <f t="shared" si="142"/>
        <v>3</v>
      </c>
      <c r="L311" s="36">
        <f>SUM(F311:K311)</f>
        <v>18</v>
      </c>
      <c r="M311" s="31"/>
      <c r="N311" s="31"/>
      <c r="O311" s="31"/>
      <c r="P311" s="31"/>
      <c r="Q311" s="31"/>
    </row>
    <row r="312" spans="1:17" x14ac:dyDescent="0.35">
      <c r="A312" s="31">
        <f>A311+1</f>
        <v>10</v>
      </c>
      <c r="C312" s="50" t="s">
        <v>176</v>
      </c>
      <c r="D312" s="31" t="s">
        <v>29</v>
      </c>
      <c r="F312" s="37">
        <f t="shared" ref="F312:K312" si="143">F1080</f>
        <v>720564</v>
      </c>
      <c r="G312" s="37">
        <f t="shared" si="143"/>
        <v>649386.1</v>
      </c>
      <c r="H312" s="37">
        <f t="shared" si="143"/>
        <v>584428.4</v>
      </c>
      <c r="I312" s="37">
        <f t="shared" si="143"/>
        <v>487414.4</v>
      </c>
      <c r="J312" s="37">
        <f t="shared" si="143"/>
        <v>451586.7</v>
      </c>
      <c r="K312" s="37">
        <f t="shared" si="143"/>
        <v>525425.30000000005</v>
      </c>
      <c r="L312" s="37">
        <f>SUM(F312:K312)</f>
        <v>3418804.9000000004</v>
      </c>
      <c r="M312" s="31"/>
      <c r="N312" s="31"/>
      <c r="O312" s="31"/>
      <c r="P312" s="31"/>
      <c r="Q312" s="31"/>
    </row>
    <row r="313" spans="1:17" x14ac:dyDescent="0.35">
      <c r="A313" s="31">
        <f>A312+1</f>
        <v>11</v>
      </c>
      <c r="C313" s="50" t="s">
        <v>177</v>
      </c>
      <c r="D313" s="31" t="s">
        <v>28</v>
      </c>
      <c r="F313" s="221">
        <f t="shared" ref="F313:K313" si="144">F1083</f>
        <v>63253.23</v>
      </c>
      <c r="G313" s="221">
        <f t="shared" si="144"/>
        <v>57082.1</v>
      </c>
      <c r="H313" s="221">
        <f t="shared" si="144"/>
        <v>51450.270000000004</v>
      </c>
      <c r="I313" s="221">
        <f t="shared" si="144"/>
        <v>43039.16</v>
      </c>
      <c r="J313" s="221">
        <f t="shared" si="144"/>
        <v>39932.9</v>
      </c>
      <c r="K313" s="221">
        <f t="shared" si="144"/>
        <v>46334.700000000004</v>
      </c>
      <c r="L313" s="221">
        <f>SUM(F313:K313)</f>
        <v>301092.36</v>
      </c>
      <c r="M313" s="31"/>
      <c r="N313" s="31"/>
      <c r="O313" s="31"/>
      <c r="P313" s="31"/>
      <c r="Q313" s="31"/>
    </row>
    <row r="314" spans="1:17" x14ac:dyDescent="0.35">
      <c r="A314" s="31">
        <f>A313+1</f>
        <v>12</v>
      </c>
      <c r="C314" s="50" t="s">
        <v>178</v>
      </c>
      <c r="D314" s="31" t="s">
        <v>28</v>
      </c>
      <c r="F314" s="221">
        <f t="shared" ref="F314:K314" si="145">F1085</f>
        <v>0</v>
      </c>
      <c r="G314" s="221">
        <f t="shared" si="145"/>
        <v>0</v>
      </c>
      <c r="H314" s="221">
        <f t="shared" si="145"/>
        <v>0</v>
      </c>
      <c r="I314" s="221">
        <f t="shared" si="145"/>
        <v>0</v>
      </c>
      <c r="J314" s="221">
        <f t="shared" si="145"/>
        <v>0</v>
      </c>
      <c r="K314" s="221">
        <f t="shared" si="145"/>
        <v>0</v>
      </c>
      <c r="L314" s="221">
        <f>SUM(F314:K314)</f>
        <v>0</v>
      </c>
      <c r="M314" s="31"/>
      <c r="N314" s="31"/>
      <c r="O314" s="31"/>
      <c r="P314" s="31"/>
      <c r="Q314" s="31"/>
    </row>
    <row r="315" spans="1:17" x14ac:dyDescent="0.35">
      <c r="A315" s="31">
        <f>A314+1</f>
        <v>13</v>
      </c>
      <c r="C315" s="50" t="s">
        <v>179</v>
      </c>
      <c r="D315" s="31" t="s">
        <v>246</v>
      </c>
      <c r="F315" s="221">
        <f t="shared" ref="F315:K315" si="146">F1087</f>
        <v>63253.23</v>
      </c>
      <c r="G315" s="221">
        <f t="shared" si="146"/>
        <v>57082.1</v>
      </c>
      <c r="H315" s="221">
        <f t="shared" si="146"/>
        <v>51450.270000000004</v>
      </c>
      <c r="I315" s="221">
        <f t="shared" si="146"/>
        <v>43039.16</v>
      </c>
      <c r="J315" s="221">
        <f t="shared" si="146"/>
        <v>39932.9</v>
      </c>
      <c r="K315" s="221">
        <f t="shared" si="146"/>
        <v>46334.700000000004</v>
      </c>
      <c r="L315" s="221">
        <f>SUM(F315:K315)</f>
        <v>301092.36</v>
      </c>
      <c r="M315" s="31"/>
      <c r="N315" s="31"/>
      <c r="O315" s="31"/>
      <c r="P315" s="31"/>
      <c r="Q315" s="31"/>
    </row>
    <row r="316" spans="1:17" x14ac:dyDescent="0.35">
      <c r="F316" s="38"/>
      <c r="H316" s="38"/>
      <c r="J316" s="38"/>
      <c r="M316" s="31"/>
      <c r="N316" s="31"/>
      <c r="O316" s="31"/>
      <c r="P316" s="31"/>
      <c r="Q316" s="31"/>
    </row>
    <row r="317" spans="1:17" x14ac:dyDescent="0.35">
      <c r="A317" s="31">
        <f>A315+1</f>
        <v>14</v>
      </c>
      <c r="B317" s="31" t="str">
        <f>Input!A58</f>
        <v>FX7</v>
      </c>
      <c r="C317" s="31" t="str">
        <f>Input!B58</f>
        <v>GTS Flex Rate - Industrial</v>
      </c>
      <c r="F317" s="38"/>
      <c r="H317" s="38"/>
      <c r="J317" s="38"/>
      <c r="M317" s="31"/>
      <c r="N317" s="31"/>
      <c r="O317" s="31"/>
      <c r="P317" s="31"/>
      <c r="Q317" s="31"/>
    </row>
    <row r="318" spans="1:17" x14ac:dyDescent="0.35">
      <c r="A318" s="31">
        <f>A317+1</f>
        <v>15</v>
      </c>
      <c r="C318" s="50" t="s">
        <v>175</v>
      </c>
      <c r="F318" s="36">
        <f t="shared" ref="F318:K318" si="147">F1094</f>
        <v>0</v>
      </c>
      <c r="G318" s="36">
        <f t="shared" si="147"/>
        <v>0</v>
      </c>
      <c r="H318" s="36">
        <f t="shared" si="147"/>
        <v>0</v>
      </c>
      <c r="I318" s="36">
        <f t="shared" si="147"/>
        <v>0</v>
      </c>
      <c r="J318" s="36">
        <f t="shared" si="147"/>
        <v>0</v>
      </c>
      <c r="K318" s="36">
        <f t="shared" si="147"/>
        <v>0</v>
      </c>
      <c r="L318" s="36">
        <f>SUM(F318:K318)</f>
        <v>0</v>
      </c>
      <c r="M318" s="31"/>
      <c r="N318" s="31"/>
      <c r="O318" s="31"/>
      <c r="P318" s="31"/>
      <c r="Q318" s="31"/>
    </row>
    <row r="319" spans="1:17" x14ac:dyDescent="0.35">
      <c r="A319" s="31">
        <f>A318+1</f>
        <v>16</v>
      </c>
      <c r="C319" s="50" t="s">
        <v>176</v>
      </c>
      <c r="D319" s="31" t="s">
        <v>29</v>
      </c>
      <c r="F319" s="37">
        <f t="shared" ref="F319:K319" si="148">F1100</f>
        <v>0</v>
      </c>
      <c r="G319" s="37">
        <f t="shared" si="148"/>
        <v>0</v>
      </c>
      <c r="H319" s="37">
        <f t="shared" si="148"/>
        <v>0</v>
      </c>
      <c r="I319" s="37">
        <f t="shared" si="148"/>
        <v>0</v>
      </c>
      <c r="J319" s="37">
        <f t="shared" si="148"/>
        <v>0</v>
      </c>
      <c r="K319" s="37">
        <f t="shared" si="148"/>
        <v>0</v>
      </c>
      <c r="L319" s="37">
        <f>SUM(F319:K319)</f>
        <v>0</v>
      </c>
      <c r="M319" s="31"/>
      <c r="N319" s="31"/>
      <c r="O319" s="31"/>
      <c r="P319" s="31"/>
      <c r="Q319" s="31"/>
    </row>
    <row r="320" spans="1:17" x14ac:dyDescent="0.35">
      <c r="A320" s="31">
        <f>A319+1</f>
        <v>17</v>
      </c>
      <c r="C320" s="50" t="s">
        <v>177</v>
      </c>
      <c r="D320" s="31" t="s">
        <v>28</v>
      </c>
      <c r="F320" s="221">
        <f t="shared" ref="F320:K320" si="149">F1106</f>
        <v>0</v>
      </c>
      <c r="G320" s="221">
        <f t="shared" si="149"/>
        <v>0</v>
      </c>
      <c r="H320" s="221">
        <f t="shared" si="149"/>
        <v>0</v>
      </c>
      <c r="I320" s="221">
        <f t="shared" si="149"/>
        <v>0</v>
      </c>
      <c r="J320" s="221">
        <f t="shared" si="149"/>
        <v>0</v>
      </c>
      <c r="K320" s="221">
        <f t="shared" si="149"/>
        <v>0</v>
      </c>
      <c r="L320" s="221">
        <f>SUM(F320:K320)</f>
        <v>0</v>
      </c>
      <c r="M320" s="31"/>
      <c r="N320" s="31"/>
      <c r="O320" s="31"/>
      <c r="P320" s="31"/>
      <c r="Q320" s="31"/>
    </row>
    <row r="321" spans="1:18" x14ac:dyDescent="0.35">
      <c r="A321" s="31">
        <f>A320+1</f>
        <v>18</v>
      </c>
      <c r="C321" s="50" t="s">
        <v>178</v>
      </c>
      <c r="D321" s="31" t="s">
        <v>28</v>
      </c>
      <c r="F321" s="221">
        <f t="shared" ref="F321:K321" si="150">F1108</f>
        <v>0</v>
      </c>
      <c r="G321" s="221">
        <f t="shared" si="150"/>
        <v>0</v>
      </c>
      <c r="H321" s="221">
        <f t="shared" si="150"/>
        <v>0</v>
      </c>
      <c r="I321" s="221">
        <f t="shared" si="150"/>
        <v>0</v>
      </c>
      <c r="J321" s="221">
        <f t="shared" si="150"/>
        <v>0</v>
      </c>
      <c r="K321" s="221">
        <f t="shared" si="150"/>
        <v>0</v>
      </c>
      <c r="L321" s="221">
        <f>SUM(F321:K321)</f>
        <v>0</v>
      </c>
      <c r="M321" s="31"/>
      <c r="N321" s="31"/>
      <c r="O321" s="31"/>
      <c r="P321" s="31"/>
      <c r="Q321" s="31"/>
    </row>
    <row r="322" spans="1:18" x14ac:dyDescent="0.35">
      <c r="A322" s="31">
        <f>A321+1</f>
        <v>19</v>
      </c>
      <c r="C322" s="50" t="s">
        <v>179</v>
      </c>
      <c r="D322" s="31" t="s">
        <v>246</v>
      </c>
      <c r="F322" s="221">
        <f t="shared" ref="F322:K322" si="151">F1110</f>
        <v>0</v>
      </c>
      <c r="G322" s="221">
        <f t="shared" si="151"/>
        <v>0</v>
      </c>
      <c r="H322" s="221">
        <f t="shared" si="151"/>
        <v>0</v>
      </c>
      <c r="I322" s="221">
        <f t="shared" si="151"/>
        <v>0</v>
      </c>
      <c r="J322" s="221">
        <f t="shared" si="151"/>
        <v>0</v>
      </c>
      <c r="K322" s="221">
        <f t="shared" si="151"/>
        <v>0</v>
      </c>
      <c r="L322" s="221">
        <f>SUM(F322:K322)</f>
        <v>0</v>
      </c>
      <c r="M322" s="31"/>
      <c r="N322" s="31"/>
      <c r="O322" s="31"/>
      <c r="P322" s="31"/>
      <c r="Q322" s="31"/>
    </row>
    <row r="323" spans="1:18" x14ac:dyDescent="0.35">
      <c r="F323" s="38"/>
      <c r="H323" s="38"/>
      <c r="J323" s="38"/>
      <c r="M323" s="31"/>
      <c r="N323" s="31"/>
      <c r="O323" s="31"/>
      <c r="P323" s="31"/>
      <c r="Q323" s="31"/>
    </row>
    <row r="324" spans="1:18" x14ac:dyDescent="0.35">
      <c r="A324" s="31">
        <f>A322+1</f>
        <v>20</v>
      </c>
      <c r="B324" s="31" t="str">
        <f>Input!A59</f>
        <v>SAS</v>
      </c>
      <c r="C324" s="31" t="str">
        <f>Input!B59</f>
        <v>GTS Special Agency Service</v>
      </c>
      <c r="F324" s="38"/>
      <c r="H324" s="38"/>
      <c r="J324" s="38"/>
      <c r="M324" s="31"/>
      <c r="N324" s="31"/>
      <c r="O324" s="31"/>
      <c r="P324" s="31"/>
      <c r="Q324" s="31"/>
    </row>
    <row r="325" spans="1:18" x14ac:dyDescent="0.35">
      <c r="A325" s="31">
        <f>A324+1</f>
        <v>21</v>
      </c>
      <c r="C325" s="50" t="s">
        <v>175</v>
      </c>
      <c r="F325" s="36">
        <f t="shared" ref="F325:K325" si="152">F1137</f>
        <v>0</v>
      </c>
      <c r="G325" s="36">
        <f t="shared" si="152"/>
        <v>0</v>
      </c>
      <c r="H325" s="36">
        <f t="shared" si="152"/>
        <v>0</v>
      </c>
      <c r="I325" s="36">
        <f t="shared" si="152"/>
        <v>0</v>
      </c>
      <c r="J325" s="36">
        <f t="shared" si="152"/>
        <v>0</v>
      </c>
      <c r="K325" s="36">
        <f t="shared" si="152"/>
        <v>0</v>
      </c>
      <c r="L325" s="36">
        <f>SUM(F325:K325)</f>
        <v>0</v>
      </c>
      <c r="M325" s="31"/>
      <c r="N325" s="31"/>
      <c r="O325" s="31"/>
      <c r="P325" s="31"/>
      <c r="Q325" s="31"/>
    </row>
    <row r="326" spans="1:18" x14ac:dyDescent="0.35">
      <c r="A326" s="31">
        <f>A325+1</f>
        <v>22</v>
      </c>
      <c r="C326" s="50" t="s">
        <v>176</v>
      </c>
      <c r="D326" s="31" t="s">
        <v>29</v>
      </c>
      <c r="F326" s="37">
        <f t="shared" ref="F326:K326" si="153">F1143</f>
        <v>0</v>
      </c>
      <c r="G326" s="37">
        <f t="shared" si="153"/>
        <v>0</v>
      </c>
      <c r="H326" s="37">
        <f t="shared" si="153"/>
        <v>0</v>
      </c>
      <c r="I326" s="37">
        <f t="shared" si="153"/>
        <v>0</v>
      </c>
      <c r="J326" s="37">
        <f t="shared" si="153"/>
        <v>0</v>
      </c>
      <c r="K326" s="37">
        <f t="shared" si="153"/>
        <v>0</v>
      </c>
      <c r="L326" s="37">
        <f>SUM(F326:K326)</f>
        <v>0</v>
      </c>
      <c r="M326" s="31"/>
      <c r="N326" s="31"/>
      <c r="O326" s="31"/>
      <c r="P326" s="31"/>
      <c r="Q326" s="31"/>
    </row>
    <row r="327" spans="1:18" x14ac:dyDescent="0.35">
      <c r="A327" s="31">
        <f>A326+1</f>
        <v>23</v>
      </c>
      <c r="C327" s="50" t="s">
        <v>177</v>
      </c>
      <c r="D327" s="31" t="s">
        <v>28</v>
      </c>
      <c r="F327" s="221">
        <f t="shared" ref="F327:K327" si="154">F1149</f>
        <v>0</v>
      </c>
      <c r="G327" s="221">
        <f t="shared" si="154"/>
        <v>0</v>
      </c>
      <c r="H327" s="221">
        <f t="shared" si="154"/>
        <v>0</v>
      </c>
      <c r="I327" s="221">
        <f t="shared" si="154"/>
        <v>0</v>
      </c>
      <c r="J327" s="221">
        <f t="shared" si="154"/>
        <v>0</v>
      </c>
      <c r="K327" s="221">
        <f t="shared" si="154"/>
        <v>0</v>
      </c>
      <c r="L327" s="221">
        <f>SUM(F327:K327)</f>
        <v>0</v>
      </c>
      <c r="M327" s="31"/>
      <c r="N327" s="31"/>
      <c r="O327" s="31"/>
      <c r="P327" s="31"/>
      <c r="Q327" s="31"/>
    </row>
    <row r="328" spans="1:18" x14ac:dyDescent="0.35">
      <c r="A328" s="31">
        <f>A327+1</f>
        <v>24</v>
      </c>
      <c r="C328" s="50" t="s">
        <v>178</v>
      </c>
      <c r="D328" s="31" t="s">
        <v>28</v>
      </c>
      <c r="F328" s="221">
        <f t="shared" ref="F328:K328" si="155">F1151</f>
        <v>0</v>
      </c>
      <c r="G328" s="221">
        <f t="shared" si="155"/>
        <v>0</v>
      </c>
      <c r="H328" s="221">
        <f t="shared" si="155"/>
        <v>0</v>
      </c>
      <c r="I328" s="221">
        <f t="shared" si="155"/>
        <v>0</v>
      </c>
      <c r="J328" s="221">
        <f t="shared" si="155"/>
        <v>0</v>
      </c>
      <c r="K328" s="221">
        <f t="shared" si="155"/>
        <v>0</v>
      </c>
      <c r="L328" s="221">
        <f>SUM(F328:K328)</f>
        <v>0</v>
      </c>
      <c r="M328" s="31"/>
      <c r="N328" s="31"/>
      <c r="O328" s="31"/>
      <c r="P328" s="31"/>
      <c r="Q328" s="31"/>
    </row>
    <row r="329" spans="1:18" x14ac:dyDescent="0.35">
      <c r="A329" s="31">
        <f>A328+1</f>
        <v>25</v>
      </c>
      <c r="C329" s="50" t="s">
        <v>179</v>
      </c>
      <c r="D329" s="31" t="s">
        <v>246</v>
      </c>
      <c r="F329" s="221">
        <f t="shared" ref="F329:K329" si="156">F1153</f>
        <v>0</v>
      </c>
      <c r="G329" s="221">
        <f t="shared" si="156"/>
        <v>0</v>
      </c>
      <c r="H329" s="221">
        <f t="shared" si="156"/>
        <v>0</v>
      </c>
      <c r="I329" s="221">
        <f t="shared" si="156"/>
        <v>0</v>
      </c>
      <c r="J329" s="221">
        <f t="shared" si="156"/>
        <v>0</v>
      </c>
      <c r="K329" s="221">
        <f t="shared" si="156"/>
        <v>0</v>
      </c>
      <c r="L329" s="221">
        <f>SUM(F329:K329)</f>
        <v>0</v>
      </c>
      <c r="M329" s="31"/>
      <c r="N329" s="31"/>
      <c r="O329" s="31"/>
      <c r="P329" s="31"/>
      <c r="Q329" s="31"/>
    </row>
    <row r="330" spans="1:18" x14ac:dyDescent="0.35">
      <c r="H330" s="38"/>
      <c r="R330" s="38"/>
    </row>
    <row r="331" spans="1:18" x14ac:dyDescent="0.35">
      <c r="A331" s="31">
        <f>A329+1</f>
        <v>26</v>
      </c>
      <c r="B331" s="31" t="str">
        <f>Input!A60</f>
        <v>SC3</v>
      </c>
      <c r="C331" s="31" t="str">
        <f>Input!B60</f>
        <v>GTS Special Rate - Industrial</v>
      </c>
      <c r="E331" s="51"/>
      <c r="F331" s="55"/>
      <c r="G331" s="55"/>
      <c r="H331" s="55"/>
      <c r="I331" s="55"/>
      <c r="J331" s="55"/>
      <c r="K331" s="55"/>
      <c r="L331" s="55"/>
      <c r="R331" s="38"/>
    </row>
    <row r="332" spans="1:18" x14ac:dyDescent="0.35">
      <c r="A332" s="31">
        <f>A331+1</f>
        <v>27</v>
      </c>
      <c r="C332" s="50" t="s">
        <v>175</v>
      </c>
      <c r="E332" s="51"/>
      <c r="F332" s="36">
        <f t="shared" ref="F332:K332" si="157">F1159</f>
        <v>0</v>
      </c>
      <c r="G332" s="36">
        <f t="shared" si="157"/>
        <v>0</v>
      </c>
      <c r="H332" s="36">
        <f t="shared" si="157"/>
        <v>0</v>
      </c>
      <c r="I332" s="36">
        <f t="shared" si="157"/>
        <v>0</v>
      </c>
      <c r="J332" s="36">
        <f t="shared" si="157"/>
        <v>0</v>
      </c>
      <c r="K332" s="36">
        <f t="shared" si="157"/>
        <v>0</v>
      </c>
      <c r="L332" s="36">
        <f>SUM(F332:K332)</f>
        <v>0</v>
      </c>
      <c r="R332" s="38"/>
    </row>
    <row r="333" spans="1:18" x14ac:dyDescent="0.35">
      <c r="A333" s="31">
        <f>A332+1</f>
        <v>28</v>
      </c>
      <c r="C333" s="50" t="s">
        <v>176</v>
      </c>
      <c r="D333" s="31" t="s">
        <v>29</v>
      </c>
      <c r="E333" s="51"/>
      <c r="F333" s="37">
        <f t="shared" ref="F333:K333" si="158">F1165</f>
        <v>0</v>
      </c>
      <c r="G333" s="37">
        <f t="shared" si="158"/>
        <v>0</v>
      </c>
      <c r="H333" s="37">
        <f t="shared" si="158"/>
        <v>0</v>
      </c>
      <c r="I333" s="37">
        <f t="shared" si="158"/>
        <v>0</v>
      </c>
      <c r="J333" s="37">
        <f t="shared" si="158"/>
        <v>0</v>
      </c>
      <c r="K333" s="37">
        <f t="shared" si="158"/>
        <v>0</v>
      </c>
      <c r="L333" s="37">
        <f>SUM(F333:K333)</f>
        <v>0</v>
      </c>
      <c r="R333" s="38"/>
    </row>
    <row r="334" spans="1:18" x14ac:dyDescent="0.35">
      <c r="A334" s="31">
        <f>A333+1</f>
        <v>29</v>
      </c>
      <c r="C334" s="50" t="s">
        <v>177</v>
      </c>
      <c r="D334" s="31" t="s">
        <v>28</v>
      </c>
      <c r="E334" s="51"/>
      <c r="F334" s="221">
        <f t="shared" ref="F334:K334" si="159">F1171</f>
        <v>0</v>
      </c>
      <c r="G334" s="221">
        <f t="shared" si="159"/>
        <v>0</v>
      </c>
      <c r="H334" s="221">
        <f t="shared" si="159"/>
        <v>0</v>
      </c>
      <c r="I334" s="221">
        <f t="shared" si="159"/>
        <v>0</v>
      </c>
      <c r="J334" s="221">
        <f t="shared" si="159"/>
        <v>0</v>
      </c>
      <c r="K334" s="221">
        <f t="shared" si="159"/>
        <v>0</v>
      </c>
      <c r="L334" s="221">
        <f>SUM(F334:K334)</f>
        <v>0</v>
      </c>
      <c r="R334" s="38"/>
    </row>
    <row r="335" spans="1:18" x14ac:dyDescent="0.35">
      <c r="A335" s="31">
        <f>A334+1</f>
        <v>30</v>
      </c>
      <c r="C335" s="50" t="s">
        <v>178</v>
      </c>
      <c r="D335" s="31" t="s">
        <v>28</v>
      </c>
      <c r="E335" s="51"/>
      <c r="F335" s="221">
        <f t="shared" ref="F335:K335" si="160">F1173</f>
        <v>0</v>
      </c>
      <c r="G335" s="221">
        <f t="shared" si="160"/>
        <v>0</v>
      </c>
      <c r="H335" s="221">
        <f t="shared" si="160"/>
        <v>0</v>
      </c>
      <c r="I335" s="221">
        <f t="shared" si="160"/>
        <v>0</v>
      </c>
      <c r="J335" s="221">
        <f t="shared" si="160"/>
        <v>0</v>
      </c>
      <c r="K335" s="221">
        <f t="shared" si="160"/>
        <v>0</v>
      </c>
      <c r="L335" s="221">
        <f>SUM(F335:K335)</f>
        <v>0</v>
      </c>
      <c r="R335" s="38"/>
    </row>
    <row r="336" spans="1:18" x14ac:dyDescent="0.35">
      <c r="A336" s="31">
        <f>A335+1</f>
        <v>31</v>
      </c>
      <c r="C336" s="50" t="s">
        <v>179</v>
      </c>
      <c r="D336" s="31" t="s">
        <v>246</v>
      </c>
      <c r="E336" s="51"/>
      <c r="F336" s="221">
        <f t="shared" ref="F336:K336" si="161">F1175</f>
        <v>0</v>
      </c>
      <c r="G336" s="221">
        <f t="shared" si="161"/>
        <v>0</v>
      </c>
      <c r="H336" s="221">
        <f t="shared" si="161"/>
        <v>0</v>
      </c>
      <c r="I336" s="221">
        <f t="shared" si="161"/>
        <v>0</v>
      </c>
      <c r="J336" s="221">
        <f t="shared" si="161"/>
        <v>0</v>
      </c>
      <c r="K336" s="221">
        <f t="shared" si="161"/>
        <v>0</v>
      </c>
      <c r="L336" s="221">
        <f>SUM(F336:K336)</f>
        <v>0</v>
      </c>
      <c r="R336" s="38"/>
    </row>
    <row r="337" spans="1:19" x14ac:dyDescent="0.35">
      <c r="H337" s="38"/>
      <c r="R337" s="38"/>
    </row>
    <row r="338" spans="1:19" x14ac:dyDescent="0.35">
      <c r="A338" s="31">
        <f>A336+1</f>
        <v>32</v>
      </c>
      <c r="B338" s="31" t="s">
        <v>101</v>
      </c>
      <c r="F338" s="221">
        <f>F72+F79+F86+F93+F100+F107+F114+F121+F128+F157+F164+F171+F178+F185+F192+F221+F228+F235+F242+F249+F256+F263+F270+F277+F308+F315+F322+F329+F336</f>
        <v>18905371.459999997</v>
      </c>
      <c r="G338" s="221">
        <f t="shared" ref="G338:K338" si="162">G72+G79+G86+G93+G100+G107+G114+G121+G128+G157+G164+G171+G178+G185+G192+G221+G228+G235+G242+G249+G256+G263+G270+G277+G308+G315+G322+G329+G336</f>
        <v>13527087.679999998</v>
      </c>
      <c r="H338" s="221">
        <f t="shared" si="162"/>
        <v>8725855.0800000001</v>
      </c>
      <c r="I338" s="221">
        <f t="shared" si="162"/>
        <v>6752196.6200000001</v>
      </c>
      <c r="J338" s="221">
        <f t="shared" si="162"/>
        <v>6080451.1299999999</v>
      </c>
      <c r="K338" s="221">
        <f t="shared" si="162"/>
        <v>6107065.8400000008</v>
      </c>
      <c r="L338" s="221">
        <f>SUM(F338:K338)</f>
        <v>60098027.809999995</v>
      </c>
      <c r="R338" s="38"/>
    </row>
    <row r="339" spans="1:19" x14ac:dyDescent="0.35">
      <c r="H339" s="38"/>
      <c r="R339" s="38"/>
    </row>
    <row r="340" spans="1:19" ht="15.45" x14ac:dyDescent="0.4">
      <c r="A340" s="31">
        <f>A338+1</f>
        <v>33</v>
      </c>
      <c r="C340" s="49" t="s">
        <v>97</v>
      </c>
      <c r="D340" s="49"/>
      <c r="F340" s="38"/>
      <c r="H340" s="38"/>
      <c r="J340" s="38"/>
      <c r="L340" s="31"/>
      <c r="R340" s="38"/>
    </row>
    <row r="341" spans="1:19" x14ac:dyDescent="0.35">
      <c r="F341" s="38"/>
      <c r="H341" s="38"/>
      <c r="J341" s="38"/>
      <c r="L341" s="31"/>
      <c r="R341" s="38"/>
    </row>
    <row r="342" spans="1:19" x14ac:dyDescent="0.35">
      <c r="A342" s="31">
        <f>A340+1</f>
        <v>34</v>
      </c>
      <c r="C342" s="31" t="s">
        <v>151</v>
      </c>
      <c r="F342" s="392">
        <v>102037.32746628365</v>
      </c>
      <c r="G342" s="392">
        <v>68398.169834640852</v>
      </c>
      <c r="H342" s="392">
        <v>47509.012229421402</v>
      </c>
      <c r="I342" s="392">
        <v>41943.998542022578</v>
      </c>
      <c r="J342" s="392">
        <v>30402.199791001611</v>
      </c>
      <c r="K342" s="392">
        <v>24505.311805909379</v>
      </c>
      <c r="L342" s="221">
        <f>SUM(F342:K342)</f>
        <v>314796.01966927946</v>
      </c>
      <c r="R342" s="38"/>
    </row>
    <row r="343" spans="1:19" x14ac:dyDescent="0.35">
      <c r="A343" s="31">
        <f>A342+1</f>
        <v>35</v>
      </c>
      <c r="C343" s="31" t="s">
        <v>98</v>
      </c>
      <c r="F343" s="36">
        <v>9994.5161211327213</v>
      </c>
      <c r="G343" s="36">
        <v>13598.968573674867</v>
      </c>
      <c r="H343" s="36">
        <v>5802.8149023813303</v>
      </c>
      <c r="I343" s="36">
        <v>4680.7182750986458</v>
      </c>
      <c r="J343" s="36">
        <v>6948.6445776570772</v>
      </c>
      <c r="K343" s="36">
        <v>18166.026376554706</v>
      </c>
      <c r="L343" s="36">
        <f>SUM(F343:K343)</f>
        <v>59191.688826499347</v>
      </c>
      <c r="R343" s="38"/>
    </row>
    <row r="344" spans="1:19" x14ac:dyDescent="0.35">
      <c r="A344" s="31">
        <f t="shared" ref="A344:A346" si="163">A343+1</f>
        <v>36</v>
      </c>
      <c r="C344" s="31" t="s">
        <v>262</v>
      </c>
      <c r="F344" s="36">
        <v>8529.8761085115002</v>
      </c>
      <c r="G344" s="36">
        <v>9700.1717035415204</v>
      </c>
      <c r="H344" s="36">
        <v>9700.1717035415204</v>
      </c>
      <c r="I344" s="36">
        <v>9700.1717035415204</v>
      </c>
      <c r="J344" s="36">
        <v>7610.6718797001995</v>
      </c>
      <c r="K344" s="36">
        <v>7610.6718797001995</v>
      </c>
      <c r="L344" s="36">
        <f>SUM(F344:K344)</f>
        <v>52851.734978536449</v>
      </c>
      <c r="R344" s="38"/>
    </row>
    <row r="345" spans="1:19" x14ac:dyDescent="0.35">
      <c r="A345" s="31">
        <f t="shared" si="163"/>
        <v>37</v>
      </c>
      <c r="C345" s="31" t="s">
        <v>99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f>SUM(F345:K345)</f>
        <v>0</v>
      </c>
      <c r="R345" s="38"/>
    </row>
    <row r="346" spans="1:19" x14ac:dyDescent="0.35">
      <c r="A346" s="31">
        <f t="shared" si="163"/>
        <v>38</v>
      </c>
      <c r="C346" s="31" t="s">
        <v>100</v>
      </c>
      <c r="F346" s="36">
        <v>33603.128949678481</v>
      </c>
      <c r="G346" s="36">
        <v>-4421.8662418327158</v>
      </c>
      <c r="H346" s="36">
        <v>3913.913384241604</v>
      </c>
      <c r="I346" s="36">
        <v>-37866.592590427914</v>
      </c>
      <c r="J346" s="36">
        <v>-28910.866860564231</v>
      </c>
      <c r="K346" s="36">
        <v>9126.5224822955461</v>
      </c>
      <c r="L346" s="36">
        <f>SUM(F346:K346)</f>
        <v>-24555.760876609227</v>
      </c>
      <c r="R346" s="38"/>
    </row>
    <row r="347" spans="1:19" x14ac:dyDescent="0.35">
      <c r="H347" s="38"/>
      <c r="R347" s="38"/>
      <c r="S347" s="38"/>
    </row>
    <row r="348" spans="1:19" x14ac:dyDescent="0.35">
      <c r="A348" s="31">
        <f>A346+1</f>
        <v>39</v>
      </c>
      <c r="B348" s="31" t="s">
        <v>102</v>
      </c>
      <c r="F348" s="221">
        <f>SUM(F342:F346)</f>
        <v>154164.84864560634</v>
      </c>
      <c r="G348" s="221">
        <f t="shared" ref="G348:L348" si="164">SUM(G342:G346)</f>
        <v>87275.443870024523</v>
      </c>
      <c r="H348" s="221">
        <f t="shared" si="164"/>
        <v>66925.912219585851</v>
      </c>
      <c r="I348" s="221">
        <f t="shared" si="164"/>
        <v>18458.295930234832</v>
      </c>
      <c r="J348" s="221">
        <f t="shared" si="164"/>
        <v>16050.649387794663</v>
      </c>
      <c r="K348" s="221">
        <f t="shared" si="164"/>
        <v>59408.532544459827</v>
      </c>
      <c r="L348" s="221">
        <f t="shared" si="164"/>
        <v>402283.68259770598</v>
      </c>
    </row>
    <row r="350" spans="1:19" x14ac:dyDescent="0.35">
      <c r="A350" s="31">
        <f>A348+1</f>
        <v>40</v>
      </c>
      <c r="B350" s="31" t="s">
        <v>103</v>
      </c>
      <c r="F350" s="221">
        <f t="shared" ref="F350:L350" si="165">F338+F348</f>
        <v>19059536.308645602</v>
      </c>
      <c r="G350" s="221">
        <f t="shared" si="165"/>
        <v>13614363.123870023</v>
      </c>
      <c r="H350" s="221">
        <f t="shared" si="165"/>
        <v>8792780.9922195859</v>
      </c>
      <c r="I350" s="221">
        <f t="shared" si="165"/>
        <v>6770654.9159302348</v>
      </c>
      <c r="J350" s="221">
        <f t="shared" si="165"/>
        <v>6096501.7793877944</v>
      </c>
      <c r="K350" s="221">
        <f t="shared" si="165"/>
        <v>6166474.3725444609</v>
      </c>
      <c r="L350" s="221">
        <f t="shared" si="165"/>
        <v>60500311.492597699</v>
      </c>
    </row>
    <row r="352" spans="1:19" x14ac:dyDescent="0.35">
      <c r="A352" s="31" t="str">
        <f>$A$131</f>
        <v>[1] Reflects forecasted volumes for March through August 2024.</v>
      </c>
    </row>
    <row r="353" spans="1:18" x14ac:dyDescent="0.35">
      <c r="A353" s="300" t="str">
        <f>$A$132</f>
        <v>[2] See Schedule M-2.2B Pages 6 through 15 for detail.</v>
      </c>
    </row>
    <row r="354" spans="1:18" ht="15.45" x14ac:dyDescent="0.4">
      <c r="A354" s="480" t="str">
        <f>CONAME</f>
        <v>Columbia Gas of Kentucky, Inc.</v>
      </c>
      <c r="B354" s="480"/>
      <c r="C354" s="480"/>
      <c r="D354" s="480"/>
      <c r="E354" s="480"/>
      <c r="F354" s="480"/>
      <c r="G354" s="480"/>
      <c r="H354" s="480"/>
      <c r="I354" s="480"/>
      <c r="J354" s="480"/>
      <c r="K354" s="480"/>
      <c r="L354" s="480"/>
      <c r="M354" s="89"/>
      <c r="N354" s="89"/>
      <c r="O354" s="89"/>
      <c r="P354" s="89"/>
      <c r="Q354" s="89"/>
      <c r="R354" s="89"/>
    </row>
    <row r="355" spans="1:18" ht="15.45" x14ac:dyDescent="0.4">
      <c r="A355" s="480" t="str">
        <f>case</f>
        <v>Case No. 2024-00092</v>
      </c>
      <c r="B355" s="480"/>
      <c r="C355" s="480"/>
      <c r="D355" s="480"/>
      <c r="E355" s="480"/>
      <c r="F355" s="480"/>
      <c r="G355" s="480"/>
      <c r="H355" s="480"/>
      <c r="I355" s="480"/>
      <c r="J355" s="480"/>
      <c r="K355" s="480"/>
      <c r="L355" s="480"/>
      <c r="M355" s="35"/>
      <c r="N355" s="35"/>
      <c r="O355" s="35"/>
      <c r="P355" s="35"/>
      <c r="Q355" s="35"/>
      <c r="R355" s="35"/>
    </row>
    <row r="356" spans="1:18" ht="15.45" x14ac:dyDescent="0.4">
      <c r="A356" s="480" t="s">
        <v>319</v>
      </c>
      <c r="B356" s="480"/>
      <c r="C356" s="480"/>
      <c r="D356" s="480"/>
      <c r="E356" s="480"/>
      <c r="F356" s="480"/>
      <c r="G356" s="480"/>
      <c r="H356" s="480"/>
      <c r="I356" s="480"/>
      <c r="J356" s="480"/>
      <c r="K356" s="480"/>
      <c r="L356" s="480"/>
      <c r="M356" s="110"/>
      <c r="N356" s="110"/>
      <c r="O356" s="110"/>
      <c r="P356" s="110"/>
      <c r="Q356" s="110"/>
      <c r="R356" s="110"/>
    </row>
    <row r="357" spans="1:18" ht="15.45" x14ac:dyDescent="0.4">
      <c r="A357" s="480" t="str">
        <f>TYDESC</f>
        <v>For the 6 Months Ended August 31, 2024</v>
      </c>
      <c r="B357" s="480"/>
      <c r="C357" s="480"/>
      <c r="D357" s="480"/>
      <c r="E357" s="480"/>
      <c r="F357" s="480"/>
      <c r="G357" s="480"/>
      <c r="H357" s="480"/>
      <c r="I357" s="480"/>
      <c r="J357" s="480"/>
      <c r="K357" s="480"/>
      <c r="L357" s="480"/>
      <c r="M357" s="89"/>
      <c r="N357" s="89"/>
      <c r="O357" s="89"/>
      <c r="P357" s="89"/>
      <c r="Q357" s="89"/>
      <c r="R357" s="89"/>
    </row>
    <row r="358" spans="1:18" ht="15.45" x14ac:dyDescent="0.4">
      <c r="A358" s="480" t="s">
        <v>46</v>
      </c>
      <c r="B358" s="480"/>
      <c r="C358" s="480"/>
      <c r="D358" s="480"/>
      <c r="E358" s="480"/>
      <c r="F358" s="480"/>
      <c r="G358" s="480"/>
      <c r="H358" s="480"/>
      <c r="I358" s="480"/>
      <c r="J358" s="480"/>
      <c r="K358" s="480"/>
      <c r="L358" s="480"/>
      <c r="M358" s="220"/>
      <c r="N358" s="220"/>
      <c r="O358" s="220"/>
      <c r="P358" s="220"/>
      <c r="Q358" s="220"/>
      <c r="R358" s="220"/>
    </row>
    <row r="359" spans="1:18" ht="15.45" x14ac:dyDescent="0.4">
      <c r="A359" s="220"/>
      <c r="B359" s="220"/>
      <c r="C359" s="220"/>
      <c r="D359" s="220"/>
      <c r="E359" s="220"/>
      <c r="F359" s="220"/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</row>
    <row r="360" spans="1:18" ht="15.45" x14ac:dyDescent="0.4">
      <c r="A360" s="35" t="s">
        <v>180</v>
      </c>
    </row>
    <row r="361" spans="1:18" ht="15.45" x14ac:dyDescent="0.4">
      <c r="A361" s="35" t="s">
        <v>181</v>
      </c>
      <c r="L361" s="40" t="str">
        <f>$L$55</f>
        <v>Schedule M-2.2B</v>
      </c>
    </row>
    <row r="362" spans="1:18" ht="15.45" x14ac:dyDescent="0.4">
      <c r="A362" s="35" t="str">
        <f>$A$56</f>
        <v>Work Paper Reference No(s): WPM-B.1, WPM-C.1, WPM-D.1</v>
      </c>
      <c r="L362" s="40" t="s">
        <v>328</v>
      </c>
    </row>
    <row r="363" spans="1:18" ht="15.45" x14ac:dyDescent="0.4">
      <c r="A363" s="320" t="str">
        <f>$A$57</f>
        <v>6 Mos Actual / 6 Mos Forecasted</v>
      </c>
      <c r="B363" s="321"/>
      <c r="C363" s="321"/>
      <c r="D363" s="321"/>
      <c r="E363" s="322"/>
      <c r="F363" s="321"/>
      <c r="G363" s="323"/>
      <c r="H363" s="324"/>
      <c r="I363" s="323"/>
      <c r="J363" s="325"/>
      <c r="K363" s="323"/>
      <c r="L363" s="326" t="str">
        <f>Witness</f>
        <v>Witness: J. C. Wozniak</v>
      </c>
    </row>
    <row r="364" spans="1:18" ht="15.45" x14ac:dyDescent="0.4">
      <c r="A364" s="327"/>
      <c r="B364" s="327"/>
      <c r="C364" s="327"/>
      <c r="D364" s="327"/>
      <c r="E364" s="89"/>
      <c r="F364" s="89"/>
      <c r="G364" s="89"/>
      <c r="H364" s="89"/>
      <c r="I364" s="89"/>
      <c r="J364" s="89"/>
      <c r="K364" s="89"/>
      <c r="L364" s="89"/>
      <c r="M364" s="327"/>
      <c r="N364" s="327"/>
      <c r="O364" s="327"/>
      <c r="P364" s="327"/>
      <c r="Q364" s="327"/>
      <c r="R364" s="327"/>
    </row>
    <row r="365" spans="1:18" ht="15.45" x14ac:dyDescent="0.4">
      <c r="A365" s="35"/>
    </row>
    <row r="366" spans="1:18" ht="15.45" x14ac:dyDescent="0.4">
      <c r="A366" s="32"/>
      <c r="B366" s="32"/>
      <c r="C366" s="32"/>
      <c r="D366" s="32"/>
      <c r="E366" s="33"/>
      <c r="F366" s="32"/>
      <c r="G366" s="41"/>
      <c r="H366" s="301"/>
      <c r="I366" s="41"/>
      <c r="J366" s="120"/>
      <c r="K366" s="41"/>
      <c r="L366" s="41"/>
      <c r="M366" s="41"/>
      <c r="N366" s="41"/>
      <c r="O366" s="41"/>
      <c r="P366" s="41"/>
      <c r="Q366" s="41"/>
      <c r="R366" s="32"/>
    </row>
    <row r="367" spans="1:18" ht="15.45" x14ac:dyDescent="0.4">
      <c r="A367" s="32"/>
      <c r="B367" s="32"/>
      <c r="C367" s="32"/>
      <c r="D367" s="32"/>
      <c r="E367" s="33" t="s">
        <v>52</v>
      </c>
      <c r="F367" s="32"/>
      <c r="G367" s="41"/>
      <c r="H367" s="42"/>
      <c r="I367" s="41"/>
      <c r="J367" s="30"/>
      <c r="K367" s="41"/>
      <c r="L367" s="41"/>
      <c r="M367" s="41"/>
      <c r="N367" s="41"/>
      <c r="O367" s="41"/>
      <c r="P367" s="41"/>
      <c r="Q367" s="41"/>
      <c r="R367" s="32"/>
    </row>
    <row r="368" spans="1:18" ht="15.45" x14ac:dyDescent="0.4">
      <c r="A368" s="32" t="s">
        <v>11</v>
      </c>
      <c r="B368" s="32" t="s">
        <v>10</v>
      </c>
      <c r="C368" s="32" t="s">
        <v>48</v>
      </c>
      <c r="D368" s="32"/>
      <c r="E368" s="33" t="s">
        <v>53</v>
      </c>
      <c r="F368" s="32"/>
      <c r="G368" s="41"/>
      <c r="H368" s="42"/>
      <c r="I368" s="41"/>
      <c r="J368" s="30"/>
      <c r="K368" s="41"/>
      <c r="L368" s="41"/>
      <c r="M368" s="41"/>
      <c r="N368" s="41"/>
      <c r="O368" s="41"/>
      <c r="P368" s="41"/>
      <c r="Q368" s="41"/>
      <c r="R368" s="34"/>
    </row>
    <row r="369" spans="1:17" ht="15.45" x14ac:dyDescent="0.4">
      <c r="A369" s="43" t="s">
        <v>13</v>
      </c>
      <c r="B369" s="43" t="s">
        <v>47</v>
      </c>
      <c r="C369" s="43" t="s">
        <v>14</v>
      </c>
      <c r="D369" s="43"/>
      <c r="E369" s="44" t="s">
        <v>54</v>
      </c>
      <c r="F369" s="45" t="str">
        <f>B!$D$13</f>
        <v>Mar-24</v>
      </c>
      <c r="G369" s="45" t="str">
        <f>B!$E$13</f>
        <v>Apr-24</v>
      </c>
      <c r="H369" s="45" t="str">
        <f>B!$F$13</f>
        <v>May-24</v>
      </c>
      <c r="I369" s="45" t="str">
        <f>B!$G$13</f>
        <v>Jun-24</v>
      </c>
      <c r="J369" s="45" t="str">
        <f>B!$H$13</f>
        <v>Jul-24</v>
      </c>
      <c r="K369" s="45" t="str">
        <f>B!$I$13</f>
        <v>Aug-24</v>
      </c>
      <c r="L369" s="45" t="s">
        <v>15</v>
      </c>
      <c r="M369" s="31"/>
      <c r="N369" s="31"/>
      <c r="O369" s="31"/>
      <c r="P369" s="31"/>
      <c r="Q369" s="31"/>
    </row>
    <row r="370" spans="1:17" ht="15.45" x14ac:dyDescent="0.4">
      <c r="A370" s="32"/>
      <c r="B370" s="34" t="s">
        <v>49</v>
      </c>
      <c r="C370" s="34" t="s">
        <v>50</v>
      </c>
      <c r="D370" s="34"/>
      <c r="E370" s="47" t="s">
        <v>51</v>
      </c>
      <c r="F370" s="48" t="s">
        <v>470</v>
      </c>
      <c r="G370" s="48" t="s">
        <v>471</v>
      </c>
      <c r="H370" s="48" t="s">
        <v>472</v>
      </c>
      <c r="I370" s="48" t="s">
        <v>473</v>
      </c>
      <c r="J370" s="48" t="s">
        <v>55</v>
      </c>
      <c r="K370" s="48" t="s">
        <v>56</v>
      </c>
      <c r="L370" s="48" t="s">
        <v>57</v>
      </c>
      <c r="M370" s="31"/>
      <c r="N370" s="31"/>
      <c r="O370" s="31"/>
      <c r="P370" s="31"/>
      <c r="Q370" s="31"/>
    </row>
    <row r="371" spans="1:17" ht="15.45" x14ac:dyDescent="0.4">
      <c r="F371" s="48"/>
      <c r="G371" s="48"/>
      <c r="H371" s="48"/>
      <c r="I371" s="48"/>
      <c r="J371" s="48"/>
      <c r="K371" s="48"/>
      <c r="L371" s="34"/>
      <c r="M371" s="31"/>
      <c r="N371" s="31"/>
      <c r="O371" s="31"/>
      <c r="P371" s="31"/>
      <c r="Q371" s="31"/>
    </row>
    <row r="372" spans="1:17" x14ac:dyDescent="0.35">
      <c r="F372" s="38"/>
      <c r="H372" s="38"/>
      <c r="J372" s="38"/>
      <c r="L372" s="31"/>
      <c r="M372" s="31"/>
      <c r="N372" s="31"/>
      <c r="O372" s="31"/>
      <c r="P372" s="31"/>
      <c r="Q372" s="31"/>
    </row>
    <row r="373" spans="1:17" ht="15" customHeight="1" x14ac:dyDescent="0.35">
      <c r="A373" s="31">
        <v>1</v>
      </c>
      <c r="B373" s="31" t="str">
        <f>B67</f>
        <v>GSR</v>
      </c>
      <c r="C373" s="31" t="str">
        <f>C67</f>
        <v>General Service - Residential</v>
      </c>
      <c r="F373" s="38"/>
      <c r="H373" s="38"/>
      <c r="J373" s="38"/>
      <c r="L373" s="31"/>
      <c r="M373" s="31"/>
      <c r="N373" s="31"/>
      <c r="O373" s="31"/>
      <c r="P373" s="31"/>
      <c r="Q373" s="31"/>
    </row>
    <row r="374" spans="1:17" x14ac:dyDescent="0.35">
      <c r="F374" s="38"/>
      <c r="H374" s="38"/>
      <c r="J374" s="38"/>
      <c r="L374" s="31"/>
      <c r="M374" s="31"/>
      <c r="N374" s="31"/>
      <c r="O374" s="31"/>
      <c r="P374" s="31"/>
      <c r="Q374" s="31"/>
    </row>
    <row r="375" spans="1:17" ht="15.45" x14ac:dyDescent="0.4">
      <c r="A375" s="31">
        <f>A373+1</f>
        <v>2</v>
      </c>
      <c r="C375" s="35" t="s">
        <v>104</v>
      </c>
      <c r="D375" s="35"/>
      <c r="F375" s="38"/>
      <c r="H375" s="38"/>
      <c r="J375" s="38"/>
      <c r="L375" s="31"/>
      <c r="M375" s="31"/>
      <c r="N375" s="31"/>
      <c r="O375" s="31"/>
      <c r="P375" s="31"/>
      <c r="Q375" s="31"/>
    </row>
    <row r="376" spans="1:17" ht="15.45" x14ac:dyDescent="0.4">
      <c r="D376" s="35"/>
      <c r="F376" s="38"/>
      <c r="H376" s="38"/>
      <c r="J376" s="38"/>
      <c r="L376" s="31"/>
      <c r="M376" s="31"/>
      <c r="N376" s="31"/>
      <c r="O376" s="31"/>
      <c r="P376" s="31"/>
      <c r="Q376" s="31"/>
    </row>
    <row r="377" spans="1:17" x14ac:dyDescent="0.35">
      <c r="A377" s="31">
        <f>A375+1</f>
        <v>3</v>
      </c>
      <c r="C377" s="31" t="s">
        <v>161</v>
      </c>
      <c r="E377" s="53"/>
      <c r="F377" s="108">
        <f>B!D20</f>
        <v>114893</v>
      </c>
      <c r="G377" s="108">
        <f>B!E20</f>
        <v>114706</v>
      </c>
      <c r="H377" s="108">
        <f>B!F20</f>
        <v>114109</v>
      </c>
      <c r="I377" s="108">
        <f>B!G20</f>
        <v>113576</v>
      </c>
      <c r="J377" s="108">
        <f>B!H20</f>
        <v>113124</v>
      </c>
      <c r="K377" s="108">
        <f>B!I20</f>
        <v>112899</v>
      </c>
      <c r="L377" s="109">
        <f>SUM(F377:K377)</f>
        <v>683307</v>
      </c>
      <c r="M377" s="31"/>
      <c r="N377" s="31"/>
      <c r="O377" s="31"/>
      <c r="P377" s="31"/>
      <c r="Q377" s="31"/>
    </row>
    <row r="378" spans="1:17" x14ac:dyDescent="0.35">
      <c r="A378" s="31">
        <f>A377+1</f>
        <v>4</v>
      </c>
      <c r="C378" s="31" t="s">
        <v>168</v>
      </c>
      <c r="D378" s="302" t="s">
        <v>28</v>
      </c>
      <c r="E378" s="56">
        <f>Input!H25</f>
        <v>19.75</v>
      </c>
      <c r="F378" s="221">
        <f t="shared" ref="F378:J378" si="166">ROUND(F377*$E$378,2)</f>
        <v>2269136.75</v>
      </c>
      <c r="G378" s="221">
        <f t="shared" si="166"/>
        <v>2265443.5</v>
      </c>
      <c r="H378" s="221">
        <f t="shared" si="166"/>
        <v>2253652.75</v>
      </c>
      <c r="I378" s="221">
        <f t="shared" si="166"/>
        <v>2243126</v>
      </c>
      <c r="J378" s="221">
        <f t="shared" si="166"/>
        <v>2234199</v>
      </c>
      <c r="K378" s="221">
        <f>ROUND(K377*$E$378,2)</f>
        <v>2229755.25</v>
      </c>
      <c r="L378" s="221">
        <f>SUM(F378:K378)</f>
        <v>13495313.25</v>
      </c>
      <c r="M378" s="31"/>
      <c r="N378" s="31"/>
      <c r="O378" s="31"/>
      <c r="P378" s="31"/>
      <c r="Q378" s="31"/>
    </row>
    <row r="379" spans="1:17" x14ac:dyDescent="0.35">
      <c r="D379" s="50"/>
      <c r="E379" s="56"/>
      <c r="F379" s="38"/>
      <c r="H379" s="38"/>
      <c r="J379" s="38"/>
      <c r="L379" s="31"/>
      <c r="M379" s="31"/>
      <c r="N379" s="31"/>
      <c r="O379" s="31"/>
      <c r="P379" s="31"/>
      <c r="Q379" s="31"/>
    </row>
    <row r="380" spans="1:17" x14ac:dyDescent="0.35">
      <c r="A380" s="31">
        <f>A378+1</f>
        <v>5</v>
      </c>
      <c r="C380" s="36" t="s">
        <v>167</v>
      </c>
      <c r="D380" s="50"/>
      <c r="E380" s="56"/>
      <c r="F380" s="78">
        <f>'C'!D19</f>
        <v>1173075.3999999999</v>
      </c>
      <c r="G380" s="78">
        <f>'C'!E19</f>
        <v>708826.4</v>
      </c>
      <c r="H380" s="78">
        <f>'C'!F19</f>
        <v>308062.3</v>
      </c>
      <c r="I380" s="78">
        <f>'C'!G19</f>
        <v>142866.6</v>
      </c>
      <c r="J380" s="78">
        <f>'C'!H19</f>
        <v>97726.3</v>
      </c>
      <c r="K380" s="78">
        <f>'C'!I19</f>
        <v>97066.4</v>
      </c>
      <c r="L380" s="79">
        <f>SUM(F380:K380)</f>
        <v>2527623.3999999994</v>
      </c>
      <c r="M380" s="31"/>
      <c r="N380" s="31"/>
      <c r="O380" s="31"/>
      <c r="P380" s="31"/>
      <c r="Q380" s="31"/>
    </row>
    <row r="381" spans="1:17" x14ac:dyDescent="0.35">
      <c r="A381" s="31">
        <f>A380+1</f>
        <v>6</v>
      </c>
      <c r="C381" s="333" t="s">
        <v>165</v>
      </c>
      <c r="D381" s="52" t="s">
        <v>27</v>
      </c>
      <c r="E381" s="58">
        <f>Input!C25</f>
        <v>5.2527999999999997</v>
      </c>
      <c r="F381" s="357">
        <f>ROUND($F$380*$E$381,2)</f>
        <v>6161930.46</v>
      </c>
      <c r="G381" s="357">
        <f>ROUND($G$380*$E$381,2)</f>
        <v>3723323.31</v>
      </c>
      <c r="H381" s="357">
        <f>ROUND($H$380*$E$381,2)</f>
        <v>1618189.65</v>
      </c>
      <c r="I381" s="357">
        <f>ROUND($I$380*$E$381,2)</f>
        <v>750449.68</v>
      </c>
      <c r="J381" s="357">
        <f>ROUND($J$380*$E$381,2)</f>
        <v>513336.71</v>
      </c>
      <c r="K381" s="357">
        <f>ROUND($K$380*$E$381,2)</f>
        <v>509870.39</v>
      </c>
      <c r="L381" s="357">
        <f>SUM(F381:K381)</f>
        <v>13277100.200000001</v>
      </c>
      <c r="M381" s="31"/>
      <c r="N381" s="31"/>
      <c r="O381" s="31"/>
      <c r="P381" s="31"/>
      <c r="Q381" s="31"/>
    </row>
    <row r="382" spans="1:17" x14ac:dyDescent="0.35">
      <c r="C382" s="333"/>
      <c r="D382" s="52"/>
      <c r="E382" s="314"/>
      <c r="F382" s="357"/>
      <c r="G382" s="357"/>
      <c r="H382" s="357"/>
      <c r="I382" s="357"/>
      <c r="J382" s="357"/>
      <c r="K382" s="357"/>
      <c r="L382" s="357"/>
      <c r="M382" s="31"/>
      <c r="N382" s="31"/>
      <c r="O382" s="31"/>
      <c r="P382" s="31"/>
      <c r="Q382" s="31"/>
    </row>
    <row r="383" spans="1:17" x14ac:dyDescent="0.35">
      <c r="A383" s="31">
        <f>A381+1</f>
        <v>7</v>
      </c>
      <c r="C383" s="31" t="s">
        <v>162</v>
      </c>
      <c r="D383" s="50"/>
      <c r="E383" s="58"/>
      <c r="F383" s="221">
        <f>F378+F381</f>
        <v>8431067.2100000009</v>
      </c>
      <c r="G383" s="221">
        <f t="shared" ref="G383:K383" si="167">G378+G381</f>
        <v>5988766.8100000005</v>
      </c>
      <c r="H383" s="221">
        <f t="shared" si="167"/>
        <v>3871842.4</v>
      </c>
      <c r="I383" s="221">
        <f t="shared" si="167"/>
        <v>2993575.68</v>
      </c>
      <c r="J383" s="221">
        <f t="shared" si="167"/>
        <v>2747535.71</v>
      </c>
      <c r="K383" s="221">
        <f t="shared" si="167"/>
        <v>2739625.64</v>
      </c>
      <c r="L383" s="221">
        <f>SUM(F383:K383)</f>
        <v>26772413.450000003</v>
      </c>
      <c r="M383" s="31"/>
      <c r="N383" s="31"/>
      <c r="O383" s="31"/>
      <c r="P383" s="31"/>
      <c r="Q383" s="31"/>
    </row>
    <row r="384" spans="1:17" x14ac:dyDescent="0.35">
      <c r="C384" s="36"/>
      <c r="D384" s="50"/>
      <c r="E384" s="58"/>
      <c r="F384" s="53"/>
      <c r="G384" s="53"/>
      <c r="H384" s="53"/>
      <c r="I384" s="53"/>
      <c r="J384" s="53"/>
      <c r="K384" s="53"/>
      <c r="L384" s="53"/>
      <c r="M384" s="31"/>
      <c r="N384" s="31"/>
      <c r="O384" s="31"/>
      <c r="P384" s="31"/>
      <c r="Q384" s="31"/>
    </row>
    <row r="385" spans="1:18" x14ac:dyDescent="0.35">
      <c r="A385" s="31">
        <f>A383+1</f>
        <v>8</v>
      </c>
      <c r="C385" s="36" t="s">
        <v>166</v>
      </c>
      <c r="D385" s="52" t="s">
        <v>27</v>
      </c>
      <c r="E385" s="58"/>
      <c r="F385" s="221">
        <f>ROUND(F380*A!D17,2)</f>
        <v>3452712.82</v>
      </c>
      <c r="G385" s="221">
        <f>ROUND(G380*A!E17,2)</f>
        <v>2086288.74</v>
      </c>
      <c r="H385" s="221">
        <f>ROUND(H380*A!F17,2)</f>
        <v>906719.77</v>
      </c>
      <c r="I385" s="221">
        <f>ROUND(I380*A!G17,2)</f>
        <v>420499.26</v>
      </c>
      <c r="J385" s="221">
        <f>ROUND(J380*A!H17,2)</f>
        <v>287637.82</v>
      </c>
      <c r="K385" s="221">
        <f>ROUND(K380*A!I17,2)</f>
        <v>285695.53999999998</v>
      </c>
      <c r="L385" s="221">
        <f>SUM(F385:K385)</f>
        <v>7439553.9500000002</v>
      </c>
      <c r="M385" s="31"/>
      <c r="N385" s="31"/>
      <c r="O385" s="31"/>
      <c r="P385" s="31"/>
      <c r="Q385" s="31"/>
    </row>
    <row r="386" spans="1:18" x14ac:dyDescent="0.35">
      <c r="C386" s="51"/>
      <c r="D386" s="54"/>
      <c r="E386" s="56"/>
      <c r="F386" s="303"/>
      <c r="G386" s="303"/>
      <c r="H386" s="303"/>
      <c r="I386" s="303"/>
      <c r="J386" s="303"/>
      <c r="K386" s="303"/>
      <c r="L386" s="303"/>
      <c r="M386" s="31"/>
      <c r="N386" s="31"/>
      <c r="O386" s="31"/>
      <c r="P386" s="31"/>
      <c r="Q386" s="31"/>
    </row>
    <row r="387" spans="1:18" x14ac:dyDescent="0.35">
      <c r="A387" s="31">
        <f>A385+1</f>
        <v>9</v>
      </c>
      <c r="C387" s="36" t="s">
        <v>164</v>
      </c>
      <c r="D387" s="50"/>
      <c r="E387" s="56"/>
      <c r="F387" s="221">
        <f>F383+F385</f>
        <v>11883780.030000001</v>
      </c>
      <c r="G387" s="221">
        <f t="shared" ref="G387:J387" si="168">G383+G385</f>
        <v>8075055.5500000007</v>
      </c>
      <c r="H387" s="221">
        <f t="shared" si="168"/>
        <v>4778562.17</v>
      </c>
      <c r="I387" s="221">
        <f t="shared" si="168"/>
        <v>3414074.9400000004</v>
      </c>
      <c r="J387" s="221">
        <f t="shared" si="168"/>
        <v>3035173.53</v>
      </c>
      <c r="K387" s="221">
        <f>K383+K385</f>
        <v>3025321.18</v>
      </c>
      <c r="L387" s="221">
        <f>SUM(F387:K387)</f>
        <v>34211967.400000006</v>
      </c>
      <c r="M387" s="31"/>
      <c r="N387" s="31"/>
      <c r="O387" s="31"/>
      <c r="P387" s="31"/>
      <c r="Q387" s="31"/>
    </row>
    <row r="388" spans="1:18" ht="15" customHeight="1" x14ac:dyDescent="0.35">
      <c r="C388" s="36"/>
      <c r="D388" s="50"/>
      <c r="E388" s="56"/>
      <c r="F388" s="53"/>
      <c r="G388" s="53"/>
      <c r="H388" s="53"/>
      <c r="I388" s="53"/>
      <c r="J388" s="53"/>
      <c r="K388" s="53"/>
      <c r="L388" s="53"/>
      <c r="M388" s="31"/>
      <c r="N388" s="31"/>
      <c r="O388" s="31"/>
      <c r="P388" s="31"/>
      <c r="Q388" s="31"/>
    </row>
    <row r="389" spans="1:18" ht="15" customHeight="1" x14ac:dyDescent="0.35">
      <c r="A389" s="31">
        <f>A387+1</f>
        <v>10</v>
      </c>
      <c r="C389" s="36" t="s">
        <v>156</v>
      </c>
      <c r="D389" s="50"/>
      <c r="E389" s="56"/>
      <c r="F389" s="304"/>
      <c r="G389" s="53"/>
      <c r="H389" s="53"/>
      <c r="I389" s="53"/>
      <c r="J389" s="53"/>
      <c r="K389" s="53"/>
      <c r="L389" s="53"/>
      <c r="M389" s="31"/>
      <c r="N389" s="31"/>
      <c r="O389" s="31"/>
      <c r="P389" s="31"/>
      <c r="Q389" s="31"/>
    </row>
    <row r="390" spans="1:18" ht="15" customHeight="1" x14ac:dyDescent="0.35">
      <c r="A390" s="31">
        <f>A389+1</f>
        <v>11</v>
      </c>
      <c r="C390" s="31" t="s">
        <v>170</v>
      </c>
      <c r="D390" s="50" t="s">
        <v>28</v>
      </c>
      <c r="E390" s="56"/>
      <c r="F390" s="221">
        <f>ROUND(F377*Input!$L$25,2)</f>
        <v>9191.44</v>
      </c>
      <c r="G390" s="221">
        <f>ROUND(G377*Input!$L$25,2)</f>
        <v>9176.48</v>
      </c>
      <c r="H390" s="221">
        <f>ROUND(H377*Input!$L$25,2)</f>
        <v>9128.7199999999993</v>
      </c>
      <c r="I390" s="221">
        <f>ROUND(I377*Input!$L$25,2)</f>
        <v>9086.08</v>
      </c>
      <c r="J390" s="221">
        <f>ROUND(J377*Input!$L$25,2)</f>
        <v>9049.92</v>
      </c>
      <c r="K390" s="221">
        <f>ROUND(K377*Input!$L$25,2)</f>
        <v>9031.92</v>
      </c>
      <c r="L390" s="221">
        <f>SUM(F390:K390)</f>
        <v>54664.56</v>
      </c>
      <c r="M390" s="31"/>
      <c r="N390" s="31"/>
      <c r="O390" s="31"/>
      <c r="P390" s="31"/>
      <c r="Q390" s="31"/>
    </row>
    <row r="391" spans="1:18" ht="15" customHeight="1" x14ac:dyDescent="0.35">
      <c r="A391" s="31">
        <f>A390+1</f>
        <v>12</v>
      </c>
      <c r="C391" s="36" t="s">
        <v>171</v>
      </c>
      <c r="D391" s="52" t="s">
        <v>27</v>
      </c>
      <c r="E391" s="58"/>
      <c r="F391" s="36">
        <f>ROUND(F380*Input!$O$25,2)</f>
        <v>12082.68</v>
      </c>
      <c r="G391" s="36">
        <f>ROUND(G380*Input!$O$25,2)</f>
        <v>7300.91</v>
      </c>
      <c r="H391" s="36">
        <f>ROUND(H380*Input!$O$25,2)</f>
        <v>3173.04</v>
      </c>
      <c r="I391" s="36">
        <f>ROUND(I380*Input!$O$25,2)</f>
        <v>1471.53</v>
      </c>
      <c r="J391" s="36">
        <f>ROUND(J380*Input!$O$25,2)</f>
        <v>1006.58</v>
      </c>
      <c r="K391" s="36">
        <f>ROUND(K380*Input!$O$25,2)</f>
        <v>999.78</v>
      </c>
      <c r="L391" s="305">
        <f>SUM(F391:K391)</f>
        <v>26034.52</v>
      </c>
      <c r="M391" s="31"/>
      <c r="N391" s="31"/>
      <c r="O391" s="31"/>
      <c r="P391" s="31"/>
      <c r="Q391" s="31"/>
    </row>
    <row r="392" spans="1:18" ht="15" customHeight="1" x14ac:dyDescent="0.35">
      <c r="A392" s="31">
        <f>A391+1</f>
        <v>13</v>
      </c>
      <c r="C392" s="31" t="s">
        <v>172</v>
      </c>
      <c r="D392" s="52" t="s">
        <v>28</v>
      </c>
      <c r="E392" s="58"/>
      <c r="F392" s="51">
        <f>ROUND(F377*Input!$M$25,2)</f>
        <v>34467.9</v>
      </c>
      <c r="G392" s="51">
        <f>ROUND(G377*Input!$M$25,2)</f>
        <v>34411.800000000003</v>
      </c>
      <c r="H392" s="51">
        <f>ROUND(H377*Input!$M$25,2)</f>
        <v>34232.699999999997</v>
      </c>
      <c r="I392" s="51">
        <f>ROUND(I377*Input!$M$25,2)</f>
        <v>34072.800000000003</v>
      </c>
      <c r="J392" s="51">
        <f>ROUND(J377*Input!$M$25,2)</f>
        <v>33937.199999999997</v>
      </c>
      <c r="K392" s="51">
        <f>ROUND(K377*Input!$M$25,2)</f>
        <v>33869.699999999997</v>
      </c>
      <c r="L392" s="51">
        <f>SUM(F392:K392)</f>
        <v>204992.10000000003</v>
      </c>
      <c r="M392" s="31"/>
      <c r="N392" s="31"/>
      <c r="O392" s="31"/>
      <c r="P392" s="31"/>
      <c r="Q392" s="31"/>
    </row>
    <row r="393" spans="1:18" ht="15" customHeight="1" x14ac:dyDescent="0.35">
      <c r="A393" s="31">
        <f>A392+1</f>
        <v>14</v>
      </c>
      <c r="C393" s="31" t="s">
        <v>173</v>
      </c>
      <c r="E393" s="53"/>
      <c r="F393" s="221">
        <f t="shared" ref="F393:K393" si="169">SUM(F390:F392)</f>
        <v>55742.020000000004</v>
      </c>
      <c r="G393" s="221">
        <f t="shared" si="169"/>
        <v>50889.19</v>
      </c>
      <c r="H393" s="221">
        <f t="shared" si="169"/>
        <v>46534.459999999992</v>
      </c>
      <c r="I393" s="221">
        <f t="shared" si="169"/>
        <v>44630.41</v>
      </c>
      <c r="J393" s="221">
        <f t="shared" si="169"/>
        <v>43993.7</v>
      </c>
      <c r="K393" s="221">
        <f t="shared" si="169"/>
        <v>43901.399999999994</v>
      </c>
      <c r="L393" s="221">
        <f>SUM(F393:K393)</f>
        <v>285691.17999999993</v>
      </c>
      <c r="M393" s="31"/>
      <c r="N393" s="31"/>
      <c r="O393" s="31"/>
      <c r="P393" s="31"/>
      <c r="Q393" s="31"/>
    </row>
    <row r="394" spans="1:18" ht="15" customHeight="1" x14ac:dyDescent="0.35">
      <c r="E394" s="53"/>
      <c r="F394" s="304"/>
      <c r="G394" s="53"/>
      <c r="H394" s="53"/>
      <c r="I394" s="53"/>
      <c r="J394" s="53"/>
      <c r="K394" s="53"/>
      <c r="L394" s="53"/>
      <c r="M394" s="31"/>
      <c r="N394" s="31"/>
      <c r="O394" s="31"/>
      <c r="P394" s="31"/>
      <c r="Q394" s="31"/>
    </row>
    <row r="395" spans="1:18" ht="15" customHeight="1" x14ac:dyDescent="0.35">
      <c r="A395" s="31">
        <f>A393+1</f>
        <v>15</v>
      </c>
      <c r="C395" s="36" t="s">
        <v>163</v>
      </c>
      <c r="D395" s="50"/>
      <c r="E395" s="56"/>
      <c r="F395" s="221">
        <f t="shared" ref="F395:K395" si="170">F387+F393</f>
        <v>11939522.050000001</v>
      </c>
      <c r="G395" s="221">
        <f t="shared" si="170"/>
        <v>8125944.7400000012</v>
      </c>
      <c r="H395" s="221">
        <f t="shared" si="170"/>
        <v>4825096.63</v>
      </c>
      <c r="I395" s="221">
        <f t="shared" si="170"/>
        <v>3458705.3500000006</v>
      </c>
      <c r="J395" s="221">
        <f t="shared" si="170"/>
        <v>3079167.23</v>
      </c>
      <c r="K395" s="221">
        <f t="shared" si="170"/>
        <v>3069222.58</v>
      </c>
      <c r="L395" s="221">
        <f>SUM(F395:K395)</f>
        <v>34497658.580000006</v>
      </c>
      <c r="M395" s="31"/>
      <c r="N395" s="31"/>
      <c r="O395" s="31"/>
      <c r="P395" s="31"/>
      <c r="Q395" s="31"/>
    </row>
    <row r="396" spans="1:18" ht="15" customHeight="1" x14ac:dyDescent="0.35"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</row>
    <row r="397" spans="1:18" ht="15" customHeight="1" x14ac:dyDescent="0.35"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</row>
    <row r="398" spans="1:18" ht="15" customHeight="1" x14ac:dyDescent="0.35">
      <c r="A398" s="31">
        <f>A395+1</f>
        <v>16</v>
      </c>
      <c r="B398" s="31" t="str">
        <f>B74</f>
        <v>G1C</v>
      </c>
      <c r="C398" s="31" t="str">
        <f>C74</f>
        <v>LG&amp;E Commercial</v>
      </c>
      <c r="F398" s="38"/>
      <c r="H398" s="38"/>
      <c r="J398" s="38"/>
      <c r="L398" s="31"/>
      <c r="M398" s="53"/>
      <c r="N398" s="53"/>
      <c r="O398" s="53"/>
      <c r="P398" s="53"/>
      <c r="Q398" s="53"/>
      <c r="R398" s="53"/>
    </row>
    <row r="399" spans="1:18" ht="15" customHeight="1" x14ac:dyDescent="0.35">
      <c r="F399" s="38"/>
      <c r="H399" s="38"/>
      <c r="J399" s="38"/>
      <c r="L399" s="31"/>
      <c r="M399" s="53"/>
      <c r="N399" s="53"/>
      <c r="O399" s="53"/>
      <c r="P399" s="53"/>
      <c r="Q399" s="53"/>
      <c r="R399" s="53"/>
    </row>
    <row r="400" spans="1:18" ht="15" customHeight="1" x14ac:dyDescent="0.4">
      <c r="A400" s="31">
        <f>A398+1</f>
        <v>17</v>
      </c>
      <c r="C400" s="35" t="s">
        <v>105</v>
      </c>
      <c r="D400" s="35"/>
      <c r="F400" s="38"/>
      <c r="H400" s="38"/>
      <c r="J400" s="38"/>
      <c r="L400" s="31"/>
      <c r="M400" s="53"/>
      <c r="N400" s="53"/>
      <c r="O400" s="53"/>
      <c r="P400" s="53"/>
      <c r="Q400" s="53"/>
      <c r="R400" s="53"/>
    </row>
    <row r="401" spans="1:18" ht="15" customHeight="1" x14ac:dyDescent="0.35">
      <c r="F401" s="38"/>
      <c r="H401" s="38"/>
      <c r="J401" s="38"/>
      <c r="L401" s="31"/>
      <c r="M401" s="53"/>
      <c r="N401" s="53"/>
      <c r="O401" s="53"/>
      <c r="P401" s="53"/>
      <c r="Q401" s="53"/>
      <c r="R401" s="53"/>
    </row>
    <row r="402" spans="1:18" ht="15" customHeight="1" x14ac:dyDescent="0.35">
      <c r="A402" s="31">
        <f>A400+1</f>
        <v>18</v>
      </c>
      <c r="C402" s="31" t="s">
        <v>161</v>
      </c>
      <c r="F402" s="108">
        <f>B!D26</f>
        <v>0</v>
      </c>
      <c r="G402" s="108">
        <f>B!E26</f>
        <v>0</v>
      </c>
      <c r="H402" s="108">
        <f>B!F26</f>
        <v>0</v>
      </c>
      <c r="I402" s="108">
        <f>B!G26</f>
        <v>0</v>
      </c>
      <c r="J402" s="108">
        <f>B!H26</f>
        <v>0</v>
      </c>
      <c r="K402" s="108">
        <f>B!I26</f>
        <v>0</v>
      </c>
      <c r="L402" s="171">
        <f>SUM(F402:K402)</f>
        <v>0</v>
      </c>
      <c r="M402" s="53"/>
      <c r="N402" s="53"/>
      <c r="O402" s="53"/>
      <c r="P402" s="53"/>
      <c r="Q402" s="53"/>
      <c r="R402" s="53"/>
    </row>
    <row r="403" spans="1:18" ht="15" customHeight="1" x14ac:dyDescent="0.35">
      <c r="A403" s="31">
        <f>A402+1</f>
        <v>19</v>
      </c>
      <c r="C403" s="31" t="s">
        <v>168</v>
      </c>
      <c r="D403" s="31" t="s">
        <v>28</v>
      </c>
      <c r="E403" s="56">
        <f>Input!H26</f>
        <v>79.09</v>
      </c>
      <c r="F403" s="221">
        <f t="shared" ref="F403:K403" si="171">ROUND(F402*$E$403,2)</f>
        <v>0</v>
      </c>
      <c r="G403" s="221">
        <f t="shared" si="171"/>
        <v>0</v>
      </c>
      <c r="H403" s="221">
        <f t="shared" si="171"/>
        <v>0</v>
      </c>
      <c r="I403" s="221">
        <f t="shared" si="171"/>
        <v>0</v>
      </c>
      <c r="J403" s="221">
        <f t="shared" si="171"/>
        <v>0</v>
      </c>
      <c r="K403" s="221">
        <f t="shared" si="171"/>
        <v>0</v>
      </c>
      <c r="L403" s="221">
        <f>SUM(F403:K403)</f>
        <v>0</v>
      </c>
      <c r="M403" s="53"/>
      <c r="N403" s="53"/>
      <c r="O403" s="53"/>
      <c r="P403" s="53"/>
      <c r="Q403" s="53"/>
      <c r="R403" s="53"/>
    </row>
    <row r="404" spans="1:18" ht="15" customHeight="1" x14ac:dyDescent="0.35">
      <c r="E404" s="306"/>
      <c r="F404" s="38"/>
      <c r="H404" s="38"/>
      <c r="J404" s="38"/>
      <c r="L404" s="31"/>
      <c r="M404" s="53"/>
      <c r="N404" s="53"/>
      <c r="O404" s="53"/>
      <c r="P404" s="53"/>
      <c r="Q404" s="53"/>
      <c r="R404" s="53"/>
    </row>
    <row r="405" spans="1:18" ht="15" customHeight="1" x14ac:dyDescent="0.35">
      <c r="A405" s="31">
        <f>A403+1</f>
        <v>20</v>
      </c>
      <c r="C405" s="31" t="s">
        <v>167</v>
      </c>
      <c r="E405" s="306"/>
      <c r="F405" s="78">
        <f>'C'!D24</f>
        <v>0</v>
      </c>
      <c r="G405" s="78">
        <f>'C'!E24</f>
        <v>0</v>
      </c>
      <c r="H405" s="78">
        <f>'C'!F24</f>
        <v>0</v>
      </c>
      <c r="I405" s="78">
        <f>'C'!G24</f>
        <v>0</v>
      </c>
      <c r="J405" s="78">
        <f>'C'!H24</f>
        <v>0</v>
      </c>
      <c r="K405" s="78">
        <f>'C'!I24</f>
        <v>0</v>
      </c>
      <c r="L405" s="307">
        <f>SUM(F405:K405)</f>
        <v>0</v>
      </c>
      <c r="M405" s="53"/>
      <c r="N405" s="53"/>
      <c r="O405" s="53"/>
      <c r="P405" s="53"/>
      <c r="Q405" s="53"/>
      <c r="R405" s="53"/>
    </row>
    <row r="406" spans="1:18" ht="14.5" customHeight="1" x14ac:dyDescent="0.35">
      <c r="A406" s="31">
        <f>A405+1</f>
        <v>21</v>
      </c>
      <c r="C406" s="333" t="s">
        <v>165</v>
      </c>
      <c r="D406" s="52" t="s">
        <v>27</v>
      </c>
      <c r="E406" s="58"/>
      <c r="F406" s="357">
        <f>ROUND(F405*Input!J$68,2)</f>
        <v>0</v>
      </c>
      <c r="G406" s="357">
        <f>ROUND(G405*Input!K$68,2)</f>
        <v>0</v>
      </c>
      <c r="H406" s="357">
        <f>ROUND(H405*Input!L$68,2)</f>
        <v>0</v>
      </c>
      <c r="I406" s="357">
        <f>ROUND(I405*Input!M$68,2)</f>
        <v>0</v>
      </c>
      <c r="J406" s="357">
        <f>ROUND(J405*Input!N$68,2)</f>
        <v>0</v>
      </c>
      <c r="K406" s="357">
        <f>ROUND(K405*Input!O$68,2)</f>
        <v>0</v>
      </c>
      <c r="L406" s="357">
        <f>SUM(F406:K406)</f>
        <v>0</v>
      </c>
      <c r="M406" s="53"/>
      <c r="N406" s="53"/>
      <c r="O406" s="53"/>
      <c r="P406" s="53"/>
      <c r="Q406" s="53"/>
      <c r="R406" s="53"/>
    </row>
    <row r="407" spans="1:18" ht="15" customHeight="1" x14ac:dyDescent="0.35">
      <c r="A407" s="31">
        <f>A406+1</f>
        <v>22</v>
      </c>
      <c r="C407" s="31" t="s">
        <v>162</v>
      </c>
      <c r="E407" s="56"/>
      <c r="F407" s="221">
        <f t="shared" ref="F407:K407" si="172">F403+F406</f>
        <v>0</v>
      </c>
      <c r="G407" s="221">
        <f t="shared" si="172"/>
        <v>0</v>
      </c>
      <c r="H407" s="221">
        <f t="shared" si="172"/>
        <v>0</v>
      </c>
      <c r="I407" s="221">
        <f t="shared" si="172"/>
        <v>0</v>
      </c>
      <c r="J407" s="221">
        <f t="shared" si="172"/>
        <v>0</v>
      </c>
      <c r="K407" s="221">
        <f t="shared" si="172"/>
        <v>0</v>
      </c>
      <c r="L407" s="221">
        <f>SUM(F407:K407)</f>
        <v>0</v>
      </c>
      <c r="M407" s="53"/>
      <c r="N407" s="53"/>
      <c r="O407" s="53"/>
      <c r="P407" s="53"/>
      <c r="Q407" s="53"/>
      <c r="R407" s="53"/>
    </row>
    <row r="408" spans="1:18" ht="15" customHeight="1" x14ac:dyDescent="0.35">
      <c r="E408" s="56"/>
      <c r="F408" s="38"/>
      <c r="H408" s="38"/>
      <c r="J408" s="38"/>
      <c r="L408" s="39"/>
      <c r="M408" s="53"/>
      <c r="N408" s="53"/>
      <c r="O408" s="53"/>
      <c r="P408" s="53"/>
      <c r="Q408" s="53"/>
      <c r="R408" s="53"/>
    </row>
    <row r="409" spans="1:18" ht="15" customHeight="1" x14ac:dyDescent="0.35">
      <c r="A409" s="31">
        <f>A407+1</f>
        <v>23</v>
      </c>
      <c r="C409" s="31" t="s">
        <v>166</v>
      </c>
      <c r="D409" s="300" t="s">
        <v>27</v>
      </c>
      <c r="E409" s="58"/>
      <c r="F409" s="221">
        <f>ROUND(F405*A!D53,2)</f>
        <v>0</v>
      </c>
      <c r="G409" s="221">
        <f>ROUND(G405*A!E53,2)</f>
        <v>0</v>
      </c>
      <c r="H409" s="221">
        <f>ROUND(H405*A!F53,2)</f>
        <v>0</v>
      </c>
      <c r="I409" s="221">
        <f>ROUND(I405*A!G53,2)</f>
        <v>0</v>
      </c>
      <c r="J409" s="221">
        <f>ROUND(J405*A!H53,2)</f>
        <v>0</v>
      </c>
      <c r="K409" s="221">
        <f>ROUND(K405*A!I53,2)</f>
        <v>0</v>
      </c>
      <c r="L409" s="221">
        <f>SUM(F409:K409)</f>
        <v>0</v>
      </c>
      <c r="M409" s="53"/>
      <c r="N409" s="53"/>
      <c r="O409" s="53"/>
      <c r="P409" s="53"/>
      <c r="Q409" s="53"/>
      <c r="R409" s="53"/>
    </row>
    <row r="410" spans="1:18" ht="15" customHeight="1" x14ac:dyDescent="0.35">
      <c r="F410" s="38"/>
      <c r="H410" s="38"/>
      <c r="J410" s="38"/>
      <c r="L410" s="31"/>
      <c r="M410" s="53"/>
      <c r="N410" s="53"/>
      <c r="O410" s="53"/>
      <c r="P410" s="53"/>
      <c r="Q410" s="53"/>
      <c r="R410" s="53"/>
    </row>
    <row r="411" spans="1:18" ht="15" customHeight="1" x14ac:dyDescent="0.35">
      <c r="A411" s="31">
        <f>A409+1</f>
        <v>24</v>
      </c>
      <c r="C411" s="36" t="s">
        <v>163</v>
      </c>
      <c r="D411" s="50"/>
      <c r="E411" s="56"/>
      <c r="F411" s="221">
        <f t="shared" ref="F411:J411" si="173">F407+F409</f>
        <v>0</v>
      </c>
      <c r="G411" s="221">
        <f t="shared" si="173"/>
        <v>0</v>
      </c>
      <c r="H411" s="221">
        <f t="shared" si="173"/>
        <v>0</v>
      </c>
      <c r="I411" s="221">
        <f t="shared" si="173"/>
        <v>0</v>
      </c>
      <c r="J411" s="221">
        <f t="shared" si="173"/>
        <v>0</v>
      </c>
      <c r="K411" s="221">
        <f>K407+K409</f>
        <v>0</v>
      </c>
      <c r="L411" s="221">
        <f>SUM(F411:K411)</f>
        <v>0</v>
      </c>
      <c r="M411" s="53"/>
      <c r="N411" s="53"/>
      <c r="O411" s="53"/>
      <c r="P411" s="53"/>
      <c r="Q411" s="53"/>
      <c r="R411" s="53"/>
    </row>
    <row r="412" spans="1:18" ht="15" customHeight="1" x14ac:dyDescent="0.35"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</row>
    <row r="413" spans="1:18" ht="15" customHeight="1" x14ac:dyDescent="0.35"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</row>
    <row r="414" spans="1:18" ht="15" customHeight="1" x14ac:dyDescent="0.35">
      <c r="A414" s="31">
        <f>A411+1</f>
        <v>25</v>
      </c>
      <c r="B414" s="31" t="str">
        <f>B81</f>
        <v>G1R</v>
      </c>
      <c r="C414" s="31" t="str">
        <f>C81</f>
        <v>LG&amp;E Residential</v>
      </c>
      <c r="F414" s="38"/>
      <c r="H414" s="38"/>
      <c r="J414" s="38"/>
      <c r="L414" s="31"/>
      <c r="M414" s="53"/>
      <c r="N414" s="53"/>
      <c r="O414" s="53"/>
      <c r="P414" s="53"/>
      <c r="Q414" s="53"/>
      <c r="R414" s="53"/>
    </row>
    <row r="415" spans="1:18" ht="15" customHeight="1" x14ac:dyDescent="0.35">
      <c r="F415" s="38"/>
      <c r="H415" s="38"/>
      <c r="J415" s="38"/>
      <c r="L415" s="31"/>
      <c r="M415" s="53"/>
      <c r="N415" s="53"/>
      <c r="O415" s="53"/>
      <c r="P415" s="53"/>
      <c r="Q415" s="53"/>
      <c r="R415" s="53"/>
    </row>
    <row r="416" spans="1:18" ht="15" customHeight="1" x14ac:dyDescent="0.4">
      <c r="A416" s="31">
        <f>A414+1</f>
        <v>26</v>
      </c>
      <c r="C416" s="35" t="s">
        <v>104</v>
      </c>
      <c r="D416" s="35"/>
      <c r="F416" s="38"/>
      <c r="H416" s="38"/>
      <c r="J416" s="38"/>
      <c r="L416" s="31"/>
      <c r="M416" s="53"/>
      <c r="N416" s="53"/>
      <c r="O416" s="53"/>
      <c r="P416" s="53"/>
      <c r="Q416" s="53"/>
      <c r="R416" s="53"/>
    </row>
    <row r="417" spans="1:18" ht="15" customHeight="1" x14ac:dyDescent="0.35">
      <c r="F417" s="38"/>
      <c r="H417" s="38"/>
      <c r="J417" s="38"/>
      <c r="L417" s="31"/>
      <c r="M417" s="53"/>
      <c r="N417" s="53"/>
      <c r="O417" s="53"/>
      <c r="P417" s="53"/>
      <c r="Q417" s="53"/>
      <c r="R417" s="53"/>
    </row>
    <row r="418" spans="1:18" ht="15" customHeight="1" x14ac:dyDescent="0.35">
      <c r="A418" s="31">
        <f>A416+1</f>
        <v>27</v>
      </c>
      <c r="C418" s="31" t="s">
        <v>161</v>
      </c>
      <c r="F418" s="108">
        <f>B!D32</f>
        <v>2</v>
      </c>
      <c r="G418" s="108">
        <f>B!E32</f>
        <v>2</v>
      </c>
      <c r="H418" s="108">
        <f>B!F32</f>
        <v>2</v>
      </c>
      <c r="I418" s="108">
        <f>B!G32</f>
        <v>2</v>
      </c>
      <c r="J418" s="108">
        <f>B!H32</f>
        <v>2</v>
      </c>
      <c r="K418" s="108">
        <f>B!I32</f>
        <v>2</v>
      </c>
      <c r="L418" s="171">
        <f>SUM(F418:K418)</f>
        <v>12</v>
      </c>
      <c r="M418" s="53"/>
      <c r="N418" s="53"/>
      <c r="O418" s="53"/>
      <c r="P418" s="53"/>
      <c r="Q418" s="53"/>
      <c r="R418" s="53"/>
    </row>
    <row r="419" spans="1:18" ht="15" customHeight="1" x14ac:dyDescent="0.35">
      <c r="A419" s="31">
        <f>A418+1</f>
        <v>28</v>
      </c>
      <c r="C419" s="31" t="s">
        <v>168</v>
      </c>
      <c r="E419" s="308">
        <f>Input!H27</f>
        <v>22.02</v>
      </c>
      <c r="F419" s="221">
        <f t="shared" ref="F419:K419" si="174">ROUND(F418*$E$419,2)</f>
        <v>44.04</v>
      </c>
      <c r="G419" s="221">
        <f t="shared" si="174"/>
        <v>44.04</v>
      </c>
      <c r="H419" s="221">
        <f t="shared" si="174"/>
        <v>44.04</v>
      </c>
      <c r="I419" s="221">
        <f t="shared" si="174"/>
        <v>44.04</v>
      </c>
      <c r="J419" s="221">
        <f t="shared" si="174"/>
        <v>44.04</v>
      </c>
      <c r="K419" s="221">
        <f t="shared" si="174"/>
        <v>44.04</v>
      </c>
      <c r="L419" s="221">
        <f>SUM(F419:K419)</f>
        <v>264.24</v>
      </c>
      <c r="M419" s="53"/>
      <c r="N419" s="53"/>
      <c r="O419" s="53"/>
      <c r="P419" s="53"/>
      <c r="Q419" s="53"/>
      <c r="R419" s="53"/>
    </row>
    <row r="420" spans="1:18" ht="15" customHeight="1" x14ac:dyDescent="0.35">
      <c r="E420" s="31"/>
      <c r="F420" s="38"/>
      <c r="H420" s="38"/>
      <c r="J420" s="38"/>
      <c r="L420" s="31"/>
      <c r="M420" s="53"/>
      <c r="N420" s="53"/>
      <c r="O420" s="53"/>
      <c r="P420" s="53"/>
      <c r="Q420" s="53"/>
      <c r="R420" s="53"/>
    </row>
    <row r="421" spans="1:18" ht="15" customHeight="1" x14ac:dyDescent="0.35">
      <c r="A421" s="31">
        <f>A419+1</f>
        <v>29</v>
      </c>
      <c r="C421" s="31" t="s">
        <v>167</v>
      </c>
      <c r="E421" s="393"/>
      <c r="F421" s="78">
        <f>'C'!D29</f>
        <v>34.799999999999997</v>
      </c>
      <c r="G421" s="78">
        <f>'C'!E29</f>
        <v>39</v>
      </c>
      <c r="H421" s="78">
        <f>'C'!F29</f>
        <v>18.5</v>
      </c>
      <c r="I421" s="78">
        <f>'C'!G29</f>
        <v>3.6</v>
      </c>
      <c r="J421" s="78">
        <f>'C'!H29</f>
        <v>1.8</v>
      </c>
      <c r="K421" s="78">
        <f>'C'!I29</f>
        <v>1.5</v>
      </c>
      <c r="L421" s="307">
        <f>SUM(F421:K421)</f>
        <v>99.199999999999989</v>
      </c>
      <c r="M421" s="53"/>
      <c r="N421" s="53"/>
      <c r="O421" s="53"/>
      <c r="P421" s="53"/>
      <c r="Q421" s="53"/>
      <c r="R421" s="53"/>
    </row>
    <row r="422" spans="1:18" ht="15" customHeight="1" x14ac:dyDescent="0.35">
      <c r="A422" s="31">
        <f>A421+1</f>
        <v>30</v>
      </c>
      <c r="C422" s="333" t="s">
        <v>165</v>
      </c>
      <c r="D422" s="52" t="s">
        <v>27</v>
      </c>
      <c r="E422" s="58"/>
      <c r="F422" s="357">
        <f>ROUND(F421*Input!J$67,2)</f>
        <v>178.59</v>
      </c>
      <c r="G422" s="357">
        <f>ROUND(G421*Input!K$67,2)</f>
        <v>0</v>
      </c>
      <c r="H422" s="357">
        <f>ROUND(H421*Input!L$67,2)</f>
        <v>94.94</v>
      </c>
      <c r="I422" s="357">
        <f>ROUND(I421*Input!M$67,2)</f>
        <v>18.48</v>
      </c>
      <c r="J422" s="357">
        <f>ROUND(J421*Input!N$67,2)</f>
        <v>9.24</v>
      </c>
      <c r="K422" s="357">
        <f>ROUND(K421*Input!O$67,2)</f>
        <v>7.7</v>
      </c>
      <c r="L422" s="357">
        <f>SUM(F422:K422)</f>
        <v>308.95</v>
      </c>
      <c r="M422" s="53"/>
      <c r="N422" s="53"/>
      <c r="O422" s="53"/>
      <c r="P422" s="53"/>
      <c r="Q422" s="53"/>
      <c r="R422" s="53"/>
    </row>
    <row r="423" spans="1:18" ht="15" customHeight="1" x14ac:dyDescent="0.35">
      <c r="A423" s="31">
        <f>A422+1</f>
        <v>31</v>
      </c>
      <c r="C423" s="31" t="s">
        <v>162</v>
      </c>
      <c r="E423" s="58"/>
      <c r="F423" s="221">
        <f t="shared" ref="F423:K423" si="175">F419+F422</f>
        <v>222.63</v>
      </c>
      <c r="G423" s="221">
        <f t="shared" si="175"/>
        <v>44.04</v>
      </c>
      <c r="H423" s="221">
        <f t="shared" si="175"/>
        <v>138.97999999999999</v>
      </c>
      <c r="I423" s="221">
        <f t="shared" si="175"/>
        <v>62.519999999999996</v>
      </c>
      <c r="J423" s="221">
        <f t="shared" si="175"/>
        <v>53.28</v>
      </c>
      <c r="K423" s="221">
        <f t="shared" si="175"/>
        <v>51.74</v>
      </c>
      <c r="L423" s="221">
        <f>SUM(F423:K423)</f>
        <v>573.18999999999994</v>
      </c>
      <c r="M423" s="53"/>
      <c r="N423" s="53"/>
      <c r="O423" s="53"/>
      <c r="P423" s="53"/>
      <c r="Q423" s="53"/>
      <c r="R423" s="53"/>
    </row>
    <row r="424" spans="1:18" ht="15" customHeight="1" x14ac:dyDescent="0.35">
      <c r="E424" s="58"/>
      <c r="F424" s="38"/>
      <c r="H424" s="38"/>
      <c r="J424" s="38"/>
      <c r="L424" s="39"/>
      <c r="M424" s="53"/>
      <c r="N424" s="53"/>
      <c r="O424" s="53"/>
      <c r="P424" s="53"/>
      <c r="Q424" s="53"/>
      <c r="R424" s="53"/>
    </row>
    <row r="425" spans="1:18" ht="15" customHeight="1" x14ac:dyDescent="0.35">
      <c r="A425" s="31">
        <f>A423+1</f>
        <v>32</v>
      </c>
      <c r="C425" s="31" t="s">
        <v>166</v>
      </c>
      <c r="D425" s="300" t="s">
        <v>27</v>
      </c>
      <c r="E425" s="58"/>
      <c r="F425" s="221">
        <f>ROUND(F421*A!D47,2)</f>
        <v>102.43</v>
      </c>
      <c r="G425" s="221">
        <f>ROUND(G421*A!E47,2)</f>
        <v>114.79</v>
      </c>
      <c r="H425" s="221">
        <f>ROUND(H421*A!F47,2)</f>
        <v>54.45</v>
      </c>
      <c r="I425" s="221">
        <f>ROUND(I421*A!G47,2)</f>
        <v>10.6</v>
      </c>
      <c r="J425" s="221">
        <f>ROUND(J421*A!H47,2)</f>
        <v>5.3</v>
      </c>
      <c r="K425" s="221">
        <f>ROUND(K421*A!I47,2)</f>
        <v>4.41</v>
      </c>
      <c r="L425" s="221">
        <f>SUM(F425:K425)</f>
        <v>291.98000000000008</v>
      </c>
      <c r="M425" s="53"/>
      <c r="N425" s="53"/>
      <c r="O425" s="53"/>
      <c r="P425" s="53"/>
      <c r="Q425" s="53"/>
      <c r="R425" s="53"/>
    </row>
    <row r="426" spans="1:18" ht="15" customHeight="1" x14ac:dyDescent="0.35">
      <c r="F426" s="38"/>
      <c r="H426" s="38"/>
      <c r="J426" s="38"/>
      <c r="L426" s="31"/>
      <c r="M426" s="53"/>
      <c r="N426" s="53"/>
      <c r="O426" s="53"/>
      <c r="P426" s="53"/>
      <c r="Q426" s="53"/>
      <c r="R426" s="53"/>
    </row>
    <row r="427" spans="1:18" ht="15" customHeight="1" x14ac:dyDescent="0.35">
      <c r="A427" s="31">
        <f>A425+1</f>
        <v>33</v>
      </c>
      <c r="C427" s="36" t="s">
        <v>163</v>
      </c>
      <c r="D427" s="50"/>
      <c r="E427" s="56"/>
      <c r="F427" s="221">
        <f t="shared" ref="F427:J427" si="176">F423+F425</f>
        <v>325.06</v>
      </c>
      <c r="G427" s="221">
        <f t="shared" si="176"/>
        <v>158.83000000000001</v>
      </c>
      <c r="H427" s="221">
        <f t="shared" si="176"/>
        <v>193.43</v>
      </c>
      <c r="I427" s="221">
        <f t="shared" si="176"/>
        <v>73.11999999999999</v>
      </c>
      <c r="J427" s="221">
        <f t="shared" si="176"/>
        <v>58.58</v>
      </c>
      <c r="K427" s="221">
        <f>K423+K425</f>
        <v>56.150000000000006</v>
      </c>
      <c r="L427" s="221">
        <f>SUM(F427:K427)</f>
        <v>865.17</v>
      </c>
      <c r="M427" s="53"/>
      <c r="N427" s="53"/>
      <c r="O427" s="53"/>
      <c r="P427" s="53"/>
      <c r="Q427" s="53"/>
      <c r="R427" s="53"/>
    </row>
    <row r="428" spans="1:18" ht="15" customHeight="1" x14ac:dyDescent="0.35"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</row>
    <row r="429" spans="1:18" ht="15" customHeight="1" x14ac:dyDescent="0.35"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</row>
    <row r="430" spans="1:18" ht="15" customHeight="1" x14ac:dyDescent="0.35">
      <c r="A430" s="31" t="str">
        <f>$A$280</f>
        <v>[1] Reflects forecasted volumes for March through August 2024.</v>
      </c>
    </row>
    <row r="431" spans="1:18" ht="15" customHeight="1" x14ac:dyDescent="0.35">
      <c r="A431" s="287" t="s">
        <v>277</v>
      </c>
    </row>
    <row r="432" spans="1:18" ht="15" customHeight="1" x14ac:dyDescent="0.4">
      <c r="A432" s="480" t="str">
        <f>CONAME</f>
        <v>Columbia Gas of Kentucky, Inc.</v>
      </c>
      <c r="B432" s="480"/>
      <c r="C432" s="480"/>
      <c r="D432" s="480"/>
      <c r="E432" s="480"/>
      <c r="F432" s="480"/>
      <c r="G432" s="480"/>
      <c r="H432" s="480"/>
      <c r="I432" s="480"/>
      <c r="J432" s="480"/>
      <c r="K432" s="480"/>
      <c r="L432" s="480"/>
      <c r="M432" s="89"/>
      <c r="N432" s="89"/>
      <c r="O432" s="89"/>
      <c r="P432" s="89"/>
      <c r="Q432" s="89"/>
      <c r="R432" s="89"/>
    </row>
    <row r="433" spans="1:18" ht="15" customHeight="1" x14ac:dyDescent="0.4">
      <c r="A433" s="480" t="str">
        <f>case</f>
        <v>Case No. 2024-00092</v>
      </c>
      <c r="B433" s="480"/>
      <c r="C433" s="480"/>
      <c r="D433" s="480"/>
      <c r="E433" s="480"/>
      <c r="F433" s="480"/>
      <c r="G433" s="480"/>
      <c r="H433" s="480"/>
      <c r="I433" s="480"/>
      <c r="J433" s="480"/>
      <c r="K433" s="480"/>
      <c r="L433" s="480"/>
      <c r="M433" s="35"/>
      <c r="N433" s="35"/>
      <c r="O433" s="35"/>
      <c r="P433" s="35"/>
      <c r="Q433" s="35"/>
      <c r="R433" s="35"/>
    </row>
    <row r="434" spans="1:18" ht="15" customHeight="1" x14ac:dyDescent="0.4">
      <c r="A434" s="480" t="s">
        <v>319</v>
      </c>
      <c r="B434" s="480"/>
      <c r="C434" s="480"/>
      <c r="D434" s="480"/>
      <c r="E434" s="480"/>
      <c r="F434" s="480"/>
      <c r="G434" s="480"/>
      <c r="H434" s="480"/>
      <c r="I434" s="480"/>
      <c r="J434" s="480"/>
      <c r="K434" s="480"/>
      <c r="L434" s="480"/>
      <c r="M434" s="110"/>
      <c r="N434" s="110"/>
      <c r="O434" s="110"/>
      <c r="P434" s="110"/>
      <c r="Q434" s="110"/>
      <c r="R434" s="110"/>
    </row>
    <row r="435" spans="1:18" ht="15" customHeight="1" x14ac:dyDescent="0.4">
      <c r="A435" s="480" t="str">
        <f>TYDESC</f>
        <v>For the 6 Months Ended August 31, 2024</v>
      </c>
      <c r="B435" s="480"/>
      <c r="C435" s="480"/>
      <c r="D435" s="480"/>
      <c r="E435" s="480"/>
      <c r="F435" s="480"/>
      <c r="G435" s="480"/>
      <c r="H435" s="480"/>
      <c r="I435" s="480"/>
      <c r="J435" s="480"/>
      <c r="K435" s="480"/>
      <c r="L435" s="480"/>
      <c r="M435" s="89"/>
      <c r="N435" s="89"/>
      <c r="O435" s="89"/>
      <c r="P435" s="89"/>
      <c r="Q435" s="89"/>
      <c r="R435" s="89"/>
    </row>
    <row r="436" spans="1:18" ht="15" customHeight="1" x14ac:dyDescent="0.4">
      <c r="A436" s="480" t="s">
        <v>46</v>
      </c>
      <c r="B436" s="480"/>
      <c r="C436" s="480"/>
      <c r="D436" s="480"/>
      <c r="E436" s="480"/>
      <c r="F436" s="480"/>
      <c r="G436" s="480"/>
      <c r="H436" s="480"/>
      <c r="I436" s="480"/>
      <c r="J436" s="480"/>
      <c r="K436" s="480"/>
      <c r="L436" s="480"/>
      <c r="M436" s="220"/>
      <c r="N436" s="220"/>
      <c r="O436" s="220"/>
      <c r="P436" s="220"/>
      <c r="Q436" s="220"/>
      <c r="R436" s="220"/>
    </row>
    <row r="437" spans="1:18" ht="15" customHeight="1" x14ac:dyDescent="0.4">
      <c r="A437" s="220"/>
      <c r="B437" s="220"/>
      <c r="C437" s="220"/>
      <c r="D437" s="220"/>
      <c r="E437" s="220"/>
      <c r="F437" s="220"/>
      <c r="G437" s="220"/>
      <c r="H437" s="220"/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</row>
    <row r="438" spans="1:18" ht="15" customHeight="1" x14ac:dyDescent="0.4">
      <c r="A438" s="35" t="s">
        <v>180</v>
      </c>
    </row>
    <row r="439" spans="1:18" ht="15" customHeight="1" x14ac:dyDescent="0.4">
      <c r="A439" s="35" t="s">
        <v>181</v>
      </c>
      <c r="L439" s="40" t="str">
        <f>$L$55</f>
        <v>Schedule M-2.2B</v>
      </c>
    </row>
    <row r="440" spans="1:18" ht="15" customHeight="1" x14ac:dyDescent="0.4">
      <c r="A440" s="35" t="str">
        <f>$A$56</f>
        <v>Work Paper Reference No(s): WPM-B.1, WPM-C.1, WPM-D.1</v>
      </c>
      <c r="L440" s="40" t="s">
        <v>325</v>
      </c>
    </row>
    <row r="441" spans="1:18" ht="15.45" x14ac:dyDescent="0.4">
      <c r="A441" s="320" t="str">
        <f>$A$57</f>
        <v>6 Mos Actual / 6 Mos Forecasted</v>
      </c>
      <c r="B441" s="321"/>
      <c r="C441" s="321"/>
      <c r="D441" s="321"/>
      <c r="E441" s="322"/>
      <c r="F441" s="321"/>
      <c r="G441" s="323"/>
      <c r="H441" s="324"/>
      <c r="I441" s="323"/>
      <c r="J441" s="325"/>
      <c r="K441" s="323"/>
      <c r="L441" s="326" t="str">
        <f>Witness</f>
        <v>Witness: J. C. Wozniak</v>
      </c>
    </row>
    <row r="442" spans="1:18" ht="15.45" x14ac:dyDescent="0.4">
      <c r="A442" s="327"/>
      <c r="B442" s="327"/>
      <c r="C442" s="327"/>
      <c r="D442" s="327"/>
      <c r="E442" s="89"/>
      <c r="F442" s="89"/>
      <c r="G442" s="89"/>
      <c r="H442" s="89"/>
      <c r="I442" s="89"/>
      <c r="J442" s="89"/>
      <c r="K442" s="89"/>
      <c r="L442" s="89"/>
      <c r="M442" s="327"/>
      <c r="N442" s="327"/>
      <c r="O442" s="327"/>
      <c r="P442" s="327"/>
      <c r="Q442" s="327"/>
      <c r="R442" s="327"/>
    </row>
    <row r="443" spans="1:18" ht="15" customHeight="1" x14ac:dyDescent="0.4">
      <c r="A443" s="35"/>
    </row>
    <row r="444" spans="1:18" ht="15" customHeight="1" x14ac:dyDescent="0.4">
      <c r="A444" s="32"/>
      <c r="B444" s="32"/>
      <c r="C444" s="32"/>
      <c r="D444" s="32"/>
      <c r="E444" s="33"/>
      <c r="F444" s="32"/>
      <c r="G444" s="41"/>
      <c r="H444" s="301"/>
      <c r="I444" s="41"/>
      <c r="J444" s="120"/>
      <c r="K444" s="41"/>
      <c r="L444" s="41"/>
      <c r="M444" s="41"/>
      <c r="N444" s="41"/>
      <c r="O444" s="41"/>
      <c r="P444" s="41"/>
      <c r="Q444" s="41"/>
      <c r="R444" s="32"/>
    </row>
    <row r="445" spans="1:18" ht="15" customHeight="1" x14ac:dyDescent="0.4">
      <c r="A445" s="32"/>
      <c r="B445" s="32"/>
      <c r="C445" s="32"/>
      <c r="D445" s="32"/>
      <c r="E445" s="33" t="s">
        <v>52</v>
      </c>
      <c r="F445" s="32"/>
      <c r="G445" s="41"/>
      <c r="H445" s="42"/>
      <c r="I445" s="41"/>
      <c r="J445" s="30"/>
      <c r="K445" s="41"/>
      <c r="L445" s="41"/>
      <c r="M445" s="41"/>
      <c r="N445" s="41"/>
      <c r="O445" s="41"/>
      <c r="P445" s="41"/>
      <c r="Q445" s="41"/>
      <c r="R445" s="32"/>
    </row>
    <row r="446" spans="1:18" ht="15" customHeight="1" x14ac:dyDescent="0.4">
      <c r="A446" s="32" t="s">
        <v>11</v>
      </c>
      <c r="B446" s="32" t="s">
        <v>10</v>
      </c>
      <c r="C446" s="32" t="s">
        <v>48</v>
      </c>
      <c r="D446" s="32"/>
      <c r="E446" s="33" t="s">
        <v>53</v>
      </c>
      <c r="F446" s="32"/>
      <c r="G446" s="41"/>
      <c r="H446" s="42"/>
      <c r="I446" s="41"/>
      <c r="J446" s="30"/>
      <c r="K446" s="41"/>
      <c r="L446" s="41"/>
      <c r="M446" s="41"/>
      <c r="N446" s="41"/>
      <c r="O446" s="41"/>
      <c r="P446" s="41"/>
      <c r="Q446" s="41"/>
      <c r="R446" s="34"/>
    </row>
    <row r="447" spans="1:18" ht="15" customHeight="1" x14ac:dyDescent="0.4">
      <c r="A447" s="43" t="s">
        <v>13</v>
      </c>
      <c r="B447" s="43" t="s">
        <v>47</v>
      </c>
      <c r="C447" s="43" t="s">
        <v>14</v>
      </c>
      <c r="D447" s="43"/>
      <c r="E447" s="44" t="s">
        <v>54</v>
      </c>
      <c r="F447" s="45" t="str">
        <f>B!$D$13</f>
        <v>Mar-24</v>
      </c>
      <c r="G447" s="45" t="str">
        <f>B!$E$13</f>
        <v>Apr-24</v>
      </c>
      <c r="H447" s="45" t="str">
        <f>B!$F$13</f>
        <v>May-24</v>
      </c>
      <c r="I447" s="45" t="str">
        <f>B!$G$13</f>
        <v>Jun-24</v>
      </c>
      <c r="J447" s="45" t="str">
        <f>B!$H$13</f>
        <v>Jul-24</v>
      </c>
      <c r="K447" s="45" t="str">
        <f>B!$I$13</f>
        <v>Aug-24</v>
      </c>
      <c r="L447" s="45" t="s">
        <v>15</v>
      </c>
      <c r="M447" s="31"/>
      <c r="N447" s="31"/>
      <c r="O447" s="31"/>
      <c r="P447" s="31"/>
      <c r="Q447" s="31"/>
    </row>
    <row r="448" spans="1:18" ht="15" customHeight="1" x14ac:dyDescent="0.4">
      <c r="A448" s="32"/>
      <c r="B448" s="34" t="s">
        <v>49</v>
      </c>
      <c r="C448" s="34" t="s">
        <v>50</v>
      </c>
      <c r="D448" s="34"/>
      <c r="E448" s="47" t="s">
        <v>51</v>
      </c>
      <c r="F448" s="48" t="s">
        <v>470</v>
      </c>
      <c r="G448" s="48" t="s">
        <v>471</v>
      </c>
      <c r="H448" s="48" t="s">
        <v>472</v>
      </c>
      <c r="I448" s="48" t="s">
        <v>473</v>
      </c>
      <c r="J448" s="48" t="s">
        <v>55</v>
      </c>
      <c r="K448" s="48" t="s">
        <v>56</v>
      </c>
      <c r="L448" s="48" t="s">
        <v>57</v>
      </c>
      <c r="M448" s="31"/>
      <c r="N448" s="31"/>
      <c r="O448" s="31"/>
      <c r="P448" s="31"/>
      <c r="Q448" s="31"/>
    </row>
    <row r="449" spans="1:17" ht="15" customHeight="1" x14ac:dyDescent="0.4">
      <c r="F449" s="48"/>
      <c r="G449" s="48"/>
      <c r="H449" s="48"/>
      <c r="I449" s="48"/>
      <c r="J449" s="48"/>
      <c r="K449" s="48"/>
      <c r="L449" s="34"/>
      <c r="M449" s="31"/>
      <c r="N449" s="31"/>
      <c r="O449" s="31"/>
      <c r="P449" s="31"/>
      <c r="Q449" s="31"/>
    </row>
    <row r="450" spans="1:17" ht="15" customHeight="1" x14ac:dyDescent="0.35">
      <c r="F450" s="38"/>
      <c r="H450" s="38"/>
      <c r="J450" s="38"/>
      <c r="L450" s="31"/>
      <c r="M450" s="31"/>
      <c r="N450" s="31"/>
      <c r="O450" s="31"/>
      <c r="P450" s="31"/>
      <c r="Q450" s="31"/>
    </row>
    <row r="451" spans="1:17" ht="15" customHeight="1" x14ac:dyDescent="0.35">
      <c r="A451" s="31">
        <v>1</v>
      </c>
      <c r="B451" s="31" t="str">
        <f>B88</f>
        <v>IN3</v>
      </c>
      <c r="C451" s="31" t="str">
        <f>C88</f>
        <v>Inland Gas General Service - Residential</v>
      </c>
      <c r="F451" s="38"/>
      <c r="H451" s="38"/>
      <c r="J451" s="38"/>
      <c r="L451" s="31"/>
      <c r="M451" s="31"/>
      <c r="N451" s="31"/>
      <c r="O451" s="31"/>
      <c r="P451" s="31"/>
      <c r="Q451" s="31"/>
    </row>
    <row r="452" spans="1:17" ht="15" customHeight="1" x14ac:dyDescent="0.35">
      <c r="F452" s="38"/>
      <c r="H452" s="38"/>
      <c r="J452" s="38"/>
      <c r="L452" s="31"/>
      <c r="M452" s="31"/>
      <c r="N452" s="31"/>
      <c r="O452" s="31"/>
      <c r="P452" s="31"/>
      <c r="Q452" s="31"/>
    </row>
    <row r="453" spans="1:17" ht="15" customHeight="1" x14ac:dyDescent="0.4">
      <c r="A453" s="31">
        <f>A451+1</f>
        <v>2</v>
      </c>
      <c r="C453" s="35" t="s">
        <v>104</v>
      </c>
      <c r="D453" s="35"/>
      <c r="F453" s="38"/>
      <c r="H453" s="38"/>
      <c r="J453" s="38"/>
      <c r="L453" s="31"/>
      <c r="M453" s="31"/>
      <c r="N453" s="31"/>
      <c r="O453" s="31"/>
      <c r="P453" s="31"/>
      <c r="Q453" s="31"/>
    </row>
    <row r="454" spans="1:17" ht="15" customHeight="1" x14ac:dyDescent="0.35">
      <c r="F454" s="38"/>
      <c r="H454" s="38"/>
      <c r="J454" s="38"/>
      <c r="L454" s="31"/>
      <c r="M454" s="31"/>
      <c r="N454" s="31"/>
      <c r="O454" s="31"/>
      <c r="P454" s="31"/>
      <c r="Q454" s="31"/>
    </row>
    <row r="455" spans="1:17" ht="15" customHeight="1" x14ac:dyDescent="0.35">
      <c r="A455" s="31">
        <f>A453+1</f>
        <v>3</v>
      </c>
      <c r="C455" s="31" t="s">
        <v>161</v>
      </c>
      <c r="F455" s="108">
        <f>B!D38</f>
        <v>7</v>
      </c>
      <c r="G455" s="108">
        <f>B!E38</f>
        <v>7</v>
      </c>
      <c r="H455" s="108">
        <f>B!F38</f>
        <v>7</v>
      </c>
      <c r="I455" s="108">
        <f>B!G38</f>
        <v>7</v>
      </c>
      <c r="J455" s="108">
        <f>B!H38</f>
        <v>7</v>
      </c>
      <c r="K455" s="108">
        <f>B!I38</f>
        <v>7</v>
      </c>
      <c r="L455" s="171">
        <f>SUM(F455:K455)</f>
        <v>42</v>
      </c>
      <c r="M455" s="31"/>
      <c r="N455" s="31"/>
      <c r="O455" s="31"/>
      <c r="P455" s="31"/>
      <c r="Q455" s="31"/>
    </row>
    <row r="456" spans="1:17" ht="15" customHeight="1" x14ac:dyDescent="0.35">
      <c r="A456" s="31">
        <f>A455+1</f>
        <v>4</v>
      </c>
      <c r="C456" s="31" t="s">
        <v>168</v>
      </c>
      <c r="D456" s="31" t="s">
        <v>28</v>
      </c>
      <c r="E456" s="309">
        <f>Input!H28</f>
        <v>0</v>
      </c>
      <c r="F456" s="221">
        <f t="shared" ref="F456:J456" si="177">ROUND(F455*$E$456,2)</f>
        <v>0</v>
      </c>
      <c r="G456" s="221">
        <f t="shared" si="177"/>
        <v>0</v>
      </c>
      <c r="H456" s="221">
        <f t="shared" si="177"/>
        <v>0</v>
      </c>
      <c r="I456" s="221">
        <f t="shared" si="177"/>
        <v>0</v>
      </c>
      <c r="J456" s="221">
        <f t="shared" si="177"/>
        <v>0</v>
      </c>
      <c r="K456" s="221">
        <f>ROUND(K455*$E$456,2)</f>
        <v>0</v>
      </c>
      <c r="L456" s="221">
        <f>SUM(F456:K456)</f>
        <v>0</v>
      </c>
      <c r="M456" s="31"/>
      <c r="N456" s="31"/>
      <c r="O456" s="31"/>
      <c r="P456" s="31"/>
      <c r="Q456" s="31"/>
    </row>
    <row r="457" spans="1:17" ht="15" customHeight="1" x14ac:dyDescent="0.35">
      <c r="E457" s="31"/>
      <c r="F457" s="38"/>
      <c r="H457" s="38"/>
      <c r="J457" s="38"/>
      <c r="L457" s="31"/>
      <c r="M457" s="31"/>
      <c r="N457" s="31"/>
      <c r="O457" s="31"/>
      <c r="P457" s="31"/>
      <c r="Q457" s="31"/>
    </row>
    <row r="458" spans="1:17" ht="15" customHeight="1" x14ac:dyDescent="0.35">
      <c r="A458" s="31">
        <f>A456+1</f>
        <v>5</v>
      </c>
      <c r="C458" s="36" t="s">
        <v>167</v>
      </c>
      <c r="F458" s="78">
        <f>'C'!D34</f>
        <v>180.3</v>
      </c>
      <c r="G458" s="78">
        <f>'C'!E34</f>
        <v>86.5</v>
      </c>
      <c r="H458" s="78">
        <f>'C'!F34</f>
        <v>42.7</v>
      </c>
      <c r="I458" s="78">
        <f>'C'!G34</f>
        <v>19</v>
      </c>
      <c r="J458" s="78">
        <f>'C'!H34</f>
        <v>8</v>
      </c>
      <c r="K458" s="78">
        <f>'C'!I34</f>
        <v>9.1</v>
      </c>
      <c r="L458" s="307">
        <f>SUM(F458:K458)</f>
        <v>345.6</v>
      </c>
      <c r="M458" s="31"/>
      <c r="N458" s="31"/>
      <c r="O458" s="31"/>
      <c r="P458" s="31"/>
      <c r="Q458" s="31"/>
    </row>
    <row r="459" spans="1:17" ht="15" customHeight="1" x14ac:dyDescent="0.35">
      <c r="A459" s="31">
        <f>A458+1</f>
        <v>6</v>
      </c>
      <c r="C459" s="333" t="s">
        <v>165</v>
      </c>
      <c r="D459" s="52" t="s">
        <v>27</v>
      </c>
      <c r="E459" s="310">
        <f>Input!C28</f>
        <v>0.4</v>
      </c>
      <c r="F459" s="357">
        <f>ROUND(F458*$E$459,2)</f>
        <v>72.12</v>
      </c>
      <c r="G459" s="357">
        <f t="shared" ref="G459:J459" si="178">ROUND(G458*$E$459,2)</f>
        <v>34.6</v>
      </c>
      <c r="H459" s="357">
        <f t="shared" si="178"/>
        <v>17.079999999999998</v>
      </c>
      <c r="I459" s="357">
        <f t="shared" si="178"/>
        <v>7.6</v>
      </c>
      <c r="J459" s="357">
        <f t="shared" si="178"/>
        <v>3.2</v>
      </c>
      <c r="K459" s="357">
        <f>ROUND(K458*$E$459,2)</f>
        <v>3.64</v>
      </c>
      <c r="L459" s="357">
        <f>SUM(F459:K459)</f>
        <v>138.23999999999998</v>
      </c>
      <c r="M459" s="31"/>
      <c r="N459" s="31"/>
      <c r="O459" s="31"/>
      <c r="P459" s="31"/>
      <c r="Q459" s="31"/>
    </row>
    <row r="460" spans="1:17" ht="15" customHeight="1" x14ac:dyDescent="0.35">
      <c r="A460" s="31">
        <f>A459+1</f>
        <v>7</v>
      </c>
      <c r="C460" s="31" t="s">
        <v>162</v>
      </c>
      <c r="E460" s="311"/>
      <c r="F460" s="221">
        <f t="shared" ref="F460:K460" si="179">F456+F459</f>
        <v>72.12</v>
      </c>
      <c r="G460" s="221">
        <f t="shared" si="179"/>
        <v>34.6</v>
      </c>
      <c r="H460" s="221">
        <f t="shared" si="179"/>
        <v>17.079999999999998</v>
      </c>
      <c r="I460" s="221">
        <f t="shared" si="179"/>
        <v>7.6</v>
      </c>
      <c r="J460" s="221">
        <f t="shared" si="179"/>
        <v>3.2</v>
      </c>
      <c r="K460" s="221">
        <f t="shared" si="179"/>
        <v>3.64</v>
      </c>
      <c r="L460" s="221">
        <f>SUM(F460:K460)</f>
        <v>138.23999999999998</v>
      </c>
      <c r="M460" s="31"/>
      <c r="N460" s="31"/>
      <c r="O460" s="31"/>
      <c r="P460" s="31"/>
      <c r="Q460" s="31"/>
    </row>
    <row r="461" spans="1:17" ht="15" customHeight="1" x14ac:dyDescent="0.35">
      <c r="E461" s="311"/>
      <c r="F461" s="38"/>
      <c r="H461" s="38"/>
      <c r="J461" s="38"/>
      <c r="L461" s="39"/>
      <c r="M461" s="31"/>
      <c r="N461" s="31"/>
      <c r="O461" s="31"/>
      <c r="P461" s="31"/>
      <c r="Q461" s="31"/>
    </row>
    <row r="462" spans="1:17" ht="15" customHeight="1" x14ac:dyDescent="0.35">
      <c r="A462" s="31">
        <f>A460+1</f>
        <v>8</v>
      </c>
      <c r="C462" s="31" t="s">
        <v>132</v>
      </c>
      <c r="D462" s="31" t="s">
        <v>27</v>
      </c>
      <c r="E462" s="311">
        <v>0</v>
      </c>
      <c r="F462" s="221">
        <v>0</v>
      </c>
      <c r="G462" s="221">
        <v>0</v>
      </c>
      <c r="H462" s="221">
        <v>0</v>
      </c>
      <c r="I462" s="221">
        <v>0</v>
      </c>
      <c r="J462" s="221">
        <v>0</v>
      </c>
      <c r="K462" s="221">
        <v>0</v>
      </c>
      <c r="L462" s="221">
        <f>SUM(F462:K462)</f>
        <v>0</v>
      </c>
      <c r="M462" s="31"/>
      <c r="N462" s="31"/>
      <c r="O462" s="31"/>
      <c r="P462" s="31"/>
      <c r="Q462" s="31"/>
    </row>
    <row r="463" spans="1:17" ht="15" customHeight="1" x14ac:dyDescent="0.35">
      <c r="E463" s="311"/>
      <c r="F463" s="38"/>
      <c r="H463" s="38"/>
      <c r="J463" s="38"/>
      <c r="L463" s="31"/>
      <c r="M463" s="31"/>
      <c r="N463" s="31"/>
      <c r="O463" s="31"/>
      <c r="P463" s="31"/>
      <c r="Q463" s="31"/>
    </row>
    <row r="464" spans="1:17" ht="15" customHeight="1" x14ac:dyDescent="0.35">
      <c r="A464" s="31">
        <f>A462+1</f>
        <v>9</v>
      </c>
      <c r="C464" s="36" t="s">
        <v>163</v>
      </c>
      <c r="D464" s="50"/>
      <c r="E464" s="56"/>
      <c r="F464" s="221">
        <f>F460+F462</f>
        <v>72.12</v>
      </c>
      <c r="G464" s="221">
        <f t="shared" ref="G464:J464" si="180">G460+G462</f>
        <v>34.6</v>
      </c>
      <c r="H464" s="221">
        <f t="shared" si="180"/>
        <v>17.079999999999998</v>
      </c>
      <c r="I464" s="221">
        <f t="shared" si="180"/>
        <v>7.6</v>
      </c>
      <c r="J464" s="221">
        <f t="shared" si="180"/>
        <v>3.2</v>
      </c>
      <c r="K464" s="221">
        <f>K460+K462</f>
        <v>3.64</v>
      </c>
      <c r="L464" s="221">
        <f>SUM(F464:K464)</f>
        <v>138.23999999999998</v>
      </c>
      <c r="M464" s="31"/>
      <c r="N464" s="31"/>
      <c r="O464" s="31"/>
      <c r="P464" s="31"/>
      <c r="Q464" s="31"/>
    </row>
    <row r="465" spans="1:18" ht="15" customHeight="1" x14ac:dyDescent="0.35">
      <c r="F465" s="304"/>
      <c r="G465" s="304"/>
      <c r="H465" s="304"/>
      <c r="I465" s="304"/>
      <c r="J465" s="304"/>
      <c r="K465" s="304"/>
      <c r="L465" s="304"/>
      <c r="M465" s="304"/>
      <c r="N465" s="304"/>
      <c r="O465" s="304"/>
      <c r="P465" s="304"/>
      <c r="Q465" s="304"/>
      <c r="R465" s="304"/>
    </row>
    <row r="466" spans="1:18" ht="15" customHeight="1" x14ac:dyDescent="0.35">
      <c r="F466" s="38"/>
      <c r="H466" s="38"/>
      <c r="J466" s="38"/>
      <c r="L466" s="31"/>
      <c r="M466" s="31"/>
      <c r="N466" s="31"/>
      <c r="O466" s="31"/>
      <c r="P466" s="31"/>
      <c r="Q466" s="31"/>
    </row>
    <row r="467" spans="1:18" ht="15" customHeight="1" x14ac:dyDescent="0.35">
      <c r="A467" s="31">
        <f>A464+1</f>
        <v>10</v>
      </c>
      <c r="B467" s="31" t="str">
        <f>B95</f>
        <v>IN3</v>
      </c>
      <c r="C467" s="31" t="str">
        <f>C95</f>
        <v>Inland Gas General Service - Commercial</v>
      </c>
      <c r="F467" s="38"/>
      <c r="H467" s="38"/>
      <c r="J467" s="38"/>
      <c r="L467" s="31"/>
      <c r="M467" s="31"/>
      <c r="N467" s="31"/>
      <c r="O467" s="31"/>
      <c r="P467" s="31"/>
      <c r="Q467" s="31"/>
    </row>
    <row r="468" spans="1:18" ht="15" customHeight="1" x14ac:dyDescent="0.35">
      <c r="F468" s="38"/>
      <c r="H468" s="38"/>
      <c r="J468" s="38"/>
      <c r="L468" s="31"/>
      <c r="M468" s="31"/>
      <c r="N468" s="31"/>
      <c r="O468" s="31"/>
      <c r="P468" s="31"/>
      <c r="Q468" s="31"/>
    </row>
    <row r="469" spans="1:18" ht="15" customHeight="1" x14ac:dyDescent="0.4">
      <c r="A469" s="31">
        <f>A467+1</f>
        <v>11</v>
      </c>
      <c r="C469" s="35" t="s">
        <v>105</v>
      </c>
      <c r="D469" s="35"/>
      <c r="F469" s="38"/>
      <c r="H469" s="38"/>
      <c r="J469" s="38"/>
      <c r="L469" s="31"/>
      <c r="M469" s="31"/>
      <c r="N469" s="31"/>
      <c r="O469" s="31"/>
      <c r="P469" s="31"/>
      <c r="Q469" s="31"/>
    </row>
    <row r="470" spans="1:18" ht="15" customHeight="1" x14ac:dyDescent="0.35">
      <c r="F470" s="38"/>
      <c r="H470" s="38"/>
      <c r="J470" s="38"/>
      <c r="L470" s="31"/>
      <c r="M470" s="31"/>
      <c r="N470" s="31"/>
      <c r="O470" s="31"/>
      <c r="P470" s="31"/>
      <c r="Q470" s="31"/>
    </row>
    <row r="471" spans="1:18" ht="15" customHeight="1" x14ac:dyDescent="0.35">
      <c r="A471" s="31">
        <f>A469+1</f>
        <v>12</v>
      </c>
      <c r="C471" s="31" t="s">
        <v>161</v>
      </c>
      <c r="F471" s="108">
        <f>B!D44</f>
        <v>0</v>
      </c>
      <c r="G471" s="108">
        <f>B!E44</f>
        <v>0</v>
      </c>
      <c r="H471" s="108">
        <f>B!F44</f>
        <v>0</v>
      </c>
      <c r="I471" s="108">
        <f>B!G44</f>
        <v>0</v>
      </c>
      <c r="J471" s="108">
        <f>B!H44</f>
        <v>0</v>
      </c>
      <c r="K471" s="108">
        <f>B!I44</f>
        <v>0</v>
      </c>
      <c r="L471" s="171">
        <f>SUM(F471:K471)</f>
        <v>0</v>
      </c>
      <c r="M471" s="31"/>
      <c r="N471" s="31"/>
      <c r="O471" s="31"/>
      <c r="P471" s="31"/>
      <c r="Q471" s="31"/>
    </row>
    <row r="472" spans="1:18" ht="15" customHeight="1" x14ac:dyDescent="0.35">
      <c r="A472" s="31">
        <f>A471+1</f>
        <v>13</v>
      </c>
      <c r="C472" s="31" t="s">
        <v>168</v>
      </c>
      <c r="D472" s="31" t="s">
        <v>28</v>
      </c>
      <c r="E472" s="313">
        <f>Input!H29</f>
        <v>0</v>
      </c>
      <c r="F472" s="221">
        <f t="shared" ref="F472:J472" si="181">ROUND(F471*$E$472,2)</f>
        <v>0</v>
      </c>
      <c r="G472" s="221">
        <f t="shared" si="181"/>
        <v>0</v>
      </c>
      <c r="H472" s="221">
        <f t="shared" si="181"/>
        <v>0</v>
      </c>
      <c r="I472" s="221">
        <f t="shared" si="181"/>
        <v>0</v>
      </c>
      <c r="J472" s="221">
        <f t="shared" si="181"/>
        <v>0</v>
      </c>
      <c r="K472" s="221">
        <f>ROUND(K471*$E$472,2)</f>
        <v>0</v>
      </c>
      <c r="L472" s="221">
        <f>SUM(F472:K472)</f>
        <v>0</v>
      </c>
      <c r="M472" s="31"/>
      <c r="N472" s="31"/>
      <c r="O472" s="31"/>
      <c r="P472" s="31"/>
      <c r="Q472" s="31"/>
    </row>
    <row r="473" spans="1:18" ht="15" customHeight="1" x14ac:dyDescent="0.35">
      <c r="F473" s="38"/>
      <c r="H473" s="38"/>
      <c r="J473" s="38"/>
      <c r="L473" s="31"/>
      <c r="M473" s="31"/>
      <c r="N473" s="31"/>
      <c r="O473" s="31"/>
      <c r="P473" s="31"/>
      <c r="Q473" s="31"/>
    </row>
    <row r="474" spans="1:18" ht="15" customHeight="1" x14ac:dyDescent="0.35">
      <c r="A474" s="31">
        <f>A472+1</f>
        <v>14</v>
      </c>
      <c r="C474" s="36" t="s">
        <v>167</v>
      </c>
      <c r="F474" s="37">
        <f>'C'!D39</f>
        <v>0</v>
      </c>
      <c r="G474" s="37">
        <f>'C'!E39</f>
        <v>0</v>
      </c>
      <c r="H474" s="37">
        <f>'C'!F39</f>
        <v>0</v>
      </c>
      <c r="I474" s="78">
        <f>'C'!G39</f>
        <v>0</v>
      </c>
      <c r="J474" s="78">
        <f>'C'!H39</f>
        <v>0</v>
      </c>
      <c r="K474" s="78">
        <f>'C'!I39</f>
        <v>0</v>
      </c>
      <c r="L474" s="307">
        <f>SUM(F474:K474)</f>
        <v>0</v>
      </c>
      <c r="M474" s="31"/>
      <c r="N474" s="31"/>
      <c r="O474" s="31"/>
      <c r="P474" s="31"/>
      <c r="Q474" s="31"/>
    </row>
    <row r="475" spans="1:18" ht="15" customHeight="1" x14ac:dyDescent="0.35">
      <c r="A475" s="31">
        <f>A474+1</f>
        <v>15</v>
      </c>
      <c r="C475" s="333" t="s">
        <v>165</v>
      </c>
      <c r="D475" s="52" t="s">
        <v>27</v>
      </c>
      <c r="E475" s="314">
        <f>Input!C29</f>
        <v>0.4</v>
      </c>
      <c r="F475" s="357">
        <f t="shared" ref="F475:J475" si="182">ROUND(F474*$E$475,2)</f>
        <v>0</v>
      </c>
      <c r="G475" s="357">
        <f t="shared" si="182"/>
        <v>0</v>
      </c>
      <c r="H475" s="357">
        <f t="shared" si="182"/>
        <v>0</v>
      </c>
      <c r="I475" s="357">
        <f t="shared" si="182"/>
        <v>0</v>
      </c>
      <c r="J475" s="357">
        <f t="shared" si="182"/>
        <v>0</v>
      </c>
      <c r="K475" s="357">
        <f>ROUND(K474*$E$475,2)</f>
        <v>0</v>
      </c>
      <c r="L475" s="357">
        <f>SUM(F475:K475)</f>
        <v>0</v>
      </c>
      <c r="M475" s="31"/>
      <c r="N475" s="31"/>
      <c r="O475" s="31"/>
      <c r="P475" s="31"/>
      <c r="Q475" s="31"/>
    </row>
    <row r="476" spans="1:18" ht="15" customHeight="1" x14ac:dyDescent="0.35">
      <c r="A476" s="31">
        <f>A475+1</f>
        <v>16</v>
      </c>
      <c r="C476" s="31" t="s">
        <v>162</v>
      </c>
      <c r="F476" s="221">
        <f t="shared" ref="F476:K476" si="183">F472+F475</f>
        <v>0</v>
      </c>
      <c r="G476" s="221">
        <f t="shared" si="183"/>
        <v>0</v>
      </c>
      <c r="H476" s="221">
        <f t="shared" si="183"/>
        <v>0</v>
      </c>
      <c r="I476" s="221">
        <f t="shared" si="183"/>
        <v>0</v>
      </c>
      <c r="J476" s="221">
        <f t="shared" si="183"/>
        <v>0</v>
      </c>
      <c r="K476" s="221">
        <f t="shared" si="183"/>
        <v>0</v>
      </c>
      <c r="L476" s="221">
        <f>SUM(F476:K476)</f>
        <v>0</v>
      </c>
      <c r="M476" s="31"/>
      <c r="N476" s="31"/>
      <c r="O476" s="31"/>
      <c r="P476" s="31"/>
      <c r="Q476" s="31"/>
    </row>
    <row r="477" spans="1:18" ht="15" customHeight="1" x14ac:dyDescent="0.35">
      <c r="F477" s="38"/>
      <c r="H477" s="38"/>
      <c r="J477" s="38"/>
      <c r="L477" s="39"/>
      <c r="M477" s="31"/>
      <c r="N477" s="31"/>
      <c r="O477" s="31"/>
      <c r="P477" s="31"/>
      <c r="Q477" s="31"/>
    </row>
    <row r="478" spans="1:18" ht="15" customHeight="1" x14ac:dyDescent="0.35">
      <c r="A478" s="31">
        <f>A476+1</f>
        <v>17</v>
      </c>
      <c r="C478" s="31" t="s">
        <v>132</v>
      </c>
      <c r="D478" s="31" t="s">
        <v>27</v>
      </c>
      <c r="E478" s="311">
        <v>0</v>
      </c>
      <c r="F478" s="221">
        <v>0</v>
      </c>
      <c r="G478" s="221">
        <v>0</v>
      </c>
      <c r="H478" s="221">
        <v>0</v>
      </c>
      <c r="I478" s="221">
        <v>0</v>
      </c>
      <c r="J478" s="221">
        <v>0</v>
      </c>
      <c r="K478" s="221">
        <v>0</v>
      </c>
      <c r="L478" s="221">
        <f>SUM(F478:K478)</f>
        <v>0</v>
      </c>
      <c r="M478" s="31"/>
      <c r="N478" s="31"/>
      <c r="O478" s="31"/>
      <c r="P478" s="31"/>
      <c r="Q478" s="31"/>
    </row>
    <row r="479" spans="1:18" ht="15" customHeight="1" x14ac:dyDescent="0.35">
      <c r="F479" s="38"/>
      <c r="H479" s="38"/>
      <c r="J479" s="38"/>
      <c r="L479" s="31"/>
      <c r="M479" s="31"/>
      <c r="N479" s="31"/>
      <c r="O479" s="31"/>
      <c r="P479" s="31"/>
      <c r="Q479" s="31"/>
    </row>
    <row r="480" spans="1:18" ht="15" customHeight="1" x14ac:dyDescent="0.35">
      <c r="A480" s="31">
        <f>A478+1</f>
        <v>18</v>
      </c>
      <c r="C480" s="36" t="s">
        <v>163</v>
      </c>
      <c r="D480" s="50"/>
      <c r="E480" s="56"/>
      <c r="F480" s="221">
        <f t="shared" ref="F480:J480" si="184">F476+F478</f>
        <v>0</v>
      </c>
      <c r="G480" s="221">
        <f t="shared" si="184"/>
        <v>0</v>
      </c>
      <c r="H480" s="221">
        <f t="shared" si="184"/>
        <v>0</v>
      </c>
      <c r="I480" s="221">
        <f t="shared" si="184"/>
        <v>0</v>
      </c>
      <c r="J480" s="221">
        <f t="shared" si="184"/>
        <v>0</v>
      </c>
      <c r="K480" s="221">
        <f>K476+K478</f>
        <v>0</v>
      </c>
      <c r="L480" s="221">
        <f>SUM(F480:K480)</f>
        <v>0</v>
      </c>
      <c r="M480" s="31"/>
      <c r="N480" s="31"/>
      <c r="O480" s="31"/>
      <c r="P480" s="31"/>
      <c r="Q480" s="31"/>
    </row>
    <row r="481" spans="1:18" ht="15" customHeight="1" x14ac:dyDescent="0.35"/>
    <row r="482" spans="1:18" ht="15" customHeight="1" x14ac:dyDescent="0.35">
      <c r="R482" s="39"/>
    </row>
    <row r="483" spans="1:18" ht="15" customHeight="1" x14ac:dyDescent="0.35">
      <c r="A483" s="31">
        <f>A480+1</f>
        <v>19</v>
      </c>
      <c r="B483" s="31" t="str">
        <f>B102</f>
        <v>IN4</v>
      </c>
      <c r="C483" s="31" t="str">
        <f>C102</f>
        <v>Inland Gas General Service - Residential</v>
      </c>
      <c r="F483" s="38"/>
      <c r="H483" s="38"/>
      <c r="J483" s="38"/>
      <c r="L483" s="31"/>
      <c r="M483" s="31"/>
      <c r="N483" s="31"/>
      <c r="O483" s="31"/>
      <c r="P483" s="31"/>
      <c r="Q483" s="31"/>
    </row>
    <row r="484" spans="1:18" ht="15" customHeight="1" x14ac:dyDescent="0.35">
      <c r="F484" s="38"/>
      <c r="H484" s="38"/>
      <c r="J484" s="38"/>
      <c r="L484" s="31"/>
      <c r="M484" s="31"/>
      <c r="N484" s="31"/>
      <c r="O484" s="31"/>
      <c r="P484" s="31"/>
      <c r="Q484" s="31"/>
    </row>
    <row r="485" spans="1:18" ht="15" customHeight="1" x14ac:dyDescent="0.4">
      <c r="A485" s="31">
        <f>A483+1</f>
        <v>20</v>
      </c>
      <c r="C485" s="35" t="s">
        <v>104</v>
      </c>
      <c r="D485" s="35"/>
      <c r="F485" s="38"/>
      <c r="H485" s="38"/>
      <c r="J485" s="38"/>
      <c r="L485" s="31"/>
      <c r="M485" s="31"/>
      <c r="N485" s="31"/>
      <c r="O485" s="31"/>
      <c r="P485" s="31"/>
      <c r="Q485" s="31"/>
    </row>
    <row r="486" spans="1:18" ht="15" customHeight="1" x14ac:dyDescent="0.35">
      <c r="F486" s="38"/>
      <c r="H486" s="38"/>
      <c r="J486" s="38"/>
      <c r="L486" s="31"/>
      <c r="M486" s="31"/>
      <c r="N486" s="31"/>
      <c r="O486" s="31"/>
      <c r="P486" s="31"/>
      <c r="Q486" s="31"/>
    </row>
    <row r="487" spans="1:18" ht="15" customHeight="1" x14ac:dyDescent="0.35">
      <c r="A487" s="31">
        <f>A485+1</f>
        <v>21</v>
      </c>
      <c r="C487" s="31" t="s">
        <v>161</v>
      </c>
      <c r="F487" s="108">
        <f>B!D50</f>
        <v>0</v>
      </c>
      <c r="G487" s="108">
        <f>B!E50</f>
        <v>0</v>
      </c>
      <c r="H487" s="108">
        <f>B!F50</f>
        <v>0</v>
      </c>
      <c r="I487" s="108">
        <f>B!G50</f>
        <v>0</v>
      </c>
      <c r="J487" s="108">
        <f>B!H50</f>
        <v>0</v>
      </c>
      <c r="K487" s="108">
        <f>B!I50</f>
        <v>0</v>
      </c>
      <c r="L487" s="171">
        <f>SUM(F487:K487)</f>
        <v>0</v>
      </c>
      <c r="M487" s="31"/>
      <c r="N487" s="31"/>
      <c r="O487" s="31"/>
      <c r="P487" s="31"/>
      <c r="Q487" s="31"/>
    </row>
    <row r="488" spans="1:18" ht="15" customHeight="1" x14ac:dyDescent="0.35">
      <c r="A488" s="31">
        <f>A487+1</f>
        <v>22</v>
      </c>
      <c r="C488" s="31" t="s">
        <v>168</v>
      </c>
      <c r="D488" s="31" t="s">
        <v>28</v>
      </c>
      <c r="E488" s="313">
        <f>Input!H30</f>
        <v>0</v>
      </c>
      <c r="F488" s="221">
        <f t="shared" ref="F488:J488" si="185">ROUND(F487*$E$488,2)</f>
        <v>0</v>
      </c>
      <c r="G488" s="221">
        <f t="shared" si="185"/>
        <v>0</v>
      </c>
      <c r="H488" s="221">
        <f t="shared" si="185"/>
        <v>0</v>
      </c>
      <c r="I488" s="221">
        <f t="shared" si="185"/>
        <v>0</v>
      </c>
      <c r="J488" s="221">
        <f t="shared" si="185"/>
        <v>0</v>
      </c>
      <c r="K488" s="221">
        <f>ROUND(K487*$E$488,2)</f>
        <v>0</v>
      </c>
      <c r="L488" s="221">
        <f>SUM(F488:K488)</f>
        <v>0</v>
      </c>
      <c r="M488" s="31"/>
      <c r="N488" s="31"/>
      <c r="O488" s="31"/>
      <c r="P488" s="31"/>
      <c r="Q488" s="31"/>
    </row>
    <row r="489" spans="1:18" ht="15" customHeight="1" x14ac:dyDescent="0.35">
      <c r="F489" s="38"/>
      <c r="H489" s="38"/>
      <c r="J489" s="38"/>
      <c r="L489" s="31"/>
      <c r="M489" s="31"/>
      <c r="N489" s="31"/>
      <c r="O489" s="31"/>
      <c r="P489" s="31"/>
      <c r="Q489" s="31"/>
    </row>
    <row r="490" spans="1:18" ht="15" customHeight="1" x14ac:dyDescent="0.35">
      <c r="A490" s="31">
        <f>A488+1</f>
        <v>23</v>
      </c>
      <c r="C490" s="36" t="s">
        <v>167</v>
      </c>
      <c r="F490" s="78">
        <f>'C'!D44</f>
        <v>0</v>
      </c>
      <c r="G490" s="78">
        <f>'C'!E44</f>
        <v>0</v>
      </c>
      <c r="H490" s="78">
        <f>'C'!F44</f>
        <v>0</v>
      </c>
      <c r="I490" s="78">
        <f>'C'!G44</f>
        <v>0</v>
      </c>
      <c r="J490" s="78">
        <f>'C'!H44</f>
        <v>0</v>
      </c>
      <c r="K490" s="78">
        <f>'C'!I44</f>
        <v>0</v>
      </c>
      <c r="L490" s="307">
        <f>SUM(F490:K490)</f>
        <v>0</v>
      </c>
      <c r="M490" s="31"/>
      <c r="N490" s="31"/>
      <c r="O490" s="31"/>
      <c r="P490" s="31"/>
      <c r="Q490" s="31"/>
    </row>
    <row r="491" spans="1:18" ht="15" customHeight="1" x14ac:dyDescent="0.35">
      <c r="A491" s="31">
        <f>A490+1</f>
        <v>24</v>
      </c>
      <c r="C491" s="333" t="s">
        <v>165</v>
      </c>
      <c r="D491" s="52" t="s">
        <v>27</v>
      </c>
      <c r="E491" s="311">
        <f>Input!C30</f>
        <v>0</v>
      </c>
      <c r="F491" s="357">
        <f t="shared" ref="F491:J491" si="186">ROUND(F490*$E$491,2)</f>
        <v>0</v>
      </c>
      <c r="G491" s="357">
        <f t="shared" si="186"/>
        <v>0</v>
      </c>
      <c r="H491" s="357">
        <f t="shared" si="186"/>
        <v>0</v>
      </c>
      <c r="I491" s="357">
        <f t="shared" si="186"/>
        <v>0</v>
      </c>
      <c r="J491" s="357">
        <f t="shared" si="186"/>
        <v>0</v>
      </c>
      <c r="K491" s="357">
        <f>ROUND(K490*$E$491,2)</f>
        <v>0</v>
      </c>
      <c r="L491" s="357">
        <f>SUM(F491:K491)</f>
        <v>0</v>
      </c>
      <c r="M491" s="31"/>
      <c r="N491" s="31"/>
      <c r="O491" s="31"/>
      <c r="P491" s="31"/>
      <c r="Q491" s="31"/>
    </row>
    <row r="492" spans="1:18" ht="15" customHeight="1" x14ac:dyDescent="0.35">
      <c r="A492" s="31">
        <f>A491+1</f>
        <v>25</v>
      </c>
      <c r="C492" s="31" t="s">
        <v>162</v>
      </c>
      <c r="F492" s="221">
        <f t="shared" ref="F492:K492" si="187">F488+F491</f>
        <v>0</v>
      </c>
      <c r="G492" s="221">
        <f t="shared" si="187"/>
        <v>0</v>
      </c>
      <c r="H492" s="221">
        <f t="shared" si="187"/>
        <v>0</v>
      </c>
      <c r="I492" s="221">
        <f t="shared" si="187"/>
        <v>0</v>
      </c>
      <c r="J492" s="221">
        <f t="shared" si="187"/>
        <v>0</v>
      </c>
      <c r="K492" s="221">
        <f t="shared" si="187"/>
        <v>0</v>
      </c>
      <c r="L492" s="221">
        <f>SUM(F492:K492)</f>
        <v>0</v>
      </c>
      <c r="M492" s="31"/>
      <c r="N492" s="31"/>
      <c r="O492" s="31"/>
      <c r="P492" s="31"/>
      <c r="Q492" s="31"/>
    </row>
    <row r="493" spans="1:18" ht="15" customHeight="1" x14ac:dyDescent="0.35">
      <c r="F493" s="38"/>
      <c r="H493" s="38"/>
      <c r="J493" s="38"/>
      <c r="L493" s="39"/>
      <c r="M493" s="31"/>
      <c r="N493" s="31"/>
      <c r="O493" s="31"/>
      <c r="P493" s="31"/>
      <c r="Q493" s="31"/>
    </row>
    <row r="494" spans="1:18" ht="15" customHeight="1" x14ac:dyDescent="0.35">
      <c r="A494" s="31">
        <f>A492+1</f>
        <v>26</v>
      </c>
      <c r="C494" s="31" t="s">
        <v>132</v>
      </c>
      <c r="D494" s="31" t="s">
        <v>27</v>
      </c>
      <c r="E494" s="311">
        <v>0</v>
      </c>
      <c r="F494" s="221">
        <v>0</v>
      </c>
      <c r="G494" s="221">
        <v>0</v>
      </c>
      <c r="H494" s="221">
        <v>0</v>
      </c>
      <c r="I494" s="221">
        <v>0</v>
      </c>
      <c r="J494" s="221">
        <v>0</v>
      </c>
      <c r="K494" s="221">
        <v>0</v>
      </c>
      <c r="L494" s="221">
        <f>SUM(F494:K494)</f>
        <v>0</v>
      </c>
      <c r="M494" s="31"/>
      <c r="N494" s="31"/>
      <c r="O494" s="31"/>
      <c r="P494" s="31"/>
      <c r="Q494" s="31"/>
    </row>
    <row r="495" spans="1:18" ht="15" customHeight="1" x14ac:dyDescent="0.35">
      <c r="F495" s="38"/>
      <c r="H495" s="38"/>
      <c r="J495" s="38"/>
      <c r="L495" s="31"/>
      <c r="M495" s="31"/>
      <c r="N495" s="31"/>
      <c r="O495" s="31"/>
      <c r="P495" s="31"/>
      <c r="Q495" s="31"/>
    </row>
    <row r="496" spans="1:18" ht="15" customHeight="1" x14ac:dyDescent="0.35">
      <c r="A496" s="31">
        <f>A494+1</f>
        <v>27</v>
      </c>
      <c r="C496" s="36" t="s">
        <v>163</v>
      </c>
      <c r="D496" s="50"/>
      <c r="E496" s="56"/>
      <c r="F496" s="221">
        <f t="shared" ref="F496:J496" si="188">F492+F494</f>
        <v>0</v>
      </c>
      <c r="G496" s="221">
        <f t="shared" si="188"/>
        <v>0</v>
      </c>
      <c r="H496" s="221">
        <f t="shared" si="188"/>
        <v>0</v>
      </c>
      <c r="I496" s="221">
        <f t="shared" si="188"/>
        <v>0</v>
      </c>
      <c r="J496" s="221">
        <f t="shared" si="188"/>
        <v>0</v>
      </c>
      <c r="K496" s="221">
        <f>K492+K494</f>
        <v>0</v>
      </c>
      <c r="L496" s="221">
        <f>SUM(F496:K496)</f>
        <v>0</v>
      </c>
      <c r="M496" s="31"/>
      <c r="N496" s="31"/>
      <c r="O496" s="31"/>
      <c r="P496" s="31"/>
      <c r="Q496" s="31"/>
    </row>
    <row r="497" spans="1:18" ht="15" customHeight="1" x14ac:dyDescent="0.35"/>
    <row r="498" spans="1:18" ht="15" customHeight="1" x14ac:dyDescent="0.35">
      <c r="R498" s="39"/>
    </row>
    <row r="499" spans="1:18" ht="15" customHeight="1" x14ac:dyDescent="0.35">
      <c r="A499" s="31">
        <f>A496+1</f>
        <v>28</v>
      </c>
      <c r="B499" s="31" t="str">
        <f>B109</f>
        <v>IN5</v>
      </c>
      <c r="C499" s="31" t="str">
        <f>C109</f>
        <v>Inland Gas General Service - Residential</v>
      </c>
      <c r="F499" s="38"/>
      <c r="H499" s="38"/>
      <c r="J499" s="38"/>
      <c r="L499" s="31"/>
      <c r="M499" s="31"/>
      <c r="N499" s="31"/>
      <c r="O499" s="31"/>
      <c r="P499" s="31"/>
      <c r="Q499" s="31"/>
    </row>
    <row r="500" spans="1:18" ht="15" customHeight="1" x14ac:dyDescent="0.35">
      <c r="F500" s="38"/>
      <c r="H500" s="38"/>
      <c r="J500" s="38"/>
      <c r="L500" s="31"/>
      <c r="M500" s="31"/>
      <c r="N500" s="31"/>
      <c r="O500" s="31"/>
      <c r="P500" s="31"/>
      <c r="Q500" s="31"/>
    </row>
    <row r="501" spans="1:18" ht="15" customHeight="1" x14ac:dyDescent="0.4">
      <c r="A501" s="31">
        <f>A499+1</f>
        <v>29</v>
      </c>
      <c r="C501" s="35" t="s">
        <v>104</v>
      </c>
      <c r="D501" s="35"/>
      <c r="F501" s="38"/>
      <c r="H501" s="38"/>
      <c r="J501" s="38"/>
      <c r="L501" s="31"/>
      <c r="M501" s="31"/>
      <c r="N501" s="31"/>
      <c r="O501" s="31"/>
      <c r="P501" s="31"/>
      <c r="Q501" s="31"/>
    </row>
    <row r="502" spans="1:18" ht="15" customHeight="1" x14ac:dyDescent="0.35">
      <c r="F502" s="38"/>
      <c r="H502" s="38"/>
      <c r="J502" s="38"/>
      <c r="L502" s="31"/>
      <c r="M502" s="31"/>
      <c r="N502" s="31"/>
      <c r="O502" s="31"/>
      <c r="P502" s="31"/>
      <c r="Q502" s="31"/>
    </row>
    <row r="503" spans="1:18" ht="15" customHeight="1" x14ac:dyDescent="0.35">
      <c r="A503" s="31">
        <f>A501+1</f>
        <v>30</v>
      </c>
      <c r="C503" s="31" t="s">
        <v>161</v>
      </c>
      <c r="F503" s="108">
        <f>B!D56</f>
        <v>2</v>
      </c>
      <c r="G503" s="108">
        <f>B!E56</f>
        <v>2</v>
      </c>
      <c r="H503" s="108">
        <f>B!F56</f>
        <v>2</v>
      </c>
      <c r="I503" s="108">
        <f>B!G56</f>
        <v>2</v>
      </c>
      <c r="J503" s="108">
        <f>B!H56</f>
        <v>2</v>
      </c>
      <c r="K503" s="108">
        <f>B!I56</f>
        <v>2</v>
      </c>
      <c r="L503" s="171">
        <f>SUM(F503:K503)</f>
        <v>12</v>
      </c>
      <c r="M503" s="31"/>
      <c r="N503" s="31"/>
      <c r="O503" s="31"/>
      <c r="P503" s="31"/>
      <c r="Q503" s="31"/>
    </row>
    <row r="504" spans="1:18" ht="15" customHeight="1" x14ac:dyDescent="0.35">
      <c r="A504" s="31">
        <f>A503+1</f>
        <v>31</v>
      </c>
      <c r="C504" s="31" t="s">
        <v>168</v>
      </c>
      <c r="D504" s="31" t="s">
        <v>28</v>
      </c>
      <c r="E504" s="313">
        <f>Input!H31</f>
        <v>0</v>
      </c>
      <c r="F504" s="221">
        <f t="shared" ref="F504:J504" si="189">ROUND(F503*$E$488,2)</f>
        <v>0</v>
      </c>
      <c r="G504" s="221">
        <f t="shared" si="189"/>
        <v>0</v>
      </c>
      <c r="H504" s="221">
        <f t="shared" si="189"/>
        <v>0</v>
      </c>
      <c r="I504" s="221">
        <f t="shared" si="189"/>
        <v>0</v>
      </c>
      <c r="J504" s="221">
        <f t="shared" si="189"/>
        <v>0</v>
      </c>
      <c r="K504" s="221">
        <f>ROUND(K503*$E$488,2)</f>
        <v>0</v>
      </c>
      <c r="L504" s="221">
        <f>SUM(F504:K504)</f>
        <v>0</v>
      </c>
      <c r="M504" s="31"/>
      <c r="N504" s="31"/>
      <c r="O504" s="31"/>
      <c r="P504" s="31"/>
      <c r="Q504" s="31"/>
    </row>
    <row r="505" spans="1:18" ht="15" customHeight="1" x14ac:dyDescent="0.35">
      <c r="F505" s="38"/>
      <c r="H505" s="38"/>
      <c r="J505" s="38"/>
      <c r="L505" s="31"/>
      <c r="M505" s="31"/>
      <c r="N505" s="31"/>
      <c r="O505" s="31"/>
      <c r="P505" s="31"/>
      <c r="Q505" s="31"/>
    </row>
    <row r="506" spans="1:18" ht="15" customHeight="1" x14ac:dyDescent="0.35">
      <c r="A506" s="31">
        <f>A504+1</f>
        <v>32</v>
      </c>
      <c r="C506" s="36" t="s">
        <v>167</v>
      </c>
      <c r="F506" s="78">
        <f>'C'!D49</f>
        <v>40.6</v>
      </c>
      <c r="G506" s="78">
        <f>'C'!E49</f>
        <v>14.8</v>
      </c>
      <c r="H506" s="78">
        <f>'C'!F49</f>
        <v>6</v>
      </c>
      <c r="I506" s="78">
        <f>'C'!G49</f>
        <v>2.5</v>
      </c>
      <c r="J506" s="78">
        <f>'C'!H49</f>
        <v>1.6</v>
      </c>
      <c r="K506" s="78">
        <f>'C'!I49</f>
        <v>1.7</v>
      </c>
      <c r="L506" s="307">
        <f>SUM(F506:K506)</f>
        <v>67.2</v>
      </c>
      <c r="M506" s="31"/>
      <c r="N506" s="31"/>
      <c r="O506" s="31"/>
      <c r="P506" s="31"/>
      <c r="Q506" s="31"/>
    </row>
    <row r="507" spans="1:18" ht="15" customHeight="1" x14ac:dyDescent="0.35">
      <c r="A507" s="31">
        <f>A506+1</f>
        <v>33</v>
      </c>
      <c r="C507" s="333" t="s">
        <v>165</v>
      </c>
      <c r="D507" s="52" t="s">
        <v>27</v>
      </c>
      <c r="E507" s="311">
        <f>Input!C31</f>
        <v>0.6</v>
      </c>
      <c r="F507" s="357">
        <f t="shared" ref="F507:J507" si="190">ROUND(F506*$E$507,2)</f>
        <v>24.36</v>
      </c>
      <c r="G507" s="357">
        <f t="shared" si="190"/>
        <v>8.8800000000000008</v>
      </c>
      <c r="H507" s="357">
        <f t="shared" si="190"/>
        <v>3.6</v>
      </c>
      <c r="I507" s="357">
        <f t="shared" si="190"/>
        <v>1.5</v>
      </c>
      <c r="J507" s="357">
        <f t="shared" si="190"/>
        <v>0.96</v>
      </c>
      <c r="K507" s="357">
        <f>ROUND(K506*$E$507,2)</f>
        <v>1.02</v>
      </c>
      <c r="L507" s="357">
        <f>SUM(F507:K507)</f>
        <v>40.320000000000007</v>
      </c>
      <c r="M507" s="31"/>
      <c r="N507" s="31"/>
      <c r="O507" s="31"/>
      <c r="P507" s="31"/>
      <c r="Q507" s="31"/>
    </row>
    <row r="508" spans="1:18" ht="15" customHeight="1" x14ac:dyDescent="0.35">
      <c r="A508" s="31">
        <f>A507+1</f>
        <v>34</v>
      </c>
      <c r="C508" s="31" t="s">
        <v>162</v>
      </c>
      <c r="F508" s="221">
        <f t="shared" ref="F508:K508" si="191">F504+F507</f>
        <v>24.36</v>
      </c>
      <c r="G508" s="221">
        <f t="shared" si="191"/>
        <v>8.8800000000000008</v>
      </c>
      <c r="H508" s="221">
        <f t="shared" si="191"/>
        <v>3.6</v>
      </c>
      <c r="I508" s="221">
        <f t="shared" si="191"/>
        <v>1.5</v>
      </c>
      <c r="J508" s="221">
        <f t="shared" si="191"/>
        <v>0.96</v>
      </c>
      <c r="K508" s="221">
        <f t="shared" si="191"/>
        <v>1.02</v>
      </c>
      <c r="L508" s="221">
        <f>SUM(F508:K508)</f>
        <v>40.320000000000007</v>
      </c>
      <c r="M508" s="31"/>
      <c r="N508" s="31"/>
      <c r="O508" s="31"/>
      <c r="P508" s="31"/>
      <c r="Q508" s="31"/>
    </row>
    <row r="509" spans="1:18" ht="15" customHeight="1" x14ac:dyDescent="0.35">
      <c r="F509" s="221"/>
      <c r="G509" s="221"/>
      <c r="H509" s="221"/>
      <c r="I509" s="221"/>
      <c r="J509" s="221"/>
      <c r="K509" s="221"/>
      <c r="L509" s="221"/>
      <c r="M509" s="31"/>
      <c r="N509" s="31"/>
      <c r="O509" s="31"/>
      <c r="P509" s="31"/>
      <c r="Q509" s="31"/>
    </row>
    <row r="510" spans="1:18" ht="15" customHeight="1" x14ac:dyDescent="0.35">
      <c r="A510" s="31">
        <f>A508+1</f>
        <v>35</v>
      </c>
      <c r="C510" s="31" t="s">
        <v>132</v>
      </c>
      <c r="D510" s="31" t="s">
        <v>27</v>
      </c>
      <c r="E510" s="311">
        <v>0</v>
      </c>
      <c r="F510" s="221">
        <v>0</v>
      </c>
      <c r="G510" s="221">
        <v>0</v>
      </c>
      <c r="H510" s="221">
        <v>0</v>
      </c>
      <c r="I510" s="221">
        <v>0</v>
      </c>
      <c r="J510" s="221">
        <v>0</v>
      </c>
      <c r="K510" s="221">
        <v>0</v>
      </c>
      <c r="L510" s="221">
        <f>SUM(F510:K510)</f>
        <v>0</v>
      </c>
      <c r="M510" s="31"/>
      <c r="N510" s="31"/>
      <c r="O510" s="31"/>
      <c r="P510" s="31"/>
      <c r="Q510" s="31"/>
    </row>
    <row r="511" spans="1:18" ht="15" customHeight="1" x14ac:dyDescent="0.35">
      <c r="F511" s="38"/>
      <c r="H511" s="38"/>
      <c r="J511" s="38"/>
      <c r="L511" s="31"/>
      <c r="M511" s="31"/>
      <c r="N511" s="31"/>
      <c r="O511" s="31"/>
      <c r="P511" s="31"/>
      <c r="Q511" s="31"/>
    </row>
    <row r="512" spans="1:18" ht="15" customHeight="1" x14ac:dyDescent="0.35">
      <c r="A512" s="31">
        <f>A510+1</f>
        <v>36</v>
      </c>
      <c r="C512" s="36" t="s">
        <v>163</v>
      </c>
      <c r="D512" s="50"/>
      <c r="E512" s="56"/>
      <c r="F512" s="221">
        <f t="shared" ref="F512:J512" si="192">F508+F510</f>
        <v>24.36</v>
      </c>
      <c r="G512" s="221">
        <f t="shared" si="192"/>
        <v>8.8800000000000008</v>
      </c>
      <c r="H512" s="221">
        <f t="shared" si="192"/>
        <v>3.6</v>
      </c>
      <c r="I512" s="221">
        <f t="shared" si="192"/>
        <v>1.5</v>
      </c>
      <c r="J512" s="221">
        <f t="shared" si="192"/>
        <v>0.96</v>
      </c>
      <c r="K512" s="221">
        <f>K508+K510</f>
        <v>1.02</v>
      </c>
      <c r="L512" s="221">
        <f>SUM(F512:K512)</f>
        <v>40.320000000000007</v>
      </c>
      <c r="M512" s="31"/>
      <c r="N512" s="31"/>
      <c r="O512" s="31"/>
      <c r="P512" s="31"/>
      <c r="Q512" s="31"/>
    </row>
    <row r="513" spans="1:18" ht="15" customHeight="1" x14ac:dyDescent="0.35">
      <c r="F513" s="38"/>
      <c r="H513" s="38"/>
      <c r="J513" s="38"/>
      <c r="L513" s="39"/>
      <c r="M513" s="31"/>
      <c r="N513" s="31"/>
      <c r="O513" s="31"/>
      <c r="P513" s="31"/>
      <c r="Q513" s="31"/>
    </row>
    <row r="514" spans="1:18" ht="15" customHeight="1" x14ac:dyDescent="0.35"/>
    <row r="515" spans="1:18" ht="15" customHeight="1" x14ac:dyDescent="0.35">
      <c r="A515" s="31" t="str">
        <f>$A$280</f>
        <v>[1] Reflects forecasted volumes for March through August 2024.</v>
      </c>
    </row>
    <row r="516" spans="1:18" ht="15" customHeight="1" x14ac:dyDescent="0.35"/>
    <row r="517" spans="1:18" ht="15" customHeight="1" x14ac:dyDescent="0.4">
      <c r="A517" s="480" t="str">
        <f>CONAME</f>
        <v>Columbia Gas of Kentucky, Inc.</v>
      </c>
      <c r="B517" s="480"/>
      <c r="C517" s="480"/>
      <c r="D517" s="480"/>
      <c r="E517" s="480"/>
      <c r="F517" s="480"/>
      <c r="G517" s="480"/>
      <c r="H517" s="480"/>
      <c r="I517" s="480"/>
      <c r="J517" s="480"/>
      <c r="K517" s="480"/>
      <c r="L517" s="480"/>
      <c r="M517" s="89"/>
      <c r="N517" s="89"/>
      <c r="O517" s="89"/>
      <c r="P517" s="89"/>
      <c r="Q517" s="89"/>
      <c r="R517" s="89"/>
    </row>
    <row r="518" spans="1:18" ht="15" customHeight="1" x14ac:dyDescent="0.4">
      <c r="A518" s="480" t="str">
        <f>case</f>
        <v>Case No. 2024-00092</v>
      </c>
      <c r="B518" s="480"/>
      <c r="C518" s="480"/>
      <c r="D518" s="480"/>
      <c r="E518" s="480"/>
      <c r="F518" s="480"/>
      <c r="G518" s="480"/>
      <c r="H518" s="480"/>
      <c r="I518" s="480"/>
      <c r="J518" s="480"/>
      <c r="K518" s="480"/>
      <c r="L518" s="480"/>
      <c r="M518" s="35"/>
      <c r="N518" s="35"/>
      <c r="O518" s="35"/>
      <c r="P518" s="35"/>
      <c r="Q518" s="35"/>
      <c r="R518" s="35"/>
    </row>
    <row r="519" spans="1:18" ht="15" customHeight="1" x14ac:dyDescent="0.4">
      <c r="A519" s="480" t="s">
        <v>319</v>
      </c>
      <c r="B519" s="480"/>
      <c r="C519" s="480"/>
      <c r="D519" s="480"/>
      <c r="E519" s="480"/>
      <c r="F519" s="480"/>
      <c r="G519" s="480"/>
      <c r="H519" s="480"/>
      <c r="I519" s="480"/>
      <c r="J519" s="480"/>
      <c r="K519" s="480"/>
      <c r="L519" s="480"/>
      <c r="M519" s="110"/>
      <c r="N519" s="110"/>
      <c r="O519" s="110"/>
      <c r="P519" s="110"/>
      <c r="Q519" s="110"/>
      <c r="R519" s="110"/>
    </row>
    <row r="520" spans="1:18" ht="15" customHeight="1" x14ac:dyDescent="0.4">
      <c r="A520" s="480" t="str">
        <f>TYDESC</f>
        <v>For the 6 Months Ended August 31, 2024</v>
      </c>
      <c r="B520" s="480"/>
      <c r="C520" s="480"/>
      <c r="D520" s="480"/>
      <c r="E520" s="480"/>
      <c r="F520" s="480"/>
      <c r="G520" s="480"/>
      <c r="H520" s="480"/>
      <c r="I520" s="480"/>
      <c r="J520" s="480"/>
      <c r="K520" s="480"/>
      <c r="L520" s="480"/>
      <c r="M520" s="89"/>
      <c r="N520" s="89"/>
      <c r="O520" s="89"/>
      <c r="P520" s="89"/>
      <c r="Q520" s="89"/>
      <c r="R520" s="89"/>
    </row>
    <row r="521" spans="1:18" ht="15" customHeight="1" x14ac:dyDescent="0.4">
      <c r="A521" s="480" t="s">
        <v>46</v>
      </c>
      <c r="B521" s="480"/>
      <c r="C521" s="480"/>
      <c r="D521" s="480"/>
      <c r="E521" s="480"/>
      <c r="F521" s="480"/>
      <c r="G521" s="480"/>
      <c r="H521" s="480"/>
      <c r="I521" s="480"/>
      <c r="J521" s="480"/>
      <c r="K521" s="480"/>
      <c r="L521" s="480"/>
      <c r="M521" s="220"/>
      <c r="N521" s="220"/>
      <c r="O521" s="220"/>
      <c r="P521" s="220"/>
      <c r="Q521" s="220"/>
      <c r="R521" s="220"/>
    </row>
    <row r="522" spans="1:18" ht="15" customHeight="1" x14ac:dyDescent="0.4">
      <c r="A522" s="220"/>
      <c r="B522" s="220"/>
      <c r="C522" s="220"/>
      <c r="D522" s="220"/>
      <c r="E522" s="220"/>
      <c r="F522" s="220"/>
      <c r="G522" s="220"/>
      <c r="H522" s="220"/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</row>
    <row r="523" spans="1:18" ht="15" customHeight="1" x14ac:dyDescent="0.4">
      <c r="A523" s="35" t="s">
        <v>180</v>
      </c>
    </row>
    <row r="524" spans="1:18" ht="15" customHeight="1" x14ac:dyDescent="0.4">
      <c r="A524" s="35" t="s">
        <v>181</v>
      </c>
      <c r="L524" s="40" t="str">
        <f>$L$55</f>
        <v>Schedule M-2.2B</v>
      </c>
    </row>
    <row r="525" spans="1:18" ht="15" customHeight="1" x14ac:dyDescent="0.4">
      <c r="A525" s="35" t="str">
        <f>$A$56</f>
        <v>Work Paper Reference No(s): WPM-B.1, WPM-C.1, WPM-D.1</v>
      </c>
      <c r="L525" s="40" t="s">
        <v>329</v>
      </c>
    </row>
    <row r="526" spans="1:18" ht="15.45" x14ac:dyDescent="0.4">
      <c r="A526" s="320" t="str">
        <f>$A$57</f>
        <v>6 Mos Actual / 6 Mos Forecasted</v>
      </c>
      <c r="B526" s="321"/>
      <c r="C526" s="321"/>
      <c r="D526" s="321"/>
      <c r="E526" s="322"/>
      <c r="F526" s="321"/>
      <c r="G526" s="323"/>
      <c r="H526" s="324"/>
      <c r="I526" s="323"/>
      <c r="J526" s="325"/>
      <c r="K526" s="323"/>
      <c r="L526" s="326" t="str">
        <f>Witness</f>
        <v>Witness: J. C. Wozniak</v>
      </c>
    </row>
    <row r="527" spans="1:18" ht="15.45" x14ac:dyDescent="0.4">
      <c r="A527" s="327"/>
      <c r="B527" s="327"/>
      <c r="C527" s="327"/>
      <c r="D527" s="327"/>
      <c r="E527" s="89"/>
      <c r="F527" s="89"/>
      <c r="G527" s="89"/>
      <c r="H527" s="89"/>
      <c r="I527" s="89"/>
      <c r="J527" s="89"/>
      <c r="K527" s="89"/>
      <c r="L527" s="89"/>
      <c r="M527" s="327"/>
      <c r="N527" s="327"/>
      <c r="O527" s="327"/>
      <c r="P527" s="327"/>
      <c r="Q527" s="327"/>
      <c r="R527" s="327"/>
    </row>
    <row r="528" spans="1:18" ht="15" customHeight="1" x14ac:dyDescent="0.4">
      <c r="A528" s="35"/>
    </row>
    <row r="529" spans="1:18" ht="15" customHeight="1" x14ac:dyDescent="0.4">
      <c r="A529" s="32"/>
      <c r="B529" s="32"/>
      <c r="C529" s="32"/>
      <c r="D529" s="32"/>
      <c r="E529" s="33"/>
      <c r="F529" s="32"/>
      <c r="G529" s="41"/>
      <c r="H529" s="301"/>
      <c r="I529" s="41"/>
      <c r="J529" s="120"/>
      <c r="K529" s="41"/>
      <c r="L529" s="41"/>
      <c r="M529" s="41"/>
      <c r="N529" s="41"/>
      <c r="O529" s="41"/>
      <c r="P529" s="41"/>
      <c r="Q529" s="41"/>
      <c r="R529" s="32"/>
    </row>
    <row r="530" spans="1:18" ht="15" customHeight="1" x14ac:dyDescent="0.4">
      <c r="A530" s="32"/>
      <c r="B530" s="32"/>
      <c r="C530" s="32"/>
      <c r="D530" s="32"/>
      <c r="E530" s="33" t="s">
        <v>52</v>
      </c>
      <c r="F530" s="32"/>
      <c r="G530" s="41"/>
      <c r="H530" s="42"/>
      <c r="I530" s="41"/>
      <c r="J530" s="30"/>
      <c r="K530" s="41"/>
      <c r="L530" s="41"/>
      <c r="M530" s="41"/>
      <c r="N530" s="41"/>
      <c r="O530" s="41"/>
      <c r="P530" s="41"/>
      <c r="Q530" s="41"/>
      <c r="R530" s="32"/>
    </row>
    <row r="531" spans="1:18" ht="15" customHeight="1" x14ac:dyDescent="0.4">
      <c r="A531" s="32" t="s">
        <v>11</v>
      </c>
      <c r="B531" s="32" t="s">
        <v>10</v>
      </c>
      <c r="C531" s="32" t="s">
        <v>48</v>
      </c>
      <c r="D531" s="32"/>
      <c r="E531" s="33" t="s">
        <v>53</v>
      </c>
      <c r="F531" s="32"/>
      <c r="G531" s="41"/>
      <c r="H531" s="42"/>
      <c r="I531" s="41"/>
      <c r="J531" s="30"/>
      <c r="K531" s="41"/>
      <c r="L531" s="41"/>
      <c r="M531" s="41"/>
      <c r="N531" s="41"/>
      <c r="O531" s="41"/>
      <c r="P531" s="41"/>
      <c r="Q531" s="41"/>
      <c r="R531" s="34"/>
    </row>
    <row r="532" spans="1:18" ht="15" customHeight="1" x14ac:dyDescent="0.4">
      <c r="A532" s="43" t="s">
        <v>13</v>
      </c>
      <c r="B532" s="43" t="s">
        <v>47</v>
      </c>
      <c r="C532" s="43" t="s">
        <v>14</v>
      </c>
      <c r="D532" s="43"/>
      <c r="E532" s="44" t="s">
        <v>54</v>
      </c>
      <c r="F532" s="45" t="str">
        <f>B!$D$13</f>
        <v>Mar-24</v>
      </c>
      <c r="G532" s="45" t="str">
        <f>B!$E$13</f>
        <v>Apr-24</v>
      </c>
      <c r="H532" s="45" t="str">
        <f>B!$F$13</f>
        <v>May-24</v>
      </c>
      <c r="I532" s="45" t="str">
        <f>B!$G$13</f>
        <v>Jun-24</v>
      </c>
      <c r="J532" s="45" t="str">
        <f>B!$H$13</f>
        <v>Jul-24</v>
      </c>
      <c r="K532" s="45" t="str">
        <f>B!$I$13</f>
        <v>Aug-24</v>
      </c>
      <c r="L532" s="45" t="s">
        <v>15</v>
      </c>
      <c r="M532" s="31"/>
      <c r="N532" s="31"/>
      <c r="O532" s="31"/>
      <c r="P532" s="31"/>
      <c r="Q532" s="31"/>
    </row>
    <row r="533" spans="1:18" ht="15" customHeight="1" x14ac:dyDescent="0.4">
      <c r="A533" s="32"/>
      <c r="B533" s="34" t="s">
        <v>49</v>
      </c>
      <c r="C533" s="34" t="s">
        <v>50</v>
      </c>
      <c r="D533" s="34"/>
      <c r="E533" s="47" t="s">
        <v>51</v>
      </c>
      <c r="F533" s="48" t="s">
        <v>470</v>
      </c>
      <c r="G533" s="48" t="s">
        <v>471</v>
      </c>
      <c r="H533" s="48" t="s">
        <v>472</v>
      </c>
      <c r="I533" s="48" t="s">
        <v>473</v>
      </c>
      <c r="J533" s="48" t="s">
        <v>55</v>
      </c>
      <c r="K533" s="48" t="s">
        <v>56</v>
      </c>
      <c r="L533" s="48" t="s">
        <v>57</v>
      </c>
      <c r="M533" s="31"/>
      <c r="N533" s="31"/>
      <c r="O533" s="31"/>
      <c r="P533" s="31"/>
      <c r="Q533" s="31"/>
    </row>
    <row r="534" spans="1:18" ht="15" customHeight="1" x14ac:dyDescent="0.4">
      <c r="F534" s="48"/>
      <c r="G534" s="48"/>
      <c r="H534" s="48"/>
      <c r="I534" s="48"/>
      <c r="J534" s="48"/>
      <c r="K534" s="48"/>
      <c r="L534" s="34"/>
      <c r="M534" s="31"/>
      <c r="N534" s="31"/>
      <c r="O534" s="31"/>
      <c r="P534" s="31"/>
      <c r="Q534" s="31"/>
    </row>
    <row r="535" spans="1:18" ht="15" customHeight="1" x14ac:dyDescent="0.35">
      <c r="F535" s="38"/>
      <c r="H535" s="38"/>
      <c r="J535" s="38"/>
      <c r="L535" s="31"/>
      <c r="M535" s="31"/>
      <c r="N535" s="31"/>
      <c r="O535" s="31"/>
      <c r="P535" s="31"/>
      <c r="Q535" s="31"/>
    </row>
    <row r="536" spans="1:18" ht="15" customHeight="1" x14ac:dyDescent="0.35">
      <c r="A536" s="31">
        <v>1</v>
      </c>
      <c r="B536" s="31" t="str">
        <f>B116</f>
        <v>LG2</v>
      </c>
      <c r="C536" s="31" t="str">
        <f>C116</f>
        <v xml:space="preserve">LG&amp;E Residential </v>
      </c>
      <c r="F536" s="38"/>
      <c r="H536" s="38"/>
      <c r="J536" s="38"/>
      <c r="L536" s="31"/>
      <c r="M536" s="31"/>
      <c r="N536" s="31"/>
      <c r="O536" s="31"/>
      <c r="P536" s="31"/>
      <c r="Q536" s="31"/>
    </row>
    <row r="537" spans="1:18" ht="15" customHeight="1" x14ac:dyDescent="0.35">
      <c r="F537" s="38"/>
      <c r="H537" s="38"/>
      <c r="J537" s="38"/>
      <c r="L537" s="31"/>
      <c r="M537" s="31"/>
      <c r="N537" s="31"/>
      <c r="O537" s="31"/>
      <c r="P537" s="31"/>
      <c r="Q537" s="31"/>
    </row>
    <row r="538" spans="1:18" ht="15" customHeight="1" x14ac:dyDescent="0.4">
      <c r="A538" s="31">
        <f>A536+1</f>
        <v>2</v>
      </c>
      <c r="C538" s="35" t="s">
        <v>104</v>
      </c>
      <c r="D538" s="35"/>
      <c r="F538" s="38"/>
      <c r="H538" s="38"/>
      <c r="J538" s="38"/>
      <c r="L538" s="31"/>
      <c r="M538" s="31"/>
      <c r="N538" s="31"/>
      <c r="O538" s="31"/>
      <c r="P538" s="31"/>
      <c r="Q538" s="31"/>
    </row>
    <row r="539" spans="1:18" ht="15" customHeight="1" x14ac:dyDescent="0.35">
      <c r="F539" s="38"/>
      <c r="H539" s="38"/>
      <c r="J539" s="38"/>
      <c r="L539" s="31"/>
      <c r="M539" s="31"/>
      <c r="N539" s="31"/>
      <c r="O539" s="31"/>
      <c r="P539" s="31"/>
      <c r="Q539" s="31"/>
    </row>
    <row r="540" spans="1:18" ht="15" customHeight="1" x14ac:dyDescent="0.35">
      <c r="A540" s="31">
        <f>A538+1</f>
        <v>3</v>
      </c>
      <c r="C540" s="31" t="s">
        <v>161</v>
      </c>
      <c r="F540" s="108">
        <f>B!D62</f>
        <v>1</v>
      </c>
      <c r="G540" s="108">
        <f>B!E62</f>
        <v>1</v>
      </c>
      <c r="H540" s="108">
        <f>B!F62</f>
        <v>1</v>
      </c>
      <c r="I540" s="108">
        <f>B!G62</f>
        <v>1</v>
      </c>
      <c r="J540" s="108">
        <f>B!H62</f>
        <v>1</v>
      </c>
      <c r="K540" s="108">
        <f>B!I62</f>
        <v>1</v>
      </c>
      <c r="L540" s="171">
        <f>SUM(F540:K540)</f>
        <v>6</v>
      </c>
      <c r="M540" s="31"/>
      <c r="N540" s="31"/>
      <c r="O540" s="31"/>
      <c r="P540" s="31"/>
      <c r="Q540" s="31"/>
    </row>
    <row r="541" spans="1:18" ht="15" customHeight="1" x14ac:dyDescent="0.35">
      <c r="A541" s="31">
        <f>A540+1</f>
        <v>4</v>
      </c>
      <c r="C541" s="31" t="s">
        <v>168</v>
      </c>
      <c r="D541" s="31" t="s">
        <v>28</v>
      </c>
      <c r="E541" s="313">
        <f>Input!H32</f>
        <v>0</v>
      </c>
      <c r="F541" s="221">
        <f t="shared" ref="F541:J541" si="193">ROUND(F540*$E$488,2)</f>
        <v>0</v>
      </c>
      <c r="G541" s="221">
        <f t="shared" si="193"/>
        <v>0</v>
      </c>
      <c r="H541" s="221">
        <f t="shared" si="193"/>
        <v>0</v>
      </c>
      <c r="I541" s="221">
        <f t="shared" si="193"/>
        <v>0</v>
      </c>
      <c r="J541" s="221">
        <f t="shared" si="193"/>
        <v>0</v>
      </c>
      <c r="K541" s="221">
        <f>ROUND(K540*$E$488,2)</f>
        <v>0</v>
      </c>
      <c r="L541" s="221">
        <f>SUM(F541:K541)</f>
        <v>0</v>
      </c>
      <c r="M541" s="31"/>
      <c r="N541" s="31"/>
      <c r="O541" s="31"/>
      <c r="P541" s="31"/>
      <c r="Q541" s="31"/>
    </row>
    <row r="542" spans="1:18" ht="15" customHeight="1" x14ac:dyDescent="0.35">
      <c r="F542" s="38"/>
      <c r="H542" s="38"/>
      <c r="J542" s="38"/>
      <c r="L542" s="31"/>
      <c r="M542" s="31"/>
      <c r="N542" s="31"/>
      <c r="O542" s="31"/>
      <c r="P542" s="31"/>
      <c r="Q542" s="31"/>
    </row>
    <row r="543" spans="1:18" ht="15" customHeight="1" x14ac:dyDescent="0.35">
      <c r="A543" s="31">
        <f>A541+1</f>
        <v>5</v>
      </c>
      <c r="C543" s="36" t="s">
        <v>167</v>
      </c>
      <c r="F543" s="37">
        <f>'C'!D54</f>
        <v>106.7</v>
      </c>
      <c r="G543" s="78">
        <f>'C'!E54</f>
        <v>27.7</v>
      </c>
      <c r="H543" s="78">
        <f>'C'!F54</f>
        <v>14</v>
      </c>
      <c r="I543" s="78">
        <f>'C'!G54</f>
        <v>4.4000000000000004</v>
      </c>
      <c r="J543" s="78">
        <f>'C'!H54</f>
        <v>5.2</v>
      </c>
      <c r="K543" s="78">
        <f>'C'!I54</f>
        <v>3.3</v>
      </c>
      <c r="L543" s="307">
        <f>SUM(F543:K543)</f>
        <v>161.30000000000001</v>
      </c>
      <c r="M543" s="31"/>
      <c r="N543" s="31"/>
      <c r="O543" s="31"/>
      <c r="P543" s="31"/>
      <c r="Q543" s="31"/>
    </row>
    <row r="544" spans="1:18" ht="15" customHeight="1" x14ac:dyDescent="0.35">
      <c r="A544" s="31">
        <f>A543+1</f>
        <v>6</v>
      </c>
      <c r="C544" s="333" t="s">
        <v>165</v>
      </c>
      <c r="D544" s="52" t="s">
        <v>27</v>
      </c>
      <c r="E544" s="311">
        <f>Input!C32</f>
        <v>0.35</v>
      </c>
      <c r="F544" s="221">
        <f t="shared" ref="F544:J544" si="194">ROUND(F543*$E$544,2)</f>
        <v>37.35</v>
      </c>
      <c r="G544" s="221">
        <f t="shared" si="194"/>
        <v>9.6999999999999993</v>
      </c>
      <c r="H544" s="221">
        <f t="shared" si="194"/>
        <v>4.9000000000000004</v>
      </c>
      <c r="I544" s="221">
        <f t="shared" si="194"/>
        <v>1.54</v>
      </c>
      <c r="J544" s="221">
        <f t="shared" si="194"/>
        <v>1.82</v>
      </c>
      <c r="K544" s="221">
        <f>ROUND(K543*$E$544,2)</f>
        <v>1.1599999999999999</v>
      </c>
      <c r="L544" s="221">
        <f>SUM(F544:K544)</f>
        <v>56.469999999999992</v>
      </c>
      <c r="M544" s="31"/>
      <c r="N544" s="31"/>
      <c r="O544" s="31"/>
      <c r="P544" s="31"/>
      <c r="Q544" s="31"/>
    </row>
    <row r="545" spans="1:18" ht="15" customHeight="1" x14ac:dyDescent="0.35">
      <c r="A545" s="31">
        <f>A544+1</f>
        <v>7</v>
      </c>
      <c r="C545" s="31" t="s">
        <v>162</v>
      </c>
      <c r="F545" s="221">
        <f t="shared" ref="F545:K545" si="195">F541+F544</f>
        <v>37.35</v>
      </c>
      <c r="G545" s="221">
        <f t="shared" si="195"/>
        <v>9.6999999999999993</v>
      </c>
      <c r="H545" s="221">
        <f t="shared" si="195"/>
        <v>4.9000000000000004</v>
      </c>
      <c r="I545" s="221">
        <f t="shared" si="195"/>
        <v>1.54</v>
      </c>
      <c r="J545" s="221">
        <f t="shared" si="195"/>
        <v>1.82</v>
      </c>
      <c r="K545" s="221">
        <f t="shared" si="195"/>
        <v>1.1599999999999999</v>
      </c>
      <c r="L545" s="221">
        <f>SUM(F545:K545)</f>
        <v>56.469999999999992</v>
      </c>
      <c r="M545" s="31"/>
      <c r="N545" s="31"/>
      <c r="O545" s="31"/>
      <c r="P545" s="31"/>
      <c r="Q545" s="31"/>
    </row>
    <row r="546" spans="1:18" ht="15" customHeight="1" x14ac:dyDescent="0.35">
      <c r="F546" s="38"/>
      <c r="H546" s="38"/>
      <c r="J546" s="38"/>
      <c r="L546" s="39"/>
      <c r="M546" s="31"/>
      <c r="N546" s="31"/>
      <c r="O546" s="31"/>
      <c r="P546" s="31"/>
      <c r="Q546" s="31"/>
    </row>
    <row r="547" spans="1:18" ht="15" customHeight="1" x14ac:dyDescent="0.35">
      <c r="A547" s="31">
        <f>A545+1</f>
        <v>8</v>
      </c>
      <c r="C547" s="31" t="s">
        <v>132</v>
      </c>
      <c r="D547" s="31" t="s">
        <v>27</v>
      </c>
      <c r="E547" s="311">
        <v>0</v>
      </c>
      <c r="F547" s="221">
        <v>0</v>
      </c>
      <c r="G547" s="221">
        <v>0</v>
      </c>
      <c r="H547" s="221">
        <v>0</v>
      </c>
      <c r="I547" s="221">
        <v>0</v>
      </c>
      <c r="J547" s="221">
        <v>0</v>
      </c>
      <c r="K547" s="221">
        <v>0</v>
      </c>
      <c r="L547" s="221">
        <f>SUM(F547:K547)</f>
        <v>0</v>
      </c>
      <c r="M547" s="31"/>
      <c r="N547" s="31"/>
      <c r="O547" s="31"/>
      <c r="P547" s="31"/>
      <c r="Q547" s="31"/>
    </row>
    <row r="548" spans="1:18" ht="15" customHeight="1" x14ac:dyDescent="0.35">
      <c r="F548" s="38"/>
      <c r="H548" s="38"/>
      <c r="J548" s="38"/>
      <c r="L548" s="31"/>
      <c r="M548" s="31"/>
      <c r="N548" s="31"/>
      <c r="O548" s="31"/>
      <c r="P548" s="31"/>
      <c r="Q548" s="31"/>
    </row>
    <row r="549" spans="1:18" ht="15" customHeight="1" x14ac:dyDescent="0.35">
      <c r="A549" s="31">
        <f>A547+1</f>
        <v>9</v>
      </c>
      <c r="C549" s="36" t="s">
        <v>163</v>
      </c>
      <c r="D549" s="50"/>
      <c r="E549" s="56"/>
      <c r="F549" s="221">
        <f t="shared" ref="F549:J549" si="196">F545+F547</f>
        <v>37.35</v>
      </c>
      <c r="G549" s="221">
        <f t="shared" si="196"/>
        <v>9.6999999999999993</v>
      </c>
      <c r="H549" s="221">
        <f t="shared" si="196"/>
        <v>4.9000000000000004</v>
      </c>
      <c r="I549" s="221">
        <f t="shared" si="196"/>
        <v>1.54</v>
      </c>
      <c r="J549" s="221">
        <f t="shared" si="196"/>
        <v>1.82</v>
      </c>
      <c r="K549" s="221">
        <f>K545+K547</f>
        <v>1.1599999999999999</v>
      </c>
      <c r="L549" s="221">
        <f>SUM(F549:K549)</f>
        <v>56.469999999999992</v>
      </c>
      <c r="M549" s="31"/>
      <c r="N549" s="31"/>
      <c r="O549" s="31"/>
      <c r="P549" s="31"/>
      <c r="Q549" s="31"/>
    </row>
    <row r="550" spans="1:18" ht="15" customHeight="1" x14ac:dyDescent="0.35"/>
    <row r="551" spans="1:18" ht="15" customHeight="1" x14ac:dyDescent="0.35">
      <c r="R551" s="39"/>
    </row>
    <row r="552" spans="1:18" ht="15" customHeight="1" x14ac:dyDescent="0.35">
      <c r="A552" s="31">
        <f>A549+1</f>
        <v>10</v>
      </c>
      <c r="B552" s="31" t="str">
        <f>B123</f>
        <v>LG2</v>
      </c>
      <c r="C552" s="31" t="str">
        <f>C123</f>
        <v>LG&amp;E Commercial</v>
      </c>
      <c r="F552" s="38"/>
      <c r="H552" s="38"/>
      <c r="J552" s="38"/>
      <c r="L552" s="31"/>
      <c r="M552" s="31"/>
      <c r="N552" s="31"/>
      <c r="O552" s="31"/>
      <c r="P552" s="31"/>
      <c r="Q552" s="31"/>
    </row>
    <row r="553" spans="1:18" ht="15" customHeight="1" x14ac:dyDescent="0.35">
      <c r="F553" s="38"/>
      <c r="H553" s="38"/>
      <c r="J553" s="38"/>
      <c r="L553" s="31"/>
      <c r="M553" s="31"/>
      <c r="N553" s="31"/>
      <c r="O553" s="31"/>
      <c r="P553" s="31"/>
      <c r="Q553" s="31"/>
    </row>
    <row r="554" spans="1:18" ht="15" customHeight="1" x14ac:dyDescent="0.4">
      <c r="A554" s="31">
        <f>A552+1</f>
        <v>11</v>
      </c>
      <c r="C554" s="35" t="s">
        <v>105</v>
      </c>
      <c r="D554" s="35"/>
      <c r="F554" s="38"/>
      <c r="H554" s="38"/>
      <c r="J554" s="38"/>
      <c r="L554" s="31"/>
      <c r="M554" s="31"/>
      <c r="N554" s="31"/>
      <c r="O554" s="31"/>
      <c r="P554" s="31"/>
      <c r="Q554" s="31"/>
    </row>
    <row r="555" spans="1:18" ht="15" customHeight="1" x14ac:dyDescent="0.35">
      <c r="F555" s="38"/>
      <c r="H555" s="38"/>
      <c r="J555" s="38"/>
      <c r="L555" s="31"/>
      <c r="M555" s="31"/>
      <c r="N555" s="31"/>
      <c r="O555" s="31"/>
      <c r="P555" s="31"/>
      <c r="Q555" s="31"/>
    </row>
    <row r="556" spans="1:18" ht="15" customHeight="1" x14ac:dyDescent="0.35">
      <c r="A556" s="31">
        <f>A554+1</f>
        <v>12</v>
      </c>
      <c r="C556" s="31" t="s">
        <v>161</v>
      </c>
      <c r="F556" s="108">
        <f>B!D87</f>
        <v>0</v>
      </c>
      <c r="G556" s="108">
        <f>B!E87</f>
        <v>0</v>
      </c>
      <c r="H556" s="108">
        <f>B!F87</f>
        <v>0</v>
      </c>
      <c r="I556" s="108">
        <f>B!G87</f>
        <v>0</v>
      </c>
      <c r="J556" s="108">
        <f>B!H87</f>
        <v>0</v>
      </c>
      <c r="K556" s="108">
        <f>B!I87</f>
        <v>0</v>
      </c>
      <c r="L556" s="171">
        <f>SUM(F556:K556)</f>
        <v>0</v>
      </c>
      <c r="M556" s="31"/>
      <c r="N556" s="31"/>
      <c r="O556" s="31"/>
      <c r="P556" s="31"/>
      <c r="Q556" s="31"/>
    </row>
    <row r="557" spans="1:18" ht="15" customHeight="1" x14ac:dyDescent="0.35">
      <c r="A557" s="31">
        <f>A556+1</f>
        <v>13</v>
      </c>
      <c r="C557" s="31" t="s">
        <v>168</v>
      </c>
      <c r="D557" s="31" t="s">
        <v>28</v>
      </c>
      <c r="E557" s="313">
        <f>Input!H33</f>
        <v>0</v>
      </c>
      <c r="F557" s="221">
        <f t="shared" ref="F557:J557" si="197">ROUND(F556*$E$488,2)</f>
        <v>0</v>
      </c>
      <c r="G557" s="221">
        <f t="shared" si="197"/>
        <v>0</v>
      </c>
      <c r="H557" s="221">
        <f t="shared" si="197"/>
        <v>0</v>
      </c>
      <c r="I557" s="221">
        <f t="shared" si="197"/>
        <v>0</v>
      </c>
      <c r="J557" s="221">
        <f t="shared" si="197"/>
        <v>0</v>
      </c>
      <c r="K557" s="221">
        <f>ROUND(K556*$E$488,2)</f>
        <v>0</v>
      </c>
      <c r="L557" s="221">
        <f>SUM(F557:K557)</f>
        <v>0</v>
      </c>
      <c r="M557" s="31"/>
      <c r="N557" s="31"/>
      <c r="O557" s="31"/>
      <c r="P557" s="31"/>
      <c r="Q557" s="31"/>
    </row>
    <row r="558" spans="1:18" ht="15" customHeight="1" x14ac:dyDescent="0.35">
      <c r="F558" s="38"/>
      <c r="H558" s="38"/>
      <c r="J558" s="38"/>
      <c r="L558" s="31"/>
      <c r="M558" s="31"/>
      <c r="N558" s="31"/>
      <c r="O558" s="31"/>
      <c r="P558" s="31"/>
      <c r="Q558" s="31"/>
    </row>
    <row r="559" spans="1:18" ht="15" customHeight="1" x14ac:dyDescent="0.35">
      <c r="A559" s="31">
        <f>A557+1</f>
        <v>14</v>
      </c>
      <c r="C559" s="36" t="s">
        <v>167</v>
      </c>
      <c r="F559" s="78">
        <f>'C'!D59</f>
        <v>0</v>
      </c>
      <c r="G559" s="78">
        <f>'C'!E59</f>
        <v>0</v>
      </c>
      <c r="H559" s="78">
        <f>'C'!F59</f>
        <v>0</v>
      </c>
      <c r="I559" s="78">
        <f>'C'!G59</f>
        <v>0</v>
      </c>
      <c r="J559" s="78">
        <f>'C'!H59</f>
        <v>0</v>
      </c>
      <c r="K559" s="78">
        <f>'C'!I59</f>
        <v>0</v>
      </c>
      <c r="L559" s="307">
        <f>SUM(F559:K559)</f>
        <v>0</v>
      </c>
      <c r="M559" s="31"/>
      <c r="N559" s="31"/>
      <c r="O559" s="31"/>
      <c r="P559" s="31"/>
      <c r="Q559" s="31"/>
    </row>
    <row r="560" spans="1:18" ht="15" customHeight="1" x14ac:dyDescent="0.35">
      <c r="A560" s="31">
        <f>A559+1</f>
        <v>15</v>
      </c>
      <c r="C560" s="333" t="s">
        <v>165</v>
      </c>
      <c r="D560" s="52" t="s">
        <v>27</v>
      </c>
      <c r="E560" s="314">
        <f>Input!C33</f>
        <v>0.35</v>
      </c>
      <c r="F560" s="221">
        <f t="shared" ref="F560:J560" si="198">ROUND(F559*$E$560,2)</f>
        <v>0</v>
      </c>
      <c r="G560" s="221">
        <f t="shared" si="198"/>
        <v>0</v>
      </c>
      <c r="H560" s="221">
        <f t="shared" si="198"/>
        <v>0</v>
      </c>
      <c r="I560" s="221">
        <f t="shared" si="198"/>
        <v>0</v>
      </c>
      <c r="J560" s="221">
        <f t="shared" si="198"/>
        <v>0</v>
      </c>
      <c r="K560" s="221">
        <f>ROUND(K559*$E$560,2)</f>
        <v>0</v>
      </c>
      <c r="L560" s="221">
        <f>SUM(F560:K560)</f>
        <v>0</v>
      </c>
      <c r="M560" s="31"/>
      <c r="N560" s="31"/>
      <c r="O560" s="31"/>
      <c r="P560" s="31"/>
      <c r="Q560" s="31"/>
    </row>
    <row r="561" spans="1:18" ht="15" customHeight="1" x14ac:dyDescent="0.35">
      <c r="A561" s="31">
        <f>A560+1</f>
        <v>16</v>
      </c>
      <c r="C561" s="31" t="s">
        <v>162</v>
      </c>
      <c r="F561" s="221">
        <f t="shared" ref="F561:K561" si="199">F557+F560</f>
        <v>0</v>
      </c>
      <c r="G561" s="221">
        <f t="shared" si="199"/>
        <v>0</v>
      </c>
      <c r="H561" s="221">
        <f t="shared" si="199"/>
        <v>0</v>
      </c>
      <c r="I561" s="221">
        <f t="shared" si="199"/>
        <v>0</v>
      </c>
      <c r="J561" s="221">
        <f t="shared" si="199"/>
        <v>0</v>
      </c>
      <c r="K561" s="221">
        <f t="shared" si="199"/>
        <v>0</v>
      </c>
      <c r="L561" s="221">
        <f>SUM(F561:K561)</f>
        <v>0</v>
      </c>
      <c r="M561" s="31"/>
      <c r="N561" s="31"/>
      <c r="O561" s="31"/>
      <c r="P561" s="31"/>
      <c r="Q561" s="31"/>
    </row>
    <row r="562" spans="1:18" ht="15" customHeight="1" x14ac:dyDescent="0.35">
      <c r="F562" s="38"/>
      <c r="H562" s="38"/>
      <c r="J562" s="38"/>
      <c r="M562" s="31"/>
      <c r="N562" s="31"/>
      <c r="O562" s="31"/>
      <c r="P562" s="31"/>
      <c r="Q562" s="31"/>
    </row>
    <row r="563" spans="1:18" ht="15" customHeight="1" x14ac:dyDescent="0.35">
      <c r="A563" s="31">
        <f>A561+1</f>
        <v>17</v>
      </c>
      <c r="C563" s="31" t="s">
        <v>132</v>
      </c>
      <c r="D563" s="31" t="s">
        <v>27</v>
      </c>
      <c r="E563" s="311">
        <v>0</v>
      </c>
      <c r="F563" s="221">
        <v>0</v>
      </c>
      <c r="G563" s="221">
        <v>0</v>
      </c>
      <c r="H563" s="221">
        <v>0</v>
      </c>
      <c r="I563" s="221">
        <v>0</v>
      </c>
      <c r="J563" s="221">
        <v>0</v>
      </c>
      <c r="K563" s="221">
        <v>0</v>
      </c>
      <c r="L563" s="221">
        <f>SUM(F563:K563)</f>
        <v>0</v>
      </c>
      <c r="M563" s="31"/>
      <c r="N563" s="31"/>
      <c r="O563" s="31"/>
      <c r="P563" s="31"/>
      <c r="Q563" s="31"/>
    </row>
    <row r="564" spans="1:18" ht="15" customHeight="1" x14ac:dyDescent="0.35">
      <c r="F564" s="38"/>
      <c r="H564" s="38"/>
      <c r="J564" s="38"/>
      <c r="L564" s="31"/>
      <c r="M564" s="31"/>
      <c r="N564" s="31"/>
      <c r="O564" s="31"/>
      <c r="P564" s="31"/>
      <c r="Q564" s="31"/>
    </row>
    <row r="565" spans="1:18" ht="15" customHeight="1" x14ac:dyDescent="0.35">
      <c r="A565" s="31">
        <f>A563+1</f>
        <v>18</v>
      </c>
      <c r="C565" s="36" t="s">
        <v>163</v>
      </c>
      <c r="D565" s="50"/>
      <c r="E565" s="56"/>
      <c r="F565" s="221">
        <f t="shared" ref="F565:J565" si="200">F561+F563</f>
        <v>0</v>
      </c>
      <c r="G565" s="221">
        <f t="shared" si="200"/>
        <v>0</v>
      </c>
      <c r="H565" s="221">
        <f t="shared" si="200"/>
        <v>0</v>
      </c>
      <c r="I565" s="221">
        <f t="shared" si="200"/>
        <v>0</v>
      </c>
      <c r="J565" s="221">
        <f t="shared" si="200"/>
        <v>0</v>
      </c>
      <c r="K565" s="221">
        <f>K561+K563</f>
        <v>0</v>
      </c>
      <c r="L565" s="221">
        <f>SUM(F565:K565)</f>
        <v>0</v>
      </c>
      <c r="M565" s="31"/>
      <c r="N565" s="31"/>
      <c r="O565" s="31"/>
      <c r="P565" s="31"/>
      <c r="Q565" s="31"/>
    </row>
    <row r="566" spans="1:18" ht="15" customHeight="1" x14ac:dyDescent="0.35">
      <c r="F566" s="38"/>
      <c r="H566" s="38"/>
      <c r="J566" s="38"/>
      <c r="L566" s="31"/>
      <c r="M566" s="31"/>
      <c r="N566" s="31"/>
      <c r="O566" s="31"/>
      <c r="P566" s="31"/>
      <c r="Q566" s="31"/>
    </row>
    <row r="567" spans="1:18" ht="15" customHeight="1" x14ac:dyDescent="0.35">
      <c r="R567" s="39"/>
    </row>
    <row r="568" spans="1:18" ht="15" customHeight="1" x14ac:dyDescent="0.35">
      <c r="A568" s="31">
        <f>A565+1</f>
        <v>19</v>
      </c>
      <c r="B568" s="31" t="str">
        <f>B152</f>
        <v>LG3</v>
      </c>
      <c r="C568" s="31" t="str">
        <f>C152</f>
        <v>LG&amp;E Residential</v>
      </c>
      <c r="F568" s="38"/>
      <c r="H568" s="38"/>
      <c r="J568" s="38"/>
      <c r="L568" s="31"/>
      <c r="M568" s="31"/>
      <c r="N568" s="31"/>
      <c r="O568" s="31"/>
      <c r="P568" s="31"/>
      <c r="Q568" s="31"/>
    </row>
    <row r="569" spans="1:18" ht="15" customHeight="1" x14ac:dyDescent="0.35">
      <c r="F569" s="38"/>
      <c r="H569" s="38"/>
      <c r="J569" s="38"/>
      <c r="L569" s="31"/>
      <c r="M569" s="31"/>
      <c r="N569" s="31"/>
      <c r="O569" s="31"/>
      <c r="P569" s="31"/>
      <c r="Q569" s="31"/>
    </row>
    <row r="570" spans="1:18" ht="15" customHeight="1" x14ac:dyDescent="0.4">
      <c r="A570" s="31">
        <f>A568+1</f>
        <v>20</v>
      </c>
      <c r="C570" s="35" t="s">
        <v>104</v>
      </c>
      <c r="D570" s="35"/>
      <c r="F570" s="38"/>
      <c r="H570" s="38"/>
      <c r="J570" s="38"/>
      <c r="L570" s="31"/>
      <c r="M570" s="31"/>
      <c r="N570" s="31"/>
      <c r="O570" s="31"/>
      <c r="P570" s="31"/>
      <c r="Q570" s="31"/>
    </row>
    <row r="571" spans="1:18" ht="15" customHeight="1" x14ac:dyDescent="0.35">
      <c r="E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</row>
    <row r="572" spans="1:18" ht="15" customHeight="1" x14ac:dyDescent="0.35">
      <c r="A572" s="31">
        <f>A570+1</f>
        <v>21</v>
      </c>
      <c r="C572" s="31" t="s">
        <v>161</v>
      </c>
      <c r="F572" s="108">
        <f>B!D93</f>
        <v>1</v>
      </c>
      <c r="G572" s="108">
        <f>B!E93</f>
        <v>1</v>
      </c>
      <c r="H572" s="108">
        <f>B!F93</f>
        <v>1</v>
      </c>
      <c r="I572" s="108">
        <f>B!G93</f>
        <v>1</v>
      </c>
      <c r="J572" s="108">
        <f>B!H93</f>
        <v>1</v>
      </c>
      <c r="K572" s="108">
        <f>B!I93</f>
        <v>1</v>
      </c>
      <c r="L572" s="108">
        <f>SUM(F572:K572)</f>
        <v>6</v>
      </c>
      <c r="M572" s="31"/>
      <c r="N572" s="31"/>
      <c r="O572" s="31"/>
      <c r="P572" s="31"/>
      <c r="Q572" s="31"/>
    </row>
    <row r="573" spans="1:18" ht="15" customHeight="1" x14ac:dyDescent="0.35">
      <c r="A573" s="31">
        <f>A572+1</f>
        <v>22</v>
      </c>
      <c r="C573" s="31" t="s">
        <v>168</v>
      </c>
      <c r="D573" s="31" t="s">
        <v>28</v>
      </c>
      <c r="E573" s="313">
        <f>Input!H34</f>
        <v>1.2</v>
      </c>
      <c r="F573" s="221">
        <f t="shared" ref="F573:J573" si="201">ROUND(F572*$E$573,2)</f>
        <v>1.2</v>
      </c>
      <c r="G573" s="221">
        <f t="shared" si="201"/>
        <v>1.2</v>
      </c>
      <c r="H573" s="221">
        <f t="shared" si="201"/>
        <v>1.2</v>
      </c>
      <c r="I573" s="221">
        <f t="shared" si="201"/>
        <v>1.2</v>
      </c>
      <c r="J573" s="221">
        <f t="shared" si="201"/>
        <v>1.2</v>
      </c>
      <c r="K573" s="221">
        <f>ROUND(K572*$E$573,2)</f>
        <v>1.2</v>
      </c>
      <c r="L573" s="221">
        <f>SUM(F573:K573)</f>
        <v>7.2</v>
      </c>
      <c r="M573" s="31"/>
      <c r="N573" s="31"/>
      <c r="O573" s="31"/>
      <c r="P573" s="31"/>
      <c r="Q573" s="31"/>
    </row>
    <row r="574" spans="1:18" ht="15" customHeight="1" x14ac:dyDescent="0.35">
      <c r="F574" s="38"/>
      <c r="H574" s="38"/>
      <c r="J574" s="38"/>
      <c r="L574" s="31"/>
      <c r="M574" s="31"/>
      <c r="N574" s="31"/>
      <c r="O574" s="31"/>
      <c r="P574" s="31"/>
      <c r="Q574" s="31"/>
    </row>
    <row r="575" spans="1:18" ht="15" customHeight="1" x14ac:dyDescent="0.35">
      <c r="A575" s="31">
        <f>A573+1</f>
        <v>23</v>
      </c>
      <c r="C575" s="36" t="s">
        <v>167</v>
      </c>
      <c r="F575" s="38"/>
      <c r="H575" s="38"/>
      <c r="J575" s="38"/>
      <c r="L575" s="31"/>
      <c r="M575" s="31"/>
      <c r="N575" s="31"/>
      <c r="O575" s="31"/>
      <c r="P575" s="31"/>
      <c r="Q575" s="31"/>
    </row>
    <row r="576" spans="1:18" ht="15" customHeight="1" x14ac:dyDescent="0.35">
      <c r="A576" s="31">
        <f>A575+1</f>
        <v>24</v>
      </c>
      <c r="C576" s="31" t="str">
        <f>'C'!B63</f>
        <v xml:space="preserve">    First 2 Mcf</v>
      </c>
      <c r="E576" s="31"/>
      <c r="F576" s="78">
        <f>'C'!D71</f>
        <v>2</v>
      </c>
      <c r="G576" s="78">
        <f>'C'!E71</f>
        <v>2</v>
      </c>
      <c r="H576" s="78">
        <f>'C'!F71</f>
        <v>2</v>
      </c>
      <c r="I576" s="78">
        <f>'C'!G71</f>
        <v>2</v>
      </c>
      <c r="J576" s="78">
        <f>'C'!H71</f>
        <v>2</v>
      </c>
      <c r="K576" s="78">
        <f>'C'!I71</f>
        <v>2</v>
      </c>
      <c r="L576" s="307">
        <f>SUM(F576:K576)</f>
        <v>12</v>
      </c>
      <c r="M576" s="31"/>
      <c r="N576" s="31"/>
      <c r="O576" s="31"/>
      <c r="P576" s="31"/>
      <c r="Q576" s="31"/>
    </row>
    <row r="577" spans="1:17" ht="15" customHeight="1" x14ac:dyDescent="0.35">
      <c r="A577" s="31">
        <f>A576+1</f>
        <v>25</v>
      </c>
      <c r="C577" s="31" t="str">
        <f>'C'!B64</f>
        <v xml:space="preserve">    Over 2 Mcf</v>
      </c>
      <c r="E577" s="31"/>
      <c r="F577" s="61">
        <f>'C'!D72</f>
        <v>33.9</v>
      </c>
      <c r="G577" s="61">
        <f>'C'!E72</f>
        <v>23</v>
      </c>
      <c r="H577" s="61">
        <f>'C'!F72</f>
        <v>13.6</v>
      </c>
      <c r="I577" s="61">
        <f>'C'!G72</f>
        <v>16.2</v>
      </c>
      <c r="J577" s="61">
        <f>'C'!H72</f>
        <v>6</v>
      </c>
      <c r="K577" s="61">
        <f>'C'!I72</f>
        <v>7.5</v>
      </c>
      <c r="L577" s="61">
        <f>SUM(F577:K577)</f>
        <v>100.2</v>
      </c>
      <c r="M577" s="31"/>
      <c r="N577" s="31"/>
      <c r="O577" s="31"/>
      <c r="P577" s="31"/>
      <c r="Q577" s="31"/>
    </row>
    <row r="578" spans="1:17" ht="15" customHeight="1" x14ac:dyDescent="0.35">
      <c r="F578" s="37">
        <f t="shared" ref="F578:J578" si="202">SUM(F576:F577)</f>
        <v>35.9</v>
      </c>
      <c r="G578" s="37">
        <f t="shared" si="202"/>
        <v>25</v>
      </c>
      <c r="H578" s="37">
        <f t="shared" si="202"/>
        <v>15.6</v>
      </c>
      <c r="I578" s="37">
        <f t="shared" si="202"/>
        <v>18.2</v>
      </c>
      <c r="J578" s="37">
        <f t="shared" si="202"/>
        <v>8</v>
      </c>
      <c r="K578" s="37">
        <f>SUM(K576:K577)</f>
        <v>9.5</v>
      </c>
      <c r="L578" s="78">
        <f>SUM(F578:K578)</f>
        <v>112.2</v>
      </c>
      <c r="M578" s="31"/>
      <c r="N578" s="31"/>
      <c r="O578" s="31"/>
      <c r="P578" s="31"/>
      <c r="Q578" s="31"/>
    </row>
    <row r="579" spans="1:17" ht="15" customHeight="1" x14ac:dyDescent="0.35">
      <c r="A579" s="31">
        <f>A577+1</f>
        <v>26</v>
      </c>
      <c r="C579" s="31" t="s">
        <v>165</v>
      </c>
      <c r="F579" s="38"/>
      <c r="H579" s="38"/>
      <c r="J579" s="38"/>
      <c r="L579" s="31"/>
      <c r="M579" s="31"/>
      <c r="N579" s="31"/>
      <c r="O579" s="31"/>
      <c r="P579" s="31"/>
      <c r="Q579" s="31"/>
    </row>
    <row r="580" spans="1:17" ht="15" customHeight="1" x14ac:dyDescent="0.35">
      <c r="A580" s="31">
        <f>A579+1</f>
        <v>27</v>
      </c>
      <c r="C580" s="31" t="str">
        <f>C576</f>
        <v xml:space="preserve">    First 2 Mcf</v>
      </c>
      <c r="D580" s="31" t="s">
        <v>27</v>
      </c>
      <c r="E580" s="311">
        <f>Input!C34</f>
        <v>0</v>
      </c>
      <c r="F580" s="221">
        <f t="shared" ref="F580:J580" si="203">ROUND(F576*$E$580,2)</f>
        <v>0</v>
      </c>
      <c r="G580" s="221">
        <f t="shared" si="203"/>
        <v>0</v>
      </c>
      <c r="H580" s="221">
        <f t="shared" si="203"/>
        <v>0</v>
      </c>
      <c r="I580" s="221">
        <f t="shared" si="203"/>
        <v>0</v>
      </c>
      <c r="J580" s="221">
        <f t="shared" si="203"/>
        <v>0</v>
      </c>
      <c r="K580" s="221">
        <f>ROUND(K576*$E$580,2)</f>
        <v>0</v>
      </c>
      <c r="L580" s="221">
        <f>SUM(F580:K580)</f>
        <v>0</v>
      </c>
      <c r="M580" s="31"/>
      <c r="N580" s="31"/>
      <c r="O580" s="31"/>
      <c r="P580" s="31"/>
      <c r="Q580" s="31"/>
    </row>
    <row r="581" spans="1:17" ht="15" customHeight="1" x14ac:dyDescent="0.35">
      <c r="A581" s="31">
        <f>A580+1</f>
        <v>28</v>
      </c>
      <c r="C581" s="31" t="str">
        <f>C577</f>
        <v xml:space="preserve">    Over 2 Mcf</v>
      </c>
      <c r="D581" s="31" t="s">
        <v>27</v>
      </c>
      <c r="E581" s="311">
        <f>Input!D34</f>
        <v>0.35</v>
      </c>
      <c r="F581" s="55">
        <f t="shared" ref="F581:J581" si="204">ROUND(F577*$E$581,2)</f>
        <v>11.87</v>
      </c>
      <c r="G581" s="55">
        <f t="shared" si="204"/>
        <v>8.0500000000000007</v>
      </c>
      <c r="H581" s="55">
        <f t="shared" si="204"/>
        <v>4.76</v>
      </c>
      <c r="I581" s="55">
        <f t="shared" si="204"/>
        <v>5.67</v>
      </c>
      <c r="J581" s="55">
        <f t="shared" si="204"/>
        <v>2.1</v>
      </c>
      <c r="K581" s="55">
        <f>ROUND(K577*$E$581,2)</f>
        <v>2.63</v>
      </c>
      <c r="L581" s="55">
        <f>SUM(F581:K581)</f>
        <v>35.080000000000005</v>
      </c>
      <c r="M581" s="31"/>
      <c r="N581" s="31"/>
      <c r="O581" s="31"/>
      <c r="P581" s="31"/>
      <c r="Q581" s="31"/>
    </row>
    <row r="582" spans="1:17" ht="15" customHeight="1" x14ac:dyDescent="0.35">
      <c r="F582" s="221">
        <f t="shared" ref="F582:J582" si="205">SUM(F580:F581)</f>
        <v>11.87</v>
      </c>
      <c r="G582" s="221">
        <f t="shared" si="205"/>
        <v>8.0500000000000007</v>
      </c>
      <c r="H582" s="221">
        <f t="shared" si="205"/>
        <v>4.76</v>
      </c>
      <c r="I582" s="221">
        <f t="shared" si="205"/>
        <v>5.67</v>
      </c>
      <c r="J582" s="221">
        <f t="shared" si="205"/>
        <v>2.1</v>
      </c>
      <c r="K582" s="221">
        <f>SUM(K580:K581)</f>
        <v>2.63</v>
      </c>
      <c r="L582" s="221">
        <f>SUM(F582:K582)</f>
        <v>35.080000000000005</v>
      </c>
      <c r="M582" s="31"/>
      <c r="N582" s="31"/>
      <c r="O582" s="31"/>
      <c r="P582" s="31"/>
      <c r="Q582" s="31"/>
    </row>
    <row r="583" spans="1:17" ht="15" customHeight="1" x14ac:dyDescent="0.35">
      <c r="A583" s="31">
        <f>A581+1</f>
        <v>29</v>
      </c>
      <c r="C583" s="31" t="s">
        <v>162</v>
      </c>
      <c r="F583" s="221">
        <f t="shared" ref="F583:K583" si="206">F573+F582</f>
        <v>13.069999999999999</v>
      </c>
      <c r="G583" s="221">
        <f t="shared" si="206"/>
        <v>9.25</v>
      </c>
      <c r="H583" s="221">
        <f t="shared" si="206"/>
        <v>5.96</v>
      </c>
      <c r="I583" s="221">
        <f t="shared" si="206"/>
        <v>6.87</v>
      </c>
      <c r="J583" s="221">
        <f t="shared" si="206"/>
        <v>3.3</v>
      </c>
      <c r="K583" s="221">
        <f t="shared" si="206"/>
        <v>3.83</v>
      </c>
      <c r="L583" s="221">
        <f>SUM(F583:K583)</f>
        <v>42.279999999999994</v>
      </c>
      <c r="M583" s="31"/>
      <c r="N583" s="31"/>
      <c r="O583" s="31"/>
      <c r="P583" s="31"/>
      <c r="Q583" s="31"/>
    </row>
    <row r="584" spans="1:17" ht="15" customHeight="1" x14ac:dyDescent="0.35">
      <c r="F584" s="38"/>
      <c r="H584" s="38"/>
      <c r="J584" s="38"/>
      <c r="L584" s="31"/>
      <c r="M584" s="31"/>
      <c r="N584" s="31"/>
      <c r="O584" s="31"/>
      <c r="P584" s="31"/>
      <c r="Q584" s="31"/>
    </row>
    <row r="585" spans="1:17" ht="15" customHeight="1" x14ac:dyDescent="0.35">
      <c r="A585" s="31">
        <f>A583+1</f>
        <v>30</v>
      </c>
      <c r="C585" s="31" t="s">
        <v>132</v>
      </c>
      <c r="D585" s="31" t="s">
        <v>27</v>
      </c>
      <c r="E585" s="311">
        <v>0</v>
      </c>
      <c r="F585" s="221">
        <v>0</v>
      </c>
      <c r="G585" s="221">
        <v>0</v>
      </c>
      <c r="H585" s="221">
        <v>0</v>
      </c>
      <c r="I585" s="221">
        <v>0</v>
      </c>
      <c r="J585" s="221">
        <v>0</v>
      </c>
      <c r="K585" s="221">
        <v>0</v>
      </c>
      <c r="L585" s="221">
        <f>SUM(F585:K585)</f>
        <v>0</v>
      </c>
      <c r="M585" s="31"/>
      <c r="N585" s="31"/>
      <c r="O585" s="31"/>
      <c r="P585" s="31"/>
      <c r="Q585" s="31"/>
    </row>
    <row r="586" spans="1:17" ht="15" customHeight="1" x14ac:dyDescent="0.35">
      <c r="F586" s="38"/>
      <c r="H586" s="38"/>
      <c r="J586" s="38"/>
      <c r="L586" s="39"/>
      <c r="M586" s="31"/>
      <c r="N586" s="31"/>
      <c r="O586" s="31"/>
      <c r="P586" s="31"/>
      <c r="Q586" s="31"/>
    </row>
    <row r="587" spans="1:17" ht="15" customHeight="1" x14ac:dyDescent="0.35">
      <c r="A587" s="31">
        <f>A585+1</f>
        <v>31</v>
      </c>
      <c r="C587" s="36" t="s">
        <v>163</v>
      </c>
      <c r="D587" s="50"/>
      <c r="E587" s="56"/>
      <c r="F587" s="221">
        <f t="shared" ref="F587:J587" si="207">F583+F585</f>
        <v>13.069999999999999</v>
      </c>
      <c r="G587" s="221">
        <f t="shared" si="207"/>
        <v>9.25</v>
      </c>
      <c r="H587" s="221">
        <f t="shared" si="207"/>
        <v>5.96</v>
      </c>
      <c r="I587" s="221">
        <f t="shared" si="207"/>
        <v>6.87</v>
      </c>
      <c r="J587" s="221">
        <f t="shared" si="207"/>
        <v>3.3</v>
      </c>
      <c r="K587" s="221">
        <f>K583+K585</f>
        <v>3.83</v>
      </c>
      <c r="L587" s="221">
        <f>SUM(F587:K587)</f>
        <v>42.279999999999994</v>
      </c>
      <c r="M587" s="31"/>
      <c r="N587" s="31"/>
      <c r="O587" s="31"/>
      <c r="P587" s="31"/>
      <c r="Q587" s="31"/>
    </row>
    <row r="588" spans="1:17" ht="15" customHeight="1" x14ac:dyDescent="0.35">
      <c r="F588" s="38"/>
      <c r="H588" s="38"/>
      <c r="J588" s="38"/>
      <c r="L588" s="31"/>
      <c r="M588" s="31"/>
      <c r="N588" s="31"/>
      <c r="O588" s="31"/>
      <c r="P588" s="31"/>
      <c r="Q588" s="31"/>
    </row>
    <row r="589" spans="1:17" ht="15" customHeight="1" x14ac:dyDescent="0.35"/>
    <row r="590" spans="1:17" ht="15" customHeight="1" x14ac:dyDescent="0.35">
      <c r="A590" s="31">
        <f>A587+1</f>
        <v>32</v>
      </c>
      <c r="B590" s="31" t="str">
        <f>B159</f>
        <v>LG4</v>
      </c>
      <c r="C590" s="31" t="str">
        <f>C159</f>
        <v>LG&amp;E Residential</v>
      </c>
      <c r="F590" s="38"/>
      <c r="H590" s="38"/>
      <c r="J590" s="38"/>
      <c r="L590" s="31"/>
      <c r="M590" s="31"/>
      <c r="N590" s="31"/>
      <c r="O590" s="31"/>
      <c r="P590" s="31"/>
      <c r="Q590" s="31"/>
    </row>
    <row r="591" spans="1:17" ht="15" customHeight="1" x14ac:dyDescent="0.35">
      <c r="F591" s="38"/>
      <c r="H591" s="38"/>
      <c r="J591" s="38"/>
      <c r="L591" s="31"/>
      <c r="M591" s="31"/>
      <c r="N591" s="31"/>
      <c r="O591" s="31"/>
      <c r="P591" s="31"/>
      <c r="Q591" s="31"/>
    </row>
    <row r="592" spans="1:17" ht="15" customHeight="1" x14ac:dyDescent="0.4">
      <c r="A592" s="31">
        <f>A590+1</f>
        <v>33</v>
      </c>
      <c r="C592" s="35" t="s">
        <v>104</v>
      </c>
      <c r="D592" s="35"/>
      <c r="F592" s="38"/>
      <c r="H592" s="38"/>
      <c r="J592" s="38"/>
      <c r="L592" s="31"/>
      <c r="M592" s="31"/>
      <c r="N592" s="31"/>
      <c r="O592" s="31"/>
      <c r="P592" s="31"/>
      <c r="Q592" s="31"/>
    </row>
    <row r="593" spans="1:18" ht="15" customHeight="1" x14ac:dyDescent="0.35">
      <c r="F593" s="38"/>
      <c r="H593" s="38"/>
      <c r="J593" s="38"/>
      <c r="L593" s="31"/>
      <c r="M593" s="31"/>
      <c r="N593" s="31"/>
      <c r="O593" s="31"/>
      <c r="P593" s="31"/>
      <c r="Q593" s="31"/>
    </row>
    <row r="594" spans="1:18" ht="15" customHeight="1" x14ac:dyDescent="0.35">
      <c r="A594" s="31">
        <f>A592+1</f>
        <v>34</v>
      </c>
      <c r="C594" s="31" t="s">
        <v>161</v>
      </c>
      <c r="F594" s="108">
        <f>B!D99</f>
        <v>0</v>
      </c>
      <c r="G594" s="108">
        <f>B!E99</f>
        <v>0</v>
      </c>
      <c r="H594" s="108">
        <f>B!F99</f>
        <v>0</v>
      </c>
      <c r="I594" s="108">
        <f>B!G99</f>
        <v>0</v>
      </c>
      <c r="J594" s="108">
        <f>B!H99</f>
        <v>0</v>
      </c>
      <c r="K594" s="108">
        <f>B!I99</f>
        <v>0</v>
      </c>
      <c r="L594" s="171">
        <f>SUM(F594:K594)</f>
        <v>0</v>
      </c>
      <c r="M594" s="31"/>
      <c r="N594" s="31"/>
      <c r="O594" s="31"/>
      <c r="P594" s="31"/>
      <c r="Q594" s="31"/>
    </row>
    <row r="595" spans="1:18" ht="15" customHeight="1" x14ac:dyDescent="0.35">
      <c r="A595" s="31">
        <f>A594+1</f>
        <v>35</v>
      </c>
      <c r="C595" s="31" t="s">
        <v>168</v>
      </c>
      <c r="D595" s="31" t="s">
        <v>28</v>
      </c>
      <c r="E595" s="313">
        <f>Input!H35</f>
        <v>0</v>
      </c>
      <c r="F595" s="221">
        <f t="shared" ref="F595:J595" si="208">ROUND(F594*$E$488,2)</f>
        <v>0</v>
      </c>
      <c r="G595" s="221">
        <f t="shared" si="208"/>
        <v>0</v>
      </c>
      <c r="H595" s="221">
        <f t="shared" si="208"/>
        <v>0</v>
      </c>
      <c r="I595" s="221">
        <f t="shared" si="208"/>
        <v>0</v>
      </c>
      <c r="J595" s="221">
        <f t="shared" si="208"/>
        <v>0</v>
      </c>
      <c r="K595" s="221">
        <f>ROUND(K594*$E$488,2)</f>
        <v>0</v>
      </c>
      <c r="L595" s="221">
        <f>SUM(F595:K595)</f>
        <v>0</v>
      </c>
      <c r="M595" s="31"/>
      <c r="N595" s="31"/>
      <c r="O595" s="31"/>
      <c r="P595" s="31"/>
      <c r="Q595" s="31"/>
    </row>
    <row r="596" spans="1:18" ht="15" customHeight="1" x14ac:dyDescent="0.35">
      <c r="F596" s="38"/>
      <c r="H596" s="38"/>
      <c r="J596" s="38"/>
      <c r="L596" s="31"/>
      <c r="M596" s="31"/>
      <c r="N596" s="31"/>
      <c r="O596" s="31"/>
      <c r="P596" s="31"/>
      <c r="Q596" s="31"/>
    </row>
    <row r="597" spans="1:18" ht="15" customHeight="1" x14ac:dyDescent="0.35">
      <c r="A597" s="31">
        <f>A595+1</f>
        <v>36</v>
      </c>
      <c r="C597" s="36" t="s">
        <v>167</v>
      </c>
      <c r="F597" s="78">
        <f>'C'!D78</f>
        <v>0</v>
      </c>
      <c r="G597" s="78">
        <f>'C'!E78</f>
        <v>0</v>
      </c>
      <c r="H597" s="78">
        <f>'C'!F78</f>
        <v>0</v>
      </c>
      <c r="I597" s="78">
        <f>'C'!G78</f>
        <v>0</v>
      </c>
      <c r="J597" s="37">
        <f>'C'!H78</f>
        <v>0</v>
      </c>
      <c r="K597" s="37">
        <f>'C'!I78</f>
        <v>0</v>
      </c>
      <c r="L597" s="307">
        <f>SUM(F597:K597)</f>
        <v>0</v>
      </c>
      <c r="M597" s="31"/>
      <c r="N597" s="31"/>
      <c r="O597" s="31"/>
      <c r="P597" s="31"/>
      <c r="Q597" s="31"/>
    </row>
    <row r="598" spans="1:18" ht="15" customHeight="1" x14ac:dyDescent="0.35">
      <c r="A598" s="31">
        <f>A597+1</f>
        <v>37</v>
      </c>
      <c r="C598" s="31" t="s">
        <v>169</v>
      </c>
      <c r="D598" s="31" t="s">
        <v>27</v>
      </c>
      <c r="E598" s="311">
        <f>Input!C35</f>
        <v>0.4</v>
      </c>
      <c r="F598" s="221">
        <f t="shared" ref="F598:J598" si="209">ROUND(F597*$E$598,2)</f>
        <v>0</v>
      </c>
      <c r="G598" s="221">
        <f t="shared" si="209"/>
        <v>0</v>
      </c>
      <c r="H598" s="221">
        <f t="shared" si="209"/>
        <v>0</v>
      </c>
      <c r="I598" s="221">
        <f t="shared" si="209"/>
        <v>0</v>
      </c>
      <c r="J598" s="221">
        <f t="shared" si="209"/>
        <v>0</v>
      </c>
      <c r="K598" s="221">
        <f>ROUND(K597*$E$598,2)</f>
        <v>0</v>
      </c>
      <c r="L598" s="221">
        <f>SUM(F598:K598)</f>
        <v>0</v>
      </c>
      <c r="M598" s="31"/>
      <c r="N598" s="31"/>
      <c r="O598" s="31"/>
      <c r="P598" s="31"/>
      <c r="Q598" s="31"/>
    </row>
    <row r="599" spans="1:18" ht="15" customHeight="1" x14ac:dyDescent="0.35">
      <c r="A599" s="31">
        <f>A598+1</f>
        <v>38</v>
      </c>
      <c r="C599" s="31" t="s">
        <v>162</v>
      </c>
      <c r="F599" s="221">
        <f t="shared" ref="F599:K599" si="210">F595+F598</f>
        <v>0</v>
      </c>
      <c r="G599" s="221">
        <f t="shared" si="210"/>
        <v>0</v>
      </c>
      <c r="H599" s="221">
        <f t="shared" si="210"/>
        <v>0</v>
      </c>
      <c r="I599" s="221">
        <f t="shared" si="210"/>
        <v>0</v>
      </c>
      <c r="J599" s="221">
        <f t="shared" si="210"/>
        <v>0</v>
      </c>
      <c r="K599" s="221">
        <f t="shared" si="210"/>
        <v>0</v>
      </c>
      <c r="L599" s="221">
        <f>SUM(F599:K599)</f>
        <v>0</v>
      </c>
      <c r="M599" s="31"/>
      <c r="N599" s="31"/>
      <c r="O599" s="31"/>
      <c r="P599" s="31"/>
      <c r="Q599" s="31"/>
    </row>
    <row r="600" spans="1:18" ht="15" customHeight="1" x14ac:dyDescent="0.35">
      <c r="F600" s="221"/>
      <c r="G600" s="221"/>
      <c r="H600" s="221"/>
      <c r="I600" s="221"/>
      <c r="J600" s="221"/>
      <c r="K600" s="221"/>
      <c r="L600" s="221"/>
      <c r="M600" s="31"/>
      <c r="N600" s="31"/>
      <c r="O600" s="31"/>
      <c r="P600" s="31"/>
      <c r="Q600" s="31"/>
    </row>
    <row r="601" spans="1:18" ht="15" customHeight="1" x14ac:dyDescent="0.35">
      <c r="A601" s="31">
        <f>A599+1</f>
        <v>39</v>
      </c>
      <c r="C601" s="31" t="s">
        <v>132</v>
      </c>
      <c r="D601" s="31" t="s">
        <v>27</v>
      </c>
      <c r="E601" s="311">
        <v>0</v>
      </c>
      <c r="F601" s="221">
        <v>0</v>
      </c>
      <c r="G601" s="221">
        <v>0</v>
      </c>
      <c r="H601" s="221">
        <v>0</v>
      </c>
      <c r="I601" s="221">
        <v>0</v>
      </c>
      <c r="J601" s="221">
        <v>0</v>
      </c>
      <c r="K601" s="221">
        <v>0</v>
      </c>
      <c r="L601" s="221">
        <f>SUM(F601:K601)</f>
        <v>0</v>
      </c>
      <c r="M601" s="31"/>
      <c r="N601" s="31"/>
      <c r="O601" s="31"/>
      <c r="P601" s="31"/>
      <c r="Q601" s="31"/>
    </row>
    <row r="602" spans="1:18" ht="15" customHeight="1" x14ac:dyDescent="0.35">
      <c r="F602" s="38"/>
      <c r="H602" s="38"/>
      <c r="J602" s="38"/>
      <c r="L602" s="31"/>
      <c r="M602" s="31"/>
      <c r="N602" s="31"/>
      <c r="O602" s="31"/>
      <c r="P602" s="31"/>
      <c r="Q602" s="31"/>
    </row>
    <row r="603" spans="1:18" ht="15" customHeight="1" x14ac:dyDescent="0.35">
      <c r="A603" s="31">
        <f>A601+1</f>
        <v>40</v>
      </c>
      <c r="C603" s="36" t="s">
        <v>163</v>
      </c>
      <c r="D603" s="50"/>
      <c r="E603" s="56"/>
      <c r="F603" s="221">
        <f t="shared" ref="F603:J603" si="211">F599+F601</f>
        <v>0</v>
      </c>
      <c r="G603" s="221">
        <f t="shared" si="211"/>
        <v>0</v>
      </c>
      <c r="H603" s="221">
        <f t="shared" si="211"/>
        <v>0</v>
      </c>
      <c r="I603" s="221">
        <f t="shared" si="211"/>
        <v>0</v>
      </c>
      <c r="J603" s="221">
        <f t="shared" si="211"/>
        <v>0</v>
      </c>
      <c r="K603" s="221">
        <f>K599+K601</f>
        <v>0</v>
      </c>
      <c r="L603" s="221">
        <f>SUM(F603:K603)</f>
        <v>0</v>
      </c>
      <c r="M603" s="31"/>
      <c r="N603" s="31"/>
      <c r="O603" s="31"/>
      <c r="P603" s="31"/>
      <c r="Q603" s="31"/>
    </row>
    <row r="604" spans="1:18" ht="15" customHeight="1" x14ac:dyDescent="0.35">
      <c r="F604" s="38"/>
      <c r="H604" s="38"/>
      <c r="J604" s="38"/>
      <c r="L604" s="31"/>
      <c r="M604" s="31"/>
      <c r="N604" s="31"/>
      <c r="O604" s="31"/>
      <c r="P604" s="31"/>
      <c r="Q604" s="31"/>
    </row>
    <row r="605" spans="1:18" ht="15" customHeight="1" x14ac:dyDescent="0.35"/>
    <row r="606" spans="1:18" ht="15" customHeight="1" x14ac:dyDescent="0.35">
      <c r="A606" s="31" t="str">
        <f>$A$280</f>
        <v>[1] Reflects forecasted volumes for March through August 2024.</v>
      </c>
    </row>
    <row r="607" spans="1:18" ht="15" customHeight="1" x14ac:dyDescent="0.35"/>
    <row r="608" spans="1:18" ht="15" customHeight="1" x14ac:dyDescent="0.4">
      <c r="A608" s="480" t="str">
        <f>CONAME</f>
        <v>Columbia Gas of Kentucky, Inc.</v>
      </c>
      <c r="B608" s="480"/>
      <c r="C608" s="480"/>
      <c r="D608" s="480"/>
      <c r="E608" s="480"/>
      <c r="F608" s="480"/>
      <c r="G608" s="480"/>
      <c r="H608" s="480"/>
      <c r="I608" s="480"/>
      <c r="J608" s="480"/>
      <c r="K608" s="480"/>
      <c r="L608" s="480"/>
      <c r="M608" s="89"/>
      <c r="N608" s="89"/>
      <c r="O608" s="89"/>
      <c r="P608" s="89"/>
      <c r="Q608" s="89"/>
      <c r="R608" s="89"/>
    </row>
    <row r="609" spans="1:18" ht="15" customHeight="1" x14ac:dyDescent="0.4">
      <c r="A609" s="480" t="str">
        <f>case</f>
        <v>Case No. 2024-00092</v>
      </c>
      <c r="B609" s="480"/>
      <c r="C609" s="480"/>
      <c r="D609" s="480"/>
      <c r="E609" s="480"/>
      <c r="F609" s="480"/>
      <c r="G609" s="480"/>
      <c r="H609" s="480"/>
      <c r="I609" s="480"/>
      <c r="J609" s="480"/>
      <c r="K609" s="480"/>
      <c r="L609" s="480"/>
      <c r="M609" s="35"/>
      <c r="N609" s="35"/>
      <c r="O609" s="35"/>
      <c r="P609" s="35"/>
      <c r="Q609" s="35"/>
      <c r="R609" s="35"/>
    </row>
    <row r="610" spans="1:18" ht="15" customHeight="1" x14ac:dyDescent="0.4">
      <c r="A610" s="480" t="s">
        <v>319</v>
      </c>
      <c r="B610" s="480"/>
      <c r="C610" s="480"/>
      <c r="D610" s="480"/>
      <c r="E610" s="480"/>
      <c r="F610" s="480"/>
      <c r="G610" s="480"/>
      <c r="H610" s="480"/>
      <c r="I610" s="480"/>
      <c r="J610" s="480"/>
      <c r="K610" s="480"/>
      <c r="L610" s="480"/>
      <c r="M610" s="110"/>
      <c r="N610" s="110"/>
      <c r="O610" s="110"/>
      <c r="P610" s="110"/>
      <c r="Q610" s="110"/>
      <c r="R610" s="110"/>
    </row>
    <row r="611" spans="1:18" ht="15" customHeight="1" x14ac:dyDescent="0.4">
      <c r="A611" s="480" t="str">
        <f>TYDESC</f>
        <v>For the 6 Months Ended August 31, 2024</v>
      </c>
      <c r="B611" s="480"/>
      <c r="C611" s="480"/>
      <c r="D611" s="480"/>
      <c r="E611" s="480"/>
      <c r="F611" s="480"/>
      <c r="G611" s="480"/>
      <c r="H611" s="480"/>
      <c r="I611" s="480"/>
      <c r="J611" s="480"/>
      <c r="K611" s="480"/>
      <c r="L611" s="480"/>
      <c r="M611" s="89"/>
      <c r="N611" s="89"/>
      <c r="O611" s="89"/>
      <c r="P611" s="89"/>
      <c r="Q611" s="89"/>
      <c r="R611" s="89"/>
    </row>
    <row r="612" spans="1:18" ht="15" customHeight="1" x14ac:dyDescent="0.4">
      <c r="A612" s="480" t="s">
        <v>46</v>
      </c>
      <c r="B612" s="480"/>
      <c r="C612" s="480"/>
      <c r="D612" s="480"/>
      <c r="E612" s="480"/>
      <c r="F612" s="480"/>
      <c r="G612" s="480"/>
      <c r="H612" s="480"/>
      <c r="I612" s="480"/>
      <c r="J612" s="480"/>
      <c r="K612" s="480"/>
      <c r="L612" s="480"/>
      <c r="M612" s="220"/>
      <c r="N612" s="220"/>
      <c r="O612" s="220"/>
      <c r="P612" s="220"/>
      <c r="Q612" s="220"/>
      <c r="R612" s="220"/>
    </row>
    <row r="613" spans="1:18" ht="15" customHeight="1" x14ac:dyDescent="0.4">
      <c r="A613" s="220"/>
      <c r="B613" s="220"/>
      <c r="C613" s="220"/>
      <c r="D613" s="220"/>
      <c r="E613" s="220"/>
      <c r="F613" s="220"/>
      <c r="G613" s="220"/>
      <c r="H613" s="220"/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</row>
    <row r="614" spans="1:18" ht="15" customHeight="1" x14ac:dyDescent="0.4">
      <c r="A614" s="35" t="s">
        <v>180</v>
      </c>
    </row>
    <row r="615" spans="1:18" ht="15" customHeight="1" x14ac:dyDescent="0.4">
      <c r="A615" s="35" t="s">
        <v>181</v>
      </c>
      <c r="L615" s="40" t="str">
        <f>$L$55</f>
        <v>Schedule M-2.2B</v>
      </c>
    </row>
    <row r="616" spans="1:18" ht="15" customHeight="1" x14ac:dyDescent="0.4">
      <c r="A616" s="35" t="str">
        <f>$A$56</f>
        <v>Work Paper Reference No(s): WPM-B.1, WPM-C.1, WPM-D.1</v>
      </c>
      <c r="L616" s="40" t="s">
        <v>330</v>
      </c>
    </row>
    <row r="617" spans="1:18" ht="15.45" x14ac:dyDescent="0.4">
      <c r="A617" s="320" t="str">
        <f>$A$57</f>
        <v>6 Mos Actual / 6 Mos Forecasted</v>
      </c>
      <c r="B617" s="321"/>
      <c r="C617" s="321"/>
      <c r="D617" s="321"/>
      <c r="E617" s="322"/>
      <c r="F617" s="321"/>
      <c r="G617" s="323"/>
      <c r="H617" s="324"/>
      <c r="I617" s="323"/>
      <c r="J617" s="325"/>
      <c r="K617" s="323"/>
      <c r="L617" s="326" t="str">
        <f>Witness</f>
        <v>Witness: J. C. Wozniak</v>
      </c>
    </row>
    <row r="618" spans="1:18" ht="15.45" x14ac:dyDescent="0.4">
      <c r="A618" s="327"/>
      <c r="B618" s="327"/>
      <c r="C618" s="327"/>
      <c r="D618" s="327"/>
      <c r="E618" s="89"/>
      <c r="F618" s="89"/>
      <c r="G618" s="89"/>
      <c r="H618" s="89"/>
      <c r="I618" s="89"/>
      <c r="J618" s="89"/>
      <c r="K618" s="89"/>
      <c r="L618" s="89"/>
      <c r="M618" s="327"/>
      <c r="N618" s="327"/>
      <c r="O618" s="327"/>
      <c r="P618" s="327"/>
      <c r="Q618" s="327"/>
      <c r="R618" s="327"/>
    </row>
    <row r="619" spans="1:18" ht="15" customHeight="1" x14ac:dyDescent="0.4">
      <c r="A619" s="35"/>
    </row>
    <row r="620" spans="1:18" ht="15" customHeight="1" x14ac:dyDescent="0.4">
      <c r="A620" s="32"/>
      <c r="B620" s="32"/>
      <c r="C620" s="32"/>
      <c r="D620" s="32"/>
      <c r="E620" s="33"/>
      <c r="F620" s="32"/>
      <c r="G620" s="41"/>
      <c r="H620" s="301"/>
      <c r="I620" s="41"/>
      <c r="J620" s="120"/>
      <c r="K620" s="41"/>
      <c r="L620" s="41"/>
      <c r="M620" s="41"/>
      <c r="N620" s="41"/>
      <c r="O620" s="41"/>
      <c r="P620" s="41"/>
      <c r="Q620" s="41"/>
      <c r="R620" s="32"/>
    </row>
    <row r="621" spans="1:18" ht="15" customHeight="1" x14ac:dyDescent="0.4">
      <c r="A621" s="32"/>
      <c r="B621" s="32"/>
      <c r="C621" s="32"/>
      <c r="D621" s="32"/>
      <c r="E621" s="33" t="s">
        <v>52</v>
      </c>
      <c r="F621" s="32"/>
      <c r="G621" s="41"/>
      <c r="H621" s="42"/>
      <c r="I621" s="41"/>
      <c r="J621" s="30"/>
      <c r="K621" s="41"/>
      <c r="L621" s="41"/>
      <c r="M621" s="41"/>
      <c r="N621" s="41"/>
      <c r="O621" s="41"/>
      <c r="P621" s="41"/>
      <c r="Q621" s="41"/>
      <c r="R621" s="32"/>
    </row>
    <row r="622" spans="1:18" ht="15" customHeight="1" x14ac:dyDescent="0.4">
      <c r="A622" s="32" t="s">
        <v>11</v>
      </c>
      <c r="B622" s="32" t="s">
        <v>10</v>
      </c>
      <c r="C622" s="32" t="s">
        <v>48</v>
      </c>
      <c r="D622" s="32"/>
      <c r="E622" s="33" t="s">
        <v>53</v>
      </c>
      <c r="F622" s="32"/>
      <c r="G622" s="41"/>
      <c r="H622" s="42"/>
      <c r="I622" s="41"/>
      <c r="J622" s="30"/>
      <c r="K622" s="41"/>
      <c r="L622" s="41"/>
      <c r="M622" s="41"/>
      <c r="N622" s="41"/>
      <c r="O622" s="41"/>
      <c r="P622" s="41"/>
      <c r="Q622" s="41"/>
      <c r="R622" s="34"/>
    </row>
    <row r="623" spans="1:18" ht="15" customHeight="1" x14ac:dyDescent="0.4">
      <c r="A623" s="43" t="s">
        <v>13</v>
      </c>
      <c r="B623" s="43" t="s">
        <v>47</v>
      </c>
      <c r="C623" s="43" t="s">
        <v>14</v>
      </c>
      <c r="D623" s="43"/>
      <c r="E623" s="44" t="s">
        <v>54</v>
      </c>
      <c r="F623" s="45" t="str">
        <f>B!$D$13</f>
        <v>Mar-24</v>
      </c>
      <c r="G623" s="45" t="str">
        <f>B!$E$13</f>
        <v>Apr-24</v>
      </c>
      <c r="H623" s="45" t="str">
        <f>B!$F$13</f>
        <v>May-24</v>
      </c>
      <c r="I623" s="45" t="str">
        <f>B!$G$13</f>
        <v>Jun-24</v>
      </c>
      <c r="J623" s="45" t="str">
        <f>B!$H$13</f>
        <v>Jul-24</v>
      </c>
      <c r="K623" s="45" t="str">
        <f>B!$I$13</f>
        <v>Aug-24</v>
      </c>
      <c r="L623" s="45" t="s">
        <v>15</v>
      </c>
      <c r="M623" s="31"/>
      <c r="N623" s="31"/>
      <c r="O623" s="31"/>
      <c r="P623" s="31"/>
      <c r="Q623" s="31"/>
    </row>
    <row r="624" spans="1:18" ht="15" customHeight="1" x14ac:dyDescent="0.4">
      <c r="A624" s="32"/>
      <c r="B624" s="34" t="s">
        <v>49</v>
      </c>
      <c r="C624" s="34" t="s">
        <v>50</v>
      </c>
      <c r="D624" s="34"/>
      <c r="E624" s="47" t="s">
        <v>51</v>
      </c>
      <c r="F624" s="48" t="s">
        <v>470</v>
      </c>
      <c r="G624" s="48" t="s">
        <v>471</v>
      </c>
      <c r="H624" s="48" t="s">
        <v>472</v>
      </c>
      <c r="I624" s="48" t="s">
        <v>473</v>
      </c>
      <c r="J624" s="48" t="s">
        <v>55</v>
      </c>
      <c r="K624" s="48" t="s">
        <v>56</v>
      </c>
      <c r="L624" s="48" t="s">
        <v>57</v>
      </c>
      <c r="M624" s="31"/>
      <c r="N624" s="31"/>
      <c r="O624" s="31"/>
      <c r="P624" s="31"/>
      <c r="Q624" s="31"/>
    </row>
    <row r="625" spans="1:17" ht="15" customHeight="1" x14ac:dyDescent="0.4">
      <c r="F625" s="48"/>
      <c r="G625" s="48"/>
      <c r="H625" s="48"/>
      <c r="I625" s="48"/>
      <c r="J625" s="48"/>
      <c r="K625" s="48"/>
      <c r="L625" s="34"/>
      <c r="M625" s="31"/>
      <c r="N625" s="31"/>
      <c r="O625" s="31"/>
      <c r="P625" s="31"/>
      <c r="Q625" s="31"/>
    </row>
    <row r="626" spans="1:17" ht="15" customHeight="1" x14ac:dyDescent="0.35">
      <c r="F626" s="38"/>
      <c r="H626" s="38"/>
      <c r="J626" s="38"/>
      <c r="L626" s="31"/>
      <c r="M626" s="31"/>
      <c r="N626" s="31"/>
      <c r="O626" s="31"/>
      <c r="P626" s="31"/>
      <c r="Q626" s="31"/>
    </row>
    <row r="627" spans="1:17" ht="15" customHeight="1" x14ac:dyDescent="0.35">
      <c r="A627" s="31">
        <v>1</v>
      </c>
      <c r="B627" s="31" t="str">
        <f>B166</f>
        <v>GSO</v>
      </c>
      <c r="C627" s="31" t="str">
        <f>C166</f>
        <v>General Service - Commercial</v>
      </c>
      <c r="F627" s="38"/>
      <c r="H627" s="38"/>
      <c r="J627" s="38"/>
      <c r="L627" s="31"/>
      <c r="M627" s="31"/>
      <c r="N627" s="31"/>
      <c r="O627" s="31"/>
      <c r="P627" s="31"/>
      <c r="Q627" s="31"/>
    </row>
    <row r="628" spans="1:17" ht="15" customHeight="1" x14ac:dyDescent="0.35">
      <c r="F628" s="38"/>
      <c r="H628" s="38"/>
      <c r="J628" s="38"/>
      <c r="L628" s="31"/>
      <c r="M628" s="31"/>
      <c r="N628" s="31"/>
      <c r="O628" s="31"/>
      <c r="P628" s="31"/>
      <c r="Q628" s="31"/>
    </row>
    <row r="629" spans="1:17" ht="15" customHeight="1" x14ac:dyDescent="0.4">
      <c r="A629" s="31">
        <f>A627+1</f>
        <v>2</v>
      </c>
      <c r="C629" s="35" t="s">
        <v>105</v>
      </c>
      <c r="D629" s="35"/>
      <c r="F629" s="38"/>
      <c r="H629" s="38"/>
      <c r="J629" s="38"/>
      <c r="L629" s="31"/>
      <c r="M629" s="31"/>
      <c r="N629" s="31"/>
      <c r="O629" s="31"/>
      <c r="P629" s="31"/>
      <c r="Q629" s="31"/>
    </row>
    <row r="630" spans="1:17" ht="15" customHeight="1" x14ac:dyDescent="0.4">
      <c r="C630" s="35"/>
      <c r="D630" s="35"/>
      <c r="F630" s="38"/>
      <c r="H630" s="38"/>
      <c r="J630" s="38"/>
      <c r="L630" s="31"/>
      <c r="M630" s="31"/>
      <c r="N630" s="31"/>
      <c r="O630" s="31"/>
      <c r="P630" s="31"/>
      <c r="Q630" s="31"/>
    </row>
    <row r="631" spans="1:17" ht="15" customHeight="1" x14ac:dyDescent="0.4">
      <c r="A631" s="31">
        <f>A629+1</f>
        <v>3</v>
      </c>
      <c r="C631" s="31" t="s">
        <v>161</v>
      </c>
      <c r="D631" s="35"/>
      <c r="F631" s="108">
        <f>B!D105</f>
        <v>12245</v>
      </c>
      <c r="G631" s="108">
        <f>B!E105</f>
        <v>12228</v>
      </c>
      <c r="H631" s="108">
        <f>B!F105</f>
        <v>12143</v>
      </c>
      <c r="I631" s="108">
        <f>B!G105</f>
        <v>12069</v>
      </c>
      <c r="J631" s="108">
        <f>B!H105</f>
        <v>11973</v>
      </c>
      <c r="K631" s="108">
        <f>B!I105</f>
        <v>11924</v>
      </c>
      <c r="L631" s="108">
        <f>SUM(F631:K631)</f>
        <v>72582</v>
      </c>
      <c r="M631" s="31"/>
      <c r="N631" s="31"/>
      <c r="O631" s="31"/>
      <c r="P631" s="31"/>
      <c r="Q631" s="31"/>
    </row>
    <row r="632" spans="1:17" ht="15" customHeight="1" x14ac:dyDescent="0.35">
      <c r="A632" s="31">
        <f>A631+1</f>
        <v>4</v>
      </c>
      <c r="C632" s="31" t="s">
        <v>168</v>
      </c>
      <c r="D632" s="31" t="s">
        <v>28</v>
      </c>
      <c r="E632" s="315">
        <f>Input!H36</f>
        <v>83.71</v>
      </c>
      <c r="F632" s="221">
        <f>ROUND(F631*$E$632,2)</f>
        <v>1025028.95</v>
      </c>
      <c r="G632" s="221">
        <f t="shared" ref="G632:J632" si="212">ROUND(G631*$E$632,2)</f>
        <v>1023605.88</v>
      </c>
      <c r="H632" s="221">
        <f t="shared" si="212"/>
        <v>1016490.53</v>
      </c>
      <c r="I632" s="221">
        <f t="shared" si="212"/>
        <v>1010295.99</v>
      </c>
      <c r="J632" s="221">
        <f t="shared" si="212"/>
        <v>1002259.83</v>
      </c>
      <c r="K632" s="221">
        <f>ROUND(K631*$E$632,2)</f>
        <v>998158.04</v>
      </c>
      <c r="L632" s="221">
        <f>SUM(F632:K632)</f>
        <v>6075839.2200000007</v>
      </c>
      <c r="M632" s="31"/>
      <c r="N632" s="31"/>
      <c r="O632" s="31"/>
      <c r="P632" s="31"/>
      <c r="Q632" s="31"/>
    </row>
    <row r="633" spans="1:17" ht="15" customHeight="1" x14ac:dyDescent="0.35">
      <c r="E633" s="31"/>
      <c r="F633" s="38"/>
      <c r="H633" s="38"/>
      <c r="J633" s="38"/>
      <c r="L633" s="31"/>
      <c r="M633" s="31"/>
      <c r="N633" s="31"/>
      <c r="O633" s="31"/>
      <c r="P633" s="31"/>
      <c r="Q633" s="31"/>
    </row>
    <row r="634" spans="1:17" ht="15" customHeight="1" x14ac:dyDescent="0.35">
      <c r="A634" s="31">
        <f>A632+1</f>
        <v>5</v>
      </c>
      <c r="C634" s="31" t="s">
        <v>167</v>
      </c>
      <c r="E634" s="31"/>
      <c r="F634" s="38"/>
      <c r="H634" s="38"/>
      <c r="J634" s="38"/>
      <c r="L634" s="31"/>
      <c r="M634" s="31"/>
      <c r="N634" s="31"/>
      <c r="O634" s="31"/>
      <c r="P634" s="31"/>
      <c r="Q634" s="31"/>
    </row>
    <row r="635" spans="1:17" ht="15" customHeight="1" x14ac:dyDescent="0.35">
      <c r="A635" s="31">
        <f>A634+1</f>
        <v>6</v>
      </c>
      <c r="C635" s="31" t="str">
        <f>'C'!B99</f>
        <v xml:space="preserve">    First 50 Mcf</v>
      </c>
      <c r="E635" s="31"/>
      <c r="F635" s="78">
        <f>'C'!D111</f>
        <v>260627.3</v>
      </c>
      <c r="G635" s="78">
        <f>'C'!E111</f>
        <v>201722.5</v>
      </c>
      <c r="H635" s="78">
        <f>'C'!F111</f>
        <v>119664.9</v>
      </c>
      <c r="I635" s="78">
        <f>'C'!G111</f>
        <v>77502.7</v>
      </c>
      <c r="J635" s="78">
        <f>'C'!H111</f>
        <v>69251.199999999997</v>
      </c>
      <c r="K635" s="78">
        <f>'C'!I111</f>
        <v>65968.600000000006</v>
      </c>
      <c r="L635" s="78">
        <f>SUM(F635:K635)</f>
        <v>794737.19999999984</v>
      </c>
      <c r="M635" s="31"/>
      <c r="N635" s="31"/>
      <c r="O635" s="31"/>
      <c r="P635" s="31"/>
      <c r="Q635" s="31"/>
    </row>
    <row r="636" spans="1:17" ht="15" customHeight="1" x14ac:dyDescent="0.35">
      <c r="A636" s="31">
        <f>A635+1</f>
        <v>7</v>
      </c>
      <c r="C636" s="31" t="str">
        <f>'C'!B100</f>
        <v xml:space="preserve">    Next 350 Mcf</v>
      </c>
      <c r="E636" s="31"/>
      <c r="F636" s="78">
        <f>'C'!D112</f>
        <v>224102.8</v>
      </c>
      <c r="G636" s="78">
        <f>'C'!E112</f>
        <v>158158.70000000001</v>
      </c>
      <c r="H636" s="78">
        <f>'C'!F112</f>
        <v>75825.7</v>
      </c>
      <c r="I636" s="78">
        <f>'C'!G112</f>
        <v>55570.3</v>
      </c>
      <c r="J636" s="78">
        <f>'C'!H112</f>
        <v>46226.5</v>
      </c>
      <c r="K636" s="78">
        <f>'C'!I112</f>
        <v>41434.300000000003</v>
      </c>
      <c r="L636" s="78">
        <f>SUM(F636:K636)</f>
        <v>601318.30000000005</v>
      </c>
      <c r="M636" s="31"/>
      <c r="N636" s="31"/>
      <c r="O636" s="31"/>
      <c r="P636" s="31"/>
      <c r="Q636" s="31"/>
    </row>
    <row r="637" spans="1:17" ht="15" customHeight="1" x14ac:dyDescent="0.35">
      <c r="A637" s="31">
        <f>A636+1</f>
        <v>8</v>
      </c>
      <c r="C637" s="31" t="str">
        <f>'C'!B101</f>
        <v xml:space="preserve">    Next 600 Mcf</v>
      </c>
      <c r="E637" s="31"/>
      <c r="F637" s="78">
        <f>'C'!D113</f>
        <v>49742.9</v>
      </c>
      <c r="G637" s="78">
        <f>'C'!E113</f>
        <v>27435.5</v>
      </c>
      <c r="H637" s="78">
        <f>'C'!F113</f>
        <v>11925.7</v>
      </c>
      <c r="I637" s="78">
        <f>'C'!G113</f>
        <v>10263.299999999999</v>
      </c>
      <c r="J637" s="78">
        <f>'C'!H113</f>
        <v>7718</v>
      </c>
      <c r="K637" s="78">
        <f>'C'!I113</f>
        <v>6478.3</v>
      </c>
      <c r="L637" s="78">
        <f>SUM(F637:K637)</f>
        <v>113563.7</v>
      </c>
      <c r="M637" s="31"/>
      <c r="N637" s="31"/>
      <c r="O637" s="31"/>
      <c r="P637" s="31"/>
      <c r="Q637" s="31"/>
    </row>
    <row r="638" spans="1:17" ht="15" customHeight="1" x14ac:dyDescent="0.35">
      <c r="A638" s="31">
        <f>A637+1</f>
        <v>9</v>
      </c>
      <c r="C638" s="31" t="str">
        <f>'C'!B102</f>
        <v xml:space="preserve">    Over 1,000 Mcf</v>
      </c>
      <c r="E638" s="31"/>
      <c r="F638" s="61">
        <f>'C'!D114</f>
        <v>25037.5</v>
      </c>
      <c r="G638" s="61">
        <f>'C'!E114</f>
        <v>12476.3</v>
      </c>
      <c r="H638" s="61">
        <f>'C'!F114</f>
        <v>9597.4</v>
      </c>
      <c r="I638" s="61">
        <f>'C'!G114</f>
        <v>9018.2999999999993</v>
      </c>
      <c r="J638" s="61">
        <f>'C'!H114</f>
        <v>6289.8</v>
      </c>
      <c r="K638" s="61">
        <f>'C'!I114</f>
        <v>6278.1</v>
      </c>
      <c r="L638" s="61">
        <f>SUM(F638:K638)</f>
        <v>68697.400000000009</v>
      </c>
      <c r="M638" s="31"/>
      <c r="N638" s="31"/>
      <c r="O638" s="31"/>
      <c r="P638" s="31"/>
      <c r="Q638" s="31"/>
    </row>
    <row r="639" spans="1:17" ht="15" customHeight="1" x14ac:dyDescent="0.35">
      <c r="E639" s="31"/>
      <c r="F639" s="78">
        <f t="shared" ref="F639:J639" si="213">SUM(F635:F638)</f>
        <v>559510.5</v>
      </c>
      <c r="G639" s="78">
        <f t="shared" si="213"/>
        <v>399793</v>
      </c>
      <c r="H639" s="78">
        <f t="shared" si="213"/>
        <v>217013.69999999998</v>
      </c>
      <c r="I639" s="78">
        <f t="shared" si="213"/>
        <v>152354.59999999998</v>
      </c>
      <c r="J639" s="78">
        <f t="shared" si="213"/>
        <v>129485.5</v>
      </c>
      <c r="K639" s="78">
        <f>SUM(K635:K638)</f>
        <v>120159.30000000002</v>
      </c>
      <c r="L639" s="78">
        <f>SUM(F639:K639)</f>
        <v>1578316.5999999999</v>
      </c>
      <c r="M639" s="31"/>
      <c r="N639" s="31"/>
      <c r="O639" s="31"/>
      <c r="P639" s="31"/>
      <c r="Q639" s="31"/>
    </row>
    <row r="640" spans="1:17" ht="15" customHeight="1" x14ac:dyDescent="0.35">
      <c r="A640" s="31">
        <f>A638+1</f>
        <v>10</v>
      </c>
      <c r="C640" s="31" t="s">
        <v>165</v>
      </c>
      <c r="E640" s="31"/>
      <c r="F640" s="38"/>
      <c r="H640" s="38"/>
      <c r="J640" s="38"/>
      <c r="L640" s="312"/>
      <c r="M640" s="31"/>
      <c r="N640" s="31"/>
      <c r="O640" s="31"/>
      <c r="P640" s="31"/>
      <c r="Q640" s="31"/>
    </row>
    <row r="641" spans="1:17" ht="15" customHeight="1" x14ac:dyDescent="0.35">
      <c r="A641" s="31">
        <f>A640+1</f>
        <v>11</v>
      </c>
      <c r="C641" s="31" t="str">
        <f>C635</f>
        <v xml:space="preserve">    First 50 Mcf</v>
      </c>
      <c r="D641" s="300" t="s">
        <v>27</v>
      </c>
      <c r="E641" s="31">
        <f>Input!C36</f>
        <v>3.2513000000000001</v>
      </c>
      <c r="F641" s="221">
        <f t="shared" ref="F641:J641" si="214">ROUND(F635*$E$641,2)</f>
        <v>847377.54</v>
      </c>
      <c r="G641" s="221">
        <f t="shared" si="214"/>
        <v>655860.36</v>
      </c>
      <c r="H641" s="221">
        <f t="shared" si="214"/>
        <v>389066.49</v>
      </c>
      <c r="I641" s="221">
        <f t="shared" si="214"/>
        <v>251984.53</v>
      </c>
      <c r="J641" s="221">
        <f t="shared" si="214"/>
        <v>225156.43</v>
      </c>
      <c r="K641" s="221">
        <f>ROUND(K635*$E$641,2)</f>
        <v>214483.71</v>
      </c>
      <c r="L641" s="221">
        <f t="shared" ref="L641:L645" si="215">SUM(F641:K641)</f>
        <v>2583929.06</v>
      </c>
      <c r="M641" s="31"/>
      <c r="N641" s="31"/>
      <c r="O641" s="31"/>
      <c r="P641" s="31"/>
      <c r="Q641" s="31"/>
    </row>
    <row r="642" spans="1:17" ht="15" customHeight="1" x14ac:dyDescent="0.35">
      <c r="A642" s="31">
        <f>A641+1</f>
        <v>12</v>
      </c>
      <c r="C642" s="31" t="str">
        <f>C636</f>
        <v xml:space="preserve">    Next 350 Mcf</v>
      </c>
      <c r="D642" s="300" t="s">
        <v>27</v>
      </c>
      <c r="E642" s="311">
        <f>Input!D36</f>
        <v>2.5095999999999998</v>
      </c>
      <c r="F642" s="108">
        <f t="shared" ref="F642:J642" si="216">ROUND(F636*$E$642,2)</f>
        <v>562408.39</v>
      </c>
      <c r="G642" s="108">
        <f t="shared" si="216"/>
        <v>396915.07</v>
      </c>
      <c r="H642" s="108">
        <f t="shared" si="216"/>
        <v>190292.18</v>
      </c>
      <c r="I642" s="108">
        <f t="shared" si="216"/>
        <v>139459.22</v>
      </c>
      <c r="J642" s="108">
        <f t="shared" si="216"/>
        <v>116010.02</v>
      </c>
      <c r="K642" s="108">
        <f>ROUND(K636*$E$642,2)</f>
        <v>103983.52</v>
      </c>
      <c r="L642" s="108">
        <f t="shared" si="215"/>
        <v>1509068.4</v>
      </c>
      <c r="M642" s="31"/>
      <c r="N642" s="31"/>
      <c r="O642" s="31"/>
      <c r="P642" s="31"/>
      <c r="Q642" s="31"/>
    </row>
    <row r="643" spans="1:17" ht="15" customHeight="1" x14ac:dyDescent="0.35">
      <c r="A643" s="31">
        <f>A642+1</f>
        <v>13</v>
      </c>
      <c r="C643" s="31" t="str">
        <f>C637</f>
        <v xml:space="preserve">    Next 600 Mcf</v>
      </c>
      <c r="D643" s="300" t="s">
        <v>27</v>
      </c>
      <c r="E643" s="31">
        <f>Input!E36</f>
        <v>2.3855</v>
      </c>
      <c r="F643" s="108">
        <f t="shared" ref="F643:J643" si="217">ROUND(F637*$E$643,2)</f>
        <v>118661.69</v>
      </c>
      <c r="G643" s="108">
        <f t="shared" si="217"/>
        <v>65447.39</v>
      </c>
      <c r="H643" s="108">
        <f t="shared" si="217"/>
        <v>28448.76</v>
      </c>
      <c r="I643" s="108">
        <f t="shared" si="217"/>
        <v>24483.1</v>
      </c>
      <c r="J643" s="108">
        <f t="shared" si="217"/>
        <v>18411.29</v>
      </c>
      <c r="K643" s="108">
        <f>ROUND(K637*$E$643,2)</f>
        <v>15453.98</v>
      </c>
      <c r="L643" s="108">
        <f t="shared" si="215"/>
        <v>270906.21000000002</v>
      </c>
      <c r="M643" s="31"/>
      <c r="N643" s="31"/>
      <c r="O643" s="31"/>
      <c r="P643" s="31"/>
      <c r="Q643" s="31"/>
    </row>
    <row r="644" spans="1:17" ht="15" customHeight="1" x14ac:dyDescent="0.35">
      <c r="A644" s="31">
        <f>A643+1</f>
        <v>14</v>
      </c>
      <c r="C644" s="31" t="str">
        <f>C638</f>
        <v xml:space="preserve">    Over 1,000 Mcf</v>
      </c>
      <c r="D644" s="300" t="s">
        <v>27</v>
      </c>
      <c r="E644" s="31">
        <f>Input!F36</f>
        <v>2.17</v>
      </c>
      <c r="F644" s="316">
        <f t="shared" ref="F644:J644" si="218">ROUND(F638*$E$644,2)</f>
        <v>54331.38</v>
      </c>
      <c r="G644" s="316">
        <f t="shared" si="218"/>
        <v>27073.57</v>
      </c>
      <c r="H644" s="316">
        <f t="shared" si="218"/>
        <v>20826.36</v>
      </c>
      <c r="I644" s="316">
        <f t="shared" si="218"/>
        <v>19569.71</v>
      </c>
      <c r="J644" s="316">
        <f t="shared" si="218"/>
        <v>13648.87</v>
      </c>
      <c r="K644" s="316">
        <f>ROUND(K638*$E$644,2)</f>
        <v>13623.48</v>
      </c>
      <c r="L644" s="316">
        <f t="shared" si="215"/>
        <v>149073.37</v>
      </c>
      <c r="M644" s="31"/>
      <c r="N644" s="31"/>
      <c r="O644" s="31"/>
      <c r="P644" s="31"/>
      <c r="Q644" s="31"/>
    </row>
    <row r="645" spans="1:17" ht="15" customHeight="1" x14ac:dyDescent="0.35">
      <c r="E645" s="31"/>
      <c r="F645" s="221">
        <f t="shared" ref="F645:J645" si="219">SUM(F641:F644)</f>
        <v>1582779</v>
      </c>
      <c r="G645" s="221">
        <f t="shared" si="219"/>
        <v>1145296.3899999999</v>
      </c>
      <c r="H645" s="221">
        <f t="shared" si="219"/>
        <v>628633.78999999992</v>
      </c>
      <c r="I645" s="221">
        <f t="shared" si="219"/>
        <v>435496.56</v>
      </c>
      <c r="J645" s="221">
        <f t="shared" si="219"/>
        <v>373226.61</v>
      </c>
      <c r="K645" s="221">
        <f>SUM(K641:K644)</f>
        <v>347544.68999999994</v>
      </c>
      <c r="L645" s="221">
        <f t="shared" si="215"/>
        <v>4512977.0399999991</v>
      </c>
      <c r="M645" s="31"/>
      <c r="N645" s="31"/>
      <c r="O645" s="31"/>
      <c r="P645" s="31"/>
      <c r="Q645" s="31"/>
    </row>
    <row r="646" spans="1:17" ht="15" customHeight="1" x14ac:dyDescent="0.35">
      <c r="C646" s="333"/>
      <c r="D646" s="52"/>
      <c r="E646" s="314"/>
      <c r="F646" s="51"/>
      <c r="G646" s="51"/>
      <c r="H646" s="51"/>
      <c r="I646" s="51"/>
      <c r="J646" s="51"/>
      <c r="K646" s="51"/>
      <c r="L646" s="216"/>
      <c r="M646" s="31"/>
      <c r="N646" s="31"/>
      <c r="O646" s="31"/>
      <c r="P646" s="31"/>
      <c r="Q646" s="31"/>
    </row>
    <row r="647" spans="1:17" ht="15" customHeight="1" x14ac:dyDescent="0.35">
      <c r="A647" s="31">
        <f>A644+1</f>
        <v>15</v>
      </c>
      <c r="C647" s="31" t="s">
        <v>162</v>
      </c>
      <c r="E647" s="31"/>
      <c r="F647" s="221">
        <f>F632+F645</f>
        <v>2607807.9500000002</v>
      </c>
      <c r="G647" s="221">
        <f t="shared" ref="G647:K647" si="220">G632+G645</f>
        <v>2168902.27</v>
      </c>
      <c r="H647" s="221">
        <f t="shared" si="220"/>
        <v>1645124.3199999998</v>
      </c>
      <c r="I647" s="221">
        <f t="shared" si="220"/>
        <v>1445792.55</v>
      </c>
      <c r="J647" s="221">
        <f t="shared" si="220"/>
        <v>1375486.44</v>
      </c>
      <c r="K647" s="221">
        <f t="shared" si="220"/>
        <v>1345702.73</v>
      </c>
      <c r="L647" s="221">
        <f>SUM(F647:K647)</f>
        <v>10588816.260000002</v>
      </c>
      <c r="M647" s="31"/>
      <c r="N647" s="31"/>
      <c r="O647" s="31"/>
      <c r="P647" s="31"/>
      <c r="Q647" s="31"/>
    </row>
    <row r="648" spans="1:17" ht="15" customHeight="1" x14ac:dyDescent="0.35">
      <c r="E648" s="31"/>
      <c r="F648" s="304"/>
      <c r="G648" s="304"/>
      <c r="H648" s="304"/>
      <c r="I648" s="304"/>
      <c r="J648" s="304"/>
      <c r="K648" s="304"/>
      <c r="L648" s="304"/>
      <c r="M648" s="31"/>
      <c r="N648" s="31"/>
      <c r="O648" s="31"/>
      <c r="P648" s="31"/>
      <c r="Q648" s="31"/>
    </row>
    <row r="649" spans="1:17" ht="15" customHeight="1" x14ac:dyDescent="0.35">
      <c r="A649" s="31">
        <f>A647+1</f>
        <v>16</v>
      </c>
      <c r="C649" s="31" t="s">
        <v>166</v>
      </c>
      <c r="D649" s="300" t="s">
        <v>27</v>
      </c>
      <c r="E649" s="31"/>
      <c r="F649" s="221">
        <f>ROUND(F639*A!D23,2)</f>
        <v>1646807.25</v>
      </c>
      <c r="G649" s="221">
        <f>ROUND(G639*A!E23,2)</f>
        <v>1176710.74</v>
      </c>
      <c r="H649" s="221">
        <f>ROUND(H639*A!F23,2)</f>
        <v>638736.42000000004</v>
      </c>
      <c r="I649" s="221">
        <f>ROUND(I639*A!G23,2)</f>
        <v>448425.29</v>
      </c>
      <c r="J649" s="221">
        <f>ROUND(J639*A!H23,2)</f>
        <v>381114.67</v>
      </c>
      <c r="K649" s="221">
        <f>ROUND(K639*A!I23,2)</f>
        <v>353664.87</v>
      </c>
      <c r="L649" s="221">
        <f>SUM(F649:K649)</f>
        <v>4645459.24</v>
      </c>
      <c r="M649" s="31"/>
      <c r="N649" s="31"/>
      <c r="O649" s="31"/>
      <c r="P649" s="31"/>
      <c r="Q649" s="31"/>
    </row>
    <row r="650" spans="1:17" ht="15" customHeight="1" x14ac:dyDescent="0.35">
      <c r="E650" s="31"/>
      <c r="F650" s="304"/>
      <c r="G650" s="304"/>
      <c r="H650" s="304"/>
      <c r="I650" s="304"/>
      <c r="J650" s="304"/>
      <c r="K650" s="304"/>
      <c r="L650" s="304"/>
      <c r="M650" s="31"/>
      <c r="N650" s="31"/>
      <c r="O650" s="31"/>
      <c r="P650" s="31"/>
      <c r="Q650" s="31"/>
    </row>
    <row r="651" spans="1:17" ht="15" customHeight="1" x14ac:dyDescent="0.35">
      <c r="A651" s="31">
        <f>A649+1</f>
        <v>17</v>
      </c>
      <c r="C651" s="31" t="s">
        <v>164</v>
      </c>
      <c r="E651" s="31"/>
      <c r="F651" s="221">
        <f t="shared" ref="F651:J651" si="221">F647+F649</f>
        <v>4254615.2</v>
      </c>
      <c r="G651" s="221">
        <f t="shared" si="221"/>
        <v>3345613.01</v>
      </c>
      <c r="H651" s="221">
        <f>H647+H649</f>
        <v>2283860.7399999998</v>
      </c>
      <c r="I651" s="221">
        <f t="shared" si="221"/>
        <v>1894217.84</v>
      </c>
      <c r="J651" s="221">
        <f t="shared" si="221"/>
        <v>1756601.1099999999</v>
      </c>
      <c r="K651" s="221">
        <f>K647+K649</f>
        <v>1699367.6</v>
      </c>
      <c r="L651" s="221">
        <f>SUM(F651:K651)</f>
        <v>15234275.499999998</v>
      </c>
      <c r="M651" s="31"/>
      <c r="N651" s="31"/>
      <c r="O651" s="31"/>
      <c r="P651" s="31"/>
      <c r="Q651" s="31"/>
    </row>
    <row r="652" spans="1:17" ht="15" customHeight="1" x14ac:dyDescent="0.35">
      <c r="E652" s="63"/>
      <c r="F652" s="38"/>
      <c r="H652" s="38"/>
      <c r="J652" s="38"/>
      <c r="L652" s="312"/>
      <c r="M652" s="31"/>
      <c r="N652" s="31"/>
      <c r="O652" s="31"/>
      <c r="P652" s="31"/>
      <c r="Q652" s="31"/>
    </row>
    <row r="653" spans="1:17" ht="15" customHeight="1" x14ac:dyDescent="0.35">
      <c r="A653" s="31">
        <f>A651+1</f>
        <v>18</v>
      </c>
      <c r="C653" s="31" t="s">
        <v>156</v>
      </c>
      <c r="E653" s="63"/>
      <c r="F653" s="38"/>
      <c r="H653" s="38"/>
      <c r="J653" s="38"/>
      <c r="L653" s="312"/>
      <c r="M653" s="31"/>
      <c r="N653" s="31"/>
      <c r="O653" s="31"/>
      <c r="P653" s="31"/>
      <c r="Q653" s="31"/>
    </row>
    <row r="654" spans="1:17" ht="15" customHeight="1" x14ac:dyDescent="0.35">
      <c r="A654" s="31">
        <f>A653+1</f>
        <v>19</v>
      </c>
      <c r="C654" s="36" t="s">
        <v>171</v>
      </c>
      <c r="D654" s="300" t="s">
        <v>27</v>
      </c>
      <c r="E654" s="314"/>
      <c r="F654" s="357">
        <f>ROUND(F639*Input!$O$36,2)</f>
        <v>5762.96</v>
      </c>
      <c r="G654" s="357">
        <f>ROUND(G639*Input!$O$36,2)</f>
        <v>4117.87</v>
      </c>
      <c r="H654" s="357">
        <f>ROUND(H639*Input!$O$36,2)</f>
        <v>2235.2399999999998</v>
      </c>
      <c r="I654" s="357">
        <f>ROUND(I639*Input!$O$36,2)</f>
        <v>1569.25</v>
      </c>
      <c r="J654" s="357">
        <f>ROUND(J639*Input!$O$36,2)</f>
        <v>1333.7</v>
      </c>
      <c r="K654" s="357">
        <f>ROUND(K639*Input!$O$36,2)</f>
        <v>1237.6400000000001</v>
      </c>
      <c r="L654" s="357">
        <f>SUM(F654:K654)</f>
        <v>16256.66</v>
      </c>
      <c r="M654" s="31"/>
      <c r="N654" s="31"/>
      <c r="O654" s="31"/>
      <c r="P654" s="31"/>
      <c r="Q654" s="31"/>
    </row>
    <row r="655" spans="1:17" ht="15" customHeight="1" x14ac:dyDescent="0.35">
      <c r="A655" s="31">
        <f>A654+1</f>
        <v>20</v>
      </c>
      <c r="C655" s="36" t="s">
        <v>377</v>
      </c>
      <c r="D655" s="300"/>
      <c r="E655" s="314"/>
      <c r="F655" s="221">
        <f t="shared" ref="F655:K655" si="222">SUM(F654:F654)</f>
        <v>5762.96</v>
      </c>
      <c r="G655" s="221">
        <f t="shared" si="222"/>
        <v>4117.87</v>
      </c>
      <c r="H655" s="221">
        <f t="shared" si="222"/>
        <v>2235.2399999999998</v>
      </c>
      <c r="I655" s="221">
        <f t="shared" si="222"/>
        <v>1569.25</v>
      </c>
      <c r="J655" s="221">
        <f t="shared" si="222"/>
        <v>1333.7</v>
      </c>
      <c r="K655" s="221">
        <f t="shared" si="222"/>
        <v>1237.6400000000001</v>
      </c>
      <c r="L655" s="221">
        <f t="shared" ref="L655" si="223">SUM(F655:K655)</f>
        <v>16256.66</v>
      </c>
      <c r="M655" s="31"/>
      <c r="N655" s="31"/>
      <c r="O655" s="31"/>
      <c r="P655" s="31"/>
      <c r="Q655" s="31"/>
    </row>
    <row r="656" spans="1:17" ht="15" customHeight="1" x14ac:dyDescent="0.35">
      <c r="F656" s="304"/>
      <c r="G656" s="304"/>
      <c r="H656" s="304"/>
      <c r="I656" s="304"/>
      <c r="J656" s="304"/>
      <c r="K656" s="304"/>
      <c r="L656" s="304"/>
      <c r="M656" s="31"/>
      <c r="N656" s="31"/>
      <c r="O656" s="31"/>
      <c r="P656" s="31"/>
      <c r="Q656" s="31"/>
    </row>
    <row r="657" spans="1:18" ht="15" customHeight="1" x14ac:dyDescent="0.35">
      <c r="A657" s="31">
        <f>A655+1</f>
        <v>21</v>
      </c>
      <c r="C657" s="36" t="s">
        <v>163</v>
      </c>
      <c r="D657" s="50"/>
      <c r="E657" s="56"/>
      <c r="F657" s="221">
        <f t="shared" ref="F657:K657" si="224">F651+F655</f>
        <v>4260378.16</v>
      </c>
      <c r="G657" s="221">
        <f t="shared" si="224"/>
        <v>3349730.88</v>
      </c>
      <c r="H657" s="221">
        <f t="shared" si="224"/>
        <v>2286095.98</v>
      </c>
      <c r="I657" s="221">
        <f t="shared" si="224"/>
        <v>1895787.09</v>
      </c>
      <c r="J657" s="221">
        <f t="shared" si="224"/>
        <v>1757934.8099999998</v>
      </c>
      <c r="K657" s="221">
        <f t="shared" si="224"/>
        <v>1700605.24</v>
      </c>
      <c r="L657" s="221">
        <f>SUM(F657:K657)</f>
        <v>15250532.16</v>
      </c>
      <c r="M657" s="31"/>
      <c r="N657" s="31"/>
      <c r="O657" s="31"/>
      <c r="P657" s="31"/>
      <c r="Q657" s="31"/>
    </row>
    <row r="658" spans="1:18" ht="15" customHeight="1" x14ac:dyDescent="0.35">
      <c r="R658" s="39"/>
    </row>
    <row r="659" spans="1:18" ht="15" customHeight="1" x14ac:dyDescent="0.35"/>
    <row r="660" spans="1:18" ht="15" customHeight="1" x14ac:dyDescent="0.35">
      <c r="A660" s="31">
        <f>A657+1</f>
        <v>22</v>
      </c>
      <c r="B660" s="31" t="str">
        <f>B173</f>
        <v>GSO</v>
      </c>
      <c r="C660" s="31" t="str">
        <f>C173</f>
        <v>General Service - Industrial</v>
      </c>
      <c r="F660" s="38"/>
      <c r="H660" s="38"/>
      <c r="J660" s="38"/>
      <c r="L660" s="31"/>
      <c r="M660" s="31"/>
      <c r="N660" s="31"/>
      <c r="O660" s="31"/>
      <c r="P660" s="31"/>
      <c r="Q660" s="31"/>
    </row>
    <row r="661" spans="1:18" ht="15" customHeight="1" x14ac:dyDescent="0.35">
      <c r="F661" s="38"/>
      <c r="H661" s="38"/>
      <c r="J661" s="38"/>
      <c r="L661" s="31"/>
      <c r="M661" s="31"/>
      <c r="N661" s="31"/>
      <c r="O661" s="31"/>
      <c r="P661" s="31"/>
      <c r="Q661" s="31"/>
    </row>
    <row r="662" spans="1:18" ht="15" customHeight="1" x14ac:dyDescent="0.4">
      <c r="A662" s="31">
        <f>A660+1</f>
        <v>23</v>
      </c>
      <c r="C662" s="35" t="s">
        <v>106</v>
      </c>
      <c r="D662" s="35"/>
      <c r="F662" s="38"/>
      <c r="H662" s="38"/>
      <c r="J662" s="38"/>
      <c r="L662" s="31"/>
      <c r="M662" s="31"/>
      <c r="N662" s="31"/>
      <c r="O662" s="31"/>
      <c r="P662" s="31"/>
      <c r="Q662" s="31"/>
    </row>
    <row r="663" spans="1:18" ht="15" customHeight="1" x14ac:dyDescent="0.4">
      <c r="C663" s="35"/>
      <c r="D663" s="35"/>
      <c r="F663" s="38"/>
      <c r="H663" s="38"/>
      <c r="J663" s="38"/>
      <c r="L663" s="31"/>
      <c r="M663" s="31"/>
      <c r="N663" s="31"/>
      <c r="O663" s="31"/>
      <c r="P663" s="31"/>
      <c r="Q663" s="31"/>
    </row>
    <row r="664" spans="1:18" ht="15" customHeight="1" x14ac:dyDescent="0.35">
      <c r="A664" s="31">
        <f>A662+1</f>
        <v>24</v>
      </c>
      <c r="C664" s="31" t="s">
        <v>161</v>
      </c>
      <c r="F664" s="108">
        <f>B!D111</f>
        <v>51</v>
      </c>
      <c r="G664" s="108">
        <f>B!E111</f>
        <v>52</v>
      </c>
      <c r="H664" s="108">
        <f>B!F111</f>
        <v>50</v>
      </c>
      <c r="I664" s="108">
        <f>B!G111</f>
        <v>51</v>
      </c>
      <c r="J664" s="108">
        <f>B!H111</f>
        <v>52</v>
      </c>
      <c r="K664" s="108">
        <f>B!I111</f>
        <v>52</v>
      </c>
      <c r="L664" s="108">
        <f>SUM(F664:K664)</f>
        <v>308</v>
      </c>
      <c r="M664" s="31"/>
      <c r="N664" s="31"/>
      <c r="O664" s="31"/>
      <c r="P664" s="31"/>
      <c r="Q664" s="31"/>
    </row>
    <row r="665" spans="1:18" ht="15" customHeight="1" x14ac:dyDescent="0.35">
      <c r="A665" s="31">
        <f>A664+1</f>
        <v>25</v>
      </c>
      <c r="C665" s="31" t="s">
        <v>168</v>
      </c>
      <c r="D665" s="31" t="s">
        <v>28</v>
      </c>
      <c r="E665" s="313">
        <f>Input!H37</f>
        <v>83.71</v>
      </c>
      <c r="F665" s="221">
        <f t="shared" ref="F665:J665" si="225">ROUND(F664*$E$665,2)</f>
        <v>4269.21</v>
      </c>
      <c r="G665" s="221">
        <f t="shared" si="225"/>
        <v>4352.92</v>
      </c>
      <c r="H665" s="221">
        <f t="shared" si="225"/>
        <v>4185.5</v>
      </c>
      <c r="I665" s="221">
        <f t="shared" si="225"/>
        <v>4269.21</v>
      </c>
      <c r="J665" s="221">
        <f t="shared" si="225"/>
        <v>4352.92</v>
      </c>
      <c r="K665" s="221">
        <f>ROUND(K664*$E$665,2)</f>
        <v>4352.92</v>
      </c>
      <c r="L665" s="221">
        <f>SUM(F665:K665)</f>
        <v>25782.68</v>
      </c>
      <c r="M665" s="31"/>
      <c r="N665" s="31"/>
      <c r="O665" s="31"/>
      <c r="P665" s="31"/>
      <c r="Q665" s="31"/>
    </row>
    <row r="666" spans="1:18" ht="15" customHeight="1" x14ac:dyDescent="0.35">
      <c r="F666" s="38"/>
      <c r="H666" s="38"/>
      <c r="J666" s="38"/>
      <c r="L666" s="31"/>
      <c r="M666" s="31"/>
      <c r="N666" s="31"/>
      <c r="O666" s="31"/>
      <c r="P666" s="31"/>
      <c r="Q666" s="31"/>
    </row>
    <row r="667" spans="1:18" ht="15" customHeight="1" x14ac:dyDescent="0.35">
      <c r="A667" s="31">
        <f>A665+1</f>
        <v>26</v>
      </c>
      <c r="C667" s="31" t="s">
        <v>167</v>
      </c>
      <c r="F667" s="38"/>
      <c r="H667" s="38"/>
      <c r="J667" s="38"/>
      <c r="L667" s="31"/>
      <c r="M667" s="31"/>
      <c r="N667" s="31"/>
      <c r="O667" s="31"/>
      <c r="P667" s="31"/>
      <c r="Q667" s="31"/>
    </row>
    <row r="668" spans="1:18" ht="15" customHeight="1" x14ac:dyDescent="0.35">
      <c r="A668" s="31">
        <f>A667+1</f>
        <v>27</v>
      </c>
      <c r="C668" s="31" t="str">
        <f>'C'!B119</f>
        <v xml:space="preserve">    First 50 Mcf</v>
      </c>
      <c r="F668" s="78">
        <f>'C'!D131</f>
        <v>1898.7</v>
      </c>
      <c r="G668" s="78">
        <f>'C'!E131</f>
        <v>1820.2</v>
      </c>
      <c r="H668" s="78">
        <f>'C'!F131</f>
        <v>1485.4</v>
      </c>
      <c r="I668" s="78">
        <f>'C'!G131</f>
        <v>1134.3</v>
      </c>
      <c r="J668" s="78">
        <f>'C'!H131</f>
        <v>771</v>
      </c>
      <c r="K668" s="78">
        <f>'C'!I131</f>
        <v>824.3</v>
      </c>
      <c r="L668" s="78">
        <f>SUM(F668:K668)</f>
        <v>7933.9000000000005</v>
      </c>
      <c r="M668" s="31"/>
      <c r="N668" s="31"/>
      <c r="O668" s="31"/>
      <c r="P668" s="31"/>
      <c r="Q668" s="31"/>
    </row>
    <row r="669" spans="1:18" ht="15" customHeight="1" x14ac:dyDescent="0.35">
      <c r="A669" s="31">
        <f>A668+1</f>
        <v>28</v>
      </c>
      <c r="C669" s="31" t="str">
        <f>'C'!B120</f>
        <v xml:space="preserve">    Next 350 Mcf</v>
      </c>
      <c r="E669" s="51"/>
      <c r="F669" s="78">
        <f>'C'!D132</f>
        <v>8834.7000000000007</v>
      </c>
      <c r="G669" s="78">
        <f>'C'!E132</f>
        <v>7627.8</v>
      </c>
      <c r="H669" s="78">
        <f>'C'!F132</f>
        <v>5702.1</v>
      </c>
      <c r="I669" s="78">
        <f>'C'!G132</f>
        <v>4489.2</v>
      </c>
      <c r="J669" s="78">
        <f>'C'!H132</f>
        <v>2603.5</v>
      </c>
      <c r="K669" s="78">
        <f>'C'!I132</f>
        <v>2741</v>
      </c>
      <c r="L669" s="78">
        <f>SUM(F669:K669)</f>
        <v>31998.3</v>
      </c>
      <c r="M669" s="31"/>
      <c r="N669" s="31"/>
      <c r="O669" s="31"/>
      <c r="P669" s="31"/>
      <c r="Q669" s="31"/>
    </row>
    <row r="670" spans="1:18" ht="15" customHeight="1" x14ac:dyDescent="0.35">
      <c r="A670" s="31">
        <f>A669+1</f>
        <v>29</v>
      </c>
      <c r="C670" s="31" t="str">
        <f>'C'!B121</f>
        <v xml:space="preserve">    Next 600 Mcf</v>
      </c>
      <c r="E670" s="51"/>
      <c r="F670" s="78">
        <f>'C'!D133</f>
        <v>7229.1</v>
      </c>
      <c r="G670" s="78">
        <f>'C'!E133</f>
        <v>5108.2</v>
      </c>
      <c r="H670" s="78">
        <f>'C'!F133</f>
        <v>4085.8</v>
      </c>
      <c r="I670" s="78">
        <f>'C'!G133</f>
        <v>3226.6</v>
      </c>
      <c r="J670" s="78">
        <f>'C'!H133</f>
        <v>3112</v>
      </c>
      <c r="K670" s="78">
        <f>'C'!I133</f>
        <v>2650</v>
      </c>
      <c r="L670" s="78">
        <f>SUM(F670:K670)</f>
        <v>25411.699999999997</v>
      </c>
      <c r="M670" s="31"/>
      <c r="N670" s="31"/>
      <c r="O670" s="31"/>
      <c r="P670" s="31"/>
      <c r="Q670" s="31"/>
    </row>
    <row r="671" spans="1:18" ht="15" customHeight="1" x14ac:dyDescent="0.35">
      <c r="A671" s="31">
        <f>A670+1</f>
        <v>30</v>
      </c>
      <c r="C671" s="31" t="str">
        <f>'C'!B122</f>
        <v xml:space="preserve">    Over 1,000 Mcf</v>
      </c>
      <c r="E671" s="51"/>
      <c r="F671" s="61">
        <f>'C'!D134</f>
        <v>7669.9</v>
      </c>
      <c r="G671" s="61">
        <f>'C'!E134</f>
        <v>4774.7</v>
      </c>
      <c r="H671" s="61">
        <f>'C'!F134</f>
        <v>3273</v>
      </c>
      <c r="I671" s="61">
        <f>'C'!G134</f>
        <v>3000</v>
      </c>
      <c r="J671" s="61">
        <f>'C'!H134</f>
        <v>1900</v>
      </c>
      <c r="K671" s="61">
        <f>'C'!I134</f>
        <v>1800</v>
      </c>
      <c r="L671" s="61">
        <f>SUM(F671:K671)</f>
        <v>22417.599999999999</v>
      </c>
      <c r="M671" s="31"/>
      <c r="N671" s="31"/>
      <c r="O671" s="31"/>
      <c r="P671" s="31"/>
      <c r="Q671" s="31"/>
    </row>
    <row r="672" spans="1:18" ht="15" customHeight="1" x14ac:dyDescent="0.35">
      <c r="E672" s="51"/>
      <c r="F672" s="78">
        <f t="shared" ref="F672:J672" si="226">SUM(F668:F671)</f>
        <v>25632.400000000001</v>
      </c>
      <c r="G672" s="78">
        <f t="shared" si="226"/>
        <v>19330.900000000001</v>
      </c>
      <c r="H672" s="78">
        <f t="shared" si="226"/>
        <v>14546.3</v>
      </c>
      <c r="I672" s="78">
        <f t="shared" si="226"/>
        <v>11850.1</v>
      </c>
      <c r="J672" s="78">
        <f t="shared" si="226"/>
        <v>8386.5</v>
      </c>
      <c r="K672" s="78">
        <f>SUM(K668:K671)</f>
        <v>8015.3</v>
      </c>
      <c r="L672" s="78">
        <f>SUM(F672:K672)</f>
        <v>87761.500000000015</v>
      </c>
      <c r="M672" s="31"/>
      <c r="N672" s="31"/>
      <c r="O672" s="31"/>
      <c r="P672" s="31"/>
      <c r="Q672" s="31"/>
    </row>
    <row r="673" spans="1:17" ht="15" customHeight="1" x14ac:dyDescent="0.35">
      <c r="A673" s="31">
        <f>A671+1</f>
        <v>31</v>
      </c>
      <c r="C673" s="31" t="s">
        <v>165</v>
      </c>
      <c r="F673" s="38"/>
      <c r="H673" s="38"/>
      <c r="J673" s="38"/>
      <c r="L673" s="312"/>
      <c r="M673" s="31"/>
      <c r="N673" s="31"/>
      <c r="O673" s="31"/>
      <c r="P673" s="31"/>
      <c r="Q673" s="31"/>
    </row>
    <row r="674" spans="1:17" ht="15" customHeight="1" x14ac:dyDescent="0.35">
      <c r="A674" s="31">
        <f>A673+1</f>
        <v>32</v>
      </c>
      <c r="C674" s="31" t="str">
        <f>C668</f>
        <v xml:space="preserve">    First 50 Mcf</v>
      </c>
      <c r="D674" s="300" t="s">
        <v>27</v>
      </c>
      <c r="E674" s="314">
        <f>Input!C37</f>
        <v>3.2513000000000001</v>
      </c>
      <c r="F674" s="221">
        <f t="shared" ref="F674:J674" si="227">ROUND(F668*$E$674,2)</f>
        <v>6173.24</v>
      </c>
      <c r="G674" s="221">
        <f t="shared" si="227"/>
        <v>5918.02</v>
      </c>
      <c r="H674" s="221">
        <f t="shared" si="227"/>
        <v>4829.4799999999996</v>
      </c>
      <c r="I674" s="221">
        <f t="shared" si="227"/>
        <v>3687.95</v>
      </c>
      <c r="J674" s="221">
        <f t="shared" si="227"/>
        <v>2506.75</v>
      </c>
      <c r="K674" s="221">
        <f>ROUND(K668*$E$674,2)</f>
        <v>2680.05</v>
      </c>
      <c r="L674" s="221">
        <f t="shared" ref="L674:L678" si="228">SUM(F674:K674)</f>
        <v>25795.489999999998</v>
      </c>
      <c r="M674" s="31"/>
      <c r="N674" s="31"/>
      <c r="O674" s="31"/>
      <c r="P674" s="31"/>
      <c r="Q674" s="31"/>
    </row>
    <row r="675" spans="1:17" ht="15" customHeight="1" x14ac:dyDescent="0.35">
      <c r="A675" s="31">
        <f>A674+1</f>
        <v>33</v>
      </c>
      <c r="C675" s="31" t="str">
        <f>C669</f>
        <v xml:space="preserve">    Next 350 Mcf</v>
      </c>
      <c r="D675" s="300" t="s">
        <v>27</v>
      </c>
      <c r="E675" s="314">
        <f>Input!D37</f>
        <v>2.5095999999999998</v>
      </c>
      <c r="F675" s="108">
        <f t="shared" ref="F675:J675" si="229">ROUND(F669*$E$675,2)</f>
        <v>22171.56</v>
      </c>
      <c r="G675" s="108">
        <f t="shared" si="229"/>
        <v>19142.73</v>
      </c>
      <c r="H675" s="108">
        <f t="shared" si="229"/>
        <v>14309.99</v>
      </c>
      <c r="I675" s="108">
        <f t="shared" si="229"/>
        <v>11266.1</v>
      </c>
      <c r="J675" s="108">
        <f t="shared" si="229"/>
        <v>6533.74</v>
      </c>
      <c r="K675" s="108">
        <f>ROUND(K669*$E$675,2)</f>
        <v>6878.81</v>
      </c>
      <c r="L675" s="108">
        <f t="shared" si="228"/>
        <v>80302.930000000008</v>
      </c>
      <c r="M675" s="31"/>
      <c r="N675" s="31"/>
      <c r="O675" s="31"/>
      <c r="P675" s="31"/>
      <c r="Q675" s="31"/>
    </row>
    <row r="676" spans="1:17" ht="15" customHeight="1" x14ac:dyDescent="0.35">
      <c r="A676" s="31">
        <f>A675+1</f>
        <v>34</v>
      </c>
      <c r="C676" s="31" t="str">
        <f>C670</f>
        <v xml:space="preserve">    Next 600 Mcf</v>
      </c>
      <c r="D676" s="300" t="s">
        <v>27</v>
      </c>
      <c r="E676" s="314">
        <f>Input!E37</f>
        <v>2.3855</v>
      </c>
      <c r="F676" s="108">
        <f t="shared" ref="F676:J676" si="230">ROUND(F670*$E$676,2)</f>
        <v>17245.02</v>
      </c>
      <c r="G676" s="108">
        <f t="shared" si="230"/>
        <v>12185.61</v>
      </c>
      <c r="H676" s="108">
        <f t="shared" si="230"/>
        <v>9746.68</v>
      </c>
      <c r="I676" s="108">
        <f t="shared" si="230"/>
        <v>7697.05</v>
      </c>
      <c r="J676" s="108">
        <f t="shared" si="230"/>
        <v>7423.68</v>
      </c>
      <c r="K676" s="108">
        <f>ROUND(K670*$E$676,2)</f>
        <v>6321.58</v>
      </c>
      <c r="L676" s="108">
        <f t="shared" si="228"/>
        <v>60619.62</v>
      </c>
      <c r="M676" s="31"/>
      <c r="N676" s="31"/>
      <c r="O676" s="31"/>
      <c r="P676" s="31"/>
      <c r="Q676" s="31"/>
    </row>
    <row r="677" spans="1:17" ht="15" customHeight="1" x14ac:dyDescent="0.35">
      <c r="A677" s="31">
        <f>A676+1</f>
        <v>35</v>
      </c>
      <c r="C677" s="31" t="str">
        <f>C671</f>
        <v xml:space="preserve">    Over 1,000 Mcf</v>
      </c>
      <c r="D677" s="300" t="s">
        <v>27</v>
      </c>
      <c r="E677" s="314">
        <f>Input!F37</f>
        <v>2.17</v>
      </c>
      <c r="F677" s="316">
        <f t="shared" ref="F677:J677" si="231">ROUND(F671*$E$677,2)</f>
        <v>16643.68</v>
      </c>
      <c r="G677" s="316">
        <f t="shared" si="231"/>
        <v>10361.1</v>
      </c>
      <c r="H677" s="316">
        <f t="shared" si="231"/>
        <v>7102.41</v>
      </c>
      <c r="I677" s="316">
        <f t="shared" si="231"/>
        <v>6510</v>
      </c>
      <c r="J677" s="316">
        <f t="shared" si="231"/>
        <v>4123</v>
      </c>
      <c r="K677" s="316">
        <f>ROUND(K671*$E$677,2)</f>
        <v>3906</v>
      </c>
      <c r="L677" s="316">
        <f t="shared" si="228"/>
        <v>48646.19</v>
      </c>
      <c r="M677" s="31"/>
      <c r="N677" s="31"/>
      <c r="O677" s="31"/>
      <c r="P677" s="31"/>
      <c r="Q677" s="31"/>
    </row>
    <row r="678" spans="1:17" ht="15" customHeight="1" x14ac:dyDescent="0.35">
      <c r="F678" s="221">
        <f t="shared" ref="F678:J678" si="232">SUM(F674:F677)</f>
        <v>62233.500000000007</v>
      </c>
      <c r="G678" s="221">
        <f t="shared" si="232"/>
        <v>47607.46</v>
      </c>
      <c r="H678" s="221">
        <f t="shared" si="232"/>
        <v>35988.559999999998</v>
      </c>
      <c r="I678" s="221">
        <f t="shared" si="232"/>
        <v>29161.1</v>
      </c>
      <c r="J678" s="221">
        <f t="shared" si="232"/>
        <v>20587.169999999998</v>
      </c>
      <c r="K678" s="221">
        <f>SUM(K674:K677)</f>
        <v>19786.440000000002</v>
      </c>
      <c r="L678" s="221">
        <f t="shared" si="228"/>
        <v>215364.23000000004</v>
      </c>
      <c r="M678" s="31"/>
      <c r="N678" s="31"/>
      <c r="O678" s="31"/>
      <c r="P678" s="31"/>
      <c r="Q678" s="31"/>
    </row>
    <row r="679" spans="1:17" ht="15" customHeight="1" x14ac:dyDescent="0.35">
      <c r="C679" s="333"/>
      <c r="D679" s="52"/>
      <c r="E679" s="314"/>
      <c r="F679" s="51"/>
      <c r="G679" s="51"/>
      <c r="H679" s="51"/>
      <c r="I679" s="51"/>
      <c r="J679" s="51"/>
      <c r="K679" s="51"/>
      <c r="L679" s="216"/>
      <c r="M679" s="31"/>
      <c r="N679" s="31"/>
      <c r="O679" s="31"/>
      <c r="P679" s="31"/>
      <c r="Q679" s="31"/>
    </row>
    <row r="680" spans="1:17" ht="15" customHeight="1" x14ac:dyDescent="0.35">
      <c r="A680" s="31">
        <f>A677+1</f>
        <v>36</v>
      </c>
      <c r="C680" s="31" t="s">
        <v>162</v>
      </c>
      <c r="F680" s="221">
        <f>F665+F678</f>
        <v>66502.710000000006</v>
      </c>
      <c r="G680" s="221">
        <f t="shared" ref="G680:K680" si="233">G665+G678</f>
        <v>51960.38</v>
      </c>
      <c r="H680" s="221">
        <f t="shared" si="233"/>
        <v>40174.06</v>
      </c>
      <c r="I680" s="221">
        <f t="shared" si="233"/>
        <v>33430.31</v>
      </c>
      <c r="J680" s="221">
        <f t="shared" si="233"/>
        <v>24940.089999999997</v>
      </c>
      <c r="K680" s="221">
        <f t="shared" si="233"/>
        <v>24139.360000000001</v>
      </c>
      <c r="L680" s="221">
        <f>SUM(F680:K680)</f>
        <v>241146.90999999997</v>
      </c>
      <c r="M680" s="31"/>
      <c r="N680" s="31"/>
      <c r="O680" s="31"/>
      <c r="P680" s="31"/>
      <c r="Q680" s="31"/>
    </row>
    <row r="681" spans="1:17" ht="15" customHeight="1" x14ac:dyDescent="0.35">
      <c r="F681" s="304"/>
      <c r="G681" s="304"/>
      <c r="H681" s="304"/>
      <c r="I681" s="304"/>
      <c r="J681" s="304"/>
      <c r="K681" s="304"/>
      <c r="L681" s="304"/>
      <c r="M681" s="31"/>
      <c r="N681" s="31"/>
      <c r="O681" s="31"/>
      <c r="P681" s="31"/>
      <c r="Q681" s="31"/>
    </row>
    <row r="682" spans="1:17" ht="15" customHeight="1" x14ac:dyDescent="0.35">
      <c r="A682" s="31">
        <f>A680+1</f>
        <v>37</v>
      </c>
      <c r="C682" s="31" t="s">
        <v>166</v>
      </c>
      <c r="D682" s="300" t="s">
        <v>27</v>
      </c>
      <c r="E682" s="31"/>
      <c r="F682" s="221">
        <f>ROUND(F672*A!D29,2)</f>
        <v>75443.839999999997</v>
      </c>
      <c r="G682" s="221">
        <f>ROUND(G672*A!E29,2)</f>
        <v>56896.639999999999</v>
      </c>
      <c r="H682" s="221">
        <f>ROUND(H672*A!F29,2)</f>
        <v>42814.12</v>
      </c>
      <c r="I682" s="221">
        <f>ROUND(I672*A!G29,2)</f>
        <v>34878.400000000001</v>
      </c>
      <c r="J682" s="221">
        <f>ROUND(J672*A!H29,2)</f>
        <v>24683.99</v>
      </c>
      <c r="K682" s="221">
        <f>ROUND(K672*A!I29,2)</f>
        <v>23591.43</v>
      </c>
      <c r="L682" s="221">
        <f>SUM(F682:K682)</f>
        <v>258308.41999999995</v>
      </c>
      <c r="M682" s="31"/>
      <c r="N682" s="31"/>
      <c r="O682" s="31"/>
      <c r="P682" s="31"/>
      <c r="Q682" s="31"/>
    </row>
    <row r="683" spans="1:17" ht="15" customHeight="1" x14ac:dyDescent="0.35">
      <c r="F683" s="304"/>
      <c r="G683" s="304"/>
      <c r="H683" s="304"/>
      <c r="I683" s="304"/>
      <c r="J683" s="304"/>
      <c r="K683" s="304"/>
      <c r="L683" s="304"/>
      <c r="M683" s="31"/>
      <c r="N683" s="31"/>
      <c r="O683" s="31"/>
      <c r="P683" s="31"/>
      <c r="Q683" s="31"/>
    </row>
    <row r="684" spans="1:17" ht="15" customHeight="1" x14ac:dyDescent="0.35">
      <c r="A684" s="31">
        <f>A682+1</f>
        <v>38</v>
      </c>
      <c r="C684" s="31" t="s">
        <v>164</v>
      </c>
      <c r="F684" s="221">
        <f t="shared" ref="F684:J684" si="234">F680+F682</f>
        <v>141946.54999999999</v>
      </c>
      <c r="G684" s="221">
        <f t="shared" si="234"/>
        <v>108857.01999999999</v>
      </c>
      <c r="H684" s="221">
        <f t="shared" si="234"/>
        <v>82988.179999999993</v>
      </c>
      <c r="I684" s="221">
        <f t="shared" si="234"/>
        <v>68308.709999999992</v>
      </c>
      <c r="J684" s="221">
        <f t="shared" si="234"/>
        <v>49624.08</v>
      </c>
      <c r="K684" s="221">
        <f>K680+K682</f>
        <v>47730.79</v>
      </c>
      <c r="L684" s="221">
        <f>SUM(F684:K684)</f>
        <v>499455.32999999996</v>
      </c>
      <c r="M684" s="31"/>
      <c r="N684" s="31"/>
      <c r="O684" s="31"/>
      <c r="P684" s="31"/>
      <c r="Q684" s="31"/>
    </row>
    <row r="685" spans="1:17" ht="15" customHeight="1" x14ac:dyDescent="0.35">
      <c r="F685" s="38"/>
      <c r="H685" s="38"/>
      <c r="J685" s="38"/>
      <c r="L685" s="312"/>
      <c r="M685" s="31"/>
      <c r="N685" s="31"/>
      <c r="O685" s="31"/>
      <c r="P685" s="31"/>
      <c r="Q685" s="31"/>
    </row>
    <row r="686" spans="1:17" ht="15" customHeight="1" x14ac:dyDescent="0.35">
      <c r="A686" s="31">
        <f>A684+1</f>
        <v>39</v>
      </c>
      <c r="C686" s="31" t="s">
        <v>156</v>
      </c>
      <c r="F686" s="38"/>
      <c r="H686" s="38"/>
      <c r="J686" s="38"/>
      <c r="L686" s="312"/>
      <c r="M686" s="31"/>
      <c r="N686" s="31"/>
      <c r="O686" s="31"/>
      <c r="P686" s="31"/>
      <c r="Q686" s="31"/>
    </row>
    <row r="687" spans="1:17" ht="15" customHeight="1" x14ac:dyDescent="0.35">
      <c r="A687" s="31">
        <f>A686+1</f>
        <v>40</v>
      </c>
      <c r="C687" s="36" t="s">
        <v>171</v>
      </c>
      <c r="D687" s="300" t="s">
        <v>27</v>
      </c>
      <c r="E687" s="314"/>
      <c r="F687" s="357">
        <f>ROUND(F672*Input!$O$37,2)</f>
        <v>264.01</v>
      </c>
      <c r="G687" s="357">
        <f>ROUND(G672*Input!$O$37,2)</f>
        <v>199.11</v>
      </c>
      <c r="H687" s="357">
        <f>ROUND(H672*Input!$O$37,2)</f>
        <v>149.83000000000001</v>
      </c>
      <c r="I687" s="357">
        <f>ROUND(I672*Input!$O$37,2)</f>
        <v>122.06</v>
      </c>
      <c r="J687" s="357">
        <f>ROUND(J672*Input!$O$37,2)</f>
        <v>86.38</v>
      </c>
      <c r="K687" s="357">
        <f>ROUND(K672*Input!$O$37,2)</f>
        <v>82.56</v>
      </c>
      <c r="L687" s="357">
        <f>SUM(F687:K687)</f>
        <v>903.95</v>
      </c>
      <c r="M687" s="31"/>
      <c r="N687" s="31"/>
      <c r="O687" s="31"/>
      <c r="P687" s="31"/>
      <c r="Q687" s="31"/>
    </row>
    <row r="688" spans="1:17" ht="15" customHeight="1" x14ac:dyDescent="0.35">
      <c r="A688" s="31">
        <f>A687+1</f>
        <v>41</v>
      </c>
      <c r="C688" s="36" t="s">
        <v>377</v>
      </c>
      <c r="D688" s="300"/>
      <c r="E688" s="314"/>
      <c r="F688" s="221">
        <f t="shared" ref="F688:L688" si="235">SUM(F687:F687)</f>
        <v>264.01</v>
      </c>
      <c r="G688" s="221">
        <f t="shared" si="235"/>
        <v>199.11</v>
      </c>
      <c r="H688" s="221">
        <f t="shared" si="235"/>
        <v>149.83000000000001</v>
      </c>
      <c r="I688" s="221">
        <f t="shared" si="235"/>
        <v>122.06</v>
      </c>
      <c r="J688" s="221">
        <f t="shared" si="235"/>
        <v>86.38</v>
      </c>
      <c r="K688" s="221">
        <f t="shared" si="235"/>
        <v>82.56</v>
      </c>
      <c r="L688" s="221">
        <f t="shared" si="235"/>
        <v>903.95</v>
      </c>
      <c r="M688" s="31"/>
      <c r="N688" s="31"/>
      <c r="O688" s="31"/>
      <c r="P688" s="31"/>
      <c r="Q688" s="31"/>
    </row>
    <row r="689" spans="1:18" ht="15" customHeight="1" x14ac:dyDescent="0.35">
      <c r="F689" s="304"/>
      <c r="G689" s="304"/>
      <c r="H689" s="304"/>
      <c r="I689" s="304"/>
      <c r="J689" s="304"/>
      <c r="K689" s="304"/>
      <c r="L689" s="304"/>
      <c r="M689" s="31"/>
      <c r="N689" s="31"/>
      <c r="O689" s="31"/>
      <c r="P689" s="31"/>
      <c r="Q689" s="31"/>
    </row>
    <row r="690" spans="1:18" ht="15" customHeight="1" x14ac:dyDescent="0.35">
      <c r="A690" s="31">
        <f>A688+1</f>
        <v>42</v>
      </c>
      <c r="C690" s="36" t="s">
        <v>163</v>
      </c>
      <c r="D690" s="50"/>
      <c r="E690" s="56"/>
      <c r="F690" s="221">
        <f t="shared" ref="F690:L690" si="236">F684+F688</f>
        <v>142210.56</v>
      </c>
      <c r="G690" s="221">
        <f t="shared" si="236"/>
        <v>109056.12999999999</v>
      </c>
      <c r="H690" s="221">
        <f t="shared" si="236"/>
        <v>83138.009999999995</v>
      </c>
      <c r="I690" s="221">
        <f t="shared" si="236"/>
        <v>68430.76999999999</v>
      </c>
      <c r="J690" s="221">
        <f t="shared" si="236"/>
        <v>49710.46</v>
      </c>
      <c r="K690" s="221">
        <f t="shared" si="236"/>
        <v>47813.35</v>
      </c>
      <c r="L690" s="221">
        <f t="shared" si="236"/>
        <v>500359.27999999997</v>
      </c>
      <c r="M690" s="31"/>
      <c r="N690" s="31"/>
      <c r="O690" s="31"/>
      <c r="P690" s="31"/>
      <c r="Q690" s="31"/>
    </row>
    <row r="691" spans="1:18" ht="15" customHeight="1" x14ac:dyDescent="0.35">
      <c r="F691" s="38"/>
      <c r="H691" s="38"/>
      <c r="J691" s="38"/>
      <c r="L691" s="31"/>
      <c r="M691" s="31"/>
      <c r="N691" s="31"/>
      <c r="O691" s="31"/>
      <c r="P691" s="31"/>
      <c r="Q691" s="31"/>
    </row>
    <row r="692" spans="1:18" ht="15" customHeight="1" x14ac:dyDescent="0.35"/>
    <row r="693" spans="1:18" ht="15" customHeight="1" x14ac:dyDescent="0.35">
      <c r="A693" s="31" t="str">
        <f>$A$280</f>
        <v>[1] Reflects forecasted volumes for March through August 2024.</v>
      </c>
    </row>
    <row r="694" spans="1:18" ht="15" customHeight="1" x14ac:dyDescent="0.35">
      <c r="A694" s="31" t="str">
        <f>$A$431</f>
        <v>[2] See WPM-A for Gas Cost Recovery Rate.</v>
      </c>
    </row>
    <row r="695" spans="1:18" ht="15" customHeight="1" x14ac:dyDescent="0.35"/>
    <row r="696" spans="1:18" ht="15" customHeight="1" x14ac:dyDescent="0.4">
      <c r="A696" s="480" t="str">
        <f>CONAME</f>
        <v>Columbia Gas of Kentucky, Inc.</v>
      </c>
      <c r="B696" s="480"/>
      <c r="C696" s="480"/>
      <c r="D696" s="480"/>
      <c r="E696" s="480"/>
      <c r="F696" s="480"/>
      <c r="G696" s="480"/>
      <c r="H696" s="480"/>
      <c r="I696" s="480"/>
      <c r="J696" s="480"/>
      <c r="K696" s="480"/>
      <c r="L696" s="480"/>
      <c r="M696" s="89"/>
      <c r="N696" s="89"/>
      <c r="O696" s="89"/>
      <c r="P696" s="89"/>
      <c r="Q696" s="89"/>
      <c r="R696" s="89"/>
    </row>
    <row r="697" spans="1:18" ht="15" customHeight="1" x14ac:dyDescent="0.4">
      <c r="A697" s="472" t="str">
        <f>case</f>
        <v>Case No. 2024-00092</v>
      </c>
      <c r="B697" s="472"/>
      <c r="C697" s="472"/>
      <c r="D697" s="472"/>
      <c r="E697" s="472"/>
      <c r="F697" s="472"/>
      <c r="G697" s="472"/>
      <c r="H697" s="472"/>
      <c r="I697" s="472"/>
      <c r="J697" s="472"/>
      <c r="K697" s="472"/>
      <c r="L697" s="472"/>
      <c r="M697" s="35"/>
      <c r="N697" s="35"/>
      <c r="O697" s="35"/>
      <c r="P697" s="35"/>
      <c r="Q697" s="35"/>
      <c r="R697" s="35"/>
    </row>
    <row r="698" spans="1:18" ht="15" customHeight="1" x14ac:dyDescent="0.4">
      <c r="A698" s="472" t="s">
        <v>319</v>
      </c>
      <c r="B698" s="472"/>
      <c r="C698" s="472"/>
      <c r="D698" s="472"/>
      <c r="E698" s="472"/>
      <c r="F698" s="472"/>
      <c r="G698" s="472"/>
      <c r="H698" s="472"/>
      <c r="I698" s="472"/>
      <c r="J698" s="472"/>
      <c r="K698" s="472"/>
      <c r="L698" s="472"/>
      <c r="M698" s="110"/>
      <c r="N698" s="110"/>
      <c r="O698" s="110"/>
      <c r="P698" s="110"/>
      <c r="Q698" s="110"/>
      <c r="R698" s="110"/>
    </row>
    <row r="699" spans="1:18" ht="15" customHeight="1" x14ac:dyDescent="0.4">
      <c r="A699" s="472" t="str">
        <f>TYDESC</f>
        <v>For the 6 Months Ended August 31, 2024</v>
      </c>
      <c r="B699" s="472"/>
      <c r="C699" s="472"/>
      <c r="D699" s="472"/>
      <c r="E699" s="472"/>
      <c r="F699" s="472"/>
      <c r="G699" s="472"/>
      <c r="H699" s="472"/>
      <c r="I699" s="472"/>
      <c r="J699" s="472"/>
      <c r="K699" s="472"/>
      <c r="L699" s="472"/>
      <c r="M699" s="89"/>
      <c r="N699" s="89"/>
      <c r="O699" s="89"/>
      <c r="P699" s="89"/>
      <c r="Q699" s="89"/>
      <c r="R699" s="89"/>
    </row>
    <row r="700" spans="1:18" ht="15" customHeight="1" x14ac:dyDescent="0.4">
      <c r="A700" s="472" t="s">
        <v>46</v>
      </c>
      <c r="B700" s="472"/>
      <c r="C700" s="472"/>
      <c r="D700" s="472"/>
      <c r="E700" s="472"/>
      <c r="F700" s="472"/>
      <c r="G700" s="472"/>
      <c r="H700" s="472"/>
      <c r="I700" s="472"/>
      <c r="J700" s="472"/>
      <c r="K700" s="472"/>
      <c r="L700" s="472"/>
      <c r="M700" s="220"/>
      <c r="N700" s="220"/>
      <c r="O700" s="220"/>
      <c r="P700" s="220"/>
      <c r="Q700" s="220"/>
      <c r="R700" s="220"/>
    </row>
    <row r="701" spans="1:18" ht="15" customHeight="1" x14ac:dyDescent="0.4">
      <c r="A701" s="220"/>
      <c r="B701" s="220"/>
      <c r="C701" s="220"/>
      <c r="D701" s="220"/>
      <c r="E701" s="220"/>
      <c r="F701" s="220"/>
      <c r="G701" s="220"/>
      <c r="H701" s="220"/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</row>
    <row r="702" spans="1:18" ht="15" customHeight="1" x14ac:dyDescent="0.4">
      <c r="A702" s="35" t="s">
        <v>180</v>
      </c>
    </row>
    <row r="703" spans="1:18" ht="15" customHeight="1" x14ac:dyDescent="0.4">
      <c r="A703" s="35" t="s">
        <v>181</v>
      </c>
      <c r="L703" s="40" t="str">
        <f>$L$55</f>
        <v>Schedule M-2.2B</v>
      </c>
    </row>
    <row r="704" spans="1:18" ht="15" customHeight="1" x14ac:dyDescent="0.4">
      <c r="A704" s="35" t="str">
        <f>$A$56</f>
        <v>Work Paper Reference No(s): WPM-B.1, WPM-C.1, WPM-D.1</v>
      </c>
      <c r="L704" s="40" t="s">
        <v>331</v>
      </c>
    </row>
    <row r="705" spans="1:18" ht="15.45" x14ac:dyDescent="0.4">
      <c r="A705" s="320" t="str">
        <f>$A$57</f>
        <v>6 Mos Actual / 6 Mos Forecasted</v>
      </c>
      <c r="B705" s="321"/>
      <c r="C705" s="321"/>
      <c r="D705" s="321"/>
      <c r="E705" s="322"/>
      <c r="F705" s="321"/>
      <c r="G705" s="323"/>
      <c r="H705" s="324"/>
      <c r="I705" s="323"/>
      <c r="J705" s="325"/>
      <c r="K705" s="323"/>
      <c r="L705" s="326" t="str">
        <f>Witness</f>
        <v>Witness: J. C. Wozniak</v>
      </c>
    </row>
    <row r="706" spans="1:18" ht="15.45" x14ac:dyDescent="0.4">
      <c r="A706" s="327"/>
      <c r="B706" s="327"/>
      <c r="C706" s="327"/>
      <c r="D706" s="327"/>
      <c r="E706" s="89"/>
      <c r="F706" s="89"/>
      <c r="G706" s="89"/>
      <c r="H706" s="89"/>
      <c r="I706" s="89"/>
      <c r="J706" s="89"/>
      <c r="K706" s="89"/>
      <c r="L706" s="89"/>
      <c r="M706" s="327"/>
      <c r="N706" s="327"/>
      <c r="O706" s="327"/>
      <c r="P706" s="327"/>
      <c r="Q706" s="327"/>
      <c r="R706" s="327"/>
    </row>
    <row r="707" spans="1:18" ht="15" customHeight="1" x14ac:dyDescent="0.4">
      <c r="A707" s="35"/>
    </row>
    <row r="708" spans="1:18" ht="15" customHeight="1" x14ac:dyDescent="0.4">
      <c r="A708" s="32"/>
      <c r="B708" s="32"/>
      <c r="C708" s="32"/>
      <c r="D708" s="32"/>
      <c r="E708" s="33"/>
      <c r="F708" s="32"/>
      <c r="G708" s="41"/>
      <c r="H708" s="301"/>
      <c r="I708" s="41"/>
      <c r="J708" s="120"/>
      <c r="K708" s="41"/>
      <c r="L708" s="41"/>
      <c r="M708" s="41"/>
      <c r="N708" s="41"/>
      <c r="O708" s="41"/>
      <c r="P708" s="41"/>
      <c r="Q708" s="41"/>
      <c r="R708" s="32"/>
    </row>
    <row r="709" spans="1:18" ht="15" customHeight="1" x14ac:dyDescent="0.4">
      <c r="A709" s="32"/>
      <c r="B709" s="32"/>
      <c r="C709" s="32"/>
      <c r="D709" s="32"/>
      <c r="E709" s="33" t="s">
        <v>52</v>
      </c>
      <c r="F709" s="32"/>
      <c r="G709" s="41"/>
      <c r="H709" s="42"/>
      <c r="I709" s="41"/>
      <c r="J709" s="30"/>
      <c r="K709" s="41"/>
      <c r="L709" s="41"/>
      <c r="M709" s="41"/>
      <c r="N709" s="41"/>
      <c r="O709" s="41"/>
      <c r="P709" s="41"/>
      <c r="Q709" s="41"/>
      <c r="R709" s="32"/>
    </row>
    <row r="710" spans="1:18" ht="15" customHeight="1" x14ac:dyDescent="0.4">
      <c r="A710" s="32" t="s">
        <v>11</v>
      </c>
      <c r="B710" s="32" t="s">
        <v>10</v>
      </c>
      <c r="C710" s="32" t="s">
        <v>48</v>
      </c>
      <c r="D710" s="32"/>
      <c r="E710" s="33" t="s">
        <v>53</v>
      </c>
      <c r="F710" s="32"/>
      <c r="G710" s="41"/>
      <c r="H710" s="42"/>
      <c r="I710" s="41"/>
      <c r="J710" s="30"/>
      <c r="K710" s="41"/>
      <c r="L710" s="41"/>
      <c r="M710" s="41"/>
      <c r="N710" s="41"/>
      <c r="O710" s="41"/>
      <c r="P710" s="41"/>
      <c r="Q710" s="41"/>
      <c r="R710" s="34"/>
    </row>
    <row r="711" spans="1:18" ht="15" customHeight="1" x14ac:dyDescent="0.4">
      <c r="A711" s="43" t="s">
        <v>13</v>
      </c>
      <c r="B711" s="43" t="s">
        <v>47</v>
      </c>
      <c r="C711" s="43" t="s">
        <v>14</v>
      </c>
      <c r="D711" s="43"/>
      <c r="E711" s="44" t="s">
        <v>54</v>
      </c>
      <c r="F711" s="45" t="str">
        <f>B!$D$13</f>
        <v>Mar-24</v>
      </c>
      <c r="G711" s="45" t="str">
        <f>B!$E$13</f>
        <v>Apr-24</v>
      </c>
      <c r="H711" s="45" t="str">
        <f>B!$F$13</f>
        <v>May-24</v>
      </c>
      <c r="I711" s="45" t="str">
        <f>B!$G$13</f>
        <v>Jun-24</v>
      </c>
      <c r="J711" s="45" t="str">
        <f>B!$H$13</f>
        <v>Jul-24</v>
      </c>
      <c r="K711" s="45" t="str">
        <f>B!$I$13</f>
        <v>Aug-24</v>
      </c>
      <c r="L711" s="45" t="s">
        <v>15</v>
      </c>
      <c r="M711" s="31"/>
      <c r="N711" s="31"/>
      <c r="O711" s="31"/>
      <c r="P711" s="31"/>
      <c r="Q711" s="31"/>
    </row>
    <row r="712" spans="1:18" ht="15" customHeight="1" x14ac:dyDescent="0.4">
      <c r="A712" s="32"/>
      <c r="B712" s="34" t="s">
        <v>49</v>
      </c>
      <c r="C712" s="34" t="s">
        <v>50</v>
      </c>
      <c r="D712" s="34"/>
      <c r="E712" s="47" t="s">
        <v>51</v>
      </c>
      <c r="F712" s="48" t="s">
        <v>470</v>
      </c>
      <c r="G712" s="48" t="s">
        <v>471</v>
      </c>
      <c r="H712" s="48" t="s">
        <v>472</v>
      </c>
      <c r="I712" s="48" t="s">
        <v>473</v>
      </c>
      <c r="J712" s="48" t="s">
        <v>55</v>
      </c>
      <c r="K712" s="48" t="s">
        <v>56</v>
      </c>
      <c r="L712" s="48" t="s">
        <v>57</v>
      </c>
      <c r="M712" s="31"/>
      <c r="N712" s="31"/>
      <c r="O712" s="31"/>
      <c r="P712" s="31"/>
      <c r="Q712" s="31"/>
    </row>
    <row r="713" spans="1:18" ht="15" customHeight="1" x14ac:dyDescent="0.35">
      <c r="F713" s="38"/>
      <c r="H713" s="38"/>
      <c r="J713" s="38"/>
      <c r="L713" s="31"/>
      <c r="M713" s="31"/>
      <c r="N713" s="31"/>
      <c r="O713" s="31"/>
      <c r="P713" s="31"/>
      <c r="Q713" s="31"/>
    </row>
    <row r="714" spans="1:18" ht="15" customHeight="1" x14ac:dyDescent="0.35">
      <c r="A714" s="31">
        <v>1</v>
      </c>
      <c r="B714" s="31" t="str">
        <f>B180</f>
        <v xml:space="preserve">IS </v>
      </c>
      <c r="C714" s="31" t="str">
        <f>C180</f>
        <v>Interruptible Service - Industrial</v>
      </c>
      <c r="F714" s="38"/>
      <c r="H714" s="38"/>
      <c r="J714" s="38"/>
      <c r="L714" s="31"/>
      <c r="M714" s="31"/>
      <c r="N714" s="31"/>
      <c r="O714" s="31"/>
      <c r="P714" s="31"/>
      <c r="Q714" s="31"/>
    </row>
    <row r="715" spans="1:18" ht="15" customHeight="1" x14ac:dyDescent="0.35">
      <c r="F715" s="38"/>
      <c r="H715" s="38"/>
      <c r="J715" s="38"/>
      <c r="L715" s="31"/>
      <c r="M715" s="31"/>
      <c r="N715" s="31"/>
      <c r="O715" s="31"/>
      <c r="P715" s="31"/>
      <c r="Q715" s="31"/>
    </row>
    <row r="716" spans="1:18" ht="15" customHeight="1" x14ac:dyDescent="0.4">
      <c r="A716" s="31">
        <f>A714+1</f>
        <v>2</v>
      </c>
      <c r="C716" s="35" t="s">
        <v>106</v>
      </c>
      <c r="D716" s="35"/>
      <c r="F716" s="38"/>
      <c r="H716" s="38"/>
      <c r="J716" s="38"/>
      <c r="L716" s="31"/>
      <c r="M716" s="31"/>
      <c r="N716" s="31"/>
      <c r="O716" s="31"/>
      <c r="P716" s="31"/>
      <c r="Q716" s="31"/>
    </row>
    <row r="717" spans="1:18" ht="15" customHeight="1" x14ac:dyDescent="0.35">
      <c r="F717" s="38"/>
      <c r="H717" s="38"/>
      <c r="J717" s="38"/>
      <c r="L717" s="31"/>
      <c r="M717" s="31"/>
      <c r="N717" s="31"/>
      <c r="O717" s="31"/>
      <c r="P717" s="31"/>
      <c r="Q717" s="31"/>
    </row>
    <row r="718" spans="1:18" ht="15" customHeight="1" x14ac:dyDescent="0.35">
      <c r="A718" s="31">
        <f>A716+1</f>
        <v>3</v>
      </c>
      <c r="C718" s="31" t="s">
        <v>161</v>
      </c>
      <c r="F718" s="36">
        <f>B!D117</f>
        <v>0</v>
      </c>
      <c r="G718" s="36">
        <f>B!E117</f>
        <v>0</v>
      </c>
      <c r="H718" s="36">
        <f>B!F117</f>
        <v>0</v>
      </c>
      <c r="I718" s="36">
        <f>B!G117</f>
        <v>0</v>
      </c>
      <c r="J718" s="36">
        <f>B!H117</f>
        <v>0</v>
      </c>
      <c r="K718" s="36">
        <f>B!I117</f>
        <v>0</v>
      </c>
      <c r="L718" s="36">
        <f>SUM(F718:K718)</f>
        <v>0</v>
      </c>
      <c r="M718" s="31"/>
      <c r="N718" s="31"/>
      <c r="O718" s="31"/>
      <c r="P718" s="31"/>
      <c r="Q718" s="31"/>
    </row>
    <row r="719" spans="1:18" ht="15" customHeight="1" x14ac:dyDescent="0.35">
      <c r="A719" s="31">
        <f>A718+1</f>
        <v>4</v>
      </c>
      <c r="C719" s="31" t="s">
        <v>168</v>
      </c>
      <c r="D719" s="31" t="s">
        <v>28</v>
      </c>
      <c r="E719" s="313">
        <f>Input!H42</f>
        <v>3982.3</v>
      </c>
      <c r="F719" s="221">
        <f t="shared" ref="F719:K719" si="237">ROUND(F718*$E$719,2)</f>
        <v>0</v>
      </c>
      <c r="G719" s="221">
        <f t="shared" si="237"/>
        <v>0</v>
      </c>
      <c r="H719" s="221">
        <f t="shared" si="237"/>
        <v>0</v>
      </c>
      <c r="I719" s="221">
        <f t="shared" si="237"/>
        <v>0</v>
      </c>
      <c r="J719" s="221">
        <f t="shared" si="237"/>
        <v>0</v>
      </c>
      <c r="K719" s="221">
        <f t="shared" si="237"/>
        <v>0</v>
      </c>
      <c r="L719" s="221">
        <f>SUM(F719:K719)</f>
        <v>0</v>
      </c>
      <c r="M719" s="31"/>
      <c r="N719" s="31"/>
      <c r="O719" s="31"/>
      <c r="P719" s="31"/>
      <c r="Q719" s="31"/>
    </row>
    <row r="720" spans="1:18" ht="15" customHeight="1" x14ac:dyDescent="0.35">
      <c r="E720" s="313"/>
      <c r="F720" s="38"/>
      <c r="H720" s="38"/>
      <c r="J720" s="38"/>
      <c r="M720" s="31"/>
      <c r="N720" s="31"/>
      <c r="O720" s="31"/>
      <c r="P720" s="31"/>
      <c r="Q720" s="31"/>
    </row>
    <row r="721" spans="1:17" ht="15" customHeight="1" x14ac:dyDescent="0.35">
      <c r="A721" s="31">
        <f>A719+1</f>
        <v>5</v>
      </c>
      <c r="C721" s="36" t="s">
        <v>167</v>
      </c>
      <c r="F721" s="37"/>
      <c r="G721" s="37"/>
      <c r="H721" s="37"/>
      <c r="I721" s="37"/>
      <c r="K721" s="37"/>
      <c r="L721" s="37"/>
      <c r="M721" s="31"/>
      <c r="N721" s="31"/>
      <c r="O721" s="31"/>
      <c r="P721" s="31"/>
      <c r="Q721" s="31"/>
    </row>
    <row r="722" spans="1:17" ht="15" customHeight="1" x14ac:dyDescent="0.35">
      <c r="A722" s="31">
        <f>A721+1</f>
        <v>6</v>
      </c>
      <c r="C722" s="36" t="str">
        <f>'C'!B139</f>
        <v xml:space="preserve">    First 30,000 Mcf</v>
      </c>
      <c r="F722" s="37">
        <f>'C'!D148</f>
        <v>0</v>
      </c>
      <c r="G722" s="37">
        <f>'C'!E148</f>
        <v>0</v>
      </c>
      <c r="H722" s="37">
        <f>'C'!F148</f>
        <v>0</v>
      </c>
      <c r="I722" s="37">
        <f>'C'!G148</f>
        <v>0</v>
      </c>
      <c r="J722" s="37">
        <f>'C'!H148</f>
        <v>0</v>
      </c>
      <c r="K722" s="37">
        <f>'C'!I148</f>
        <v>0</v>
      </c>
      <c r="L722" s="37">
        <f>SUM(F722:K722)</f>
        <v>0</v>
      </c>
      <c r="M722" s="31"/>
      <c r="N722" s="31"/>
      <c r="O722" s="31"/>
      <c r="P722" s="31"/>
      <c r="Q722" s="31"/>
    </row>
    <row r="723" spans="1:17" ht="15" customHeight="1" x14ac:dyDescent="0.35">
      <c r="A723" s="31">
        <f>A722+1</f>
        <v>7</v>
      </c>
      <c r="C723" s="36" t="str">
        <f>'C'!B141</f>
        <v xml:space="preserve">    Over 100,000 Mcf</v>
      </c>
      <c r="F723" s="61">
        <f>'C'!D149</f>
        <v>0</v>
      </c>
      <c r="G723" s="61">
        <f>'C'!E149</f>
        <v>0</v>
      </c>
      <c r="H723" s="61">
        <f>'C'!F149</f>
        <v>0</v>
      </c>
      <c r="I723" s="61">
        <f>'C'!G149</f>
        <v>0</v>
      </c>
      <c r="J723" s="61">
        <f>'C'!H149</f>
        <v>0</v>
      </c>
      <c r="K723" s="61">
        <f>'C'!I149</f>
        <v>0</v>
      </c>
      <c r="L723" s="61">
        <f>SUM(F723:K723)</f>
        <v>0</v>
      </c>
      <c r="M723" s="31"/>
      <c r="N723" s="31"/>
      <c r="O723" s="31"/>
      <c r="P723" s="31"/>
      <c r="Q723" s="31"/>
    </row>
    <row r="724" spans="1:17" ht="15" customHeight="1" x14ac:dyDescent="0.35">
      <c r="C724" s="36"/>
      <c r="F724" s="37">
        <f t="shared" ref="F724:J724" si="238">SUM(F722:F723)</f>
        <v>0</v>
      </c>
      <c r="G724" s="37">
        <f t="shared" si="238"/>
        <v>0</v>
      </c>
      <c r="H724" s="37">
        <f t="shared" si="238"/>
        <v>0</v>
      </c>
      <c r="I724" s="37">
        <f t="shared" si="238"/>
        <v>0</v>
      </c>
      <c r="J724" s="37">
        <f t="shared" si="238"/>
        <v>0</v>
      </c>
      <c r="K724" s="37">
        <f>SUM(K722:K723)</f>
        <v>0</v>
      </c>
      <c r="L724" s="37">
        <f>SUM(F724:K724)</f>
        <v>0</v>
      </c>
      <c r="M724" s="31"/>
      <c r="N724" s="31"/>
      <c r="O724" s="31"/>
      <c r="P724" s="31"/>
      <c r="Q724" s="31"/>
    </row>
    <row r="725" spans="1:17" ht="15" customHeight="1" x14ac:dyDescent="0.35">
      <c r="A725" s="31">
        <f>A723+1</f>
        <v>8</v>
      </c>
      <c r="C725" s="31" t="s">
        <v>165</v>
      </c>
      <c r="E725" s="314"/>
      <c r="F725" s="38"/>
      <c r="H725" s="38"/>
      <c r="J725" s="38"/>
      <c r="M725" s="31"/>
      <c r="N725" s="31"/>
      <c r="O725" s="31"/>
      <c r="P725" s="31"/>
      <c r="Q725" s="31"/>
    </row>
    <row r="726" spans="1:17" ht="15" customHeight="1" x14ac:dyDescent="0.35">
      <c r="A726" s="31">
        <f>A725+1</f>
        <v>9</v>
      </c>
      <c r="C726" s="36" t="str">
        <f>C722</f>
        <v xml:space="preserve">    First 30,000 Mcf</v>
      </c>
      <c r="D726" s="300" t="s">
        <v>27</v>
      </c>
      <c r="E726" s="314">
        <f>Input!C42</f>
        <v>0.70930000000000004</v>
      </c>
      <c r="F726" s="221">
        <f t="shared" ref="F726:K726" si="239">ROUND(F722*$E$726,2)</f>
        <v>0</v>
      </c>
      <c r="G726" s="221">
        <f t="shared" si="239"/>
        <v>0</v>
      </c>
      <c r="H726" s="221">
        <f t="shared" si="239"/>
        <v>0</v>
      </c>
      <c r="I726" s="221">
        <f t="shared" si="239"/>
        <v>0</v>
      </c>
      <c r="J726" s="221">
        <f t="shared" si="239"/>
        <v>0</v>
      </c>
      <c r="K726" s="221">
        <f t="shared" si="239"/>
        <v>0</v>
      </c>
      <c r="L726" s="221">
        <f>SUM(F726:K726)</f>
        <v>0</v>
      </c>
      <c r="M726" s="31"/>
      <c r="N726" s="31"/>
      <c r="O726" s="31"/>
      <c r="P726" s="31"/>
      <c r="Q726" s="31"/>
    </row>
    <row r="727" spans="1:17" ht="15" customHeight="1" x14ac:dyDescent="0.35">
      <c r="A727" s="31">
        <f>A726+1</f>
        <v>10</v>
      </c>
      <c r="C727" s="36" t="str">
        <f>C723</f>
        <v xml:space="preserve">    Over 100,000 Mcf</v>
      </c>
      <c r="D727" s="300" t="s">
        <v>27</v>
      </c>
      <c r="E727" s="314">
        <f>Input!D42</f>
        <v>0.43780000000000002</v>
      </c>
      <c r="F727" s="51">
        <f t="shared" ref="F727:K727" si="240">ROUND(F723*$E$727,2)</f>
        <v>0</v>
      </c>
      <c r="G727" s="51">
        <f t="shared" si="240"/>
        <v>0</v>
      </c>
      <c r="H727" s="51">
        <f t="shared" si="240"/>
        <v>0</v>
      </c>
      <c r="I727" s="51">
        <f t="shared" si="240"/>
        <v>0</v>
      </c>
      <c r="J727" s="51">
        <f t="shared" si="240"/>
        <v>0</v>
      </c>
      <c r="K727" s="51">
        <f t="shared" si="240"/>
        <v>0</v>
      </c>
      <c r="L727" s="51">
        <f>SUM(F727:K727)</f>
        <v>0</v>
      </c>
      <c r="M727" s="31"/>
      <c r="N727" s="31"/>
      <c r="O727" s="31"/>
      <c r="P727" s="31"/>
      <c r="Q727" s="31"/>
    </row>
    <row r="728" spans="1:17" ht="15" customHeight="1" x14ac:dyDescent="0.35">
      <c r="C728" s="36"/>
      <c r="D728" s="300"/>
      <c r="E728" s="314"/>
      <c r="F728" s="221">
        <f t="shared" ref="F728:J728" si="241">SUM(F726:F727)</f>
        <v>0</v>
      </c>
      <c r="G728" s="221">
        <f t="shared" si="241"/>
        <v>0</v>
      </c>
      <c r="H728" s="221">
        <f t="shared" si="241"/>
        <v>0</v>
      </c>
      <c r="I728" s="221">
        <f t="shared" si="241"/>
        <v>0</v>
      </c>
      <c r="J728" s="221">
        <f t="shared" si="241"/>
        <v>0</v>
      </c>
      <c r="K728" s="221">
        <f>SUM(K726:K727)</f>
        <v>0</v>
      </c>
      <c r="L728" s="221">
        <f>SUM(F728:K728)</f>
        <v>0</v>
      </c>
      <c r="M728" s="31"/>
      <c r="N728" s="31"/>
      <c r="O728" s="31"/>
      <c r="P728" s="31"/>
      <c r="Q728" s="31"/>
    </row>
    <row r="729" spans="1:17" ht="15" customHeight="1" x14ac:dyDescent="0.35">
      <c r="C729" s="333"/>
      <c r="D729" s="52"/>
      <c r="E729" s="314"/>
      <c r="F729" s="51"/>
      <c r="G729" s="51"/>
      <c r="H729" s="51"/>
      <c r="I729" s="51"/>
      <c r="J729" s="51"/>
      <c r="K729" s="51"/>
      <c r="L729" s="63"/>
      <c r="M729" s="31"/>
      <c r="N729" s="31"/>
      <c r="O729" s="31"/>
      <c r="P729" s="31"/>
      <c r="Q729" s="31"/>
    </row>
    <row r="730" spans="1:17" ht="15.65" customHeight="1" x14ac:dyDescent="0.35">
      <c r="A730" s="31">
        <f>A727+1</f>
        <v>11</v>
      </c>
      <c r="C730" s="31" t="s">
        <v>162</v>
      </c>
      <c r="F730" s="221">
        <f>F719+F728</f>
        <v>0</v>
      </c>
      <c r="G730" s="221">
        <f t="shared" ref="G730:K730" si="242">G719+G728</f>
        <v>0</v>
      </c>
      <c r="H730" s="221">
        <f t="shared" si="242"/>
        <v>0</v>
      </c>
      <c r="I730" s="221">
        <f t="shared" si="242"/>
        <v>0</v>
      </c>
      <c r="J730" s="221">
        <f t="shared" si="242"/>
        <v>0</v>
      </c>
      <c r="K730" s="221">
        <f t="shared" si="242"/>
        <v>0</v>
      </c>
      <c r="L730" s="221">
        <f>SUM(F730:K730)</f>
        <v>0</v>
      </c>
      <c r="M730" s="31"/>
      <c r="N730" s="31"/>
      <c r="O730" s="31"/>
      <c r="P730" s="31"/>
      <c r="Q730" s="31"/>
    </row>
    <row r="731" spans="1:17" ht="15" customHeight="1" x14ac:dyDescent="0.35">
      <c r="F731" s="38"/>
      <c r="H731" s="38"/>
      <c r="J731" s="38"/>
      <c r="L731" s="31"/>
      <c r="M731" s="31"/>
      <c r="N731" s="31"/>
      <c r="O731" s="31"/>
      <c r="P731" s="31"/>
      <c r="Q731" s="31"/>
    </row>
    <row r="732" spans="1:17" ht="15" customHeight="1" x14ac:dyDescent="0.35">
      <c r="A732" s="31">
        <f>A730+1</f>
        <v>12</v>
      </c>
      <c r="C732" s="31" t="s">
        <v>166</v>
      </c>
      <c r="D732" s="31" t="s">
        <v>27</v>
      </c>
      <c r="E732" s="311"/>
      <c r="F732" s="221">
        <f>ROUND(F722*A!D35,2)</f>
        <v>0</v>
      </c>
      <c r="G732" s="221">
        <f>ROUND(G722*A!E35,2)</f>
        <v>0</v>
      </c>
      <c r="H732" s="221">
        <f>ROUND(H722*A!F35,2)</f>
        <v>0</v>
      </c>
      <c r="I732" s="221">
        <f>ROUND(I722*A!G35,2)</f>
        <v>0</v>
      </c>
      <c r="J732" s="221">
        <f>ROUND(J722*A!H35,2)</f>
        <v>0</v>
      </c>
      <c r="K732" s="221">
        <f>ROUND(K722*A!I35,2)</f>
        <v>0</v>
      </c>
      <c r="L732" s="221">
        <f>SUM(F732:K732)</f>
        <v>0</v>
      </c>
      <c r="M732" s="31"/>
      <c r="N732" s="31"/>
      <c r="O732" s="31"/>
      <c r="P732" s="31"/>
      <c r="Q732" s="31"/>
    </row>
    <row r="733" spans="1:17" ht="15" customHeight="1" x14ac:dyDescent="0.35">
      <c r="F733" s="38"/>
      <c r="H733" s="38"/>
      <c r="J733" s="38"/>
      <c r="L733" s="31"/>
      <c r="M733" s="31"/>
      <c r="N733" s="31"/>
      <c r="O733" s="31"/>
      <c r="P733" s="31"/>
      <c r="Q733" s="31"/>
    </row>
    <row r="734" spans="1:17" ht="15" customHeight="1" x14ac:dyDescent="0.35">
      <c r="A734" s="31">
        <f>A732+1</f>
        <v>13</v>
      </c>
      <c r="C734" s="36" t="s">
        <v>164</v>
      </c>
      <c r="F734" s="221">
        <f t="shared" ref="F734:J734" si="243">F730+F732</f>
        <v>0</v>
      </c>
      <c r="G734" s="221">
        <f t="shared" si="243"/>
        <v>0</v>
      </c>
      <c r="H734" s="221">
        <f t="shared" si="243"/>
        <v>0</v>
      </c>
      <c r="I734" s="221">
        <f t="shared" si="243"/>
        <v>0</v>
      </c>
      <c r="J734" s="221">
        <f t="shared" si="243"/>
        <v>0</v>
      </c>
      <c r="K734" s="221">
        <f>K730+K732</f>
        <v>0</v>
      </c>
      <c r="L734" s="221">
        <f>SUM(F734:K734)</f>
        <v>0</v>
      </c>
      <c r="M734" s="31"/>
      <c r="N734" s="31"/>
      <c r="O734" s="31"/>
      <c r="P734" s="31"/>
      <c r="Q734" s="31"/>
    </row>
    <row r="735" spans="1:17" ht="15" customHeight="1" x14ac:dyDescent="0.35">
      <c r="F735" s="38"/>
      <c r="H735" s="38"/>
      <c r="J735" s="38"/>
      <c r="L735" s="31"/>
      <c r="M735" s="31"/>
      <c r="N735" s="31"/>
      <c r="O735" s="31"/>
      <c r="P735" s="31"/>
      <c r="Q735" s="31"/>
    </row>
    <row r="736" spans="1:17" ht="15" customHeight="1" x14ac:dyDescent="0.35">
      <c r="A736" s="31">
        <f>A734+1</f>
        <v>14</v>
      </c>
      <c r="C736" s="36" t="s">
        <v>156</v>
      </c>
      <c r="D736" s="50"/>
      <c r="F736" s="304"/>
      <c r="G736" s="304"/>
      <c r="H736" s="304"/>
      <c r="I736" s="304"/>
      <c r="J736" s="304"/>
      <c r="K736" s="304"/>
      <c r="L736" s="304"/>
      <c r="M736" s="31"/>
      <c r="N736" s="31"/>
      <c r="O736" s="31"/>
      <c r="P736" s="31"/>
      <c r="Q736" s="31"/>
    </row>
    <row r="737" spans="1:17" ht="15" customHeight="1" x14ac:dyDescent="0.35">
      <c r="A737" s="31">
        <f>A736+1</f>
        <v>15</v>
      </c>
      <c r="C737" s="36" t="s">
        <v>171</v>
      </c>
      <c r="D737" s="52" t="s">
        <v>27</v>
      </c>
      <c r="E737" s="314"/>
      <c r="F737" s="357">
        <f>ROUND(F724*Input!$O$42,2)</f>
        <v>0</v>
      </c>
      <c r="G737" s="357">
        <f>ROUND(G724*Input!$O$42,2)</f>
        <v>0</v>
      </c>
      <c r="H737" s="357">
        <f>ROUND(H724*Input!$O$42,2)</f>
        <v>0</v>
      </c>
      <c r="I737" s="357">
        <f>ROUND(I724*Input!$O$42,2)</f>
        <v>0</v>
      </c>
      <c r="J737" s="357">
        <f>ROUND(J724*Input!$O$42,2)</f>
        <v>0</v>
      </c>
      <c r="K737" s="357">
        <f>ROUND(K724*Input!$O$42,2)</f>
        <v>0</v>
      </c>
      <c r="L737" s="357">
        <f>SUM(F737:K737)</f>
        <v>0</v>
      </c>
      <c r="M737" s="31"/>
      <c r="N737" s="31"/>
      <c r="O737" s="31"/>
      <c r="P737" s="31"/>
      <c r="Q737" s="31"/>
    </row>
    <row r="738" spans="1:17" ht="15" customHeight="1" x14ac:dyDescent="0.35">
      <c r="C738" s="36" t="s">
        <v>377</v>
      </c>
      <c r="D738" s="300"/>
      <c r="E738" s="314"/>
      <c r="F738" s="221">
        <f t="shared" ref="F738:K738" si="244">SUM(F737:F737)</f>
        <v>0</v>
      </c>
      <c r="G738" s="221">
        <f t="shared" si="244"/>
        <v>0</v>
      </c>
      <c r="H738" s="221">
        <f t="shared" si="244"/>
        <v>0</v>
      </c>
      <c r="I738" s="221">
        <f t="shared" si="244"/>
        <v>0</v>
      </c>
      <c r="J738" s="221">
        <f t="shared" si="244"/>
        <v>0</v>
      </c>
      <c r="K738" s="221">
        <f t="shared" si="244"/>
        <v>0</v>
      </c>
      <c r="L738" s="221">
        <f t="shared" ref="L738" si="245">SUM(F738:K738)</f>
        <v>0</v>
      </c>
      <c r="M738" s="31"/>
      <c r="N738" s="31"/>
      <c r="O738" s="31"/>
      <c r="P738" s="31"/>
      <c r="Q738" s="31"/>
    </row>
    <row r="739" spans="1:17" ht="15" customHeight="1" x14ac:dyDescent="0.35">
      <c r="F739" s="38"/>
      <c r="H739" s="38"/>
      <c r="J739" s="38"/>
      <c r="L739" s="39"/>
      <c r="M739" s="31"/>
      <c r="N739" s="31"/>
      <c r="O739" s="31"/>
      <c r="P739" s="31"/>
      <c r="Q739" s="31"/>
    </row>
    <row r="740" spans="1:17" ht="15" customHeight="1" x14ac:dyDescent="0.35">
      <c r="A740" s="31">
        <f>A737+1</f>
        <v>16</v>
      </c>
      <c r="C740" s="36" t="s">
        <v>163</v>
      </c>
      <c r="D740" s="50"/>
      <c r="E740" s="56"/>
      <c r="F740" s="221">
        <f t="shared" ref="F740:K740" si="246">F734+F737</f>
        <v>0</v>
      </c>
      <c r="G740" s="221">
        <f t="shared" si="246"/>
        <v>0</v>
      </c>
      <c r="H740" s="221">
        <f t="shared" si="246"/>
        <v>0</v>
      </c>
      <c r="I740" s="221">
        <f t="shared" si="246"/>
        <v>0</v>
      </c>
      <c r="J740" s="221">
        <f t="shared" si="246"/>
        <v>0</v>
      </c>
      <c r="K740" s="221">
        <f t="shared" si="246"/>
        <v>0</v>
      </c>
      <c r="L740" s="221">
        <f>SUM(F740:K740)</f>
        <v>0</v>
      </c>
      <c r="M740" s="31"/>
      <c r="N740" s="31"/>
      <c r="O740" s="31"/>
      <c r="P740" s="31"/>
      <c r="Q740" s="31"/>
    </row>
    <row r="741" spans="1:17" ht="15" customHeight="1" x14ac:dyDescent="0.35">
      <c r="C741" s="36"/>
      <c r="D741" s="50"/>
      <c r="E741" s="56"/>
      <c r="F741" s="221"/>
      <c r="G741" s="221"/>
      <c r="H741" s="221"/>
      <c r="I741" s="221"/>
      <c r="J741" s="221"/>
      <c r="K741" s="221"/>
      <c r="L741" s="221"/>
      <c r="M741" s="31"/>
      <c r="N741" s="31"/>
      <c r="O741" s="31"/>
      <c r="P741" s="31"/>
      <c r="Q741" s="31"/>
    </row>
    <row r="742" spans="1:17" ht="15" customHeight="1" x14ac:dyDescent="0.35">
      <c r="C742" s="36"/>
      <c r="D742" s="50"/>
      <c r="E742" s="56"/>
      <c r="F742" s="221"/>
      <c r="G742" s="221"/>
      <c r="H742" s="221"/>
      <c r="I742" s="221"/>
      <c r="J742" s="221"/>
      <c r="K742" s="221"/>
      <c r="L742" s="221"/>
      <c r="M742" s="31"/>
      <c r="N742" s="31"/>
      <c r="O742" s="31"/>
      <c r="P742" s="31"/>
      <c r="Q742" s="31"/>
    </row>
    <row r="743" spans="1:17" ht="15" customHeight="1" x14ac:dyDescent="0.35">
      <c r="A743" s="31">
        <v>1</v>
      </c>
      <c r="B743" s="31" t="str">
        <f>B187</f>
        <v>IUS</v>
      </c>
      <c r="C743" s="31" t="str">
        <f>C187</f>
        <v>Intrastate Utility Service - Wholesale</v>
      </c>
      <c r="F743" s="38"/>
      <c r="H743" s="38"/>
      <c r="J743" s="38"/>
      <c r="L743" s="31"/>
      <c r="M743" s="31"/>
      <c r="N743" s="31"/>
      <c r="O743" s="31"/>
      <c r="P743" s="31"/>
      <c r="Q743" s="31"/>
    </row>
    <row r="744" spans="1:17" ht="15" customHeight="1" x14ac:dyDescent="0.35">
      <c r="F744" s="38"/>
      <c r="H744" s="38"/>
      <c r="J744" s="38"/>
      <c r="L744" s="31"/>
      <c r="M744" s="31"/>
      <c r="N744" s="31"/>
      <c r="O744" s="31"/>
      <c r="P744" s="31"/>
      <c r="Q744" s="31"/>
    </row>
    <row r="745" spans="1:17" ht="15" customHeight="1" x14ac:dyDescent="0.4">
      <c r="A745" s="31">
        <f>A743+1</f>
        <v>2</v>
      </c>
      <c r="C745" s="35" t="s">
        <v>108</v>
      </c>
      <c r="D745" s="35"/>
      <c r="F745" s="38"/>
      <c r="H745" s="38"/>
      <c r="J745" s="38"/>
      <c r="L745" s="31"/>
      <c r="M745" s="31"/>
      <c r="N745" s="31"/>
      <c r="O745" s="31"/>
      <c r="P745" s="31"/>
      <c r="Q745" s="31"/>
    </row>
    <row r="746" spans="1:17" ht="15" customHeight="1" x14ac:dyDescent="0.35">
      <c r="F746" s="38"/>
      <c r="H746" s="38"/>
      <c r="J746" s="38"/>
      <c r="L746" s="31"/>
      <c r="M746" s="31"/>
      <c r="N746" s="31"/>
      <c r="O746" s="31"/>
      <c r="P746" s="31"/>
      <c r="Q746" s="31"/>
    </row>
    <row r="747" spans="1:17" ht="15" customHeight="1" x14ac:dyDescent="0.35">
      <c r="A747" s="31">
        <f>A745+1</f>
        <v>3</v>
      </c>
      <c r="C747" s="31" t="s">
        <v>161</v>
      </c>
      <c r="F747" s="108">
        <f>B!D123</f>
        <v>2</v>
      </c>
      <c r="G747" s="108">
        <f>B!E123</f>
        <v>2</v>
      </c>
      <c r="H747" s="108">
        <f>B!F123</f>
        <v>2</v>
      </c>
      <c r="I747" s="108">
        <f>B!G123</f>
        <v>2</v>
      </c>
      <c r="J747" s="108">
        <f>B!H123</f>
        <v>2</v>
      </c>
      <c r="K747" s="108">
        <f>B!I123</f>
        <v>2</v>
      </c>
      <c r="L747" s="108">
        <f>SUM(F747:K747)</f>
        <v>12</v>
      </c>
      <c r="M747" s="31"/>
      <c r="N747" s="31"/>
      <c r="O747" s="31"/>
      <c r="P747" s="31"/>
      <c r="Q747" s="31"/>
    </row>
    <row r="748" spans="1:17" ht="15" customHeight="1" x14ac:dyDescent="0.35">
      <c r="A748" s="31">
        <f>A747+1</f>
        <v>4</v>
      </c>
      <c r="C748" s="31" t="s">
        <v>168</v>
      </c>
      <c r="D748" s="317" t="s">
        <v>28</v>
      </c>
      <c r="E748" s="313">
        <f>Input!H43</f>
        <v>945.24</v>
      </c>
      <c r="F748" s="221">
        <f t="shared" ref="F748:K748" si="247">ROUND(F747*$E$748,2)</f>
        <v>1890.48</v>
      </c>
      <c r="G748" s="221">
        <f t="shared" si="247"/>
        <v>1890.48</v>
      </c>
      <c r="H748" s="221">
        <f t="shared" si="247"/>
        <v>1890.48</v>
      </c>
      <c r="I748" s="221">
        <f t="shared" si="247"/>
        <v>1890.48</v>
      </c>
      <c r="J748" s="221">
        <f t="shared" si="247"/>
        <v>1890.48</v>
      </c>
      <c r="K748" s="221">
        <f t="shared" si="247"/>
        <v>1890.48</v>
      </c>
      <c r="L748" s="221">
        <f>SUM(F748:K748)</f>
        <v>11342.88</v>
      </c>
      <c r="M748" s="31"/>
      <c r="N748" s="31"/>
      <c r="O748" s="31"/>
      <c r="P748" s="31"/>
      <c r="Q748" s="31"/>
    </row>
    <row r="749" spans="1:17" ht="15" customHeight="1" x14ac:dyDescent="0.35">
      <c r="D749" s="50"/>
      <c r="F749" s="38"/>
      <c r="H749" s="38"/>
      <c r="J749" s="38"/>
      <c r="L749" s="31"/>
      <c r="M749" s="31"/>
      <c r="N749" s="31"/>
      <c r="O749" s="31"/>
      <c r="P749" s="31"/>
      <c r="Q749" s="31"/>
    </row>
    <row r="750" spans="1:17" ht="15" customHeight="1" x14ac:dyDescent="0.35">
      <c r="A750" s="31">
        <f>A748+1</f>
        <v>5</v>
      </c>
      <c r="C750" s="36" t="s">
        <v>167</v>
      </c>
      <c r="D750" s="50"/>
      <c r="F750" s="78">
        <f>'C'!D155</f>
        <v>869</v>
      </c>
      <c r="G750" s="78">
        <f>'C'!E155</f>
        <v>1429</v>
      </c>
      <c r="H750" s="78">
        <f>'C'!F155</f>
        <v>232</v>
      </c>
      <c r="I750" s="78">
        <f>'C'!G155</f>
        <v>149.5</v>
      </c>
      <c r="J750" s="78">
        <f>'C'!H155</f>
        <v>503</v>
      </c>
      <c r="K750" s="78">
        <f>'C'!I155</f>
        <v>240</v>
      </c>
      <c r="L750" s="78">
        <f>SUM(F750:K750)</f>
        <v>3422.5</v>
      </c>
      <c r="M750" s="31"/>
      <c r="N750" s="31"/>
      <c r="O750" s="31"/>
      <c r="P750" s="31"/>
      <c r="Q750" s="31"/>
    </row>
    <row r="751" spans="1:17" ht="15" customHeight="1" x14ac:dyDescent="0.35">
      <c r="A751" s="31">
        <f>A750+1</f>
        <v>6</v>
      </c>
      <c r="C751" s="31" t="s">
        <v>169</v>
      </c>
      <c r="D751" s="52" t="s">
        <v>27</v>
      </c>
      <c r="E751" s="311">
        <f>Input!C43</f>
        <v>1.1959</v>
      </c>
      <c r="F751" s="357">
        <f t="shared" ref="F751:K751" si="248">ROUND(F750*$E$751,2)</f>
        <v>1039.24</v>
      </c>
      <c r="G751" s="357">
        <f t="shared" si="248"/>
        <v>1708.94</v>
      </c>
      <c r="H751" s="357">
        <f t="shared" si="248"/>
        <v>277.45</v>
      </c>
      <c r="I751" s="357">
        <f t="shared" si="248"/>
        <v>178.79</v>
      </c>
      <c r="J751" s="357">
        <f t="shared" si="248"/>
        <v>601.54</v>
      </c>
      <c r="K751" s="357">
        <f t="shared" si="248"/>
        <v>287.02</v>
      </c>
      <c r="L751" s="357">
        <f>SUM(F751:K751)</f>
        <v>4092.98</v>
      </c>
      <c r="M751" s="31"/>
      <c r="N751" s="31"/>
      <c r="O751" s="31"/>
      <c r="P751" s="31"/>
      <c r="Q751" s="31"/>
    </row>
    <row r="752" spans="1:17" ht="15" customHeight="1" x14ac:dyDescent="0.65">
      <c r="C752" s="333"/>
      <c r="D752" s="52"/>
      <c r="E752" s="314"/>
      <c r="F752" s="212"/>
      <c r="G752" s="212"/>
      <c r="H752" s="212"/>
      <c r="I752" s="212"/>
      <c r="J752" s="212"/>
      <c r="K752" s="212"/>
      <c r="L752" s="212"/>
      <c r="M752" s="31"/>
      <c r="N752" s="31"/>
      <c r="O752" s="31"/>
      <c r="P752" s="31"/>
      <c r="Q752" s="31"/>
    </row>
    <row r="753" spans="1:18" ht="14.5" customHeight="1" x14ac:dyDescent="0.35">
      <c r="A753" s="31">
        <f>A752+1</f>
        <v>1</v>
      </c>
      <c r="C753" s="31" t="s">
        <v>162</v>
      </c>
      <c r="D753" s="50"/>
      <c r="F753" s="221">
        <f>F748+F751</f>
        <v>2929.7200000000003</v>
      </c>
      <c r="G753" s="221">
        <f t="shared" ref="G753:K753" si="249">G748+G751</f>
        <v>3599.42</v>
      </c>
      <c r="H753" s="221">
        <f t="shared" si="249"/>
        <v>2167.9299999999998</v>
      </c>
      <c r="I753" s="221">
        <f t="shared" si="249"/>
        <v>2069.27</v>
      </c>
      <c r="J753" s="221">
        <f t="shared" si="249"/>
        <v>2492.02</v>
      </c>
      <c r="K753" s="221">
        <f t="shared" si="249"/>
        <v>2177.5</v>
      </c>
      <c r="L753" s="221">
        <f>SUM(F753:K753)</f>
        <v>15435.86</v>
      </c>
      <c r="M753" s="31"/>
      <c r="N753" s="31"/>
      <c r="O753" s="31"/>
      <c r="P753" s="31"/>
      <c r="Q753" s="31"/>
    </row>
    <row r="754" spans="1:18" ht="15" customHeight="1" x14ac:dyDescent="0.35">
      <c r="C754" s="36"/>
      <c r="D754" s="50"/>
      <c r="F754" s="304"/>
      <c r="G754" s="304"/>
      <c r="H754" s="304"/>
      <c r="I754" s="304"/>
      <c r="J754" s="304"/>
      <c r="K754" s="304"/>
      <c r="L754" s="304"/>
      <c r="M754" s="31"/>
      <c r="N754" s="31"/>
      <c r="O754" s="31"/>
      <c r="P754" s="31"/>
      <c r="Q754" s="31"/>
    </row>
    <row r="755" spans="1:18" ht="15" customHeight="1" x14ac:dyDescent="0.35">
      <c r="A755" s="31">
        <f>A753+1</f>
        <v>2</v>
      </c>
      <c r="C755" s="36" t="s">
        <v>166</v>
      </c>
      <c r="D755" s="52" t="s">
        <v>27</v>
      </c>
      <c r="E755" s="311"/>
      <c r="F755" s="221">
        <f>ROUND(F750*A!D41,2)</f>
        <v>2557.73</v>
      </c>
      <c r="G755" s="221">
        <f>ROUND(G750*A!E41,2)</f>
        <v>4205.9799999999996</v>
      </c>
      <c r="H755" s="221">
        <f>ROUND(H750*A!F41,2)</f>
        <v>682.85</v>
      </c>
      <c r="I755" s="221">
        <f>ROUND(I750*A!G41,2)</f>
        <v>440.02</v>
      </c>
      <c r="J755" s="221">
        <f>ROUND(J750*A!H41,2)</f>
        <v>1480.48</v>
      </c>
      <c r="K755" s="221">
        <f>ROUND(K750*A!I41,2)</f>
        <v>706.39</v>
      </c>
      <c r="L755" s="221">
        <f>SUM(F755:K755)</f>
        <v>10073.449999999999</v>
      </c>
      <c r="M755" s="31"/>
      <c r="N755" s="31"/>
      <c r="O755" s="31"/>
      <c r="P755" s="31"/>
      <c r="Q755" s="31"/>
    </row>
    <row r="756" spans="1:18" ht="15" customHeight="1" x14ac:dyDescent="0.35">
      <c r="C756" s="51"/>
      <c r="D756" s="54"/>
      <c r="F756" s="318"/>
      <c r="G756" s="318"/>
      <c r="H756" s="318"/>
      <c r="I756" s="318"/>
      <c r="J756" s="318"/>
      <c r="K756" s="318"/>
      <c r="L756" s="318"/>
      <c r="M756" s="31"/>
      <c r="N756" s="31"/>
      <c r="O756" s="31"/>
      <c r="P756" s="31"/>
      <c r="Q756" s="31"/>
    </row>
    <row r="757" spans="1:18" ht="15" customHeight="1" x14ac:dyDescent="0.35">
      <c r="A757" s="31">
        <f>A755+1</f>
        <v>3</v>
      </c>
      <c r="C757" s="36" t="s">
        <v>164</v>
      </c>
      <c r="D757" s="50"/>
      <c r="F757" s="221">
        <f t="shared" ref="F757:J757" si="250">F753+F755</f>
        <v>5487.4500000000007</v>
      </c>
      <c r="G757" s="221">
        <f t="shared" si="250"/>
        <v>7805.4</v>
      </c>
      <c r="H757" s="221">
        <f t="shared" si="250"/>
        <v>2850.7799999999997</v>
      </c>
      <c r="I757" s="221">
        <f t="shared" si="250"/>
        <v>2509.29</v>
      </c>
      <c r="J757" s="221">
        <f t="shared" si="250"/>
        <v>3972.5</v>
      </c>
      <c r="K757" s="221">
        <f>K753+K755</f>
        <v>2883.89</v>
      </c>
      <c r="L757" s="221">
        <f>SUM(F757:K757)</f>
        <v>25509.31</v>
      </c>
      <c r="M757" s="31"/>
      <c r="N757" s="31"/>
      <c r="O757" s="31"/>
      <c r="P757" s="31"/>
      <c r="Q757" s="31"/>
    </row>
    <row r="758" spans="1:18" ht="15" customHeight="1" x14ac:dyDescent="0.35">
      <c r="C758" s="36"/>
      <c r="E758" s="31"/>
      <c r="F758" s="304"/>
      <c r="G758" s="304"/>
      <c r="H758" s="304"/>
      <c r="I758" s="304"/>
      <c r="J758" s="304"/>
      <c r="K758" s="304"/>
      <c r="L758" s="304"/>
      <c r="M758" s="304"/>
      <c r="N758" s="31"/>
      <c r="O758" s="31"/>
      <c r="P758" s="31"/>
      <c r="Q758" s="31"/>
    </row>
    <row r="759" spans="1:18" ht="15" customHeight="1" x14ac:dyDescent="0.35">
      <c r="A759" s="31">
        <f>A757+1</f>
        <v>4</v>
      </c>
      <c r="C759" s="36" t="s">
        <v>156</v>
      </c>
      <c r="D759" s="50"/>
      <c r="F759" s="304"/>
      <c r="G759" s="304"/>
      <c r="H759" s="304"/>
      <c r="I759" s="304"/>
      <c r="J759" s="304"/>
      <c r="K759" s="304"/>
      <c r="L759" s="304"/>
      <c r="M759" s="31"/>
      <c r="N759" s="304"/>
      <c r="O759" s="57"/>
      <c r="P759" s="31"/>
      <c r="Q759" s="31"/>
    </row>
    <row r="760" spans="1:18" ht="15" customHeight="1" x14ac:dyDescent="0.35">
      <c r="A760" s="31">
        <f>A759+1</f>
        <v>5</v>
      </c>
      <c r="C760" s="36" t="s">
        <v>171</v>
      </c>
      <c r="D760" s="52" t="s">
        <v>27</v>
      </c>
      <c r="E760" s="314"/>
      <c r="F760" s="357">
        <f>ROUND(F750*Input!$O$43,2)</f>
        <v>8.9499999999999993</v>
      </c>
      <c r="G760" s="357">
        <f>ROUND(G750*Input!$O$43,2)</f>
        <v>14.72</v>
      </c>
      <c r="H760" s="357">
        <f>ROUND(H750*Input!$O$43,2)</f>
        <v>2.39</v>
      </c>
      <c r="I760" s="357">
        <f>ROUND(I750*Input!$O$43,2)</f>
        <v>1.54</v>
      </c>
      <c r="J760" s="357">
        <f>ROUND(J750*Input!$O$43,2)</f>
        <v>5.18</v>
      </c>
      <c r="K760" s="357">
        <f>ROUND(K750*Input!$O$43,2)</f>
        <v>2.4700000000000002</v>
      </c>
      <c r="L760" s="357">
        <f>SUM(F760:K760)</f>
        <v>35.25</v>
      </c>
      <c r="M760" s="31"/>
      <c r="N760" s="31"/>
      <c r="O760" s="31"/>
      <c r="P760" s="31"/>
      <c r="Q760" s="31"/>
    </row>
    <row r="761" spans="1:18" ht="15" customHeight="1" x14ac:dyDescent="0.35">
      <c r="A761" s="31">
        <f>A760+1</f>
        <v>6</v>
      </c>
      <c r="C761" s="36" t="s">
        <v>377</v>
      </c>
      <c r="D761" s="52"/>
      <c r="E761" s="314"/>
      <c r="F761" s="221">
        <f t="shared" ref="F761:K761" si="251">SUM(F760:F760)</f>
        <v>8.9499999999999993</v>
      </c>
      <c r="G761" s="221">
        <f t="shared" si="251"/>
        <v>14.72</v>
      </c>
      <c r="H761" s="221">
        <f t="shared" si="251"/>
        <v>2.39</v>
      </c>
      <c r="I761" s="221">
        <f t="shared" si="251"/>
        <v>1.54</v>
      </c>
      <c r="J761" s="221">
        <f t="shared" si="251"/>
        <v>5.18</v>
      </c>
      <c r="K761" s="221">
        <f t="shared" si="251"/>
        <v>2.4700000000000002</v>
      </c>
      <c r="L761" s="221">
        <f t="shared" ref="L761" si="252">SUM(F761:K761)</f>
        <v>35.25</v>
      </c>
      <c r="M761" s="31"/>
      <c r="N761" s="31"/>
      <c r="O761" s="31"/>
      <c r="P761" s="31"/>
      <c r="Q761" s="31"/>
    </row>
    <row r="762" spans="1:18" ht="15" customHeight="1" x14ac:dyDescent="0.35">
      <c r="F762" s="38"/>
      <c r="H762" s="38"/>
      <c r="J762" s="38"/>
      <c r="L762" s="31"/>
      <c r="M762" s="31"/>
      <c r="N762" s="31"/>
      <c r="O762" s="31"/>
      <c r="P762" s="31"/>
      <c r="Q762" s="31"/>
    </row>
    <row r="763" spans="1:18" ht="15" customHeight="1" x14ac:dyDescent="0.35">
      <c r="A763" s="31">
        <f>A761+1</f>
        <v>7</v>
      </c>
      <c r="C763" s="36" t="s">
        <v>163</v>
      </c>
      <c r="D763" s="50"/>
      <c r="E763" s="56"/>
      <c r="F763" s="221">
        <f t="shared" ref="F763:K763" si="253">F757+F761</f>
        <v>5496.4000000000005</v>
      </c>
      <c r="G763" s="221">
        <f t="shared" si="253"/>
        <v>7820.12</v>
      </c>
      <c r="H763" s="221">
        <f t="shared" si="253"/>
        <v>2853.1699999999996</v>
      </c>
      <c r="I763" s="221">
        <f t="shared" si="253"/>
        <v>2510.83</v>
      </c>
      <c r="J763" s="221">
        <f t="shared" si="253"/>
        <v>3977.68</v>
      </c>
      <c r="K763" s="221">
        <f t="shared" si="253"/>
        <v>2886.3599999999997</v>
      </c>
      <c r="L763" s="221">
        <f>SUM(F763:K763)</f>
        <v>25544.560000000001</v>
      </c>
      <c r="M763" s="31"/>
      <c r="N763" s="31"/>
      <c r="O763" s="31"/>
      <c r="P763" s="31"/>
      <c r="Q763" s="31"/>
    </row>
    <row r="764" spans="1:18" ht="15" customHeight="1" x14ac:dyDescent="0.35">
      <c r="F764" s="304"/>
      <c r="G764" s="304"/>
      <c r="H764" s="304"/>
      <c r="I764" s="304"/>
      <c r="J764" s="304"/>
      <c r="K764" s="304"/>
      <c r="L764" s="57"/>
      <c r="M764" s="31"/>
      <c r="N764" s="31"/>
      <c r="O764" s="31"/>
      <c r="P764" s="31"/>
      <c r="Q764" s="31"/>
    </row>
    <row r="765" spans="1:18" ht="15" customHeight="1" x14ac:dyDescent="0.35"/>
    <row r="766" spans="1:18" ht="15" customHeight="1" x14ac:dyDescent="0.35">
      <c r="A766" s="31" t="str">
        <f>$A$280</f>
        <v>[1] Reflects forecasted volumes for March through August 2024.</v>
      </c>
    </row>
    <row r="767" spans="1:18" ht="15" customHeight="1" x14ac:dyDescent="0.35">
      <c r="A767" s="31" t="str">
        <f>$A$431</f>
        <v>[2] See WPM-A for Gas Cost Recovery Rate.</v>
      </c>
    </row>
    <row r="768" spans="1:18" ht="15" customHeight="1" x14ac:dyDescent="0.4">
      <c r="A768" s="480" t="str">
        <f>CONAME</f>
        <v>Columbia Gas of Kentucky, Inc.</v>
      </c>
      <c r="B768" s="480"/>
      <c r="C768" s="480"/>
      <c r="D768" s="480"/>
      <c r="E768" s="480"/>
      <c r="F768" s="480"/>
      <c r="G768" s="480"/>
      <c r="H768" s="480"/>
      <c r="I768" s="480"/>
      <c r="J768" s="480"/>
      <c r="K768" s="480"/>
      <c r="L768" s="480"/>
      <c r="M768" s="89"/>
      <c r="N768" s="89"/>
      <c r="O768" s="89"/>
      <c r="P768" s="89"/>
      <c r="Q768" s="89"/>
      <c r="R768" s="89"/>
    </row>
    <row r="769" spans="1:18" ht="15" customHeight="1" x14ac:dyDescent="0.4">
      <c r="A769" s="480" t="str">
        <f>case</f>
        <v>Case No. 2024-00092</v>
      </c>
      <c r="B769" s="480"/>
      <c r="C769" s="480"/>
      <c r="D769" s="480"/>
      <c r="E769" s="480"/>
      <c r="F769" s="480"/>
      <c r="G769" s="480"/>
      <c r="H769" s="480"/>
      <c r="I769" s="480"/>
      <c r="J769" s="480"/>
      <c r="K769" s="480"/>
      <c r="L769" s="480"/>
      <c r="M769" s="35"/>
      <c r="N769" s="35"/>
      <c r="O769" s="35"/>
      <c r="P769" s="35"/>
      <c r="Q769" s="35"/>
      <c r="R769" s="35"/>
    </row>
    <row r="770" spans="1:18" ht="15" customHeight="1" x14ac:dyDescent="0.4">
      <c r="A770" s="480" t="s">
        <v>319</v>
      </c>
      <c r="B770" s="480"/>
      <c r="C770" s="480"/>
      <c r="D770" s="480"/>
      <c r="E770" s="480"/>
      <c r="F770" s="480"/>
      <c r="G770" s="480"/>
      <c r="H770" s="480"/>
      <c r="I770" s="480"/>
      <c r="J770" s="480"/>
      <c r="K770" s="480"/>
      <c r="L770" s="480"/>
      <c r="M770" s="110"/>
      <c r="N770" s="110"/>
      <c r="O770" s="110"/>
      <c r="P770" s="110"/>
      <c r="Q770" s="110"/>
      <c r="R770" s="110"/>
    </row>
    <row r="771" spans="1:18" ht="15" customHeight="1" x14ac:dyDescent="0.4">
      <c r="A771" s="480" t="str">
        <f>TYDESC</f>
        <v>For the 6 Months Ended August 31, 2024</v>
      </c>
      <c r="B771" s="480"/>
      <c r="C771" s="480"/>
      <c r="D771" s="480"/>
      <c r="E771" s="480"/>
      <c r="F771" s="480"/>
      <c r="G771" s="480"/>
      <c r="H771" s="480"/>
      <c r="I771" s="480"/>
      <c r="J771" s="480"/>
      <c r="K771" s="480"/>
      <c r="L771" s="480"/>
      <c r="M771" s="89"/>
      <c r="N771" s="89"/>
      <c r="O771" s="89"/>
      <c r="P771" s="89"/>
      <c r="Q771" s="89"/>
      <c r="R771" s="89"/>
    </row>
    <row r="772" spans="1:18" ht="15" customHeight="1" x14ac:dyDescent="0.4">
      <c r="A772" s="480" t="s">
        <v>46</v>
      </c>
      <c r="B772" s="480"/>
      <c r="C772" s="480"/>
      <c r="D772" s="480"/>
      <c r="E772" s="480"/>
      <c r="F772" s="480"/>
      <c r="G772" s="480"/>
      <c r="H772" s="480"/>
      <c r="I772" s="480"/>
      <c r="J772" s="480"/>
      <c r="K772" s="480"/>
      <c r="L772" s="480"/>
      <c r="M772" s="220"/>
      <c r="N772" s="220"/>
      <c r="O772" s="220"/>
      <c r="P772" s="220"/>
      <c r="Q772" s="220"/>
      <c r="R772" s="220"/>
    </row>
    <row r="773" spans="1:18" ht="15" customHeight="1" x14ac:dyDescent="0.4">
      <c r="A773" s="220"/>
      <c r="B773" s="220"/>
      <c r="C773" s="220"/>
      <c r="D773" s="220"/>
      <c r="E773" s="220"/>
      <c r="F773" s="220"/>
      <c r="G773" s="220"/>
      <c r="H773" s="220"/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</row>
    <row r="774" spans="1:18" ht="15" customHeight="1" x14ac:dyDescent="0.4">
      <c r="A774" s="35" t="s">
        <v>180</v>
      </c>
    </row>
    <row r="775" spans="1:18" ht="15" customHeight="1" x14ac:dyDescent="0.4">
      <c r="A775" s="35" t="s">
        <v>181</v>
      </c>
      <c r="L775" s="40" t="str">
        <f>$L$55</f>
        <v>Schedule M-2.2B</v>
      </c>
      <c r="M775" s="31"/>
    </row>
    <row r="776" spans="1:18" ht="15" customHeight="1" x14ac:dyDescent="0.4">
      <c r="A776" s="35" t="str">
        <f>$A$56</f>
        <v>Work Paper Reference No(s): WPM-B.1, WPM-C.1, WPM-D.1</v>
      </c>
      <c r="L776" s="40" t="s">
        <v>326</v>
      </c>
      <c r="M776" s="31"/>
    </row>
    <row r="777" spans="1:18" ht="15.45" x14ac:dyDescent="0.4">
      <c r="A777" s="320" t="str">
        <f>$A$57</f>
        <v>6 Mos Actual / 6 Mos Forecasted</v>
      </c>
      <c r="B777" s="321"/>
      <c r="C777" s="321"/>
      <c r="D777" s="321"/>
      <c r="E777" s="322"/>
      <c r="F777" s="321"/>
      <c r="G777" s="323"/>
      <c r="H777" s="324"/>
      <c r="I777" s="323"/>
      <c r="J777" s="325"/>
      <c r="K777" s="323"/>
      <c r="L777" s="326" t="str">
        <f>Witness</f>
        <v>Witness: J. C. Wozniak</v>
      </c>
    </row>
    <row r="778" spans="1:18" ht="15.45" x14ac:dyDescent="0.4">
      <c r="A778" s="327"/>
      <c r="B778" s="327"/>
      <c r="C778" s="327"/>
      <c r="D778" s="327"/>
      <c r="E778" s="89"/>
      <c r="F778" s="89"/>
      <c r="G778" s="89"/>
      <c r="H778" s="89"/>
      <c r="I778" s="89"/>
      <c r="J778" s="89"/>
      <c r="K778" s="89"/>
      <c r="L778" s="89"/>
      <c r="M778" s="327"/>
      <c r="N778" s="327"/>
      <c r="O778" s="327"/>
      <c r="P778" s="327"/>
      <c r="Q778" s="327"/>
      <c r="R778" s="327"/>
    </row>
    <row r="779" spans="1:18" ht="15" customHeight="1" x14ac:dyDescent="0.4">
      <c r="A779" s="35"/>
    </row>
    <row r="780" spans="1:18" ht="15" customHeight="1" x14ac:dyDescent="0.4">
      <c r="A780" s="32"/>
      <c r="B780" s="32"/>
      <c r="C780" s="32"/>
      <c r="D780" s="32"/>
      <c r="E780" s="33"/>
      <c r="F780" s="32"/>
      <c r="G780" s="41"/>
      <c r="H780" s="301"/>
      <c r="I780" s="41"/>
      <c r="J780" s="120"/>
      <c r="K780" s="41"/>
      <c r="L780" s="41"/>
      <c r="M780" s="41"/>
      <c r="N780" s="41"/>
      <c r="O780" s="41"/>
      <c r="P780" s="41"/>
      <c r="Q780" s="41"/>
      <c r="R780" s="32"/>
    </row>
    <row r="781" spans="1:18" ht="15" customHeight="1" x14ac:dyDescent="0.4">
      <c r="A781" s="32"/>
      <c r="B781" s="32"/>
      <c r="C781" s="32"/>
      <c r="D781" s="32"/>
      <c r="E781" s="33" t="s">
        <v>52</v>
      </c>
      <c r="F781" s="32"/>
      <c r="G781" s="41"/>
      <c r="H781" s="42"/>
      <c r="I781" s="41"/>
      <c r="J781" s="30"/>
      <c r="K781" s="41"/>
      <c r="L781" s="41"/>
      <c r="M781" s="41"/>
      <c r="N781" s="41"/>
      <c r="O781" s="41"/>
      <c r="P781" s="41"/>
      <c r="Q781" s="41"/>
      <c r="R781" s="32"/>
    </row>
    <row r="782" spans="1:18" ht="15" customHeight="1" x14ac:dyDescent="0.4">
      <c r="A782" s="32" t="s">
        <v>11</v>
      </c>
      <c r="B782" s="32" t="s">
        <v>10</v>
      </c>
      <c r="C782" s="32" t="s">
        <v>48</v>
      </c>
      <c r="D782" s="32"/>
      <c r="E782" s="33" t="s">
        <v>53</v>
      </c>
      <c r="F782" s="32"/>
      <c r="G782" s="41"/>
      <c r="H782" s="42"/>
      <c r="I782" s="41"/>
      <c r="J782" s="30"/>
      <c r="K782" s="41"/>
      <c r="L782" s="41"/>
      <c r="M782" s="41"/>
      <c r="N782" s="41"/>
      <c r="O782" s="41"/>
      <c r="P782" s="41"/>
      <c r="Q782" s="41"/>
      <c r="R782" s="34"/>
    </row>
    <row r="783" spans="1:18" ht="15" customHeight="1" x14ac:dyDescent="0.4">
      <c r="A783" s="43" t="s">
        <v>13</v>
      </c>
      <c r="B783" s="43" t="s">
        <v>47</v>
      </c>
      <c r="C783" s="43" t="s">
        <v>14</v>
      </c>
      <c r="D783" s="43"/>
      <c r="E783" s="44" t="s">
        <v>54</v>
      </c>
      <c r="F783" s="45" t="str">
        <f>B!$D$13</f>
        <v>Mar-24</v>
      </c>
      <c r="G783" s="45" t="str">
        <f>B!$E$13</f>
        <v>Apr-24</v>
      </c>
      <c r="H783" s="45" t="str">
        <f>B!$F$13</f>
        <v>May-24</v>
      </c>
      <c r="I783" s="45" t="str">
        <f>B!$G$13</f>
        <v>Jun-24</v>
      </c>
      <c r="J783" s="45" t="str">
        <f>B!$H$13</f>
        <v>Jul-24</v>
      </c>
      <c r="K783" s="45" t="str">
        <f>B!$I$13</f>
        <v>Aug-24</v>
      </c>
      <c r="L783" s="45" t="s">
        <v>15</v>
      </c>
      <c r="M783" s="31"/>
      <c r="N783" s="31"/>
      <c r="O783" s="31"/>
      <c r="P783" s="31"/>
      <c r="Q783" s="31"/>
    </row>
    <row r="784" spans="1:18" ht="15" customHeight="1" x14ac:dyDescent="0.4">
      <c r="A784" s="32"/>
      <c r="B784" s="34" t="s">
        <v>49</v>
      </c>
      <c r="C784" s="34" t="s">
        <v>50</v>
      </c>
      <c r="D784" s="34"/>
      <c r="E784" s="47" t="s">
        <v>51</v>
      </c>
      <c r="F784" s="48" t="s">
        <v>470</v>
      </c>
      <c r="G784" s="48" t="s">
        <v>471</v>
      </c>
      <c r="H784" s="48" t="s">
        <v>472</v>
      </c>
      <c r="I784" s="48" t="s">
        <v>473</v>
      </c>
      <c r="J784" s="48" t="s">
        <v>55</v>
      </c>
      <c r="K784" s="48" t="s">
        <v>56</v>
      </c>
      <c r="L784" s="48" t="s">
        <v>57</v>
      </c>
      <c r="M784" s="31"/>
      <c r="N784" s="31"/>
      <c r="O784" s="31"/>
      <c r="P784" s="31"/>
      <c r="Q784" s="31"/>
    </row>
    <row r="785" spans="1:17" ht="15" customHeight="1" x14ac:dyDescent="0.4">
      <c r="F785" s="48"/>
      <c r="G785" s="48"/>
      <c r="H785" s="48"/>
      <c r="I785" s="48"/>
      <c r="J785" s="48"/>
      <c r="K785" s="48"/>
      <c r="L785" s="34"/>
      <c r="M785" s="31"/>
      <c r="N785" s="31"/>
      <c r="O785" s="31"/>
      <c r="P785" s="31"/>
      <c r="Q785" s="31"/>
    </row>
    <row r="786" spans="1:17" ht="15" customHeight="1" x14ac:dyDescent="0.35">
      <c r="F786" s="38"/>
      <c r="H786" s="38"/>
      <c r="J786" s="38"/>
      <c r="L786" s="31"/>
      <c r="M786" s="31"/>
      <c r="N786" s="31"/>
      <c r="O786" s="31"/>
      <c r="P786" s="31"/>
      <c r="Q786" s="31"/>
    </row>
    <row r="787" spans="1:17" ht="15" customHeight="1" x14ac:dyDescent="0.35">
      <c r="A787" s="31">
        <v>1</v>
      </c>
      <c r="B787" s="31" t="str">
        <f>B216</f>
        <v>GTR</v>
      </c>
      <c r="C787" s="31" t="str">
        <f>C216</f>
        <v xml:space="preserve">GTS Choice - Residential </v>
      </c>
      <c r="F787" s="38"/>
      <c r="H787" s="38"/>
      <c r="J787" s="38"/>
      <c r="L787" s="31"/>
      <c r="M787" s="31"/>
      <c r="N787" s="31"/>
      <c r="O787" s="31"/>
      <c r="P787" s="31"/>
      <c r="Q787" s="31"/>
    </row>
    <row r="788" spans="1:17" ht="15" customHeight="1" x14ac:dyDescent="0.35">
      <c r="F788" s="38"/>
      <c r="H788" s="38"/>
      <c r="J788" s="38"/>
      <c r="L788" s="31"/>
      <c r="M788" s="31"/>
      <c r="N788" s="31"/>
      <c r="O788" s="31"/>
      <c r="P788" s="31"/>
      <c r="Q788" s="31"/>
    </row>
    <row r="789" spans="1:17" ht="15" customHeight="1" x14ac:dyDescent="0.4">
      <c r="A789" s="31">
        <f>A787+1</f>
        <v>2</v>
      </c>
      <c r="C789" s="35" t="s">
        <v>104</v>
      </c>
      <c r="D789" s="35"/>
      <c r="F789" s="38"/>
      <c r="H789" s="38"/>
      <c r="J789" s="38"/>
      <c r="L789" s="31"/>
      <c r="M789" s="31"/>
      <c r="N789" s="31"/>
      <c r="O789" s="31"/>
      <c r="P789" s="31"/>
      <c r="Q789" s="31"/>
    </row>
    <row r="790" spans="1:17" ht="15" customHeight="1" x14ac:dyDescent="0.4">
      <c r="C790" s="35"/>
      <c r="D790" s="35"/>
      <c r="F790" s="38"/>
      <c r="H790" s="38"/>
      <c r="J790" s="38"/>
      <c r="L790" s="31"/>
      <c r="M790" s="31"/>
      <c r="N790" s="31"/>
      <c r="O790" s="31"/>
      <c r="P790" s="31"/>
      <c r="Q790" s="31"/>
    </row>
    <row r="791" spans="1:17" ht="15" customHeight="1" x14ac:dyDescent="0.35">
      <c r="A791" s="31">
        <f>A789+1</f>
        <v>3</v>
      </c>
      <c r="C791" s="31" t="s">
        <v>161</v>
      </c>
      <c r="F791" s="108">
        <f>B!D194</f>
        <v>11519</v>
      </c>
      <c r="G791" s="108">
        <f>B!E194</f>
        <v>11512</v>
      </c>
      <c r="H791" s="108">
        <f>B!F194</f>
        <v>11520</v>
      </c>
      <c r="I791" s="108">
        <f>B!G194</f>
        <v>11508</v>
      </c>
      <c r="J791" s="108">
        <f>B!H194</f>
        <v>11518</v>
      </c>
      <c r="K791" s="108">
        <f>B!I194</f>
        <v>11525</v>
      </c>
      <c r="L791" s="108">
        <f>SUM(F791:K791)</f>
        <v>69102</v>
      </c>
      <c r="M791" s="31"/>
      <c r="N791" s="31"/>
      <c r="O791" s="31"/>
      <c r="P791" s="31"/>
      <c r="Q791" s="31"/>
    </row>
    <row r="792" spans="1:17" ht="15" customHeight="1" x14ac:dyDescent="0.35">
      <c r="A792" s="31">
        <f>A791+1</f>
        <v>4</v>
      </c>
      <c r="C792" s="31" t="s">
        <v>168</v>
      </c>
      <c r="D792" s="317" t="s">
        <v>28</v>
      </c>
      <c r="E792" s="313">
        <f>Input!H47</f>
        <v>19.75</v>
      </c>
      <c r="F792" s="221">
        <f>ROUND(F791*$E$792,2)</f>
        <v>227500.25</v>
      </c>
      <c r="G792" s="221">
        <f t="shared" ref="G792:K792" si="254">ROUND(G791*$E$792,2)</f>
        <v>227362</v>
      </c>
      <c r="H792" s="221">
        <f t="shared" si="254"/>
        <v>227520</v>
      </c>
      <c r="I792" s="221">
        <f t="shared" si="254"/>
        <v>227283</v>
      </c>
      <c r="J792" s="221">
        <f t="shared" si="254"/>
        <v>227480.5</v>
      </c>
      <c r="K792" s="221">
        <f t="shared" si="254"/>
        <v>227618.75</v>
      </c>
      <c r="L792" s="221">
        <f>SUM(F792:K792)</f>
        <v>1364764.5</v>
      </c>
      <c r="M792" s="31"/>
      <c r="N792" s="31"/>
      <c r="O792" s="31"/>
      <c r="P792" s="31"/>
      <c r="Q792" s="31"/>
    </row>
    <row r="793" spans="1:17" ht="15" customHeight="1" x14ac:dyDescent="0.35">
      <c r="D793" s="50"/>
      <c r="F793" s="38"/>
      <c r="H793" s="38"/>
      <c r="J793" s="38"/>
      <c r="L793" s="31"/>
      <c r="M793" s="31"/>
      <c r="N793" s="31"/>
      <c r="O793" s="31"/>
      <c r="P793" s="31"/>
      <c r="Q793" s="31"/>
    </row>
    <row r="794" spans="1:17" ht="15" customHeight="1" x14ac:dyDescent="0.35">
      <c r="A794" s="31">
        <f>A792+1</f>
        <v>5</v>
      </c>
      <c r="C794" s="31" t="s">
        <v>167</v>
      </c>
      <c r="D794" s="50"/>
      <c r="F794" s="78">
        <f>'C'!D204</f>
        <v>133121.70000000001</v>
      </c>
      <c r="G794" s="78">
        <f>'C'!E204</f>
        <v>80458.100000000006</v>
      </c>
      <c r="H794" s="78">
        <f>'C'!F204</f>
        <v>35511.800000000003</v>
      </c>
      <c r="I794" s="78">
        <f>'C'!G204</f>
        <v>15546.5</v>
      </c>
      <c r="J794" s="78">
        <f>'C'!H204</f>
        <v>9660.6</v>
      </c>
      <c r="K794" s="78">
        <f>'C'!I204</f>
        <v>9985.7000000000007</v>
      </c>
      <c r="L794" s="78">
        <f>SUM(F794:K794)</f>
        <v>284284.40000000002</v>
      </c>
      <c r="M794" s="31"/>
      <c r="N794" s="31"/>
      <c r="O794" s="31"/>
      <c r="P794" s="31"/>
      <c r="Q794" s="31"/>
    </row>
    <row r="795" spans="1:17" ht="15" customHeight="1" x14ac:dyDescent="0.35">
      <c r="A795" s="31">
        <f>A794+1</f>
        <v>6</v>
      </c>
      <c r="C795" s="31" t="s">
        <v>169</v>
      </c>
      <c r="D795" s="52" t="s">
        <v>27</v>
      </c>
      <c r="E795" s="314">
        <f>Input!C47</f>
        <v>5.2527999999999997</v>
      </c>
      <c r="F795" s="357">
        <f t="shared" ref="F795:K795" si="255">ROUND(F794*$E$795,2)</f>
        <v>699261.67</v>
      </c>
      <c r="G795" s="357">
        <f t="shared" si="255"/>
        <v>422630.31</v>
      </c>
      <c r="H795" s="357">
        <f t="shared" si="255"/>
        <v>186536.38</v>
      </c>
      <c r="I795" s="357">
        <f t="shared" si="255"/>
        <v>81662.66</v>
      </c>
      <c r="J795" s="357">
        <f t="shared" si="255"/>
        <v>50745.2</v>
      </c>
      <c r="K795" s="357">
        <f t="shared" si="255"/>
        <v>52452.88</v>
      </c>
      <c r="L795" s="357">
        <f>SUM(F795:K795)</f>
        <v>1493289.0999999996</v>
      </c>
      <c r="M795" s="31"/>
      <c r="N795" s="31"/>
      <c r="O795" s="31"/>
      <c r="P795" s="31"/>
      <c r="Q795" s="31"/>
    </row>
    <row r="796" spans="1:17" ht="15" customHeight="1" x14ac:dyDescent="0.65">
      <c r="C796" s="333"/>
      <c r="D796" s="52"/>
      <c r="E796" s="314"/>
      <c r="F796" s="212"/>
      <c r="G796" s="212"/>
      <c r="H796" s="212"/>
      <c r="I796" s="212"/>
      <c r="J796" s="212"/>
      <c r="K796" s="212"/>
      <c r="L796" s="212"/>
      <c r="M796" s="31"/>
      <c r="N796" s="31"/>
      <c r="O796" s="31"/>
      <c r="P796" s="31"/>
      <c r="Q796" s="31"/>
    </row>
    <row r="797" spans="1:17" ht="15" customHeight="1" x14ac:dyDescent="0.35">
      <c r="A797" s="31">
        <f>A795+1</f>
        <v>7</v>
      </c>
      <c r="C797" s="31" t="s">
        <v>162</v>
      </c>
      <c r="D797" s="50"/>
      <c r="F797" s="221">
        <f>F792+F795</f>
        <v>926761.92</v>
      </c>
      <c r="G797" s="221">
        <f t="shared" ref="G797:K797" si="256">G792+G795</f>
        <v>649992.31000000006</v>
      </c>
      <c r="H797" s="221">
        <f t="shared" si="256"/>
        <v>414056.38</v>
      </c>
      <c r="I797" s="221">
        <f t="shared" si="256"/>
        <v>308945.66000000003</v>
      </c>
      <c r="J797" s="221">
        <f t="shared" si="256"/>
        <v>278225.7</v>
      </c>
      <c r="K797" s="221">
        <f t="shared" si="256"/>
        <v>280071.63</v>
      </c>
      <c r="L797" s="221">
        <f>SUM(F797:K797)</f>
        <v>2858053.6</v>
      </c>
      <c r="M797" s="31"/>
      <c r="N797" s="31"/>
      <c r="O797" s="31"/>
      <c r="P797" s="31"/>
      <c r="Q797" s="31"/>
    </row>
    <row r="798" spans="1:17" ht="15" customHeight="1" x14ac:dyDescent="0.35">
      <c r="D798" s="50"/>
      <c r="F798" s="304"/>
      <c r="G798" s="304"/>
      <c r="H798" s="304"/>
      <c r="I798" s="304"/>
      <c r="J798" s="304"/>
      <c r="K798" s="304"/>
      <c r="L798" s="304"/>
      <c r="M798" s="31"/>
      <c r="N798" s="31"/>
      <c r="O798" s="31"/>
      <c r="P798" s="31"/>
      <c r="Q798" s="31"/>
    </row>
    <row r="799" spans="1:17" ht="15" customHeight="1" x14ac:dyDescent="0.35">
      <c r="A799" s="31">
        <f>A797+1</f>
        <v>8</v>
      </c>
      <c r="C799" s="31" t="s">
        <v>132</v>
      </c>
      <c r="D799" s="31" t="s">
        <v>27</v>
      </c>
      <c r="E799" s="311">
        <v>0</v>
      </c>
      <c r="F799" s="221">
        <v>0</v>
      </c>
      <c r="G799" s="221">
        <v>0</v>
      </c>
      <c r="H799" s="221">
        <v>0</v>
      </c>
      <c r="I799" s="221">
        <v>0</v>
      </c>
      <c r="J799" s="221">
        <v>0</v>
      </c>
      <c r="K799" s="221">
        <v>0</v>
      </c>
      <c r="L799" s="221">
        <f>SUM(F799:K799)</f>
        <v>0</v>
      </c>
      <c r="M799" s="31"/>
      <c r="N799" s="31"/>
      <c r="O799" s="31"/>
      <c r="P799" s="31"/>
      <c r="Q799" s="31"/>
    </row>
    <row r="800" spans="1:17" ht="15" customHeight="1" x14ac:dyDescent="0.35">
      <c r="F800" s="318"/>
      <c r="G800" s="318"/>
      <c r="H800" s="318"/>
      <c r="I800" s="318"/>
      <c r="J800" s="318"/>
      <c r="K800" s="318"/>
      <c r="L800" s="318"/>
      <c r="M800" s="31"/>
      <c r="N800" s="31"/>
      <c r="O800" s="31"/>
      <c r="P800" s="31"/>
      <c r="Q800" s="31"/>
    </row>
    <row r="801" spans="1:17" ht="15" customHeight="1" x14ac:dyDescent="0.35">
      <c r="A801" s="31">
        <f>A799+1</f>
        <v>9</v>
      </c>
      <c r="C801" s="31" t="s">
        <v>164</v>
      </c>
      <c r="F801" s="221">
        <f>F797+F799</f>
        <v>926761.92</v>
      </c>
      <c r="G801" s="221">
        <f t="shared" ref="G801:I801" si="257">G797+G799</f>
        <v>649992.31000000006</v>
      </c>
      <c r="H801" s="221">
        <f t="shared" si="257"/>
        <v>414056.38</v>
      </c>
      <c r="I801" s="221">
        <f t="shared" si="257"/>
        <v>308945.66000000003</v>
      </c>
      <c r="J801" s="221">
        <f>J797+J799</f>
        <v>278225.7</v>
      </c>
      <c r="K801" s="221">
        <f>K797+K799</f>
        <v>280071.63</v>
      </c>
      <c r="L801" s="221">
        <f>SUM(F801:K801)</f>
        <v>2858053.6</v>
      </c>
      <c r="M801" s="31"/>
      <c r="N801" s="31"/>
      <c r="O801" s="31"/>
      <c r="P801" s="31"/>
      <c r="Q801" s="31"/>
    </row>
    <row r="802" spans="1:17" ht="15" customHeight="1" x14ac:dyDescent="0.35">
      <c r="F802" s="304"/>
      <c r="G802" s="304"/>
      <c r="H802" s="304"/>
      <c r="I802" s="304"/>
      <c r="J802" s="304"/>
      <c r="K802" s="304"/>
      <c r="L802" s="304"/>
      <c r="M802" s="31"/>
      <c r="N802" s="31"/>
      <c r="O802" s="31"/>
      <c r="P802" s="31"/>
      <c r="Q802" s="31"/>
    </row>
    <row r="803" spans="1:17" ht="15" customHeight="1" x14ac:dyDescent="0.35">
      <c r="A803" s="31">
        <f>A801+1</f>
        <v>10</v>
      </c>
      <c r="C803" s="31" t="s">
        <v>156</v>
      </c>
      <c r="F803" s="304"/>
      <c r="G803" s="304"/>
      <c r="H803" s="304"/>
      <c r="I803" s="304"/>
      <c r="J803" s="304"/>
      <c r="K803" s="304"/>
      <c r="L803" s="304"/>
      <c r="M803" s="31"/>
      <c r="N803" s="31"/>
      <c r="O803" s="31"/>
      <c r="P803" s="31"/>
      <c r="Q803" s="31"/>
    </row>
    <row r="804" spans="1:17" ht="15" customHeight="1" x14ac:dyDescent="0.35">
      <c r="A804" s="31">
        <f>A803+1</f>
        <v>11</v>
      </c>
      <c r="C804" s="31" t="s">
        <v>170</v>
      </c>
      <c r="D804" s="50" t="s">
        <v>28</v>
      </c>
      <c r="E804" s="313"/>
      <c r="F804" s="221">
        <f>ROUND(F791*Input!$L$47,2)</f>
        <v>921.52</v>
      </c>
      <c r="G804" s="221">
        <f>ROUND(G791*Input!$L$47,2)</f>
        <v>920.96</v>
      </c>
      <c r="H804" s="221">
        <f>ROUND(H791*Input!$L$47,2)</f>
        <v>921.6</v>
      </c>
      <c r="I804" s="221">
        <f>ROUND(I791*Input!$L$47,2)</f>
        <v>920.64</v>
      </c>
      <c r="J804" s="221">
        <f>ROUND(J791*Input!$L$47,2)</f>
        <v>921.44</v>
      </c>
      <c r="K804" s="221">
        <f>ROUND(K791*Input!$L$47,2)</f>
        <v>922</v>
      </c>
      <c r="L804" s="221">
        <f>SUM(F804:K804)</f>
        <v>5528.16</v>
      </c>
      <c r="M804" s="31"/>
      <c r="N804" s="31"/>
      <c r="O804" s="31"/>
      <c r="P804" s="31"/>
      <c r="Q804" s="31"/>
    </row>
    <row r="805" spans="1:17" ht="15" customHeight="1" x14ac:dyDescent="0.35">
      <c r="A805" s="31">
        <f>A804+1</f>
        <v>12</v>
      </c>
      <c r="C805" s="31" t="s">
        <v>172</v>
      </c>
      <c r="D805" s="52" t="s">
        <v>28</v>
      </c>
      <c r="E805" s="311"/>
      <c r="F805" s="51">
        <f>ROUND(F791*Input!$M$47,2)</f>
        <v>3455.7</v>
      </c>
      <c r="G805" s="51">
        <f>ROUND(G791*Input!$M$47,2)</f>
        <v>3453.6</v>
      </c>
      <c r="H805" s="51">
        <f>ROUND(H791*Input!$M$47,2)</f>
        <v>3456</v>
      </c>
      <c r="I805" s="51">
        <f>ROUND(I791*Input!$M$47,2)</f>
        <v>3452.4</v>
      </c>
      <c r="J805" s="51">
        <f>ROUND(J791*Input!$M$47,2)</f>
        <v>3455.4</v>
      </c>
      <c r="K805" s="51">
        <f>ROUND(K791*Input!$M$47,2)</f>
        <v>3457.5</v>
      </c>
      <c r="L805" s="51">
        <f>SUM(F805:K805)</f>
        <v>20730.599999999999</v>
      </c>
      <c r="M805" s="31"/>
      <c r="N805" s="31"/>
      <c r="O805" s="31"/>
      <c r="P805" s="31"/>
      <c r="Q805" s="31"/>
    </row>
    <row r="806" spans="1:17" ht="15" customHeight="1" x14ac:dyDescent="0.35">
      <c r="A806" s="31">
        <f>A805+1</f>
        <v>13</v>
      </c>
      <c r="C806" s="31" t="s">
        <v>173</v>
      </c>
      <c r="F806" s="221">
        <f t="shared" ref="F806:K806" si="258">SUM(F804:F805)</f>
        <v>4377.2199999999993</v>
      </c>
      <c r="G806" s="221">
        <f t="shared" si="258"/>
        <v>4374.5599999999995</v>
      </c>
      <c r="H806" s="221">
        <f t="shared" si="258"/>
        <v>4377.6000000000004</v>
      </c>
      <c r="I806" s="221">
        <f t="shared" si="258"/>
        <v>4373.04</v>
      </c>
      <c r="J806" s="221">
        <f t="shared" si="258"/>
        <v>4376.84</v>
      </c>
      <c r="K806" s="221">
        <f t="shared" si="258"/>
        <v>4379.5</v>
      </c>
      <c r="L806" s="221">
        <f>SUM(F806:K806)</f>
        <v>26258.76</v>
      </c>
      <c r="M806" s="31"/>
      <c r="N806" s="31"/>
      <c r="O806" s="31"/>
      <c r="P806" s="31"/>
      <c r="Q806" s="31"/>
    </row>
    <row r="807" spans="1:17" ht="15" customHeight="1" x14ac:dyDescent="0.35">
      <c r="F807" s="38"/>
      <c r="H807" s="38"/>
      <c r="J807" s="38"/>
      <c r="L807" s="31"/>
      <c r="M807" s="31"/>
      <c r="N807" s="31"/>
      <c r="O807" s="31"/>
      <c r="P807" s="31"/>
      <c r="Q807" s="31"/>
    </row>
    <row r="808" spans="1:17" ht="15" customHeight="1" x14ac:dyDescent="0.35">
      <c r="A808" s="31">
        <f>A806+1</f>
        <v>14</v>
      </c>
      <c r="C808" s="36" t="s">
        <v>163</v>
      </c>
      <c r="D808" s="50"/>
      <c r="E808" s="56"/>
      <c r="F808" s="221">
        <f t="shared" ref="F808:K808" si="259">F801+F806</f>
        <v>931139.14</v>
      </c>
      <c r="G808" s="221">
        <f t="shared" si="259"/>
        <v>654366.87000000011</v>
      </c>
      <c r="H808" s="221">
        <f t="shared" si="259"/>
        <v>418433.98</v>
      </c>
      <c r="I808" s="221">
        <f t="shared" si="259"/>
        <v>313318.7</v>
      </c>
      <c r="J808" s="221">
        <f t="shared" si="259"/>
        <v>282602.54000000004</v>
      </c>
      <c r="K808" s="221">
        <f t="shared" si="259"/>
        <v>284451.13</v>
      </c>
      <c r="L808" s="221">
        <f>SUM(F808:K808)</f>
        <v>2884312.3600000003</v>
      </c>
      <c r="M808" s="31"/>
      <c r="N808" s="31"/>
      <c r="O808" s="31"/>
      <c r="P808" s="31"/>
      <c r="Q808" s="31"/>
    </row>
    <row r="809" spans="1:17" ht="15" customHeight="1" x14ac:dyDescent="0.35">
      <c r="F809" s="38"/>
      <c r="H809" s="38"/>
      <c r="J809" s="38"/>
      <c r="L809" s="31"/>
      <c r="M809" s="31"/>
      <c r="N809" s="31"/>
      <c r="O809" s="31"/>
      <c r="P809" s="31"/>
      <c r="Q809" s="31"/>
    </row>
    <row r="810" spans="1:17" ht="15" customHeight="1" x14ac:dyDescent="0.35">
      <c r="A810" s="31">
        <f>A808+1</f>
        <v>15</v>
      </c>
      <c r="B810" s="31" t="str">
        <f>B223</f>
        <v>GTO</v>
      </c>
      <c r="C810" s="31" t="str">
        <f>C223</f>
        <v>GTS Choice - Commercial</v>
      </c>
      <c r="F810" s="38"/>
      <c r="H810" s="38"/>
      <c r="J810" s="38"/>
      <c r="L810" s="31"/>
      <c r="M810" s="31"/>
      <c r="N810" s="31"/>
      <c r="O810" s="31"/>
      <c r="P810" s="31"/>
      <c r="Q810" s="31"/>
    </row>
    <row r="811" spans="1:17" ht="15" customHeight="1" x14ac:dyDescent="0.35">
      <c r="F811" s="38"/>
      <c r="H811" s="38"/>
      <c r="J811" s="38"/>
      <c r="L811" s="31"/>
      <c r="M811" s="31"/>
      <c r="N811" s="31"/>
      <c r="O811" s="31"/>
      <c r="P811" s="31"/>
      <c r="Q811" s="31"/>
    </row>
    <row r="812" spans="1:17" ht="15" customHeight="1" x14ac:dyDescent="0.4">
      <c r="A812" s="31">
        <f>A810+1</f>
        <v>16</v>
      </c>
      <c r="C812" s="35" t="s">
        <v>105</v>
      </c>
      <c r="D812" s="35"/>
      <c r="F812" s="38"/>
      <c r="H812" s="38"/>
      <c r="J812" s="38"/>
      <c r="L812" s="31"/>
      <c r="M812" s="31"/>
      <c r="N812" s="31"/>
      <c r="O812" s="31"/>
      <c r="P812" s="31"/>
      <c r="Q812" s="31"/>
    </row>
    <row r="813" spans="1:17" ht="15" customHeight="1" x14ac:dyDescent="0.4">
      <c r="C813" s="35"/>
      <c r="D813" s="35"/>
      <c r="F813" s="38"/>
      <c r="H813" s="38"/>
      <c r="J813" s="38"/>
      <c r="L813" s="31"/>
      <c r="M813" s="31"/>
      <c r="N813" s="31"/>
      <c r="O813" s="31"/>
      <c r="P813" s="31"/>
      <c r="Q813" s="31"/>
    </row>
    <row r="814" spans="1:17" ht="15" customHeight="1" x14ac:dyDescent="0.35">
      <c r="A814" s="31">
        <f>A812+1</f>
        <v>17</v>
      </c>
      <c r="C814" s="31" t="s">
        <v>161</v>
      </c>
      <c r="F814" s="108">
        <f>B!D200</f>
        <v>1862</v>
      </c>
      <c r="G814" s="108">
        <f>B!E200</f>
        <v>1862</v>
      </c>
      <c r="H814" s="108">
        <f>B!F200</f>
        <v>1863</v>
      </c>
      <c r="I814" s="108">
        <f>B!G200</f>
        <v>1864</v>
      </c>
      <c r="J814" s="108">
        <f>B!H200</f>
        <v>1863</v>
      </c>
      <c r="K814" s="108">
        <f>B!I200</f>
        <v>1865</v>
      </c>
      <c r="L814" s="108">
        <f>SUM(F814:K814)</f>
        <v>11179</v>
      </c>
      <c r="M814" s="31"/>
      <c r="N814" s="31"/>
      <c r="O814" s="31"/>
      <c r="P814" s="31"/>
      <c r="Q814" s="31"/>
    </row>
    <row r="815" spans="1:17" ht="15" customHeight="1" x14ac:dyDescent="0.35">
      <c r="A815" s="31">
        <f>A814+1</f>
        <v>18</v>
      </c>
      <c r="C815" s="31" t="s">
        <v>168</v>
      </c>
      <c r="D815" s="31" t="s">
        <v>28</v>
      </c>
      <c r="E815" s="313">
        <f>Input!H48</f>
        <v>83.71</v>
      </c>
      <c r="F815" s="221">
        <f t="shared" ref="F815:K815" si="260">ROUND(F814*$E$815,2)</f>
        <v>155868.01999999999</v>
      </c>
      <c r="G815" s="221">
        <f t="shared" si="260"/>
        <v>155868.01999999999</v>
      </c>
      <c r="H815" s="221">
        <f t="shared" si="260"/>
        <v>155951.73000000001</v>
      </c>
      <c r="I815" s="221">
        <f t="shared" si="260"/>
        <v>156035.44</v>
      </c>
      <c r="J815" s="221">
        <f t="shared" si="260"/>
        <v>155951.73000000001</v>
      </c>
      <c r="K815" s="221">
        <f t="shared" si="260"/>
        <v>156119.15</v>
      </c>
      <c r="L815" s="221">
        <f>SUM(F815:K815)</f>
        <v>935794.09</v>
      </c>
      <c r="M815" s="31"/>
      <c r="N815" s="31"/>
      <c r="O815" s="31"/>
      <c r="P815" s="31"/>
      <c r="Q815" s="31"/>
    </row>
    <row r="816" spans="1:17" ht="15" customHeight="1" x14ac:dyDescent="0.35">
      <c r="F816" s="38"/>
      <c r="H816" s="38"/>
      <c r="J816" s="38"/>
      <c r="L816" s="31"/>
      <c r="M816" s="31"/>
      <c r="N816" s="31"/>
      <c r="O816" s="31"/>
      <c r="P816" s="31"/>
      <c r="Q816" s="31"/>
    </row>
    <row r="817" spans="1:17" ht="15" customHeight="1" x14ac:dyDescent="0.35">
      <c r="A817" s="31">
        <f>A815+1</f>
        <v>19</v>
      </c>
      <c r="C817" s="31" t="s">
        <v>167</v>
      </c>
      <c r="F817" s="38"/>
      <c r="H817" s="38"/>
      <c r="J817" s="38"/>
      <c r="L817" s="31"/>
      <c r="M817" s="31"/>
      <c r="N817" s="31"/>
      <c r="O817" s="31"/>
      <c r="P817" s="31"/>
      <c r="Q817" s="31"/>
    </row>
    <row r="818" spans="1:17" ht="15" customHeight="1" x14ac:dyDescent="0.35">
      <c r="A818" s="31">
        <f>A817+1</f>
        <v>20</v>
      </c>
      <c r="C818" s="31" t="str">
        <f>'C'!B208</f>
        <v xml:space="preserve">    First 50 Mcf</v>
      </c>
      <c r="F818" s="78">
        <f>'C'!D220</f>
        <v>52868.7</v>
      </c>
      <c r="G818" s="78">
        <f>'C'!E220</f>
        <v>39204.199999999997</v>
      </c>
      <c r="H818" s="78">
        <f>'C'!F220</f>
        <v>26086.400000000001</v>
      </c>
      <c r="I818" s="78">
        <f>'C'!G220</f>
        <v>16554.3</v>
      </c>
      <c r="J818" s="78">
        <f>'C'!H220</f>
        <v>14893.5</v>
      </c>
      <c r="K818" s="78">
        <f>'C'!I220</f>
        <v>14039</v>
      </c>
      <c r="L818" s="78">
        <f>SUM(F818:K818)</f>
        <v>163646.09999999998</v>
      </c>
      <c r="M818" s="31"/>
      <c r="N818" s="31"/>
      <c r="O818" s="31"/>
      <c r="P818" s="31"/>
      <c r="Q818" s="31"/>
    </row>
    <row r="819" spans="1:17" ht="15" customHeight="1" x14ac:dyDescent="0.35">
      <c r="A819" s="31">
        <f>A818+1</f>
        <v>21</v>
      </c>
      <c r="C819" s="31" t="str">
        <f>'C'!B209</f>
        <v xml:space="preserve">    Next 350 Mcf</v>
      </c>
      <c r="F819" s="78">
        <f>'C'!D221</f>
        <v>64778.5</v>
      </c>
      <c r="G819" s="78">
        <f>'C'!E221</f>
        <v>39268.6</v>
      </c>
      <c r="H819" s="78">
        <f>'C'!F221</f>
        <v>22193.4</v>
      </c>
      <c r="I819" s="78">
        <f>'C'!G221</f>
        <v>15220</v>
      </c>
      <c r="J819" s="78">
        <f>'C'!H221</f>
        <v>12935.7</v>
      </c>
      <c r="K819" s="78">
        <f>'C'!I221</f>
        <v>12415.3</v>
      </c>
      <c r="L819" s="78">
        <f>SUM(F819:K819)</f>
        <v>166811.5</v>
      </c>
      <c r="M819" s="31"/>
      <c r="N819" s="31"/>
      <c r="O819" s="31"/>
      <c r="P819" s="31"/>
      <c r="Q819" s="31"/>
    </row>
    <row r="820" spans="1:17" ht="15" customHeight="1" x14ac:dyDescent="0.35">
      <c r="A820" s="31">
        <f>A819+1</f>
        <v>22</v>
      </c>
      <c r="C820" s="31" t="str">
        <f>'C'!B210</f>
        <v xml:space="preserve">    Next 600 Mcf</v>
      </c>
      <c r="F820" s="78">
        <f>'C'!D222</f>
        <v>16225.5</v>
      </c>
      <c r="G820" s="78">
        <f>'C'!E222</f>
        <v>8912.6</v>
      </c>
      <c r="H820" s="78">
        <f>'C'!F222</f>
        <v>5291.9</v>
      </c>
      <c r="I820" s="78">
        <f>'C'!G222</f>
        <v>4909.6000000000004</v>
      </c>
      <c r="J820" s="78">
        <f>'C'!H222</f>
        <v>4454.6000000000004</v>
      </c>
      <c r="K820" s="78">
        <f>'C'!I222</f>
        <v>4369</v>
      </c>
      <c r="L820" s="78">
        <f>SUM(F820:K820)</f>
        <v>44163.199999999997</v>
      </c>
      <c r="M820" s="31"/>
      <c r="N820" s="31"/>
      <c r="O820" s="31"/>
      <c r="P820" s="31"/>
      <c r="Q820" s="31"/>
    </row>
    <row r="821" spans="1:17" ht="15" customHeight="1" x14ac:dyDescent="0.35">
      <c r="A821" s="31">
        <f>A820+1</f>
        <v>23</v>
      </c>
      <c r="C821" s="31" t="str">
        <f>'C'!B211</f>
        <v xml:space="preserve">    Over 1,000 Mcf</v>
      </c>
      <c r="E821" s="51"/>
      <c r="F821" s="61">
        <f>'C'!D223</f>
        <v>5893.3</v>
      </c>
      <c r="G821" s="61">
        <f>'C'!E223</f>
        <v>2237.1999999999998</v>
      </c>
      <c r="H821" s="61">
        <f>'C'!F223</f>
        <v>1253.9000000000001</v>
      </c>
      <c r="I821" s="61">
        <f>'C'!G223</f>
        <v>1243.2</v>
      </c>
      <c r="J821" s="61">
        <f>'C'!H223</f>
        <v>658.2</v>
      </c>
      <c r="K821" s="61">
        <f>'C'!I223</f>
        <v>658.8</v>
      </c>
      <c r="L821" s="61">
        <f>SUM(F821:K821)</f>
        <v>11944.6</v>
      </c>
      <c r="M821" s="31"/>
      <c r="N821" s="31"/>
      <c r="O821" s="31"/>
      <c r="P821" s="31"/>
      <c r="Q821" s="31"/>
    </row>
    <row r="822" spans="1:17" ht="15" customHeight="1" x14ac:dyDescent="0.35">
      <c r="E822" s="51"/>
      <c r="F822" s="78">
        <f t="shared" ref="F822:J822" si="261">SUM(F818:F821)</f>
        <v>139766</v>
      </c>
      <c r="G822" s="78">
        <f t="shared" si="261"/>
        <v>89622.599999999991</v>
      </c>
      <c r="H822" s="78">
        <f t="shared" si="261"/>
        <v>54825.600000000006</v>
      </c>
      <c r="I822" s="78">
        <f t="shared" si="261"/>
        <v>37927.1</v>
      </c>
      <c r="J822" s="78">
        <f t="shared" si="261"/>
        <v>32942</v>
      </c>
      <c r="K822" s="78">
        <f>SUM(K818:K821)</f>
        <v>31482.1</v>
      </c>
      <c r="L822" s="78">
        <f>SUM(F822:K822)</f>
        <v>386565.39999999991</v>
      </c>
      <c r="M822" s="31"/>
      <c r="N822" s="31"/>
      <c r="O822" s="31"/>
      <c r="P822" s="31"/>
      <c r="Q822" s="31"/>
    </row>
    <row r="823" spans="1:17" ht="15" customHeight="1" x14ac:dyDescent="0.35">
      <c r="A823" s="31">
        <f>A821+1</f>
        <v>24</v>
      </c>
      <c r="C823" s="31" t="s">
        <v>165</v>
      </c>
      <c r="E823" s="51"/>
      <c r="F823" s="38"/>
      <c r="H823" s="38"/>
      <c r="J823" s="38"/>
      <c r="L823" s="312"/>
      <c r="M823" s="31"/>
      <c r="N823" s="31"/>
      <c r="O823" s="31"/>
      <c r="P823" s="31"/>
      <c r="Q823" s="31"/>
    </row>
    <row r="824" spans="1:17" ht="15" customHeight="1" x14ac:dyDescent="0.35">
      <c r="A824" s="31">
        <f>A823+1</f>
        <v>25</v>
      </c>
      <c r="C824" s="31" t="str">
        <f>C818</f>
        <v xml:space="preserve">    First 50 Mcf</v>
      </c>
      <c r="D824" s="300" t="s">
        <v>27</v>
      </c>
      <c r="E824" s="311">
        <f>Input!C48</f>
        <v>3.2513000000000001</v>
      </c>
      <c r="F824" s="221">
        <f t="shared" ref="F824:K824" si="262">ROUND(F818*$E$824,2)</f>
        <v>171892</v>
      </c>
      <c r="G824" s="221">
        <f t="shared" si="262"/>
        <v>127464.62</v>
      </c>
      <c r="H824" s="221">
        <f t="shared" si="262"/>
        <v>84814.71</v>
      </c>
      <c r="I824" s="221">
        <f t="shared" si="262"/>
        <v>53823</v>
      </c>
      <c r="J824" s="221">
        <f t="shared" si="262"/>
        <v>48423.24</v>
      </c>
      <c r="K824" s="221">
        <f t="shared" si="262"/>
        <v>45645</v>
      </c>
      <c r="L824" s="221">
        <f t="shared" ref="L824:L828" si="263">SUM(F824:K824)</f>
        <v>532062.57000000007</v>
      </c>
      <c r="M824" s="31"/>
      <c r="N824" s="31"/>
      <c r="O824" s="31"/>
      <c r="P824" s="31"/>
      <c r="Q824" s="31"/>
    </row>
    <row r="825" spans="1:17" ht="15" customHeight="1" x14ac:dyDescent="0.35">
      <c r="A825" s="31">
        <f>A824+1</f>
        <v>26</v>
      </c>
      <c r="C825" s="31" t="str">
        <f>C819</f>
        <v xml:space="preserve">    Next 350 Mcf</v>
      </c>
      <c r="D825" s="300" t="s">
        <v>27</v>
      </c>
      <c r="E825" s="31">
        <f>Input!D48</f>
        <v>2.5095999999999998</v>
      </c>
      <c r="F825" s="108">
        <f t="shared" ref="F825:K825" si="264">ROUND(F819*$E$825,2)</f>
        <v>162568.12</v>
      </c>
      <c r="G825" s="108">
        <f t="shared" si="264"/>
        <v>98548.479999999996</v>
      </c>
      <c r="H825" s="108">
        <f t="shared" si="264"/>
        <v>55696.56</v>
      </c>
      <c r="I825" s="108">
        <f t="shared" si="264"/>
        <v>38196.11</v>
      </c>
      <c r="J825" s="108">
        <f t="shared" si="264"/>
        <v>32463.43</v>
      </c>
      <c r="K825" s="108">
        <f t="shared" si="264"/>
        <v>31157.439999999999</v>
      </c>
      <c r="L825" s="108">
        <f t="shared" si="263"/>
        <v>418630.13999999996</v>
      </c>
      <c r="M825" s="31"/>
      <c r="N825" s="31"/>
      <c r="O825" s="31"/>
      <c r="P825" s="31"/>
      <c r="Q825" s="31"/>
    </row>
    <row r="826" spans="1:17" ht="15" customHeight="1" x14ac:dyDescent="0.35">
      <c r="A826" s="31">
        <f>A825+1</f>
        <v>27</v>
      </c>
      <c r="C826" s="31" t="str">
        <f>C820</f>
        <v xml:space="preserve">    Next 600 Mcf</v>
      </c>
      <c r="D826" s="300" t="s">
        <v>27</v>
      </c>
      <c r="E826" s="31">
        <f>Input!E48</f>
        <v>2.3855</v>
      </c>
      <c r="F826" s="108">
        <f t="shared" ref="F826:K826" si="265">ROUND(F820*$E$826,2)</f>
        <v>38705.93</v>
      </c>
      <c r="G826" s="108">
        <f t="shared" si="265"/>
        <v>21261.01</v>
      </c>
      <c r="H826" s="108">
        <f t="shared" si="265"/>
        <v>12623.83</v>
      </c>
      <c r="I826" s="108">
        <f t="shared" si="265"/>
        <v>11711.85</v>
      </c>
      <c r="J826" s="108">
        <f t="shared" si="265"/>
        <v>10626.45</v>
      </c>
      <c r="K826" s="108">
        <f t="shared" si="265"/>
        <v>10422.25</v>
      </c>
      <c r="L826" s="108">
        <f t="shared" si="263"/>
        <v>105351.32</v>
      </c>
      <c r="M826" s="31"/>
      <c r="N826" s="31"/>
      <c r="O826" s="31"/>
      <c r="P826" s="31"/>
      <c r="Q826" s="31"/>
    </row>
    <row r="827" spans="1:17" ht="15" customHeight="1" x14ac:dyDescent="0.35">
      <c r="A827" s="31">
        <f>A826+1</f>
        <v>28</v>
      </c>
      <c r="C827" s="31" t="str">
        <f>C821</f>
        <v xml:space="preserve">    Over 1,000 Mcf</v>
      </c>
      <c r="D827" s="300" t="s">
        <v>27</v>
      </c>
      <c r="E827" s="31">
        <f>Input!F48</f>
        <v>2.17</v>
      </c>
      <c r="F827" s="316">
        <f t="shared" ref="F827:K827" si="266">ROUND(F821*$E$827,2)</f>
        <v>12788.46</v>
      </c>
      <c r="G827" s="316">
        <f t="shared" si="266"/>
        <v>4854.72</v>
      </c>
      <c r="H827" s="316">
        <f t="shared" si="266"/>
        <v>2720.96</v>
      </c>
      <c r="I827" s="316">
        <f t="shared" si="266"/>
        <v>2697.74</v>
      </c>
      <c r="J827" s="316">
        <f t="shared" si="266"/>
        <v>1428.29</v>
      </c>
      <c r="K827" s="316">
        <f t="shared" si="266"/>
        <v>1429.6</v>
      </c>
      <c r="L827" s="316">
        <f t="shared" si="263"/>
        <v>25919.769999999997</v>
      </c>
      <c r="M827" s="31"/>
      <c r="N827" s="31"/>
      <c r="O827" s="31"/>
      <c r="P827" s="31"/>
      <c r="Q827" s="31"/>
    </row>
    <row r="828" spans="1:17" ht="15" customHeight="1" x14ac:dyDescent="0.35">
      <c r="F828" s="221">
        <f t="shared" ref="F828:J828" si="267">SUM(F824:F827)</f>
        <v>385954.51</v>
      </c>
      <c r="G828" s="221">
        <f t="shared" si="267"/>
        <v>252128.83</v>
      </c>
      <c r="H828" s="221">
        <f t="shared" si="267"/>
        <v>155856.06</v>
      </c>
      <c r="I828" s="221">
        <f t="shared" si="267"/>
        <v>106428.70000000001</v>
      </c>
      <c r="J828" s="221">
        <f t="shared" si="267"/>
        <v>92941.409999999989</v>
      </c>
      <c r="K828" s="221">
        <f>SUM(K824:K827)</f>
        <v>88654.290000000008</v>
      </c>
      <c r="L828" s="221">
        <f t="shared" si="263"/>
        <v>1081963.7999999998</v>
      </c>
      <c r="M828" s="31"/>
      <c r="N828" s="31"/>
      <c r="O828" s="31"/>
      <c r="P828" s="31"/>
      <c r="Q828" s="31"/>
    </row>
    <row r="829" spans="1:17" ht="15" customHeight="1" x14ac:dyDescent="0.65">
      <c r="C829" s="333"/>
      <c r="D829" s="52"/>
      <c r="E829" s="314"/>
      <c r="F829" s="212"/>
      <c r="G829" s="212"/>
      <c r="H829" s="212"/>
      <c r="I829" s="212"/>
      <c r="J829" s="212"/>
      <c r="K829" s="212"/>
      <c r="L829" s="212"/>
      <c r="M829" s="31"/>
      <c r="N829" s="31"/>
      <c r="O829" s="31"/>
      <c r="P829" s="31"/>
      <c r="Q829" s="31"/>
    </row>
    <row r="830" spans="1:17" ht="15" customHeight="1" x14ac:dyDescent="0.35">
      <c r="A830" s="31">
        <f>A827+1</f>
        <v>29</v>
      </c>
      <c r="C830" s="31" t="s">
        <v>162</v>
      </c>
      <c r="F830" s="221">
        <f>F815+F828</f>
        <v>541822.53</v>
      </c>
      <c r="G830" s="221">
        <f t="shared" ref="G830:K830" si="268">G815+G828</f>
        <v>407996.85</v>
      </c>
      <c r="H830" s="221">
        <f t="shared" si="268"/>
        <v>311807.79000000004</v>
      </c>
      <c r="I830" s="221">
        <f t="shared" si="268"/>
        <v>262464.14</v>
      </c>
      <c r="J830" s="221">
        <f t="shared" si="268"/>
        <v>248893.14</v>
      </c>
      <c r="K830" s="221">
        <f t="shared" si="268"/>
        <v>244773.44</v>
      </c>
      <c r="L830" s="221">
        <f>SUM(F830:K830)</f>
        <v>2017757.8900000001</v>
      </c>
      <c r="M830" s="31"/>
      <c r="N830" s="31"/>
      <c r="O830" s="31"/>
      <c r="P830" s="31"/>
      <c r="Q830" s="31"/>
    </row>
    <row r="831" spans="1:17" ht="15" customHeight="1" x14ac:dyDescent="0.35">
      <c r="E831" s="31"/>
      <c r="F831" s="304"/>
      <c r="G831" s="304"/>
      <c r="H831" s="304"/>
      <c r="I831" s="304"/>
      <c r="J831" s="304"/>
      <c r="K831" s="304"/>
      <c r="L831" s="304"/>
      <c r="M831" s="31"/>
      <c r="N831" s="31"/>
      <c r="O831" s="31"/>
      <c r="P831" s="31"/>
      <c r="Q831" s="31"/>
    </row>
    <row r="832" spans="1:17" ht="15" customHeight="1" x14ac:dyDescent="0.35">
      <c r="A832" s="31">
        <f>A830+1</f>
        <v>30</v>
      </c>
      <c r="C832" s="31" t="s">
        <v>132</v>
      </c>
      <c r="D832" s="31" t="s">
        <v>27</v>
      </c>
      <c r="E832" s="311">
        <v>0</v>
      </c>
      <c r="F832" s="221">
        <v>0</v>
      </c>
      <c r="G832" s="221">
        <v>0</v>
      </c>
      <c r="H832" s="221">
        <v>0</v>
      </c>
      <c r="I832" s="221">
        <v>0</v>
      </c>
      <c r="J832" s="221">
        <v>0</v>
      </c>
      <c r="K832" s="221">
        <v>0</v>
      </c>
      <c r="L832" s="221">
        <f>SUM(F832:K832)</f>
        <v>0</v>
      </c>
      <c r="M832" s="31"/>
      <c r="N832" s="31"/>
      <c r="O832" s="31"/>
      <c r="P832" s="31"/>
      <c r="Q832" s="31"/>
    </row>
    <row r="833" spans="1:18" ht="15" customHeight="1" x14ac:dyDescent="0.35">
      <c r="F833" s="38"/>
      <c r="H833" s="38"/>
      <c r="J833" s="38"/>
      <c r="L833" s="39"/>
      <c r="M833" s="31"/>
      <c r="N833" s="31"/>
      <c r="O833" s="31"/>
      <c r="P833" s="31"/>
      <c r="Q833" s="31"/>
    </row>
    <row r="834" spans="1:18" ht="15" customHeight="1" x14ac:dyDescent="0.35">
      <c r="A834" s="31">
        <f>A832+1</f>
        <v>31</v>
      </c>
      <c r="C834" s="36" t="s">
        <v>163</v>
      </c>
      <c r="D834" s="50"/>
      <c r="E834" s="56"/>
      <c r="F834" s="221">
        <f t="shared" ref="F834:J834" si="269">F830+F832</f>
        <v>541822.53</v>
      </c>
      <c r="G834" s="221">
        <f t="shared" si="269"/>
        <v>407996.85</v>
      </c>
      <c r="H834" s="221">
        <f>H830+H832</f>
        <v>311807.79000000004</v>
      </c>
      <c r="I834" s="221">
        <f t="shared" si="269"/>
        <v>262464.14</v>
      </c>
      <c r="J834" s="221">
        <f t="shared" si="269"/>
        <v>248893.14</v>
      </c>
      <c r="K834" s="221">
        <f>K830+K832</f>
        <v>244773.44</v>
      </c>
      <c r="L834" s="221">
        <f>SUM(F834:K834)</f>
        <v>2017757.8900000001</v>
      </c>
      <c r="M834" s="31"/>
      <c r="N834" s="31"/>
      <c r="O834" s="31"/>
      <c r="P834" s="31"/>
      <c r="Q834" s="31"/>
    </row>
    <row r="835" spans="1:18" ht="15" customHeight="1" x14ac:dyDescent="0.35">
      <c r="R835" s="39"/>
    </row>
    <row r="836" spans="1:18" ht="15" customHeight="1" x14ac:dyDescent="0.35">
      <c r="A836" s="31">
        <f>A834+1</f>
        <v>32</v>
      </c>
      <c r="B836" s="31" t="str">
        <f>B230</f>
        <v>GTO</v>
      </c>
      <c r="C836" s="31" t="str">
        <f>C230</f>
        <v>GTS Choice - Industrial</v>
      </c>
      <c r="F836" s="38"/>
      <c r="H836" s="38"/>
      <c r="J836" s="38"/>
      <c r="L836" s="31"/>
      <c r="M836" s="31"/>
      <c r="N836" s="31"/>
      <c r="O836" s="31"/>
      <c r="P836" s="31"/>
      <c r="Q836" s="31"/>
    </row>
    <row r="837" spans="1:18" ht="15" customHeight="1" x14ac:dyDescent="0.35">
      <c r="F837" s="38"/>
      <c r="H837" s="38"/>
      <c r="J837" s="38"/>
      <c r="L837" s="31"/>
      <c r="M837" s="31"/>
      <c r="N837" s="31"/>
      <c r="O837" s="31"/>
      <c r="P837" s="31"/>
      <c r="Q837" s="31"/>
    </row>
    <row r="838" spans="1:18" ht="15" customHeight="1" x14ac:dyDescent="0.4">
      <c r="A838" s="31">
        <f>A836+1</f>
        <v>33</v>
      </c>
      <c r="C838" s="35" t="s">
        <v>106</v>
      </c>
      <c r="D838" s="35"/>
      <c r="F838" s="38"/>
      <c r="H838" s="38"/>
      <c r="J838" s="38"/>
      <c r="L838" s="31"/>
      <c r="M838" s="31"/>
      <c r="N838" s="31"/>
      <c r="O838" s="31"/>
      <c r="P838" s="31"/>
      <c r="Q838" s="31"/>
    </row>
    <row r="839" spans="1:18" ht="15" customHeight="1" x14ac:dyDescent="0.4">
      <c r="C839" s="35"/>
      <c r="D839" s="35"/>
      <c r="F839" s="38"/>
      <c r="H839" s="38"/>
      <c r="J839" s="38"/>
      <c r="L839" s="31"/>
      <c r="M839" s="31"/>
      <c r="N839" s="31"/>
      <c r="O839" s="31"/>
      <c r="P839" s="31"/>
      <c r="Q839" s="31"/>
    </row>
    <row r="840" spans="1:18" ht="15" customHeight="1" x14ac:dyDescent="0.35">
      <c r="A840" s="31">
        <f>A838+1</f>
        <v>34</v>
      </c>
      <c r="C840" s="31" t="s">
        <v>161</v>
      </c>
      <c r="F840" s="108">
        <f>B!D206</f>
        <v>13</v>
      </c>
      <c r="G840" s="108">
        <f>B!E206</f>
        <v>13</v>
      </c>
      <c r="H840" s="108">
        <f>B!F206</f>
        <v>13</v>
      </c>
      <c r="I840" s="108">
        <f>B!G206</f>
        <v>13</v>
      </c>
      <c r="J840" s="108">
        <f>B!H206</f>
        <v>12</v>
      </c>
      <c r="K840" s="108">
        <f>B!I206</f>
        <v>12</v>
      </c>
      <c r="L840" s="108">
        <f>SUM(F840:K840)</f>
        <v>76</v>
      </c>
      <c r="M840" s="31"/>
      <c r="N840" s="31"/>
      <c r="O840" s="31"/>
      <c r="P840" s="31"/>
      <c r="Q840" s="31"/>
    </row>
    <row r="841" spans="1:18" ht="15" customHeight="1" x14ac:dyDescent="0.35">
      <c r="A841" s="31">
        <f>A840+1</f>
        <v>35</v>
      </c>
      <c r="C841" s="31" t="s">
        <v>168</v>
      </c>
      <c r="D841" s="31" t="s">
        <v>28</v>
      </c>
      <c r="E841" s="313">
        <f>Input!H49</f>
        <v>83.71</v>
      </c>
      <c r="F841" s="221">
        <f t="shared" ref="F841:K841" si="270">ROUND(F840*$E$841,2)</f>
        <v>1088.23</v>
      </c>
      <c r="G841" s="221">
        <f t="shared" si="270"/>
        <v>1088.23</v>
      </c>
      <c r="H841" s="221">
        <f t="shared" si="270"/>
        <v>1088.23</v>
      </c>
      <c r="I841" s="221">
        <f t="shared" si="270"/>
        <v>1088.23</v>
      </c>
      <c r="J841" s="221">
        <f t="shared" si="270"/>
        <v>1004.52</v>
      </c>
      <c r="K841" s="221">
        <f t="shared" si="270"/>
        <v>1004.52</v>
      </c>
      <c r="L841" s="221">
        <f>SUM(F841:K841)</f>
        <v>6361.9600000000009</v>
      </c>
      <c r="M841" s="31"/>
      <c r="N841" s="31"/>
      <c r="O841" s="31"/>
      <c r="P841" s="31"/>
      <c r="Q841" s="31"/>
    </row>
    <row r="842" spans="1:18" ht="15" customHeight="1" x14ac:dyDescent="0.35">
      <c r="F842" s="38"/>
      <c r="H842" s="38"/>
      <c r="J842" s="38"/>
      <c r="L842" s="31"/>
      <c r="M842" s="31"/>
      <c r="N842" s="31"/>
      <c r="O842" s="31"/>
      <c r="P842" s="31"/>
      <c r="Q842" s="31"/>
    </row>
    <row r="843" spans="1:18" ht="15" customHeight="1" x14ac:dyDescent="0.35">
      <c r="A843" s="31">
        <f>A841+1</f>
        <v>36</v>
      </c>
      <c r="C843" s="31" t="s">
        <v>167</v>
      </c>
      <c r="F843" s="38"/>
      <c r="H843" s="38"/>
      <c r="J843" s="38"/>
      <c r="L843" s="31"/>
      <c r="M843" s="31"/>
      <c r="N843" s="31"/>
      <c r="O843" s="31"/>
      <c r="P843" s="31"/>
      <c r="Q843" s="31"/>
    </row>
    <row r="844" spans="1:18" ht="15" customHeight="1" x14ac:dyDescent="0.35">
      <c r="A844" s="31">
        <f>A843+1</f>
        <v>37</v>
      </c>
      <c r="C844" s="31" t="str">
        <f>'C'!B228</f>
        <v xml:space="preserve">    First 50 Mcf</v>
      </c>
      <c r="F844" s="78">
        <f>'C'!D240</f>
        <v>596.70000000000005</v>
      </c>
      <c r="G844" s="78">
        <f>'C'!E240</f>
        <v>601.70000000000005</v>
      </c>
      <c r="H844" s="78">
        <f>'C'!F240</f>
        <v>507.7</v>
      </c>
      <c r="I844" s="78">
        <f>'C'!G240</f>
        <v>388.3</v>
      </c>
      <c r="J844" s="78">
        <f>'C'!H240</f>
        <v>357.6</v>
      </c>
      <c r="K844" s="78">
        <f>'C'!I240</f>
        <v>352.1</v>
      </c>
      <c r="L844" s="78">
        <f>SUM(F844:K844)</f>
        <v>2804.1</v>
      </c>
      <c r="M844" s="31"/>
      <c r="N844" s="31"/>
      <c r="O844" s="31"/>
      <c r="P844" s="31"/>
      <c r="Q844" s="31"/>
    </row>
    <row r="845" spans="1:18" ht="15" customHeight="1" x14ac:dyDescent="0.35">
      <c r="A845" s="31">
        <f>A844+1</f>
        <v>38</v>
      </c>
      <c r="C845" s="31" t="str">
        <f>'C'!B229</f>
        <v xml:space="preserve">    Next 350 Mcf</v>
      </c>
      <c r="F845" s="78">
        <f>'C'!D241</f>
        <v>2892.5</v>
      </c>
      <c r="G845" s="78">
        <f>'C'!E241</f>
        <v>2943.1</v>
      </c>
      <c r="H845" s="78">
        <f>'C'!F241</f>
        <v>2058.3000000000002</v>
      </c>
      <c r="I845" s="78">
        <f>'C'!G241</f>
        <v>1706.1</v>
      </c>
      <c r="J845" s="78">
        <f>'C'!H241</f>
        <v>1562.7</v>
      </c>
      <c r="K845" s="78">
        <f>'C'!I241</f>
        <v>1601.9</v>
      </c>
      <c r="L845" s="78">
        <f>SUM(F845:K845)</f>
        <v>12764.6</v>
      </c>
      <c r="M845" s="31"/>
      <c r="N845" s="31"/>
      <c r="O845" s="31"/>
      <c r="P845" s="31"/>
      <c r="Q845" s="31"/>
    </row>
    <row r="846" spans="1:18" ht="15" customHeight="1" x14ac:dyDescent="0.35">
      <c r="A846" s="31">
        <f>A845+1</f>
        <v>39</v>
      </c>
      <c r="C846" s="31" t="str">
        <f>'C'!B230</f>
        <v xml:space="preserve">    Next 600 Mcf</v>
      </c>
      <c r="F846" s="37">
        <f>'C'!D242</f>
        <v>2342.3000000000002</v>
      </c>
      <c r="G846" s="37">
        <f>'C'!E242</f>
        <v>1108.5999999999999</v>
      </c>
      <c r="H846" s="37">
        <f>'C'!F242</f>
        <v>976.5</v>
      </c>
      <c r="I846" s="78">
        <f>'C'!G242</f>
        <v>888.6</v>
      </c>
      <c r="J846" s="78">
        <f>'C'!H242</f>
        <v>991.5</v>
      </c>
      <c r="K846" s="78">
        <f>'C'!I242</f>
        <v>1044.3</v>
      </c>
      <c r="L846" s="78">
        <f>SUM(F846:K846)</f>
        <v>7351.8</v>
      </c>
      <c r="M846" s="31"/>
      <c r="N846" s="31"/>
      <c r="O846" s="31"/>
      <c r="P846" s="31"/>
      <c r="Q846" s="31"/>
    </row>
    <row r="847" spans="1:18" ht="15" customHeight="1" x14ac:dyDescent="0.35">
      <c r="A847" s="31">
        <f>A846+1</f>
        <v>40</v>
      </c>
      <c r="C847" s="31" t="str">
        <f>'C'!B231</f>
        <v xml:space="preserve">    Over 1,000 Mcf</v>
      </c>
      <c r="E847" s="51"/>
      <c r="F847" s="61">
        <f>'C'!D243</f>
        <v>866</v>
      </c>
      <c r="G847" s="61">
        <f>'C'!E243</f>
        <v>252.3</v>
      </c>
      <c r="H847" s="61">
        <f>'C'!F243</f>
        <v>230</v>
      </c>
      <c r="I847" s="61">
        <f>'C'!G243</f>
        <v>344.1</v>
      </c>
      <c r="J847" s="61">
        <f>'C'!H243</f>
        <v>202.9</v>
      </c>
      <c r="K847" s="61">
        <f>'C'!I243</f>
        <v>316.7</v>
      </c>
      <c r="L847" s="61">
        <f>SUM(F847:K847)</f>
        <v>2212</v>
      </c>
      <c r="M847" s="31"/>
      <c r="N847" s="31"/>
      <c r="O847" s="31"/>
      <c r="P847" s="31"/>
      <c r="Q847" s="31"/>
    </row>
    <row r="848" spans="1:18" ht="15" customHeight="1" x14ac:dyDescent="0.35">
      <c r="E848" s="51"/>
      <c r="F848" s="78">
        <f t="shared" ref="F848:J848" si="271">SUM(F844:F847)</f>
        <v>6697.5</v>
      </c>
      <c r="G848" s="78">
        <f t="shared" si="271"/>
        <v>4905.7</v>
      </c>
      <c r="H848" s="78">
        <f t="shared" si="271"/>
        <v>3772.5</v>
      </c>
      <c r="I848" s="78">
        <f t="shared" si="271"/>
        <v>3327.1</v>
      </c>
      <c r="J848" s="78">
        <f t="shared" si="271"/>
        <v>3114.7000000000003</v>
      </c>
      <c r="K848" s="78">
        <f>SUM(K844:K847)</f>
        <v>3315</v>
      </c>
      <c r="L848" s="78">
        <f>SUM(F848:K848)</f>
        <v>25132.5</v>
      </c>
      <c r="M848" s="31"/>
      <c r="N848" s="31"/>
      <c r="O848" s="31"/>
      <c r="P848" s="31"/>
      <c r="Q848" s="31"/>
    </row>
    <row r="849" spans="1:18" ht="15" customHeight="1" x14ac:dyDescent="0.35">
      <c r="A849" s="31">
        <f>A847+1</f>
        <v>41</v>
      </c>
      <c r="C849" s="31" t="s">
        <v>165</v>
      </c>
      <c r="E849" s="51"/>
      <c r="F849" s="38"/>
      <c r="H849" s="38"/>
      <c r="J849" s="38"/>
      <c r="L849" s="312"/>
      <c r="M849" s="31"/>
      <c r="N849" s="31"/>
      <c r="O849" s="31"/>
      <c r="P849" s="31"/>
      <c r="Q849" s="31"/>
    </row>
    <row r="850" spans="1:18" ht="15" customHeight="1" x14ac:dyDescent="0.35">
      <c r="A850" s="31">
        <f>A849+1</f>
        <v>42</v>
      </c>
      <c r="C850" s="31" t="str">
        <f>C844</f>
        <v xml:space="preserve">    First 50 Mcf</v>
      </c>
      <c r="D850" s="300" t="s">
        <v>27</v>
      </c>
      <c r="E850" s="314">
        <f>Input!C49</f>
        <v>3.2513000000000001</v>
      </c>
      <c r="F850" s="221">
        <f t="shared" ref="F850:K850" si="272">ROUND(F844*$E$850,2)</f>
        <v>1940.05</v>
      </c>
      <c r="G850" s="221">
        <f t="shared" si="272"/>
        <v>1956.31</v>
      </c>
      <c r="H850" s="221">
        <f t="shared" si="272"/>
        <v>1650.69</v>
      </c>
      <c r="I850" s="221">
        <f t="shared" si="272"/>
        <v>1262.48</v>
      </c>
      <c r="J850" s="221">
        <f t="shared" si="272"/>
        <v>1162.6600000000001</v>
      </c>
      <c r="K850" s="221">
        <f t="shared" si="272"/>
        <v>1144.78</v>
      </c>
      <c r="L850" s="221">
        <f t="shared" ref="L850:L854" si="273">SUM(F850:K850)</f>
        <v>9116.9699999999993</v>
      </c>
      <c r="M850" s="31"/>
      <c r="N850" s="31"/>
      <c r="O850" s="31"/>
      <c r="P850" s="31"/>
      <c r="Q850" s="31"/>
    </row>
    <row r="851" spans="1:18" ht="15" customHeight="1" x14ac:dyDescent="0.35">
      <c r="A851" s="31">
        <f>A850+1</f>
        <v>43</v>
      </c>
      <c r="C851" s="31" t="str">
        <f>C845</f>
        <v xml:space="preserve">    Next 350 Mcf</v>
      </c>
      <c r="D851" s="300" t="s">
        <v>27</v>
      </c>
      <c r="E851" s="314">
        <f>Input!D49</f>
        <v>2.5095999999999998</v>
      </c>
      <c r="F851" s="108">
        <f t="shared" ref="F851:K851" si="274">ROUND(F845*$E$851,2)</f>
        <v>7259.02</v>
      </c>
      <c r="G851" s="108">
        <f t="shared" si="274"/>
        <v>7386</v>
      </c>
      <c r="H851" s="108">
        <f t="shared" si="274"/>
        <v>5165.51</v>
      </c>
      <c r="I851" s="108">
        <f t="shared" si="274"/>
        <v>4281.63</v>
      </c>
      <c r="J851" s="108">
        <f t="shared" si="274"/>
        <v>3921.75</v>
      </c>
      <c r="K851" s="108">
        <f t="shared" si="274"/>
        <v>4020.13</v>
      </c>
      <c r="L851" s="108">
        <f t="shared" si="273"/>
        <v>32034.04</v>
      </c>
      <c r="M851" s="31"/>
      <c r="N851" s="31"/>
      <c r="O851" s="31"/>
      <c r="P851" s="31"/>
      <c r="Q851" s="31"/>
    </row>
    <row r="852" spans="1:18" ht="15" customHeight="1" x14ac:dyDescent="0.35">
      <c r="A852" s="31">
        <f>A851+1</f>
        <v>44</v>
      </c>
      <c r="C852" s="31" t="str">
        <f>C846</f>
        <v xml:space="preserve">    Next 600 Mcf</v>
      </c>
      <c r="D852" s="300" t="s">
        <v>27</v>
      </c>
      <c r="E852" s="314">
        <f>Input!E49</f>
        <v>2.3855</v>
      </c>
      <c r="F852" s="171">
        <f t="shared" ref="F852:K852" si="275">ROUND(F846*$E$852,2)</f>
        <v>5587.56</v>
      </c>
      <c r="G852" s="171">
        <f t="shared" si="275"/>
        <v>2644.57</v>
      </c>
      <c r="H852" s="171">
        <f t="shared" si="275"/>
        <v>2329.44</v>
      </c>
      <c r="I852" s="108">
        <f t="shared" si="275"/>
        <v>2119.7600000000002</v>
      </c>
      <c r="J852" s="108">
        <f t="shared" si="275"/>
        <v>2365.2199999999998</v>
      </c>
      <c r="K852" s="108">
        <f t="shared" si="275"/>
        <v>2491.1799999999998</v>
      </c>
      <c r="L852" s="108">
        <f t="shared" si="273"/>
        <v>17537.73</v>
      </c>
      <c r="M852" s="31"/>
      <c r="N852" s="31"/>
      <c r="O852" s="31"/>
      <c r="P852" s="31"/>
      <c r="Q852" s="31"/>
    </row>
    <row r="853" spans="1:18" ht="15" customHeight="1" x14ac:dyDescent="0.35">
      <c r="A853" s="31">
        <f>A852+1</f>
        <v>45</v>
      </c>
      <c r="C853" s="31" t="str">
        <f>C847</f>
        <v xml:space="preserve">    Over 1,000 Mcf</v>
      </c>
      <c r="D853" s="300" t="s">
        <v>27</v>
      </c>
      <c r="E853" s="314">
        <f>Input!F49</f>
        <v>2.17</v>
      </c>
      <c r="F853" s="316">
        <f t="shared" ref="F853:K853" si="276">ROUND(F847*$E$853,2)</f>
        <v>1879.22</v>
      </c>
      <c r="G853" s="316">
        <f t="shared" si="276"/>
        <v>547.49</v>
      </c>
      <c r="H853" s="316">
        <f t="shared" si="276"/>
        <v>499.1</v>
      </c>
      <c r="I853" s="316">
        <f t="shared" si="276"/>
        <v>746.7</v>
      </c>
      <c r="J853" s="316">
        <f t="shared" si="276"/>
        <v>440.29</v>
      </c>
      <c r="K853" s="316">
        <f t="shared" si="276"/>
        <v>687.24</v>
      </c>
      <c r="L853" s="316">
        <f t="shared" si="273"/>
        <v>4800.04</v>
      </c>
      <c r="M853" s="31"/>
      <c r="N853" s="31"/>
      <c r="O853" s="31"/>
      <c r="P853" s="31"/>
      <c r="Q853" s="31"/>
    </row>
    <row r="854" spans="1:18" ht="15" customHeight="1" x14ac:dyDescent="0.35">
      <c r="E854" s="51"/>
      <c r="F854" s="221">
        <f t="shared" ref="F854:J854" si="277">SUM(F850:F853)</f>
        <v>16665.850000000002</v>
      </c>
      <c r="G854" s="221">
        <f t="shared" si="277"/>
        <v>12534.369999999999</v>
      </c>
      <c r="H854" s="221">
        <f t="shared" si="277"/>
        <v>9644.7400000000016</v>
      </c>
      <c r="I854" s="221">
        <f t="shared" si="277"/>
        <v>8410.5700000000015</v>
      </c>
      <c r="J854" s="221">
        <f t="shared" si="277"/>
        <v>7889.9199999999992</v>
      </c>
      <c r="K854" s="221">
        <f>SUM(K850:K853)</f>
        <v>8343.33</v>
      </c>
      <c r="L854" s="221">
        <f t="shared" si="273"/>
        <v>63488.780000000006</v>
      </c>
      <c r="M854" s="31"/>
      <c r="N854" s="31"/>
      <c r="O854" s="31"/>
      <c r="P854" s="31"/>
      <c r="Q854" s="31"/>
    </row>
    <row r="855" spans="1:18" ht="15" customHeight="1" x14ac:dyDescent="0.65">
      <c r="C855" s="333"/>
      <c r="D855" s="52"/>
      <c r="E855" s="314"/>
      <c r="F855" s="212"/>
      <c r="G855" s="212"/>
      <c r="H855" s="212"/>
      <c r="I855" s="212"/>
      <c r="J855" s="212"/>
      <c r="K855" s="212"/>
      <c r="L855" s="212"/>
      <c r="M855" s="31"/>
      <c r="N855" s="31"/>
      <c r="O855" s="31"/>
      <c r="P855" s="31"/>
      <c r="Q855" s="31"/>
    </row>
    <row r="856" spans="1:18" ht="15" customHeight="1" x14ac:dyDescent="0.35">
      <c r="A856" s="31">
        <f>A853+1</f>
        <v>46</v>
      </c>
      <c r="C856" s="31" t="s">
        <v>162</v>
      </c>
      <c r="E856" s="51"/>
      <c r="F856" s="221">
        <f>F841+F854</f>
        <v>17754.080000000002</v>
      </c>
      <c r="G856" s="221">
        <f t="shared" ref="G856:K856" si="278">G841+G854</f>
        <v>13622.599999999999</v>
      </c>
      <c r="H856" s="221">
        <f t="shared" si="278"/>
        <v>10732.970000000001</v>
      </c>
      <c r="I856" s="221">
        <f t="shared" si="278"/>
        <v>9498.8000000000011</v>
      </c>
      <c r="J856" s="221">
        <f t="shared" si="278"/>
        <v>8894.4399999999987</v>
      </c>
      <c r="K856" s="221">
        <f t="shared" si="278"/>
        <v>9347.85</v>
      </c>
      <c r="L856" s="221">
        <f>SUM(F856:K856)</f>
        <v>69850.740000000005</v>
      </c>
      <c r="M856" s="31"/>
      <c r="N856" s="31"/>
      <c r="O856" s="31"/>
      <c r="P856" s="31"/>
      <c r="Q856" s="31"/>
    </row>
    <row r="857" spans="1:18" ht="15" customHeight="1" x14ac:dyDescent="0.35">
      <c r="E857" s="51"/>
      <c r="F857" s="304"/>
      <c r="G857" s="304"/>
      <c r="H857" s="304"/>
      <c r="I857" s="304"/>
      <c r="J857" s="304"/>
      <c r="K857" s="304"/>
      <c r="L857" s="304"/>
      <c r="M857" s="31"/>
      <c r="N857" s="31"/>
      <c r="O857" s="31"/>
      <c r="P857" s="31"/>
      <c r="Q857" s="31"/>
    </row>
    <row r="858" spans="1:18" ht="15" customHeight="1" x14ac:dyDescent="0.35">
      <c r="A858" s="31">
        <f>A856+1</f>
        <v>47</v>
      </c>
      <c r="C858" s="31" t="s">
        <v>132</v>
      </c>
      <c r="D858" s="31" t="s">
        <v>27</v>
      </c>
      <c r="E858" s="311">
        <v>0</v>
      </c>
      <c r="F858" s="221">
        <v>0</v>
      </c>
      <c r="G858" s="221">
        <v>0</v>
      </c>
      <c r="H858" s="221">
        <v>0</v>
      </c>
      <c r="I858" s="221">
        <v>0</v>
      </c>
      <c r="J858" s="221">
        <v>0</v>
      </c>
      <c r="K858" s="221">
        <v>0</v>
      </c>
      <c r="L858" s="221">
        <f>SUM(F858:K858)</f>
        <v>0</v>
      </c>
      <c r="M858" s="31"/>
      <c r="N858" s="31"/>
      <c r="O858" s="31"/>
      <c r="P858" s="31"/>
      <c r="Q858" s="31"/>
    </row>
    <row r="859" spans="1:18" ht="15" customHeight="1" x14ac:dyDescent="0.35">
      <c r="F859" s="38"/>
      <c r="H859" s="38"/>
      <c r="J859" s="38"/>
      <c r="L859" s="39"/>
      <c r="M859" s="31"/>
      <c r="N859" s="31"/>
      <c r="O859" s="31"/>
      <c r="P859" s="31"/>
      <c r="Q859" s="31"/>
    </row>
    <row r="860" spans="1:18" ht="15" customHeight="1" x14ac:dyDescent="0.35">
      <c r="A860" s="31">
        <f>A858+1</f>
        <v>48</v>
      </c>
      <c r="C860" s="36" t="s">
        <v>163</v>
      </c>
      <c r="D860" s="50"/>
      <c r="E860" s="56"/>
      <c r="F860" s="221">
        <f t="shared" ref="F860:J860" si="279">F856+F858</f>
        <v>17754.080000000002</v>
      </c>
      <c r="G860" s="221">
        <f t="shared" si="279"/>
        <v>13622.599999999999</v>
      </c>
      <c r="H860" s="221">
        <f t="shared" si="279"/>
        <v>10732.970000000001</v>
      </c>
      <c r="I860" s="221">
        <f t="shared" si="279"/>
        <v>9498.8000000000011</v>
      </c>
      <c r="J860" s="221">
        <f t="shared" si="279"/>
        <v>8894.4399999999987</v>
      </c>
      <c r="K860" s="221">
        <f>K856+K858</f>
        <v>9347.85</v>
      </c>
      <c r="L860" s="221">
        <f>SUM(F860:K860)</f>
        <v>69850.740000000005</v>
      </c>
      <c r="M860" s="31"/>
      <c r="N860" s="31"/>
      <c r="O860" s="31"/>
      <c r="P860" s="31"/>
      <c r="Q860" s="31"/>
    </row>
    <row r="861" spans="1:18" ht="15" customHeight="1" x14ac:dyDescent="0.35">
      <c r="F861" s="38"/>
      <c r="H861" s="38"/>
      <c r="J861" s="38"/>
      <c r="L861" s="39"/>
      <c r="M861" s="31"/>
      <c r="N861" s="31"/>
      <c r="O861" s="31"/>
      <c r="P861" s="31"/>
      <c r="Q861" s="31"/>
    </row>
    <row r="862" spans="1:18" ht="15" customHeight="1" x14ac:dyDescent="0.35">
      <c r="A862" s="31" t="str">
        <f>$A$280</f>
        <v>[1] Reflects forecasted volumes for March through August 2024.</v>
      </c>
    </row>
    <row r="863" spans="1:18" ht="15" customHeight="1" x14ac:dyDescent="0.4">
      <c r="A863" s="480" t="str">
        <f>CONAME</f>
        <v>Columbia Gas of Kentucky, Inc.</v>
      </c>
      <c r="B863" s="480"/>
      <c r="C863" s="480"/>
      <c r="D863" s="480"/>
      <c r="E863" s="480"/>
      <c r="F863" s="480"/>
      <c r="G863" s="480"/>
      <c r="H863" s="480"/>
      <c r="I863" s="480"/>
      <c r="J863" s="480"/>
      <c r="K863" s="480"/>
      <c r="L863" s="480"/>
      <c r="M863" s="89"/>
      <c r="N863" s="89"/>
      <c r="O863" s="89"/>
      <c r="P863" s="89"/>
      <c r="Q863" s="89"/>
      <c r="R863" s="89"/>
    </row>
    <row r="864" spans="1:18" ht="15" customHeight="1" x14ac:dyDescent="0.4">
      <c r="A864" s="480" t="str">
        <f>case</f>
        <v>Case No. 2024-00092</v>
      </c>
      <c r="B864" s="480"/>
      <c r="C864" s="480"/>
      <c r="D864" s="480"/>
      <c r="E864" s="480"/>
      <c r="F864" s="480"/>
      <c r="G864" s="480"/>
      <c r="H864" s="480"/>
      <c r="I864" s="480"/>
      <c r="J864" s="480"/>
      <c r="K864" s="480"/>
      <c r="L864" s="480"/>
      <c r="M864" s="35"/>
      <c r="N864" s="35"/>
      <c r="O864" s="35"/>
      <c r="P864" s="35"/>
      <c r="Q864" s="35"/>
      <c r="R864" s="35"/>
    </row>
    <row r="865" spans="1:18" ht="15" customHeight="1" x14ac:dyDescent="0.4">
      <c r="A865" s="480" t="s">
        <v>319</v>
      </c>
      <c r="B865" s="480"/>
      <c r="C865" s="480"/>
      <c r="D865" s="480"/>
      <c r="E865" s="480"/>
      <c r="F865" s="480"/>
      <c r="G865" s="480"/>
      <c r="H865" s="480"/>
      <c r="I865" s="480"/>
      <c r="J865" s="480"/>
      <c r="K865" s="480"/>
      <c r="L865" s="480"/>
      <c r="M865" s="110"/>
      <c r="N865" s="110"/>
      <c r="O865" s="110"/>
      <c r="P865" s="110"/>
      <c r="Q865" s="110"/>
      <c r="R865" s="110"/>
    </row>
    <row r="866" spans="1:18" ht="15" customHeight="1" x14ac:dyDescent="0.4">
      <c r="A866" s="480" t="str">
        <f>TYDESC</f>
        <v>For the 6 Months Ended August 31, 2024</v>
      </c>
      <c r="B866" s="480"/>
      <c r="C866" s="480"/>
      <c r="D866" s="480"/>
      <c r="E866" s="480"/>
      <c r="F866" s="480"/>
      <c r="G866" s="480"/>
      <c r="H866" s="480"/>
      <c r="I866" s="480"/>
      <c r="J866" s="480"/>
      <c r="K866" s="480"/>
      <c r="L866" s="480"/>
      <c r="M866" s="89"/>
      <c r="N866" s="89"/>
      <c r="O866" s="89"/>
      <c r="P866" s="89"/>
      <c r="Q866" s="89"/>
      <c r="R866" s="89"/>
    </row>
    <row r="867" spans="1:18" ht="15" customHeight="1" x14ac:dyDescent="0.4">
      <c r="A867" s="480" t="s">
        <v>46</v>
      </c>
      <c r="B867" s="480"/>
      <c r="C867" s="480"/>
      <c r="D867" s="480"/>
      <c r="E867" s="480"/>
      <c r="F867" s="480"/>
      <c r="G867" s="480"/>
      <c r="H867" s="480"/>
      <c r="I867" s="480"/>
      <c r="J867" s="480"/>
      <c r="K867" s="480"/>
      <c r="L867" s="480"/>
      <c r="M867" s="220"/>
      <c r="N867" s="220"/>
      <c r="O867" s="220"/>
      <c r="P867" s="220"/>
      <c r="Q867" s="220"/>
      <c r="R867" s="220"/>
    </row>
    <row r="868" spans="1:18" ht="15" customHeight="1" x14ac:dyDescent="0.4">
      <c r="A868" s="220"/>
      <c r="B868" s="220"/>
      <c r="C868" s="220"/>
      <c r="D868" s="220"/>
      <c r="E868" s="220"/>
      <c r="F868" s="220"/>
      <c r="G868" s="220"/>
      <c r="H868" s="220"/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</row>
    <row r="869" spans="1:18" ht="15" customHeight="1" x14ac:dyDescent="0.4">
      <c r="A869" s="35" t="s">
        <v>180</v>
      </c>
    </row>
    <row r="870" spans="1:18" ht="15" customHeight="1" x14ac:dyDescent="0.4">
      <c r="A870" s="35" t="s">
        <v>181</v>
      </c>
      <c r="L870" s="40" t="str">
        <f>$L$55</f>
        <v>Schedule M-2.2B</v>
      </c>
    </row>
    <row r="871" spans="1:18" ht="15" customHeight="1" x14ac:dyDescent="0.4">
      <c r="A871" s="35" t="str">
        <f>$A$56</f>
        <v>Work Paper Reference No(s): WPM-B.1, WPM-C.1, WPM-D.1</v>
      </c>
      <c r="L871" s="40" t="s">
        <v>332</v>
      </c>
    </row>
    <row r="872" spans="1:18" ht="15.45" x14ac:dyDescent="0.4">
      <c r="A872" s="320" t="str">
        <f>$A$57</f>
        <v>6 Mos Actual / 6 Mos Forecasted</v>
      </c>
      <c r="B872" s="321"/>
      <c r="C872" s="321"/>
      <c r="D872" s="321"/>
      <c r="E872" s="322"/>
      <c r="F872" s="321"/>
      <c r="G872" s="323"/>
      <c r="H872" s="324"/>
      <c r="I872" s="323"/>
      <c r="J872" s="325"/>
      <c r="K872" s="323"/>
      <c r="L872" s="326" t="str">
        <f>Witness</f>
        <v>Witness: J. C. Wozniak</v>
      </c>
    </row>
    <row r="873" spans="1:18" ht="15.45" x14ac:dyDescent="0.4">
      <c r="A873" s="327"/>
      <c r="B873" s="327"/>
      <c r="C873" s="327"/>
      <c r="D873" s="327"/>
      <c r="E873" s="89"/>
      <c r="F873" s="89"/>
      <c r="G873" s="89"/>
      <c r="H873" s="89"/>
      <c r="I873" s="89"/>
      <c r="J873" s="89"/>
      <c r="K873" s="89"/>
      <c r="L873" s="89"/>
      <c r="M873" s="327"/>
      <c r="N873" s="327"/>
      <c r="O873" s="327"/>
      <c r="P873" s="327"/>
      <c r="Q873" s="327"/>
      <c r="R873" s="327"/>
    </row>
    <row r="874" spans="1:18" ht="15" customHeight="1" x14ac:dyDescent="0.4">
      <c r="A874" s="35"/>
    </row>
    <row r="875" spans="1:18" ht="15" customHeight="1" x14ac:dyDescent="0.4">
      <c r="A875" s="32"/>
      <c r="B875" s="32"/>
      <c r="C875" s="32"/>
      <c r="D875" s="32"/>
      <c r="E875" s="33"/>
      <c r="F875" s="32"/>
      <c r="G875" s="41"/>
      <c r="H875" s="301"/>
      <c r="I875" s="41"/>
      <c r="J875" s="120"/>
      <c r="K875" s="41"/>
      <c r="L875" s="41"/>
      <c r="M875" s="41"/>
      <c r="N875" s="41"/>
      <c r="O875" s="41"/>
      <c r="P875" s="41"/>
      <c r="Q875" s="41"/>
      <c r="R875" s="32"/>
    </row>
    <row r="876" spans="1:18" ht="15" customHeight="1" x14ac:dyDescent="0.4">
      <c r="A876" s="32"/>
      <c r="B876" s="32"/>
      <c r="C876" s="32"/>
      <c r="D876" s="32"/>
      <c r="E876" s="33" t="s">
        <v>52</v>
      </c>
      <c r="F876" s="32"/>
      <c r="G876" s="41"/>
      <c r="H876" s="42"/>
      <c r="I876" s="41"/>
      <c r="J876" s="30"/>
      <c r="K876" s="41"/>
      <c r="L876" s="41"/>
      <c r="M876" s="41"/>
      <c r="N876" s="41"/>
      <c r="O876" s="41"/>
      <c r="P876" s="41"/>
      <c r="Q876" s="41"/>
      <c r="R876" s="32"/>
    </row>
    <row r="877" spans="1:18" ht="15" customHeight="1" x14ac:dyDescent="0.4">
      <c r="A877" s="32" t="s">
        <v>11</v>
      </c>
      <c r="B877" s="32" t="s">
        <v>10</v>
      </c>
      <c r="C877" s="32" t="s">
        <v>48</v>
      </c>
      <c r="D877" s="32"/>
      <c r="E877" s="33" t="s">
        <v>53</v>
      </c>
      <c r="F877" s="32"/>
      <c r="G877" s="41"/>
      <c r="H877" s="42"/>
      <c r="I877" s="41"/>
      <c r="J877" s="30"/>
      <c r="K877" s="41"/>
      <c r="L877" s="41"/>
      <c r="M877" s="41"/>
      <c r="N877" s="41"/>
      <c r="O877" s="41"/>
      <c r="P877" s="41"/>
      <c r="Q877" s="41"/>
      <c r="R877" s="34"/>
    </row>
    <row r="878" spans="1:18" ht="15" customHeight="1" x14ac:dyDescent="0.4">
      <c r="A878" s="43" t="s">
        <v>13</v>
      </c>
      <c r="B878" s="43" t="s">
        <v>47</v>
      </c>
      <c r="C878" s="43" t="s">
        <v>14</v>
      </c>
      <c r="D878" s="43"/>
      <c r="E878" s="44" t="s">
        <v>54</v>
      </c>
      <c r="F878" s="45" t="str">
        <f>B!$D$13</f>
        <v>Mar-24</v>
      </c>
      <c r="G878" s="45" t="str">
        <f>B!$E$13</f>
        <v>Apr-24</v>
      </c>
      <c r="H878" s="45" t="str">
        <f>B!$F$13</f>
        <v>May-24</v>
      </c>
      <c r="I878" s="45" t="str">
        <f>B!$G$13</f>
        <v>Jun-24</v>
      </c>
      <c r="J878" s="45" t="str">
        <f>B!$H$13</f>
        <v>Jul-24</v>
      </c>
      <c r="K878" s="45" t="str">
        <f>B!$I$13</f>
        <v>Aug-24</v>
      </c>
      <c r="L878" s="45" t="s">
        <v>15</v>
      </c>
      <c r="M878" s="31"/>
      <c r="N878" s="31"/>
      <c r="O878" s="31"/>
      <c r="P878" s="31"/>
      <c r="Q878" s="31"/>
    </row>
    <row r="879" spans="1:18" ht="15" customHeight="1" x14ac:dyDescent="0.4">
      <c r="A879" s="32"/>
      <c r="B879" s="34" t="s">
        <v>49</v>
      </c>
      <c r="C879" s="34" t="s">
        <v>50</v>
      </c>
      <c r="D879" s="34"/>
      <c r="E879" s="47" t="s">
        <v>51</v>
      </c>
      <c r="F879" s="48" t="s">
        <v>470</v>
      </c>
      <c r="G879" s="48" t="s">
        <v>471</v>
      </c>
      <c r="H879" s="48" t="s">
        <v>472</v>
      </c>
      <c r="I879" s="48" t="s">
        <v>473</v>
      </c>
      <c r="J879" s="48" t="s">
        <v>55</v>
      </c>
      <c r="K879" s="48" t="s">
        <v>56</v>
      </c>
      <c r="L879" s="48" t="s">
        <v>57</v>
      </c>
      <c r="M879" s="31"/>
      <c r="N879" s="31"/>
      <c r="O879" s="31"/>
      <c r="P879" s="31"/>
      <c r="Q879" s="31"/>
    </row>
    <row r="880" spans="1:18" ht="15" customHeight="1" x14ac:dyDescent="0.4">
      <c r="F880" s="48"/>
      <c r="G880" s="48"/>
      <c r="H880" s="48"/>
      <c r="I880" s="48"/>
      <c r="J880" s="48"/>
      <c r="K880" s="48"/>
      <c r="L880" s="34"/>
      <c r="M880" s="31"/>
      <c r="N880" s="31"/>
      <c r="O880" s="31"/>
      <c r="P880" s="31"/>
      <c r="Q880" s="31"/>
    </row>
    <row r="881" spans="1:17" ht="15" customHeight="1" x14ac:dyDescent="0.35">
      <c r="A881" s="31">
        <v>1</v>
      </c>
      <c r="B881" s="31" t="str">
        <f>B237</f>
        <v>DS</v>
      </c>
      <c r="C881" s="31" t="str">
        <f>C237</f>
        <v>GTS Delivery Service - Commercial</v>
      </c>
      <c r="F881" s="38"/>
      <c r="H881" s="38"/>
      <c r="J881" s="38"/>
      <c r="L881" s="31"/>
      <c r="M881" s="31"/>
      <c r="N881" s="31"/>
      <c r="O881" s="31"/>
      <c r="P881" s="31"/>
      <c r="Q881" s="31"/>
    </row>
    <row r="882" spans="1:17" ht="15" customHeight="1" x14ac:dyDescent="0.35">
      <c r="F882" s="38"/>
      <c r="H882" s="38"/>
      <c r="J882" s="38"/>
      <c r="L882" s="31"/>
      <c r="M882" s="31"/>
      <c r="N882" s="31"/>
      <c r="O882" s="31"/>
      <c r="P882" s="31"/>
      <c r="Q882" s="31"/>
    </row>
    <row r="883" spans="1:17" ht="15" customHeight="1" x14ac:dyDescent="0.4">
      <c r="A883" s="31">
        <f>A881+1</f>
        <v>2</v>
      </c>
      <c r="C883" s="35" t="s">
        <v>105</v>
      </c>
      <c r="D883" s="35"/>
      <c r="F883" s="38"/>
      <c r="H883" s="38"/>
      <c r="J883" s="38"/>
      <c r="L883" s="31"/>
      <c r="M883" s="31"/>
      <c r="N883" s="31"/>
      <c r="O883" s="31"/>
      <c r="P883" s="31"/>
      <c r="Q883" s="31"/>
    </row>
    <row r="884" spans="1:17" ht="15" customHeight="1" x14ac:dyDescent="0.4">
      <c r="C884" s="35"/>
      <c r="D884" s="35"/>
      <c r="F884" s="38"/>
      <c r="H884" s="38"/>
      <c r="J884" s="38"/>
      <c r="L884" s="31"/>
      <c r="M884" s="31"/>
      <c r="N884" s="31"/>
      <c r="O884" s="31"/>
      <c r="P884" s="31"/>
      <c r="Q884" s="31"/>
    </row>
    <row r="885" spans="1:17" ht="15" customHeight="1" x14ac:dyDescent="0.35">
      <c r="A885" s="31">
        <f>A883+1</f>
        <v>3</v>
      </c>
      <c r="C885" s="31" t="s">
        <v>161</v>
      </c>
      <c r="F885" s="108">
        <f>B!D212</f>
        <v>22</v>
      </c>
      <c r="G885" s="108">
        <f>B!E212</f>
        <v>23</v>
      </c>
      <c r="H885" s="108">
        <f>B!F212</f>
        <v>22</v>
      </c>
      <c r="I885" s="108">
        <f>B!G212</f>
        <v>22</v>
      </c>
      <c r="J885" s="108">
        <f>B!H212</f>
        <v>22</v>
      </c>
      <c r="K885" s="108">
        <f>B!I212</f>
        <v>22</v>
      </c>
      <c r="L885" s="108">
        <f>SUM(F885:K885)</f>
        <v>133</v>
      </c>
      <c r="M885" s="31"/>
      <c r="N885" s="31"/>
      <c r="O885" s="31"/>
      <c r="P885" s="31"/>
      <c r="Q885" s="31"/>
    </row>
    <row r="886" spans="1:17" ht="15" customHeight="1" x14ac:dyDescent="0.35">
      <c r="A886" s="31">
        <f>A885+1</f>
        <v>4</v>
      </c>
      <c r="C886" s="31" t="s">
        <v>168</v>
      </c>
      <c r="D886" s="31" t="s">
        <v>28</v>
      </c>
      <c r="E886" s="313">
        <f>Input!H50</f>
        <v>3982.3</v>
      </c>
      <c r="F886" s="221">
        <f t="shared" ref="F886:K886" si="280">ROUND(F885*$E$886,2)</f>
        <v>87610.6</v>
      </c>
      <c r="G886" s="221">
        <f t="shared" si="280"/>
        <v>91592.9</v>
      </c>
      <c r="H886" s="221">
        <f t="shared" si="280"/>
        <v>87610.6</v>
      </c>
      <c r="I886" s="221">
        <f t="shared" si="280"/>
        <v>87610.6</v>
      </c>
      <c r="J886" s="221">
        <f t="shared" si="280"/>
        <v>87610.6</v>
      </c>
      <c r="K886" s="221">
        <f t="shared" si="280"/>
        <v>87610.6</v>
      </c>
      <c r="L886" s="221">
        <f>SUM(F886:K886)</f>
        <v>529645.89999999991</v>
      </c>
      <c r="M886" s="31"/>
      <c r="N886" s="31"/>
      <c r="O886" s="31"/>
      <c r="P886" s="31"/>
      <c r="Q886" s="31"/>
    </row>
    <row r="887" spans="1:17" ht="15" customHeight="1" x14ac:dyDescent="0.35">
      <c r="E887" s="313"/>
      <c r="F887" s="221"/>
      <c r="G887" s="221"/>
      <c r="H887" s="221"/>
      <c r="I887" s="221"/>
      <c r="J887" s="221"/>
      <c r="K887" s="221"/>
      <c r="L887" s="221"/>
      <c r="M887" s="31"/>
      <c r="N887" s="31"/>
      <c r="O887" s="31"/>
      <c r="P887" s="31"/>
      <c r="Q887" s="31"/>
    </row>
    <row r="888" spans="1:17" ht="15" customHeight="1" x14ac:dyDescent="0.35">
      <c r="A888" s="31">
        <f>A886+1</f>
        <v>5</v>
      </c>
      <c r="C888" s="31" t="s">
        <v>167</v>
      </c>
      <c r="F888" s="38"/>
      <c r="H888" s="38"/>
      <c r="J888" s="38"/>
      <c r="L888" s="31"/>
      <c r="M888" s="31"/>
      <c r="N888" s="31"/>
      <c r="O888" s="31"/>
      <c r="P888" s="31"/>
      <c r="Q888" s="31"/>
    </row>
    <row r="889" spans="1:17" ht="15" customHeight="1" x14ac:dyDescent="0.35">
      <c r="A889" s="31">
        <f>A888+1</f>
        <v>6</v>
      </c>
      <c r="C889" s="31" t="str">
        <f>'C'!B264</f>
        <v xml:space="preserve">    First 30,000 Mcf</v>
      </c>
      <c r="F889" s="78">
        <f>'C'!D274</f>
        <v>252358.7</v>
      </c>
      <c r="G889" s="78">
        <f>'C'!E274</f>
        <v>192622.8</v>
      </c>
      <c r="H889" s="78">
        <f>'C'!F274</f>
        <v>166480.79999999999</v>
      </c>
      <c r="I889" s="78">
        <f>'C'!G274</f>
        <v>162708.1</v>
      </c>
      <c r="J889" s="78">
        <f>'C'!H274</f>
        <v>150371.29999999999</v>
      </c>
      <c r="K889" s="78">
        <f>'C'!I274</f>
        <v>148559.20000000001</v>
      </c>
      <c r="L889" s="78">
        <f>SUM(F889:K889)</f>
        <v>1073100.8999999999</v>
      </c>
      <c r="M889" s="31"/>
      <c r="N889" s="31"/>
      <c r="O889" s="31"/>
      <c r="P889" s="31"/>
      <c r="Q889" s="31"/>
    </row>
    <row r="890" spans="1:17" ht="15" customHeight="1" x14ac:dyDescent="0.35">
      <c r="A890" s="31">
        <f>A889+1</f>
        <v>7</v>
      </c>
      <c r="C890" s="31" t="str">
        <f>'C'!B265</f>
        <v xml:space="preserve">    Next 70,000 Mcf</v>
      </c>
      <c r="F890" s="37">
        <f>'C'!D275</f>
        <v>59500</v>
      </c>
      <c r="G890" s="37">
        <f>'C'!E275</f>
        <v>37000</v>
      </c>
      <c r="H890" s="37">
        <f>'C'!F275</f>
        <v>23000</v>
      </c>
      <c r="I890" s="37">
        <f>'C'!G275</f>
        <v>11000</v>
      </c>
      <c r="J890" s="37">
        <f>'C'!H275</f>
        <v>11000</v>
      </c>
      <c r="K890" s="37">
        <f>'C'!I275</f>
        <v>17700</v>
      </c>
      <c r="L890" s="37">
        <f>SUM(F890:K890)</f>
        <v>159200</v>
      </c>
      <c r="M890" s="31"/>
      <c r="N890" s="31"/>
      <c r="O890" s="31"/>
      <c r="P890" s="31"/>
      <c r="Q890" s="31"/>
    </row>
    <row r="891" spans="1:17" ht="15" customHeight="1" x14ac:dyDescent="0.35">
      <c r="A891" s="31">
        <f>A890+1</f>
        <v>8</v>
      </c>
      <c r="C891" s="31" t="str">
        <f>'C'!B266</f>
        <v xml:space="preserve">    Over 100,000 Mcf</v>
      </c>
      <c r="F891" s="61">
        <f>'C'!D276</f>
        <v>0</v>
      </c>
      <c r="G891" s="61">
        <f>'C'!E276</f>
        <v>0</v>
      </c>
      <c r="H891" s="61">
        <f>'C'!F276</f>
        <v>0</v>
      </c>
      <c r="I891" s="61">
        <f>'C'!G276</f>
        <v>0</v>
      </c>
      <c r="J891" s="61">
        <f>'C'!H276</f>
        <v>0</v>
      </c>
      <c r="K891" s="61">
        <f>'C'!I276</f>
        <v>0</v>
      </c>
      <c r="L891" s="61">
        <f>SUM(F891:K891)</f>
        <v>0</v>
      </c>
      <c r="M891" s="31"/>
      <c r="N891" s="31"/>
      <c r="O891" s="31"/>
      <c r="P891" s="31"/>
      <c r="Q891" s="31"/>
    </row>
    <row r="892" spans="1:17" ht="15" customHeight="1" x14ac:dyDescent="0.35">
      <c r="F892" s="78">
        <f>SUM(F889:F891)</f>
        <v>311858.7</v>
      </c>
      <c r="G892" s="78">
        <f t="shared" ref="G892:K892" si="281">SUM(G889:G891)</f>
        <v>229622.8</v>
      </c>
      <c r="H892" s="78">
        <f t="shared" si="281"/>
        <v>189480.8</v>
      </c>
      <c r="I892" s="78">
        <f t="shared" si="281"/>
        <v>173708.1</v>
      </c>
      <c r="J892" s="78">
        <f t="shared" si="281"/>
        <v>161371.29999999999</v>
      </c>
      <c r="K892" s="78">
        <f t="shared" si="281"/>
        <v>166259.20000000001</v>
      </c>
      <c r="L892" s="221">
        <f>SUM(F892:K892)</f>
        <v>1232300.8999999999</v>
      </c>
      <c r="M892" s="31"/>
      <c r="N892" s="31"/>
      <c r="O892" s="31"/>
      <c r="P892" s="31"/>
      <c r="Q892" s="31"/>
    </row>
    <row r="893" spans="1:17" ht="15" customHeight="1" x14ac:dyDescent="0.35">
      <c r="A893" s="31">
        <f>A891+1</f>
        <v>9</v>
      </c>
      <c r="C893" s="31" t="s">
        <v>165</v>
      </c>
      <c r="F893" s="38"/>
      <c r="H893" s="38"/>
      <c r="J893" s="38"/>
      <c r="L893" s="39"/>
      <c r="M893" s="31"/>
      <c r="N893" s="31"/>
      <c r="O893" s="31"/>
      <c r="P893" s="31"/>
      <c r="Q893" s="31"/>
    </row>
    <row r="894" spans="1:17" ht="15" customHeight="1" x14ac:dyDescent="0.35">
      <c r="A894" s="31">
        <f>A893+1</f>
        <v>10</v>
      </c>
      <c r="C894" s="31" t="str">
        <f>C889</f>
        <v xml:space="preserve">    First 30,000 Mcf</v>
      </c>
      <c r="D894" s="300" t="s">
        <v>27</v>
      </c>
      <c r="E894" s="31">
        <f>Input!C50</f>
        <v>0.70930000000000004</v>
      </c>
      <c r="F894" s="221">
        <f t="shared" ref="F894:K894" si="282">ROUND(F889*$E$894,2)</f>
        <v>178998.03</v>
      </c>
      <c r="G894" s="221">
        <f t="shared" si="282"/>
        <v>136627.35</v>
      </c>
      <c r="H894" s="221">
        <f t="shared" si="282"/>
        <v>118084.83</v>
      </c>
      <c r="I894" s="221">
        <f t="shared" si="282"/>
        <v>115408.86</v>
      </c>
      <c r="J894" s="221">
        <f t="shared" si="282"/>
        <v>106658.36</v>
      </c>
      <c r="K894" s="221">
        <f t="shared" si="282"/>
        <v>105373.04</v>
      </c>
      <c r="L894" s="221">
        <f t="shared" ref="L894:L897" si="283">SUM(F894:K894)</f>
        <v>761150.47000000009</v>
      </c>
      <c r="M894" s="31"/>
      <c r="N894" s="31"/>
      <c r="O894" s="31"/>
      <c r="P894" s="31"/>
      <c r="Q894" s="31"/>
    </row>
    <row r="895" spans="1:17" ht="15" customHeight="1" x14ac:dyDescent="0.35">
      <c r="A895" s="31">
        <f>A894+1</f>
        <v>11</v>
      </c>
      <c r="C895" s="31" t="str">
        <f>C890</f>
        <v xml:space="preserve">    Next 70,000 Mcf</v>
      </c>
      <c r="D895" s="300" t="s">
        <v>27</v>
      </c>
      <c r="E895" s="31">
        <f>Input!D50</f>
        <v>0.43780000000000002</v>
      </c>
      <c r="F895" s="36">
        <f t="shared" ref="F895:K895" si="284">ROUND(F890*$E$895,2)</f>
        <v>26049.1</v>
      </c>
      <c r="G895" s="36">
        <f t="shared" si="284"/>
        <v>16198.6</v>
      </c>
      <c r="H895" s="36">
        <f t="shared" si="284"/>
        <v>10069.4</v>
      </c>
      <c r="I895" s="36">
        <f t="shared" si="284"/>
        <v>4815.8</v>
      </c>
      <c r="J895" s="36">
        <f t="shared" si="284"/>
        <v>4815.8</v>
      </c>
      <c r="K895" s="36">
        <f t="shared" si="284"/>
        <v>7749.06</v>
      </c>
      <c r="L895" s="36">
        <f t="shared" si="283"/>
        <v>69697.760000000009</v>
      </c>
      <c r="M895" s="31"/>
      <c r="N895" s="31"/>
      <c r="O895" s="31"/>
      <c r="P895" s="31"/>
      <c r="Q895" s="31"/>
    </row>
    <row r="896" spans="1:17" ht="15" customHeight="1" x14ac:dyDescent="0.35">
      <c r="A896" s="31">
        <f>A895+1</f>
        <v>12</v>
      </c>
      <c r="C896" s="31" t="str">
        <f>C891</f>
        <v xml:space="preserve">    Over 100,000 Mcf</v>
      </c>
      <c r="D896" s="300" t="s">
        <v>27</v>
      </c>
      <c r="E896" s="31">
        <f>Input!E50</f>
        <v>0.24229999999999999</v>
      </c>
      <c r="F896" s="51">
        <f>ROUND(F891*$E$896,2)</f>
        <v>0</v>
      </c>
      <c r="G896" s="51">
        <f t="shared" ref="G896:K896" si="285">ROUND(G891*$E$896,2)</f>
        <v>0</v>
      </c>
      <c r="H896" s="51">
        <f t="shared" si="285"/>
        <v>0</v>
      </c>
      <c r="I896" s="51">
        <f t="shared" si="285"/>
        <v>0</v>
      </c>
      <c r="J896" s="51">
        <f t="shared" si="285"/>
        <v>0</v>
      </c>
      <c r="K896" s="51">
        <f t="shared" si="285"/>
        <v>0</v>
      </c>
      <c r="L896" s="51">
        <f t="shared" si="283"/>
        <v>0</v>
      </c>
      <c r="M896" s="31"/>
      <c r="N896" s="31"/>
      <c r="O896" s="31"/>
      <c r="P896" s="31"/>
      <c r="Q896" s="31"/>
    </row>
    <row r="897" spans="1:17" ht="15" customHeight="1" x14ac:dyDescent="0.35">
      <c r="F897" s="221">
        <f>SUM(F894:F896)</f>
        <v>205047.13</v>
      </c>
      <c r="G897" s="221">
        <f t="shared" ref="G897:K897" si="286">SUM(G894:G896)</f>
        <v>152825.95000000001</v>
      </c>
      <c r="H897" s="221">
        <f t="shared" si="286"/>
        <v>128154.23</v>
      </c>
      <c r="I897" s="221">
        <f t="shared" si="286"/>
        <v>120224.66</v>
      </c>
      <c r="J897" s="221">
        <f t="shared" si="286"/>
        <v>111474.16</v>
      </c>
      <c r="K897" s="221">
        <f t="shared" si="286"/>
        <v>113122.09999999999</v>
      </c>
      <c r="L897" s="221">
        <f t="shared" si="283"/>
        <v>830848.23</v>
      </c>
      <c r="M897" s="31"/>
      <c r="N897" s="31"/>
      <c r="O897" s="31"/>
      <c r="P897" s="31"/>
      <c r="Q897" s="31"/>
    </row>
    <row r="898" spans="1:17" ht="15" customHeight="1" x14ac:dyDescent="0.65">
      <c r="C898" s="333"/>
      <c r="D898" s="52"/>
      <c r="E898" s="314"/>
      <c r="F898" s="212"/>
      <c r="G898" s="212"/>
      <c r="H898" s="212"/>
      <c r="I898" s="212"/>
      <c r="J898" s="212"/>
      <c r="K898" s="212"/>
      <c r="L898" s="212"/>
      <c r="M898" s="31"/>
      <c r="N898" s="31"/>
      <c r="O898" s="31"/>
      <c r="P898" s="31"/>
      <c r="Q898" s="31"/>
    </row>
    <row r="899" spans="1:17" ht="15" customHeight="1" x14ac:dyDescent="0.35">
      <c r="A899" s="31">
        <f>A896+1</f>
        <v>13</v>
      </c>
      <c r="C899" s="31" t="s">
        <v>162</v>
      </c>
      <c r="F899" s="221">
        <f>F886+F897</f>
        <v>292657.73</v>
      </c>
      <c r="G899" s="221">
        <f t="shared" ref="G899:K899" si="287">G886+G897</f>
        <v>244418.85</v>
      </c>
      <c r="H899" s="221">
        <f t="shared" si="287"/>
        <v>215764.83000000002</v>
      </c>
      <c r="I899" s="221">
        <f t="shared" si="287"/>
        <v>207835.26</v>
      </c>
      <c r="J899" s="221">
        <f t="shared" si="287"/>
        <v>199084.76</v>
      </c>
      <c r="K899" s="221">
        <f t="shared" si="287"/>
        <v>200732.7</v>
      </c>
      <c r="L899" s="221">
        <f>SUM(F899:K899)</f>
        <v>1360494.13</v>
      </c>
      <c r="M899" s="31"/>
      <c r="N899" s="31"/>
      <c r="O899" s="31"/>
      <c r="P899" s="31"/>
      <c r="Q899" s="31"/>
    </row>
    <row r="900" spans="1:17" ht="15" customHeight="1" x14ac:dyDescent="0.35">
      <c r="F900" s="38"/>
      <c r="H900" s="38"/>
      <c r="J900" s="38"/>
      <c r="M900" s="31"/>
      <c r="N900" s="31"/>
      <c r="O900" s="31"/>
      <c r="P900" s="31"/>
      <c r="Q900" s="31"/>
    </row>
    <row r="901" spans="1:17" ht="15" customHeight="1" x14ac:dyDescent="0.35">
      <c r="A901" s="31">
        <f>A899+1</f>
        <v>14</v>
      </c>
      <c r="C901" s="31" t="s">
        <v>132</v>
      </c>
      <c r="D901" s="31" t="s">
        <v>27</v>
      </c>
      <c r="E901" s="311">
        <v>0</v>
      </c>
      <c r="F901" s="221">
        <v>0</v>
      </c>
      <c r="G901" s="221">
        <v>0</v>
      </c>
      <c r="H901" s="221">
        <v>0</v>
      </c>
      <c r="I901" s="221">
        <v>0</v>
      </c>
      <c r="J901" s="221">
        <v>0</v>
      </c>
      <c r="K901" s="221">
        <v>0</v>
      </c>
      <c r="L901" s="221">
        <f>SUM(F901:K901)</f>
        <v>0</v>
      </c>
      <c r="M901" s="31"/>
      <c r="N901" s="31"/>
      <c r="O901" s="31"/>
      <c r="P901" s="31"/>
      <c r="Q901" s="31"/>
    </row>
    <row r="902" spans="1:17" ht="15" customHeight="1" x14ac:dyDescent="0.35">
      <c r="F902" s="55"/>
      <c r="G902" s="55"/>
      <c r="H902" s="55"/>
      <c r="I902" s="55"/>
      <c r="J902" s="55"/>
      <c r="K902" s="55"/>
      <c r="L902" s="39"/>
      <c r="M902" s="31"/>
      <c r="N902" s="31"/>
      <c r="O902" s="31"/>
      <c r="P902" s="31"/>
      <c r="Q902" s="31"/>
    </row>
    <row r="903" spans="1:17" ht="15" customHeight="1" x14ac:dyDescent="0.35">
      <c r="A903" s="31">
        <f>A901+1</f>
        <v>15</v>
      </c>
      <c r="C903" s="36" t="s">
        <v>163</v>
      </c>
      <c r="D903" s="50"/>
      <c r="E903" s="56"/>
      <c r="F903" s="221">
        <f t="shared" ref="F903:J903" si="288">F899+F901</f>
        <v>292657.73</v>
      </c>
      <c r="G903" s="221">
        <f t="shared" si="288"/>
        <v>244418.85</v>
      </c>
      <c r="H903" s="221">
        <f>H899+H901</f>
        <v>215764.83000000002</v>
      </c>
      <c r="I903" s="221">
        <f t="shared" si="288"/>
        <v>207835.26</v>
      </c>
      <c r="J903" s="221">
        <f t="shared" si="288"/>
        <v>199084.76</v>
      </c>
      <c r="K903" s="221">
        <f>K899+K901</f>
        <v>200732.7</v>
      </c>
      <c r="L903" s="221">
        <f>SUM(F903:K903)</f>
        <v>1360494.13</v>
      </c>
      <c r="M903" s="31"/>
      <c r="N903" s="31"/>
      <c r="O903" s="31"/>
      <c r="P903" s="31"/>
      <c r="Q903" s="31"/>
    </row>
    <row r="904" spans="1:17" ht="15" customHeight="1" x14ac:dyDescent="0.35">
      <c r="F904" s="38"/>
      <c r="H904" s="38"/>
      <c r="J904" s="38"/>
      <c r="L904" s="31"/>
      <c r="M904" s="31"/>
      <c r="N904" s="31"/>
      <c r="O904" s="31"/>
      <c r="P904" s="31"/>
      <c r="Q904" s="31"/>
    </row>
    <row r="905" spans="1:17" ht="15" customHeight="1" x14ac:dyDescent="0.35">
      <c r="A905" s="31">
        <f>A903+1</f>
        <v>16</v>
      </c>
      <c r="B905" s="31" t="str">
        <f>B244</f>
        <v>DS</v>
      </c>
      <c r="C905" s="31" t="str">
        <f>C244</f>
        <v>GTS Delivery Service - Industrial</v>
      </c>
      <c r="F905" s="38"/>
      <c r="H905" s="38"/>
      <c r="J905" s="38"/>
      <c r="L905" s="31"/>
      <c r="M905" s="31"/>
      <c r="N905" s="31"/>
      <c r="O905" s="31"/>
      <c r="P905" s="31"/>
      <c r="Q905" s="31"/>
    </row>
    <row r="906" spans="1:17" ht="15" customHeight="1" x14ac:dyDescent="0.35">
      <c r="F906" s="38"/>
      <c r="H906" s="38"/>
      <c r="J906" s="38"/>
      <c r="L906" s="31"/>
      <c r="M906" s="31"/>
      <c r="N906" s="31"/>
      <c r="O906" s="31"/>
      <c r="P906" s="31"/>
      <c r="Q906" s="31"/>
    </row>
    <row r="907" spans="1:17" ht="15" customHeight="1" x14ac:dyDescent="0.4">
      <c r="A907" s="31">
        <f>A905+1</f>
        <v>17</v>
      </c>
      <c r="C907" s="35" t="s">
        <v>106</v>
      </c>
      <c r="D907" s="35"/>
      <c r="F907" s="38"/>
      <c r="H907" s="38"/>
      <c r="J907" s="38"/>
      <c r="L907" s="31"/>
      <c r="M907" s="31"/>
      <c r="N907" s="31"/>
      <c r="O907" s="31"/>
      <c r="P907" s="31"/>
      <c r="Q907" s="31"/>
    </row>
    <row r="908" spans="1:17" ht="15" customHeight="1" x14ac:dyDescent="0.4">
      <c r="C908" s="35"/>
      <c r="D908" s="35"/>
      <c r="F908" s="38"/>
      <c r="H908" s="38"/>
      <c r="J908" s="38"/>
      <c r="L908" s="31"/>
      <c r="M908" s="31"/>
      <c r="N908" s="31"/>
      <c r="O908" s="31"/>
      <c r="P908" s="31"/>
      <c r="Q908" s="31"/>
    </row>
    <row r="909" spans="1:17" ht="15" customHeight="1" x14ac:dyDescent="0.35">
      <c r="A909" s="31">
        <f>A907+1</f>
        <v>18</v>
      </c>
      <c r="C909" s="31" t="s">
        <v>161</v>
      </c>
      <c r="F909" s="108">
        <f>B!D218</f>
        <v>40</v>
      </c>
      <c r="G909" s="108">
        <f>B!E218</f>
        <v>40</v>
      </c>
      <c r="H909" s="108">
        <f>B!F218</f>
        <v>40</v>
      </c>
      <c r="I909" s="108">
        <f>B!G218</f>
        <v>40</v>
      </c>
      <c r="J909" s="108">
        <f>B!H218</f>
        <v>40</v>
      </c>
      <c r="K909" s="108">
        <f>B!I218</f>
        <v>40</v>
      </c>
      <c r="L909" s="108">
        <f>SUM(F909:K909)</f>
        <v>240</v>
      </c>
      <c r="M909" s="31"/>
      <c r="N909" s="31"/>
      <c r="O909" s="31"/>
      <c r="P909" s="31"/>
      <c r="Q909" s="31"/>
    </row>
    <row r="910" spans="1:17" ht="15" customHeight="1" x14ac:dyDescent="0.35">
      <c r="A910" s="31">
        <f>A909+1</f>
        <v>19</v>
      </c>
      <c r="C910" s="31" t="s">
        <v>168</v>
      </c>
      <c r="D910" s="31" t="s">
        <v>28</v>
      </c>
      <c r="E910" s="313">
        <f>Input!H51</f>
        <v>3982.3</v>
      </c>
      <c r="F910" s="221">
        <f t="shared" ref="F910:K910" si="289">ROUND(F909*$E$910,2)</f>
        <v>159292</v>
      </c>
      <c r="G910" s="221">
        <f t="shared" si="289"/>
        <v>159292</v>
      </c>
      <c r="H910" s="221">
        <f t="shared" si="289"/>
        <v>159292</v>
      </c>
      <c r="I910" s="221">
        <f t="shared" si="289"/>
        <v>159292</v>
      </c>
      <c r="J910" s="221">
        <f t="shared" si="289"/>
        <v>159292</v>
      </c>
      <c r="K910" s="221">
        <f t="shared" si="289"/>
        <v>159292</v>
      </c>
      <c r="L910" s="221">
        <f>SUM(F910:K910)</f>
        <v>955752</v>
      </c>
      <c r="M910" s="31"/>
      <c r="N910" s="31"/>
      <c r="O910" s="31"/>
      <c r="P910" s="31"/>
      <c r="Q910" s="31"/>
    </row>
    <row r="911" spans="1:17" ht="15" customHeight="1" x14ac:dyDescent="0.35">
      <c r="E911" s="313"/>
      <c r="F911" s="221"/>
      <c r="G911" s="221"/>
      <c r="H911" s="221"/>
      <c r="I911" s="221"/>
      <c r="J911" s="221"/>
      <c r="K911" s="221"/>
      <c r="L911" s="221"/>
      <c r="M911" s="31"/>
      <c r="N911" s="31"/>
      <c r="O911" s="31"/>
      <c r="P911" s="31"/>
      <c r="Q911" s="31"/>
    </row>
    <row r="912" spans="1:17" ht="15" customHeight="1" x14ac:dyDescent="0.35">
      <c r="A912" s="31">
        <f>A910+1</f>
        <v>20</v>
      </c>
      <c r="C912" s="31" t="s">
        <v>167</v>
      </c>
      <c r="F912" s="38"/>
      <c r="H912" s="38"/>
      <c r="J912" s="38"/>
      <c r="L912" s="31"/>
      <c r="M912" s="31"/>
      <c r="N912" s="31"/>
      <c r="O912" s="31"/>
      <c r="P912" s="31"/>
      <c r="Q912" s="31"/>
    </row>
    <row r="913" spans="1:18" ht="15" customHeight="1" x14ac:dyDescent="0.35">
      <c r="A913" s="31">
        <f>A912+1</f>
        <v>21</v>
      </c>
      <c r="C913" s="31" t="str">
        <f>'C'!B281</f>
        <v xml:space="preserve">    First 30,000 Mcf</v>
      </c>
      <c r="F913" s="78">
        <f>'C'!D291</f>
        <v>339197.7</v>
      </c>
      <c r="G913" s="78">
        <f>'C'!E291</f>
        <v>326771.7</v>
      </c>
      <c r="H913" s="78">
        <f>'C'!F291</f>
        <v>319753.59999999998</v>
      </c>
      <c r="I913" s="78">
        <f>'C'!G291</f>
        <v>296704.8</v>
      </c>
      <c r="J913" s="78">
        <f>'C'!H291</f>
        <v>246206.9</v>
      </c>
      <c r="K913" s="78">
        <f>'C'!I291</f>
        <v>305758</v>
      </c>
      <c r="L913" s="78">
        <f>SUM(F913:K913)</f>
        <v>1834392.7</v>
      </c>
      <c r="M913" s="31"/>
      <c r="N913" s="31"/>
      <c r="O913" s="31"/>
      <c r="P913" s="31"/>
      <c r="Q913" s="31"/>
    </row>
    <row r="914" spans="1:18" ht="15" customHeight="1" x14ac:dyDescent="0.35">
      <c r="A914" s="31">
        <f>A913+1</f>
        <v>22</v>
      </c>
      <c r="C914" s="31" t="str">
        <f>'C'!B282</f>
        <v xml:space="preserve">    Next 70,000 Mcf</v>
      </c>
      <c r="F914" s="37">
        <f>'C'!D292</f>
        <v>141756</v>
      </c>
      <c r="G914" s="37">
        <f>'C'!E292</f>
        <v>140000</v>
      </c>
      <c r="H914" s="37">
        <f>'C'!F292</f>
        <v>125303.1</v>
      </c>
      <c r="I914" s="37">
        <f>'C'!G292</f>
        <v>111447.2</v>
      </c>
      <c r="J914" s="37">
        <f>'C'!H292</f>
        <v>25815.9</v>
      </c>
      <c r="K914" s="37">
        <f>'C'!I292</f>
        <v>110512.6</v>
      </c>
      <c r="L914" s="37">
        <f>SUM(F914:K914)</f>
        <v>654834.79999999993</v>
      </c>
      <c r="M914" s="31"/>
      <c r="N914" s="31"/>
      <c r="O914" s="31"/>
      <c r="P914" s="31"/>
      <c r="Q914" s="31"/>
    </row>
    <row r="915" spans="1:18" ht="15" customHeight="1" x14ac:dyDescent="0.35">
      <c r="A915" s="31">
        <f>A914+1</f>
        <v>23</v>
      </c>
      <c r="C915" s="31" t="str">
        <f>'C'!B283</f>
        <v xml:space="preserve">    Over 100,000 Mcf</v>
      </c>
      <c r="F915" s="61">
        <f>'C'!D293</f>
        <v>106830.5</v>
      </c>
      <c r="G915" s="61">
        <f>'C'!E293</f>
        <v>29319.3</v>
      </c>
      <c r="H915" s="61">
        <f>'C'!F293</f>
        <v>16521.7</v>
      </c>
      <c r="I915" s="61">
        <f>'C'!G293</f>
        <v>6956.5</v>
      </c>
      <c r="J915" s="61">
        <f>'C'!H293</f>
        <v>0</v>
      </c>
      <c r="K915" s="61">
        <f>'C'!I293</f>
        <v>2608.6999999999998</v>
      </c>
      <c r="L915" s="61">
        <f>SUM(F915:K915)</f>
        <v>162236.70000000001</v>
      </c>
      <c r="M915" s="31"/>
      <c r="N915" s="31"/>
      <c r="O915" s="31"/>
      <c r="P915" s="31"/>
      <c r="Q915" s="31"/>
    </row>
    <row r="916" spans="1:18" ht="15" customHeight="1" x14ac:dyDescent="0.35">
      <c r="F916" s="78">
        <f>SUM(F913:F915)</f>
        <v>587784.19999999995</v>
      </c>
      <c r="G916" s="78">
        <f t="shared" ref="G916:K916" si="290">SUM(G913:G915)</f>
        <v>496091</v>
      </c>
      <c r="H916" s="78">
        <f t="shared" si="290"/>
        <v>461578.39999999997</v>
      </c>
      <c r="I916" s="78">
        <f t="shared" si="290"/>
        <v>415108.5</v>
      </c>
      <c r="J916" s="78">
        <f t="shared" si="290"/>
        <v>272022.8</v>
      </c>
      <c r="K916" s="78">
        <f t="shared" si="290"/>
        <v>418879.3</v>
      </c>
      <c r="L916" s="78">
        <f>SUM(F916:K916)</f>
        <v>2651464.1999999997</v>
      </c>
      <c r="M916" s="31"/>
      <c r="N916" s="31"/>
      <c r="O916" s="31"/>
      <c r="P916" s="31"/>
      <c r="Q916" s="31"/>
    </row>
    <row r="917" spans="1:18" ht="15" customHeight="1" x14ac:dyDescent="0.35">
      <c r="A917" s="31">
        <f>A915+1</f>
        <v>24</v>
      </c>
      <c r="C917" s="31" t="s">
        <v>165</v>
      </c>
      <c r="F917" s="38"/>
      <c r="H917" s="38"/>
      <c r="J917" s="38"/>
      <c r="L917" s="39"/>
      <c r="M917" s="31"/>
      <c r="N917" s="31"/>
      <c r="O917" s="31"/>
      <c r="P917" s="31"/>
      <c r="Q917" s="31"/>
    </row>
    <row r="918" spans="1:18" ht="15" customHeight="1" x14ac:dyDescent="0.35">
      <c r="A918" s="31">
        <f>A917+1</f>
        <v>25</v>
      </c>
      <c r="C918" s="31" t="str">
        <f>C913</f>
        <v xml:space="preserve">    First 30,000 Mcf</v>
      </c>
      <c r="D918" s="300" t="s">
        <v>27</v>
      </c>
      <c r="E918" s="314">
        <f>Input!C51</f>
        <v>0.70930000000000004</v>
      </c>
      <c r="F918" s="221">
        <f t="shared" ref="F918:K918" si="291">ROUND(F913*$E$918,2)</f>
        <v>240592.93</v>
      </c>
      <c r="G918" s="221">
        <f t="shared" si="291"/>
        <v>231779.17</v>
      </c>
      <c r="H918" s="221">
        <f t="shared" si="291"/>
        <v>226801.23</v>
      </c>
      <c r="I918" s="221">
        <f t="shared" si="291"/>
        <v>210452.71</v>
      </c>
      <c r="J918" s="221">
        <f t="shared" si="291"/>
        <v>174634.55</v>
      </c>
      <c r="K918" s="221">
        <f t="shared" si="291"/>
        <v>216874.15</v>
      </c>
      <c r="L918" s="221">
        <f t="shared" ref="L918:L921" si="292">SUM(F918:K918)</f>
        <v>1301134.7399999998</v>
      </c>
      <c r="M918" s="31"/>
      <c r="N918" s="31"/>
      <c r="O918" s="31"/>
      <c r="P918" s="31"/>
      <c r="Q918" s="31"/>
    </row>
    <row r="919" spans="1:18" ht="15" customHeight="1" x14ac:dyDescent="0.35">
      <c r="A919" s="31">
        <f>A918+1</f>
        <v>26</v>
      </c>
      <c r="C919" s="31" t="str">
        <f>C914</f>
        <v xml:space="preserve">    Next 70,000 Mcf</v>
      </c>
      <c r="D919" s="300" t="s">
        <v>27</v>
      </c>
      <c r="E919" s="314">
        <f>Input!D51</f>
        <v>0.43780000000000002</v>
      </c>
      <c r="F919" s="36">
        <f t="shared" ref="F919:K919" si="293">ROUND(F914*$E$919,2)</f>
        <v>62060.78</v>
      </c>
      <c r="G919" s="36">
        <f t="shared" si="293"/>
        <v>61292</v>
      </c>
      <c r="H919" s="36">
        <f t="shared" si="293"/>
        <v>54857.7</v>
      </c>
      <c r="I919" s="36">
        <f t="shared" si="293"/>
        <v>48791.58</v>
      </c>
      <c r="J919" s="36">
        <f t="shared" si="293"/>
        <v>11302.2</v>
      </c>
      <c r="K919" s="36">
        <f t="shared" si="293"/>
        <v>48382.42</v>
      </c>
      <c r="L919" s="36">
        <f t="shared" si="292"/>
        <v>286686.68</v>
      </c>
      <c r="M919" s="31"/>
      <c r="N919" s="31"/>
      <c r="O919" s="31"/>
      <c r="P919" s="31"/>
      <c r="Q919" s="31"/>
    </row>
    <row r="920" spans="1:18" ht="15" customHeight="1" x14ac:dyDescent="0.35">
      <c r="A920" s="31">
        <f>A919+1</f>
        <v>27</v>
      </c>
      <c r="C920" s="31" t="str">
        <f>C915</f>
        <v xml:space="preserve">    Over 100,000 Mcf</v>
      </c>
      <c r="D920" s="300" t="s">
        <v>27</v>
      </c>
      <c r="E920" s="314">
        <f>Input!E51</f>
        <v>0.24229999999999999</v>
      </c>
      <c r="F920" s="51">
        <f>ROUND(F915*$E$920,2)</f>
        <v>25885.03</v>
      </c>
      <c r="G920" s="51">
        <f t="shared" ref="G920:K920" si="294">ROUND(G915*$E$920,2)</f>
        <v>7104.07</v>
      </c>
      <c r="H920" s="51">
        <f t="shared" si="294"/>
        <v>4003.21</v>
      </c>
      <c r="I920" s="51">
        <f t="shared" si="294"/>
        <v>1685.56</v>
      </c>
      <c r="J920" s="51">
        <f t="shared" si="294"/>
        <v>0</v>
      </c>
      <c r="K920" s="51">
        <f t="shared" si="294"/>
        <v>632.09</v>
      </c>
      <c r="L920" s="51">
        <f t="shared" si="292"/>
        <v>39309.959999999992</v>
      </c>
      <c r="M920" s="31"/>
      <c r="N920" s="36"/>
      <c r="O920" s="31"/>
      <c r="P920" s="31"/>
      <c r="Q920" s="31"/>
    </row>
    <row r="921" spans="1:18" ht="15" customHeight="1" x14ac:dyDescent="0.35">
      <c r="F921" s="221">
        <f>SUM(F918:F920)</f>
        <v>328538.74</v>
      </c>
      <c r="G921" s="221">
        <f t="shared" ref="G921:K921" si="295">SUM(G918:G920)</f>
        <v>300175.24000000005</v>
      </c>
      <c r="H921" s="221">
        <f t="shared" si="295"/>
        <v>285662.14</v>
      </c>
      <c r="I921" s="221">
        <f t="shared" si="295"/>
        <v>260929.84999999998</v>
      </c>
      <c r="J921" s="221">
        <f t="shared" si="295"/>
        <v>185936.75</v>
      </c>
      <c r="K921" s="221">
        <f t="shared" si="295"/>
        <v>265888.66000000003</v>
      </c>
      <c r="L921" s="221">
        <f t="shared" si="292"/>
        <v>1627131.38</v>
      </c>
      <c r="M921" s="31"/>
      <c r="N921" s="31"/>
      <c r="O921" s="31"/>
      <c r="P921" s="31"/>
      <c r="Q921" s="31"/>
    </row>
    <row r="922" spans="1:18" ht="15" customHeight="1" x14ac:dyDescent="0.65">
      <c r="C922" s="333"/>
      <c r="D922" s="52"/>
      <c r="E922" s="314"/>
      <c r="F922" s="212"/>
      <c r="G922" s="212"/>
      <c r="H922" s="212"/>
      <c r="I922" s="212"/>
      <c r="J922" s="212"/>
      <c r="K922" s="212"/>
      <c r="L922" s="212"/>
      <c r="M922" s="31"/>
      <c r="N922" s="31"/>
      <c r="O922" s="31"/>
      <c r="P922" s="31"/>
      <c r="Q922" s="31"/>
    </row>
    <row r="923" spans="1:18" ht="15" customHeight="1" x14ac:dyDescent="0.35">
      <c r="A923" s="31">
        <f>A920+1</f>
        <v>28</v>
      </c>
      <c r="C923" s="31" t="s">
        <v>162</v>
      </c>
      <c r="F923" s="221">
        <f>F910+F921</f>
        <v>487830.74</v>
      </c>
      <c r="G923" s="221">
        <f t="shared" ref="G923:K923" si="296">G910+G921</f>
        <v>459467.24000000005</v>
      </c>
      <c r="H923" s="221">
        <f t="shared" si="296"/>
        <v>444954.14</v>
      </c>
      <c r="I923" s="221">
        <f t="shared" si="296"/>
        <v>420221.85</v>
      </c>
      <c r="J923" s="221">
        <f t="shared" si="296"/>
        <v>345228.75</v>
      </c>
      <c r="K923" s="221">
        <f t="shared" si="296"/>
        <v>425180.66000000003</v>
      </c>
      <c r="L923" s="221">
        <f>SUM(F923:K923)</f>
        <v>2582883.3800000004</v>
      </c>
      <c r="M923" s="31"/>
      <c r="N923" s="31"/>
      <c r="O923" s="31"/>
      <c r="P923" s="31"/>
      <c r="Q923" s="31"/>
    </row>
    <row r="924" spans="1:18" ht="14.5" customHeight="1" x14ac:dyDescent="0.35">
      <c r="A924" s="31">
        <f>A923+1</f>
        <v>29</v>
      </c>
      <c r="C924" s="31" t="s">
        <v>132</v>
      </c>
      <c r="D924" s="31" t="s">
        <v>27</v>
      </c>
      <c r="E924" s="311">
        <v>0</v>
      </c>
      <c r="F924" s="221">
        <v>0</v>
      </c>
      <c r="G924" s="221">
        <v>0</v>
      </c>
      <c r="H924" s="221">
        <v>0</v>
      </c>
      <c r="I924" s="221">
        <v>0</v>
      </c>
      <c r="J924" s="221">
        <v>0</v>
      </c>
      <c r="K924" s="221">
        <v>0</v>
      </c>
      <c r="L924" s="221">
        <f>SUM(F924:K924)</f>
        <v>0</v>
      </c>
      <c r="M924" s="31"/>
      <c r="N924" s="31"/>
      <c r="O924" s="31"/>
      <c r="P924" s="31"/>
      <c r="Q924" s="31"/>
    </row>
    <row r="925" spans="1:18" ht="15" customHeight="1" x14ac:dyDescent="0.35">
      <c r="F925" s="55"/>
      <c r="G925" s="55"/>
      <c r="H925" s="55"/>
      <c r="I925" s="55"/>
      <c r="J925" s="55"/>
      <c r="K925" s="55"/>
      <c r="L925" s="39"/>
      <c r="M925" s="31"/>
      <c r="N925" s="31"/>
      <c r="O925" s="31"/>
      <c r="P925" s="31"/>
      <c r="Q925" s="31"/>
    </row>
    <row r="926" spans="1:18" ht="15" customHeight="1" x14ac:dyDescent="0.35">
      <c r="A926" s="31">
        <f>A924+1</f>
        <v>30</v>
      </c>
      <c r="C926" s="36" t="s">
        <v>163</v>
      </c>
      <c r="D926" s="50"/>
      <c r="E926" s="56"/>
      <c r="F926" s="221">
        <f t="shared" ref="F926:K926" si="297">F923+F924</f>
        <v>487830.74</v>
      </c>
      <c r="G926" s="221">
        <f t="shared" si="297"/>
        <v>459467.24000000005</v>
      </c>
      <c r="H926" s="221">
        <f t="shared" si="297"/>
        <v>444954.14</v>
      </c>
      <c r="I926" s="221">
        <f t="shared" si="297"/>
        <v>420221.85</v>
      </c>
      <c r="J926" s="221">
        <f t="shared" si="297"/>
        <v>345228.75</v>
      </c>
      <c r="K926" s="221">
        <f t="shared" si="297"/>
        <v>425180.66000000003</v>
      </c>
      <c r="L926" s="221">
        <f>SUM(F926:K926)</f>
        <v>2582883.3800000004</v>
      </c>
      <c r="M926" s="31"/>
      <c r="N926" s="31"/>
      <c r="O926" s="31"/>
      <c r="P926" s="31"/>
      <c r="Q926" s="31"/>
    </row>
    <row r="927" spans="1:18" ht="15" customHeight="1" x14ac:dyDescent="0.35">
      <c r="R927" s="312"/>
    </row>
    <row r="928" spans="1:18" ht="15" customHeight="1" x14ac:dyDescent="0.35">
      <c r="A928" s="31">
        <f>A926+1</f>
        <v>31</v>
      </c>
      <c r="B928" s="31" t="str">
        <f>B251</f>
        <v>GDS</v>
      </c>
      <c r="C928" s="31" t="str">
        <f>C251</f>
        <v>GTS Grandfathered Delivery Service - Commercial</v>
      </c>
      <c r="F928" s="38"/>
      <c r="H928" s="38"/>
      <c r="J928" s="38"/>
      <c r="L928" s="31"/>
      <c r="M928" s="31"/>
      <c r="N928" s="31"/>
      <c r="O928" s="31"/>
      <c r="P928" s="31"/>
      <c r="Q928" s="31"/>
    </row>
    <row r="929" spans="1:17" ht="15" customHeight="1" x14ac:dyDescent="0.35">
      <c r="F929" s="38"/>
      <c r="H929" s="38"/>
      <c r="J929" s="38"/>
      <c r="L929" s="31"/>
      <c r="M929" s="31"/>
      <c r="N929" s="31"/>
      <c r="O929" s="31"/>
      <c r="P929" s="31"/>
      <c r="Q929" s="31"/>
    </row>
    <row r="930" spans="1:17" ht="15" customHeight="1" x14ac:dyDescent="0.4">
      <c r="A930" s="31">
        <f>A928+1</f>
        <v>32</v>
      </c>
      <c r="C930" s="35" t="s">
        <v>105</v>
      </c>
      <c r="D930" s="35"/>
      <c r="F930" s="38"/>
      <c r="H930" s="38"/>
      <c r="J930" s="38"/>
      <c r="L930" s="31"/>
      <c r="M930" s="31"/>
      <c r="N930" s="31"/>
      <c r="O930" s="31"/>
      <c r="P930" s="31"/>
      <c r="Q930" s="31"/>
    </row>
    <row r="931" spans="1:17" ht="15" customHeight="1" x14ac:dyDescent="0.4">
      <c r="C931" s="35"/>
      <c r="D931" s="35"/>
      <c r="F931" s="38"/>
      <c r="H931" s="38"/>
      <c r="J931" s="38"/>
      <c r="L931" s="31"/>
      <c r="M931" s="31"/>
      <c r="N931" s="31"/>
      <c r="O931" s="31"/>
      <c r="P931" s="31"/>
      <c r="Q931" s="31"/>
    </row>
    <row r="932" spans="1:17" ht="15" customHeight="1" x14ac:dyDescent="0.4">
      <c r="A932" s="31">
        <f>A930+1</f>
        <v>33</v>
      </c>
      <c r="C932" s="31" t="s">
        <v>161</v>
      </c>
      <c r="D932" s="35"/>
      <c r="F932" s="108">
        <f>B!D224</f>
        <v>16</v>
      </c>
      <c r="G932" s="108">
        <f>B!E224</f>
        <v>16</v>
      </c>
      <c r="H932" s="108">
        <f>B!F224</f>
        <v>16</v>
      </c>
      <c r="I932" s="108">
        <f>B!G224</f>
        <v>16</v>
      </c>
      <c r="J932" s="108">
        <f>B!H224</f>
        <v>16</v>
      </c>
      <c r="K932" s="108">
        <f>B!I224</f>
        <v>16</v>
      </c>
      <c r="L932" s="108">
        <f>SUM(F932:K932)</f>
        <v>96</v>
      </c>
      <c r="M932" s="31"/>
      <c r="N932" s="31"/>
      <c r="O932" s="31"/>
      <c r="P932" s="31"/>
      <c r="Q932" s="31"/>
    </row>
    <row r="933" spans="1:17" ht="15" customHeight="1" x14ac:dyDescent="0.35">
      <c r="A933" s="31">
        <f>A932+1</f>
        <v>34</v>
      </c>
      <c r="C933" s="31" t="s">
        <v>168</v>
      </c>
      <c r="D933" s="31" t="s">
        <v>28</v>
      </c>
      <c r="E933" s="313">
        <f>Input!H52</f>
        <v>83.71</v>
      </c>
      <c r="F933" s="221">
        <f t="shared" ref="F933:K933" si="298">ROUND(F932*$E$933,2)</f>
        <v>1339.36</v>
      </c>
      <c r="G933" s="221">
        <f t="shared" si="298"/>
        <v>1339.36</v>
      </c>
      <c r="H933" s="221">
        <f t="shared" si="298"/>
        <v>1339.36</v>
      </c>
      <c r="I933" s="221">
        <f t="shared" si="298"/>
        <v>1339.36</v>
      </c>
      <c r="J933" s="221">
        <f t="shared" si="298"/>
        <v>1339.36</v>
      </c>
      <c r="K933" s="221">
        <f t="shared" si="298"/>
        <v>1339.36</v>
      </c>
      <c r="L933" s="221">
        <f>SUM(F933:K933)</f>
        <v>8036.1599999999989</v>
      </c>
      <c r="M933" s="31"/>
      <c r="N933" s="31"/>
      <c r="O933" s="31"/>
      <c r="P933" s="31"/>
      <c r="Q933" s="31"/>
    </row>
    <row r="934" spans="1:17" ht="15" customHeight="1" x14ac:dyDescent="0.35">
      <c r="E934" s="313"/>
      <c r="F934" s="221"/>
      <c r="G934" s="221"/>
      <c r="H934" s="221"/>
      <c r="I934" s="221"/>
      <c r="J934" s="221"/>
      <c r="K934" s="221"/>
      <c r="L934" s="221"/>
      <c r="M934" s="31"/>
      <c r="N934" s="31"/>
      <c r="O934" s="31"/>
      <c r="P934" s="31"/>
      <c r="Q934" s="31"/>
    </row>
    <row r="935" spans="1:17" ht="15" customHeight="1" x14ac:dyDescent="0.35">
      <c r="A935" s="31">
        <f>A933+1</f>
        <v>35</v>
      </c>
      <c r="C935" s="31" t="s">
        <v>167</v>
      </c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</row>
    <row r="936" spans="1:17" ht="15" customHeight="1" x14ac:dyDescent="0.35">
      <c r="A936" s="31">
        <f>A935+1</f>
        <v>36</v>
      </c>
      <c r="C936" s="31" t="str">
        <f>'C'!B298</f>
        <v xml:space="preserve">    First 50 Mcf</v>
      </c>
      <c r="F936" s="78">
        <f>'C'!D310</f>
        <v>800</v>
      </c>
      <c r="G936" s="78">
        <f>'C'!E310</f>
        <v>800</v>
      </c>
      <c r="H936" s="78">
        <f>'C'!F310</f>
        <v>800</v>
      </c>
      <c r="I936" s="78">
        <f>'C'!G310</f>
        <v>800</v>
      </c>
      <c r="J936" s="78">
        <f>'C'!H310</f>
        <v>750</v>
      </c>
      <c r="K936" s="78">
        <f>'C'!I310</f>
        <v>750</v>
      </c>
      <c r="L936" s="78">
        <f>SUM(F936:K936)</f>
        <v>4700</v>
      </c>
      <c r="M936" s="31"/>
      <c r="N936" s="31"/>
      <c r="O936" s="31"/>
      <c r="P936" s="31"/>
      <c r="Q936" s="31"/>
    </row>
    <row r="937" spans="1:17" ht="15" customHeight="1" x14ac:dyDescent="0.35">
      <c r="A937" s="31">
        <f>A936+1</f>
        <v>37</v>
      </c>
      <c r="C937" s="31" t="str">
        <f>'C'!B299</f>
        <v xml:space="preserve">    Next 350 Mcf</v>
      </c>
      <c r="F937" s="78">
        <f>'C'!D311</f>
        <v>5600</v>
      </c>
      <c r="G937" s="78">
        <f>'C'!E311</f>
        <v>5600</v>
      </c>
      <c r="H937" s="78">
        <f>'C'!F311</f>
        <v>5600</v>
      </c>
      <c r="I937" s="78">
        <f>'C'!G311</f>
        <v>5378.6</v>
      </c>
      <c r="J937" s="78">
        <f>'C'!H311</f>
        <v>5045.8999999999996</v>
      </c>
      <c r="K937" s="78">
        <f>'C'!I311</f>
        <v>5150</v>
      </c>
      <c r="L937" s="78">
        <f>SUM(F937:K937)</f>
        <v>32374.5</v>
      </c>
      <c r="M937" s="31"/>
      <c r="N937" s="31"/>
      <c r="O937" s="31"/>
      <c r="P937" s="31"/>
      <c r="Q937" s="31"/>
    </row>
    <row r="938" spans="1:17" ht="15" customHeight="1" x14ac:dyDescent="0.35">
      <c r="A938" s="31">
        <f>A937+1</f>
        <v>38</v>
      </c>
      <c r="C938" s="31" t="str">
        <f>'C'!B300</f>
        <v xml:space="preserve">    Next 600 Mcf</v>
      </c>
      <c r="F938" s="78">
        <f>'C'!D312</f>
        <v>9600</v>
      </c>
      <c r="G938" s="78">
        <f>'C'!E312</f>
        <v>9407.4</v>
      </c>
      <c r="H938" s="78">
        <f>'C'!F312</f>
        <v>7935</v>
      </c>
      <c r="I938" s="78">
        <f>'C'!G312</f>
        <v>7306.4</v>
      </c>
      <c r="J938" s="78">
        <f>'C'!H312</f>
        <v>6434.6</v>
      </c>
      <c r="K938" s="78">
        <f>'C'!I312</f>
        <v>6395.9</v>
      </c>
      <c r="L938" s="78">
        <f>SUM(F938:K938)</f>
        <v>47079.3</v>
      </c>
      <c r="M938" s="31"/>
      <c r="N938" s="31"/>
      <c r="O938" s="31"/>
      <c r="P938" s="31"/>
      <c r="Q938" s="31"/>
    </row>
    <row r="939" spans="1:17" ht="15" customHeight="1" x14ac:dyDescent="0.35">
      <c r="A939" s="31">
        <f>A938+1</f>
        <v>39</v>
      </c>
      <c r="C939" s="31" t="str">
        <f>'C'!B301</f>
        <v xml:space="preserve">    Over 1,000 Mcf</v>
      </c>
      <c r="F939" s="61">
        <f>'C'!D313</f>
        <v>73268.399999999994</v>
      </c>
      <c r="G939" s="61">
        <f>'C'!E313</f>
        <v>16445.7</v>
      </c>
      <c r="H939" s="61">
        <f>'C'!F313</f>
        <v>12880.9</v>
      </c>
      <c r="I939" s="61">
        <f>'C'!G313</f>
        <v>12639.5</v>
      </c>
      <c r="J939" s="61">
        <f>'C'!H313</f>
        <v>10958.7</v>
      </c>
      <c r="K939" s="61">
        <f>'C'!I313</f>
        <v>15218.9</v>
      </c>
      <c r="L939" s="61">
        <f>SUM(F939:K939)</f>
        <v>141412.09999999998</v>
      </c>
      <c r="M939" s="31"/>
      <c r="N939" s="31"/>
      <c r="O939" s="31"/>
      <c r="P939" s="31"/>
      <c r="Q939" s="31"/>
    </row>
    <row r="940" spans="1:17" ht="15" customHeight="1" x14ac:dyDescent="0.35">
      <c r="F940" s="78">
        <f t="shared" ref="F940:J940" si="299">SUM(F936:F939)</f>
        <v>89268.4</v>
      </c>
      <c r="G940" s="78">
        <f t="shared" si="299"/>
        <v>32253.1</v>
      </c>
      <c r="H940" s="78">
        <f t="shared" si="299"/>
        <v>27215.9</v>
      </c>
      <c r="I940" s="78">
        <f t="shared" si="299"/>
        <v>26124.5</v>
      </c>
      <c r="J940" s="78">
        <f t="shared" si="299"/>
        <v>23189.200000000001</v>
      </c>
      <c r="K940" s="78">
        <f>SUM(K936:K939)</f>
        <v>27514.799999999999</v>
      </c>
      <c r="L940" s="78">
        <f>SUM(F940:K940)</f>
        <v>225565.9</v>
      </c>
      <c r="M940" s="31"/>
      <c r="N940" s="31"/>
      <c r="O940" s="31"/>
      <c r="P940" s="31"/>
      <c r="Q940" s="31"/>
    </row>
    <row r="941" spans="1:17" ht="15" customHeight="1" x14ac:dyDescent="0.35">
      <c r="A941" s="31">
        <f>A939+1</f>
        <v>40</v>
      </c>
      <c r="C941" s="31" t="s">
        <v>165</v>
      </c>
      <c r="F941" s="38"/>
      <c r="H941" s="38"/>
      <c r="J941" s="38"/>
      <c r="L941" s="312"/>
      <c r="M941" s="31"/>
      <c r="N941" s="31"/>
      <c r="O941" s="31"/>
      <c r="P941" s="31"/>
      <c r="Q941" s="31"/>
    </row>
    <row r="942" spans="1:17" ht="15" customHeight="1" x14ac:dyDescent="0.35">
      <c r="A942" s="31">
        <f>A941+1</f>
        <v>41</v>
      </c>
      <c r="C942" s="31" t="str">
        <f>C936</f>
        <v xml:space="preserve">    First 50 Mcf</v>
      </c>
      <c r="D942" s="300" t="s">
        <v>27</v>
      </c>
      <c r="E942" s="31">
        <f>Input!C52</f>
        <v>3.2513000000000001</v>
      </c>
      <c r="F942" s="221">
        <f t="shared" ref="F942:K942" si="300">ROUND(F936*$E$942,2)</f>
        <v>2601.04</v>
      </c>
      <c r="G942" s="221">
        <f t="shared" si="300"/>
        <v>2601.04</v>
      </c>
      <c r="H942" s="221">
        <f t="shared" si="300"/>
        <v>2601.04</v>
      </c>
      <c r="I942" s="221">
        <f t="shared" si="300"/>
        <v>2601.04</v>
      </c>
      <c r="J942" s="221">
        <f t="shared" si="300"/>
        <v>2438.48</v>
      </c>
      <c r="K942" s="221">
        <f t="shared" si="300"/>
        <v>2438.48</v>
      </c>
      <c r="L942" s="221">
        <f t="shared" ref="L942:L946" si="301">SUM(F942:K942)</f>
        <v>15281.119999999999</v>
      </c>
      <c r="M942" s="31"/>
      <c r="N942" s="31"/>
      <c r="O942" s="31"/>
      <c r="P942" s="31"/>
      <c r="Q942" s="31"/>
    </row>
    <row r="943" spans="1:17" ht="15" customHeight="1" x14ac:dyDescent="0.35">
      <c r="A943" s="31">
        <f>A942+1</f>
        <v>42</v>
      </c>
      <c r="C943" s="31" t="str">
        <f>C937</f>
        <v xml:space="preserve">    Next 350 Mcf</v>
      </c>
      <c r="D943" s="300" t="s">
        <v>27</v>
      </c>
      <c r="E943" s="31">
        <f>Input!D52</f>
        <v>2.5095999999999998</v>
      </c>
      <c r="F943" s="108">
        <f t="shared" ref="F943:K943" si="302">ROUND(F937*$E$943,2)</f>
        <v>14053.76</v>
      </c>
      <c r="G943" s="108">
        <f t="shared" si="302"/>
        <v>14053.76</v>
      </c>
      <c r="H943" s="108">
        <f t="shared" si="302"/>
        <v>14053.76</v>
      </c>
      <c r="I943" s="108">
        <f t="shared" si="302"/>
        <v>13498.13</v>
      </c>
      <c r="J943" s="108">
        <f t="shared" si="302"/>
        <v>12663.19</v>
      </c>
      <c r="K943" s="108">
        <f t="shared" si="302"/>
        <v>12924.44</v>
      </c>
      <c r="L943" s="108">
        <f t="shared" si="301"/>
        <v>81247.039999999994</v>
      </c>
      <c r="M943" s="31"/>
      <c r="N943" s="31"/>
      <c r="O943" s="31"/>
      <c r="P943" s="31"/>
      <c r="Q943" s="31"/>
    </row>
    <row r="944" spans="1:17" ht="15" customHeight="1" x14ac:dyDescent="0.35">
      <c r="A944" s="31">
        <f>A943+1</f>
        <v>43</v>
      </c>
      <c r="C944" s="31" t="str">
        <f>C938</f>
        <v xml:space="preserve">    Next 600 Mcf</v>
      </c>
      <c r="D944" s="300" t="s">
        <v>27</v>
      </c>
      <c r="E944" s="31">
        <f>Input!E52</f>
        <v>2.3855</v>
      </c>
      <c r="F944" s="108">
        <f t="shared" ref="F944:K944" si="303">ROUND(F938*$E$944,2)</f>
        <v>22900.799999999999</v>
      </c>
      <c r="G944" s="108">
        <f t="shared" si="303"/>
        <v>22441.35</v>
      </c>
      <c r="H944" s="108">
        <f>ROUND(H938*$E$944,2)</f>
        <v>18928.939999999999</v>
      </c>
      <c r="I944" s="108">
        <f t="shared" si="303"/>
        <v>17429.419999999998</v>
      </c>
      <c r="J944" s="108">
        <f t="shared" si="303"/>
        <v>15349.74</v>
      </c>
      <c r="K944" s="108">
        <f t="shared" si="303"/>
        <v>15257.42</v>
      </c>
      <c r="L944" s="108">
        <f t="shared" si="301"/>
        <v>112307.67</v>
      </c>
      <c r="M944" s="31"/>
      <c r="N944" s="31"/>
      <c r="O944" s="31"/>
      <c r="P944" s="31"/>
      <c r="Q944" s="31"/>
    </row>
    <row r="945" spans="1:18" ht="15" customHeight="1" x14ac:dyDescent="0.65">
      <c r="A945" s="31">
        <f>A944+1</f>
        <v>44</v>
      </c>
      <c r="C945" s="31" t="str">
        <f>C939</f>
        <v xml:space="preserve">    Over 1,000 Mcf</v>
      </c>
      <c r="D945" s="300" t="s">
        <v>27</v>
      </c>
      <c r="E945" s="31">
        <f>Input!F52</f>
        <v>2.17</v>
      </c>
      <c r="F945" s="316">
        <f t="shared" ref="F945:K945" si="304">ROUND(F939*$E$945,2)</f>
        <v>158992.43</v>
      </c>
      <c r="G945" s="316">
        <f t="shared" si="304"/>
        <v>35687.17</v>
      </c>
      <c r="H945" s="316">
        <f t="shared" si="304"/>
        <v>27951.55</v>
      </c>
      <c r="I945" s="316">
        <f t="shared" si="304"/>
        <v>27427.72</v>
      </c>
      <c r="J945" s="316">
        <f t="shared" si="304"/>
        <v>23780.38</v>
      </c>
      <c r="K945" s="316">
        <f t="shared" si="304"/>
        <v>33025.01</v>
      </c>
      <c r="L945" s="212">
        <f t="shared" si="301"/>
        <v>306864.25999999995</v>
      </c>
      <c r="M945" s="31"/>
      <c r="N945" s="31"/>
      <c r="O945" s="31"/>
      <c r="P945" s="31"/>
      <c r="Q945" s="31"/>
    </row>
    <row r="946" spans="1:18" ht="15" customHeight="1" x14ac:dyDescent="0.35">
      <c r="F946" s="221">
        <f t="shared" ref="F946:J946" si="305">SUM(F942:F945)</f>
        <v>198548.03</v>
      </c>
      <c r="G946" s="221">
        <f t="shared" si="305"/>
        <v>74783.319999999992</v>
      </c>
      <c r="H946" s="221">
        <f>SUM(H942:H945)</f>
        <v>63535.289999999994</v>
      </c>
      <c r="I946" s="221">
        <f t="shared" si="305"/>
        <v>60956.31</v>
      </c>
      <c r="J946" s="221">
        <f t="shared" si="305"/>
        <v>54231.79</v>
      </c>
      <c r="K946" s="221">
        <f>SUM(K942:K945)</f>
        <v>63645.350000000006</v>
      </c>
      <c r="L946" s="221">
        <f t="shared" si="301"/>
        <v>515700.08999999997</v>
      </c>
      <c r="M946" s="31"/>
      <c r="N946" s="31"/>
      <c r="O946" s="31"/>
      <c r="P946" s="31"/>
      <c r="Q946" s="31"/>
    </row>
    <row r="947" spans="1:18" ht="15" customHeight="1" x14ac:dyDescent="0.65">
      <c r="C947" s="333"/>
      <c r="D947" s="52"/>
      <c r="E947" s="314"/>
      <c r="F947" s="212"/>
      <c r="G947" s="212"/>
      <c r="H947" s="212"/>
      <c r="I947" s="212"/>
      <c r="J947" s="212"/>
      <c r="K947" s="212"/>
      <c r="L947" s="212"/>
      <c r="M947" s="31"/>
      <c r="N947" s="31"/>
      <c r="O947" s="31"/>
      <c r="P947" s="31"/>
      <c r="Q947" s="31"/>
    </row>
    <row r="948" spans="1:18" ht="15" customHeight="1" x14ac:dyDescent="0.35">
      <c r="A948" s="31">
        <f>A945+1</f>
        <v>45</v>
      </c>
      <c r="C948" s="31" t="s">
        <v>162</v>
      </c>
      <c r="F948" s="221">
        <f>F933+F946</f>
        <v>199887.38999999998</v>
      </c>
      <c r="G948" s="221">
        <f t="shared" ref="G948:K948" si="306">G933+G946</f>
        <v>76122.679999999993</v>
      </c>
      <c r="H948" s="221">
        <f t="shared" si="306"/>
        <v>64874.649999999994</v>
      </c>
      <c r="I948" s="221">
        <f t="shared" si="306"/>
        <v>62295.67</v>
      </c>
      <c r="J948" s="221">
        <f t="shared" si="306"/>
        <v>55571.15</v>
      </c>
      <c r="K948" s="221">
        <f t="shared" si="306"/>
        <v>64984.710000000006</v>
      </c>
      <c r="L948" s="221">
        <f>SUM(F948:K948)</f>
        <v>523736.25</v>
      </c>
      <c r="M948" s="31"/>
      <c r="N948" s="31"/>
      <c r="O948" s="31"/>
      <c r="P948" s="31"/>
      <c r="Q948" s="31"/>
    </row>
    <row r="949" spans="1:18" ht="15" customHeight="1" x14ac:dyDescent="0.35">
      <c r="F949" s="221"/>
      <c r="G949" s="221"/>
      <c r="H949" s="221"/>
      <c r="I949" s="221"/>
      <c r="J949" s="221"/>
      <c r="K949" s="221"/>
      <c r="L949" s="221"/>
      <c r="M949" s="31"/>
      <c r="N949" s="31"/>
      <c r="O949" s="31"/>
      <c r="P949" s="31"/>
      <c r="Q949" s="31"/>
    </row>
    <row r="950" spans="1:18" ht="15" customHeight="1" x14ac:dyDescent="0.35">
      <c r="A950" s="31">
        <f>A948+1</f>
        <v>46</v>
      </c>
      <c r="C950" s="31" t="s">
        <v>132</v>
      </c>
      <c r="D950" s="31" t="s">
        <v>27</v>
      </c>
      <c r="E950" s="311">
        <v>0</v>
      </c>
      <c r="F950" s="221">
        <v>0</v>
      </c>
      <c r="G950" s="221">
        <v>0</v>
      </c>
      <c r="H950" s="221">
        <v>0</v>
      </c>
      <c r="I950" s="221">
        <v>0</v>
      </c>
      <c r="J950" s="221">
        <v>0</v>
      </c>
      <c r="K950" s="221">
        <v>0</v>
      </c>
      <c r="L950" s="221">
        <f>SUM(F950:K950)</f>
        <v>0</v>
      </c>
      <c r="M950" s="31"/>
      <c r="N950" s="31"/>
      <c r="O950" s="31"/>
      <c r="P950" s="31"/>
      <c r="Q950" s="31"/>
    </row>
    <row r="951" spans="1:18" ht="15" customHeight="1" x14ac:dyDescent="0.35">
      <c r="F951" s="38"/>
      <c r="H951" s="38"/>
      <c r="J951" s="38"/>
      <c r="L951" s="39"/>
      <c r="M951" s="31"/>
      <c r="N951" s="31"/>
      <c r="O951" s="31"/>
      <c r="P951" s="31"/>
      <c r="Q951" s="31"/>
    </row>
    <row r="952" spans="1:18" ht="15" customHeight="1" x14ac:dyDescent="0.35">
      <c r="A952" s="31">
        <f>A950+1</f>
        <v>47</v>
      </c>
      <c r="C952" s="36" t="s">
        <v>163</v>
      </c>
      <c r="D952" s="50"/>
      <c r="E952" s="56"/>
      <c r="F952" s="221">
        <f t="shared" ref="F952:K952" si="307">F948+F950</f>
        <v>199887.38999999998</v>
      </c>
      <c r="G952" s="221">
        <f t="shared" si="307"/>
        <v>76122.679999999993</v>
      </c>
      <c r="H952" s="221">
        <f t="shared" si="307"/>
        <v>64874.649999999994</v>
      </c>
      <c r="I952" s="221">
        <f t="shared" si="307"/>
        <v>62295.67</v>
      </c>
      <c r="J952" s="221">
        <f t="shared" si="307"/>
        <v>55571.15</v>
      </c>
      <c r="K952" s="221">
        <f t="shared" si="307"/>
        <v>64984.710000000006</v>
      </c>
      <c r="L952" s="221">
        <f>SUM(F952:K952)</f>
        <v>523736.25</v>
      </c>
      <c r="M952" s="31"/>
      <c r="N952" s="31"/>
      <c r="O952" s="31"/>
      <c r="P952" s="31"/>
      <c r="Q952" s="31"/>
    </row>
    <row r="953" spans="1:18" ht="15" customHeight="1" x14ac:dyDescent="0.35">
      <c r="F953" s="38"/>
      <c r="H953" s="38"/>
      <c r="J953" s="38"/>
      <c r="L953" s="39"/>
      <c r="M953" s="31"/>
      <c r="N953" s="31"/>
      <c r="O953" s="31"/>
      <c r="P953" s="31"/>
      <c r="Q953" s="31"/>
    </row>
    <row r="954" spans="1:18" ht="15" customHeight="1" x14ac:dyDescent="0.35">
      <c r="A954" s="31" t="str">
        <f>$A$280</f>
        <v>[1] Reflects forecasted volumes for March through August 2024.</v>
      </c>
    </row>
    <row r="955" spans="1:18" ht="15" customHeight="1" x14ac:dyDescent="0.35"/>
    <row r="956" spans="1:18" ht="15" customHeight="1" x14ac:dyDescent="0.4">
      <c r="A956" s="480" t="str">
        <f>CONAME</f>
        <v>Columbia Gas of Kentucky, Inc.</v>
      </c>
      <c r="B956" s="480"/>
      <c r="C956" s="480"/>
      <c r="D956" s="480"/>
      <c r="E956" s="480"/>
      <c r="F956" s="480"/>
      <c r="G956" s="480"/>
      <c r="H956" s="480"/>
      <c r="I956" s="480"/>
      <c r="J956" s="480"/>
      <c r="K956" s="480"/>
      <c r="L956" s="480"/>
      <c r="M956" s="89"/>
      <c r="N956" s="89"/>
      <c r="O956" s="89"/>
      <c r="P956" s="89"/>
      <c r="Q956" s="89"/>
      <c r="R956" s="89"/>
    </row>
    <row r="957" spans="1:18" ht="15" customHeight="1" x14ac:dyDescent="0.4">
      <c r="A957" s="480" t="str">
        <f>case</f>
        <v>Case No. 2024-00092</v>
      </c>
      <c r="B957" s="480"/>
      <c r="C957" s="480"/>
      <c r="D957" s="480"/>
      <c r="E957" s="480"/>
      <c r="F957" s="480"/>
      <c r="G957" s="480"/>
      <c r="H957" s="480"/>
      <c r="I957" s="480"/>
      <c r="J957" s="480"/>
      <c r="K957" s="480"/>
      <c r="L957" s="480"/>
      <c r="M957" s="35"/>
      <c r="N957" s="35"/>
      <c r="O957" s="35"/>
      <c r="P957" s="35"/>
      <c r="Q957" s="35"/>
      <c r="R957" s="35"/>
    </row>
    <row r="958" spans="1:18" ht="15" customHeight="1" x14ac:dyDescent="0.4">
      <c r="A958" s="480" t="s">
        <v>319</v>
      </c>
      <c r="B958" s="480"/>
      <c r="C958" s="480"/>
      <c r="D958" s="480"/>
      <c r="E958" s="480"/>
      <c r="F958" s="480"/>
      <c r="G958" s="480"/>
      <c r="H958" s="480"/>
      <c r="I958" s="480"/>
      <c r="J958" s="480"/>
      <c r="K958" s="480"/>
      <c r="L958" s="480"/>
      <c r="M958" s="110"/>
      <c r="N958" s="110"/>
      <c r="O958" s="110"/>
      <c r="P958" s="110"/>
      <c r="Q958" s="110"/>
      <c r="R958" s="110"/>
    </row>
    <row r="959" spans="1:18" ht="15" customHeight="1" x14ac:dyDescent="0.4">
      <c r="A959" s="480" t="str">
        <f>TYDESC</f>
        <v>For the 6 Months Ended August 31, 2024</v>
      </c>
      <c r="B959" s="480"/>
      <c r="C959" s="480"/>
      <c r="D959" s="480"/>
      <c r="E959" s="480"/>
      <c r="F959" s="480"/>
      <c r="G959" s="480"/>
      <c r="H959" s="480"/>
      <c r="I959" s="480"/>
      <c r="J959" s="480"/>
      <c r="K959" s="480"/>
      <c r="L959" s="480"/>
      <c r="M959" s="89"/>
      <c r="N959" s="89"/>
      <c r="O959" s="89"/>
      <c r="P959" s="89"/>
      <c r="Q959" s="89"/>
      <c r="R959" s="89"/>
    </row>
    <row r="960" spans="1:18" ht="15" customHeight="1" x14ac:dyDescent="0.4">
      <c r="A960" s="480" t="s">
        <v>46</v>
      </c>
      <c r="B960" s="480"/>
      <c r="C960" s="480"/>
      <c r="D960" s="480"/>
      <c r="E960" s="480"/>
      <c r="F960" s="480"/>
      <c r="G960" s="480"/>
      <c r="H960" s="480"/>
      <c r="I960" s="480"/>
      <c r="J960" s="480"/>
      <c r="K960" s="480"/>
      <c r="L960" s="480"/>
      <c r="M960" s="220"/>
      <c r="N960" s="220"/>
      <c r="O960" s="220"/>
      <c r="P960" s="220"/>
      <c r="Q960" s="220"/>
      <c r="R960" s="220"/>
    </row>
    <row r="961" spans="1:18" ht="15" customHeight="1" x14ac:dyDescent="0.4">
      <c r="A961" s="220"/>
      <c r="B961" s="220"/>
      <c r="C961" s="220"/>
      <c r="D961" s="220"/>
      <c r="E961" s="220"/>
      <c r="F961" s="220"/>
      <c r="G961" s="220"/>
      <c r="H961" s="220"/>
      <c r="I961" s="220"/>
      <c r="J961" s="220"/>
      <c r="K961" s="220"/>
      <c r="L961" s="220"/>
      <c r="M961" s="220"/>
      <c r="N961" s="220"/>
      <c r="O961" s="220"/>
      <c r="P961" s="220"/>
      <c r="Q961" s="220"/>
      <c r="R961" s="220"/>
    </row>
    <row r="962" spans="1:18" ht="15" customHeight="1" x14ac:dyDescent="0.4">
      <c r="A962" s="35" t="s">
        <v>180</v>
      </c>
    </row>
    <row r="963" spans="1:18" ht="15" customHeight="1" x14ac:dyDescent="0.4">
      <c r="A963" s="35" t="s">
        <v>181</v>
      </c>
      <c r="L963" s="40" t="str">
        <f>$L$55</f>
        <v>Schedule M-2.2B</v>
      </c>
    </row>
    <row r="964" spans="1:18" ht="15" customHeight="1" x14ac:dyDescent="0.4">
      <c r="A964" s="35" t="str">
        <f>$A$56</f>
        <v>Work Paper Reference No(s): WPM-B.1, WPM-C.1, WPM-D.1</v>
      </c>
      <c r="L964" s="40" t="s">
        <v>333</v>
      </c>
    </row>
    <row r="965" spans="1:18" ht="15.45" x14ac:dyDescent="0.4">
      <c r="A965" s="320" t="str">
        <f>$A$57</f>
        <v>6 Mos Actual / 6 Mos Forecasted</v>
      </c>
      <c r="B965" s="321"/>
      <c r="C965" s="321"/>
      <c r="D965" s="321"/>
      <c r="E965" s="322"/>
      <c r="F965" s="321"/>
      <c r="G965" s="323"/>
      <c r="H965" s="324"/>
      <c r="I965" s="323"/>
      <c r="J965" s="325"/>
      <c r="K965" s="323"/>
      <c r="L965" s="326" t="str">
        <f>Witness</f>
        <v>Witness: J. C. Wozniak</v>
      </c>
    </row>
    <row r="966" spans="1:18" ht="15.45" x14ac:dyDescent="0.4">
      <c r="A966" s="327"/>
      <c r="B966" s="327"/>
      <c r="C966" s="327"/>
      <c r="D966" s="327"/>
      <c r="E966" s="89"/>
      <c r="F966" s="89"/>
      <c r="G966" s="89"/>
      <c r="H966" s="89"/>
      <c r="I966" s="89"/>
      <c r="J966" s="89"/>
      <c r="K966" s="89"/>
      <c r="L966" s="89"/>
      <c r="M966" s="327"/>
      <c r="N966" s="327"/>
      <c r="O966" s="327"/>
      <c r="P966" s="327"/>
      <c r="Q966" s="327"/>
      <c r="R966" s="327"/>
    </row>
    <row r="967" spans="1:18" ht="15" customHeight="1" x14ac:dyDescent="0.4">
      <c r="A967" s="35"/>
    </row>
    <row r="968" spans="1:18" ht="15" customHeight="1" x14ac:dyDescent="0.4">
      <c r="A968" s="32"/>
      <c r="B968" s="32"/>
      <c r="C968" s="32"/>
      <c r="D968" s="32"/>
      <c r="E968" s="33"/>
      <c r="F968" s="32"/>
      <c r="G968" s="41"/>
      <c r="H968" s="301"/>
      <c r="I968" s="41"/>
      <c r="J968" s="120"/>
      <c r="K968" s="41"/>
      <c r="L968" s="41"/>
      <c r="M968" s="41"/>
      <c r="N968" s="41"/>
      <c r="O968" s="41"/>
      <c r="P968" s="41"/>
      <c r="Q968" s="41"/>
      <c r="R968" s="32"/>
    </row>
    <row r="969" spans="1:18" ht="15" customHeight="1" x14ac:dyDescent="0.4">
      <c r="A969" s="32"/>
      <c r="B969" s="32"/>
      <c r="C969" s="32"/>
      <c r="D969" s="32"/>
      <c r="E969" s="33" t="s">
        <v>52</v>
      </c>
      <c r="F969" s="32"/>
      <c r="G969" s="41"/>
      <c r="H969" s="42"/>
      <c r="I969" s="41"/>
      <c r="J969" s="30"/>
      <c r="K969" s="41"/>
      <c r="L969" s="41"/>
      <c r="M969" s="41"/>
      <c r="N969" s="41"/>
      <c r="O969" s="41"/>
      <c r="P969" s="41"/>
      <c r="Q969" s="41"/>
      <c r="R969" s="32"/>
    </row>
    <row r="970" spans="1:18" ht="15" customHeight="1" x14ac:dyDescent="0.4">
      <c r="A970" s="32" t="s">
        <v>11</v>
      </c>
      <c r="B970" s="32" t="s">
        <v>10</v>
      </c>
      <c r="C970" s="32" t="s">
        <v>48</v>
      </c>
      <c r="D970" s="32"/>
      <c r="E970" s="33" t="s">
        <v>53</v>
      </c>
      <c r="F970" s="32"/>
      <c r="G970" s="41"/>
      <c r="H970" s="42"/>
      <c r="I970" s="41"/>
      <c r="J970" s="30"/>
      <c r="K970" s="41"/>
      <c r="L970" s="41"/>
      <c r="M970" s="41"/>
      <c r="N970" s="41"/>
      <c r="O970" s="41"/>
      <c r="P970" s="41"/>
      <c r="Q970" s="41"/>
      <c r="R970" s="34"/>
    </row>
    <row r="971" spans="1:18" ht="15" customHeight="1" x14ac:dyDescent="0.4">
      <c r="A971" s="43" t="s">
        <v>13</v>
      </c>
      <c r="B971" s="43" t="s">
        <v>47</v>
      </c>
      <c r="C971" s="43" t="s">
        <v>14</v>
      </c>
      <c r="D971" s="43"/>
      <c r="E971" s="44" t="s">
        <v>54</v>
      </c>
      <c r="F971" s="45" t="str">
        <f>B!$D$13</f>
        <v>Mar-24</v>
      </c>
      <c r="G971" s="45" t="str">
        <f>B!$E$13</f>
        <v>Apr-24</v>
      </c>
      <c r="H971" s="45" t="str">
        <f>B!$F$13</f>
        <v>May-24</v>
      </c>
      <c r="I971" s="45" t="str">
        <f>B!$G$13</f>
        <v>Jun-24</v>
      </c>
      <c r="J971" s="45" t="str">
        <f>B!$H$13</f>
        <v>Jul-24</v>
      </c>
      <c r="K971" s="45" t="str">
        <f>B!$I$13</f>
        <v>Aug-24</v>
      </c>
      <c r="L971" s="45" t="s">
        <v>15</v>
      </c>
      <c r="M971" s="31"/>
      <c r="N971" s="31"/>
      <c r="O971" s="31"/>
      <c r="P971" s="31"/>
      <c r="Q971" s="31"/>
    </row>
    <row r="972" spans="1:18" ht="15" customHeight="1" x14ac:dyDescent="0.4">
      <c r="A972" s="32"/>
      <c r="B972" s="34" t="s">
        <v>49</v>
      </c>
      <c r="C972" s="34" t="s">
        <v>50</v>
      </c>
      <c r="D972" s="34"/>
      <c r="E972" s="47" t="s">
        <v>51</v>
      </c>
      <c r="F972" s="48" t="s">
        <v>470</v>
      </c>
      <c r="G972" s="48" t="s">
        <v>471</v>
      </c>
      <c r="H972" s="48" t="s">
        <v>472</v>
      </c>
      <c r="I972" s="48" t="s">
        <v>473</v>
      </c>
      <c r="J972" s="48" t="s">
        <v>55</v>
      </c>
      <c r="K972" s="48" t="s">
        <v>56</v>
      </c>
      <c r="L972" s="48" t="s">
        <v>57</v>
      </c>
      <c r="M972" s="31"/>
      <c r="N972" s="31"/>
      <c r="O972" s="31"/>
      <c r="P972" s="31"/>
      <c r="Q972" s="31"/>
    </row>
    <row r="973" spans="1:18" ht="15" customHeight="1" x14ac:dyDescent="0.4">
      <c r="F973" s="48"/>
      <c r="G973" s="48"/>
      <c r="H973" s="48"/>
      <c r="I973" s="48"/>
      <c r="J973" s="48"/>
      <c r="K973" s="48"/>
      <c r="L973" s="34"/>
      <c r="M973" s="31"/>
      <c r="N973" s="31"/>
      <c r="O973" s="31"/>
      <c r="P973" s="31"/>
      <c r="Q973" s="31"/>
    </row>
    <row r="974" spans="1:18" ht="15" customHeight="1" x14ac:dyDescent="0.35">
      <c r="F974" s="38"/>
      <c r="H974" s="38"/>
      <c r="J974" s="38"/>
      <c r="L974" s="31"/>
      <c r="M974" s="31"/>
      <c r="N974" s="31"/>
      <c r="O974" s="31"/>
      <c r="P974" s="31"/>
      <c r="Q974" s="31"/>
    </row>
    <row r="975" spans="1:18" ht="15" customHeight="1" x14ac:dyDescent="0.35">
      <c r="A975" s="31">
        <v>1</v>
      </c>
      <c r="B975" s="31" t="str">
        <f>B258</f>
        <v>GDS</v>
      </c>
      <c r="C975" s="31" t="str">
        <f>C258</f>
        <v>GTS Grandfathered Delivery Service - Industrial</v>
      </c>
      <c r="F975" s="38"/>
      <c r="H975" s="38"/>
      <c r="J975" s="38"/>
      <c r="L975" s="31"/>
      <c r="M975" s="31"/>
      <c r="N975" s="31"/>
      <c r="O975" s="31"/>
      <c r="P975" s="31"/>
      <c r="Q975" s="31"/>
    </row>
    <row r="976" spans="1:18" ht="15" customHeight="1" x14ac:dyDescent="0.35">
      <c r="F976" s="38"/>
      <c r="H976" s="38"/>
      <c r="J976" s="38"/>
      <c r="L976" s="31"/>
      <c r="M976" s="31"/>
      <c r="N976" s="31"/>
      <c r="O976" s="31"/>
      <c r="P976" s="31"/>
      <c r="Q976" s="31"/>
    </row>
    <row r="977" spans="1:17" ht="15" customHeight="1" x14ac:dyDescent="0.4">
      <c r="A977" s="31">
        <f>A975+1</f>
        <v>2</v>
      </c>
      <c r="C977" s="35" t="s">
        <v>106</v>
      </c>
      <c r="D977" s="35"/>
      <c r="F977" s="38"/>
      <c r="H977" s="38"/>
      <c r="J977" s="38"/>
      <c r="L977" s="31"/>
      <c r="M977" s="31"/>
      <c r="N977" s="31"/>
      <c r="O977" s="31"/>
      <c r="P977" s="31"/>
      <c r="Q977" s="31"/>
    </row>
    <row r="978" spans="1:17" ht="15" customHeight="1" x14ac:dyDescent="0.4">
      <c r="C978" s="35"/>
      <c r="D978" s="35"/>
      <c r="F978" s="38"/>
      <c r="H978" s="38"/>
      <c r="J978" s="38"/>
      <c r="L978" s="31"/>
      <c r="M978" s="31"/>
      <c r="N978" s="31"/>
      <c r="O978" s="31"/>
      <c r="P978" s="31"/>
      <c r="Q978" s="31"/>
    </row>
    <row r="979" spans="1:17" ht="15" customHeight="1" x14ac:dyDescent="0.35">
      <c r="A979" s="31">
        <f>A977+1</f>
        <v>3</v>
      </c>
      <c r="C979" s="31" t="s">
        <v>161</v>
      </c>
      <c r="F979" s="108">
        <f>B!D230</f>
        <v>3</v>
      </c>
      <c r="G979" s="108">
        <f>B!E230</f>
        <v>3</v>
      </c>
      <c r="H979" s="108">
        <f>B!F230</f>
        <v>3</v>
      </c>
      <c r="I979" s="108">
        <f>B!G230</f>
        <v>3</v>
      </c>
      <c r="J979" s="108">
        <f>B!H230</f>
        <v>3</v>
      </c>
      <c r="K979" s="108">
        <f>B!I230</f>
        <v>3</v>
      </c>
      <c r="L979" s="108">
        <f>SUM(F979:K979)</f>
        <v>18</v>
      </c>
      <c r="M979" s="31"/>
      <c r="N979" s="31"/>
      <c r="O979" s="31"/>
      <c r="P979" s="31"/>
      <c r="Q979" s="31"/>
    </row>
    <row r="980" spans="1:17" ht="15" customHeight="1" x14ac:dyDescent="0.35">
      <c r="A980" s="31">
        <f>A979+1</f>
        <v>4</v>
      </c>
      <c r="C980" s="31" t="s">
        <v>168</v>
      </c>
      <c r="D980" s="31" t="s">
        <v>28</v>
      </c>
      <c r="E980" s="313">
        <f>Input!H53</f>
        <v>83.71</v>
      </c>
      <c r="F980" s="221">
        <f t="shared" ref="F980:K980" si="308">ROUND(F979*$E$980,2)</f>
        <v>251.13</v>
      </c>
      <c r="G980" s="221">
        <f t="shared" si="308"/>
        <v>251.13</v>
      </c>
      <c r="H980" s="221">
        <f t="shared" si="308"/>
        <v>251.13</v>
      </c>
      <c r="I980" s="221">
        <f t="shared" si="308"/>
        <v>251.13</v>
      </c>
      <c r="J980" s="221">
        <f t="shared" si="308"/>
        <v>251.13</v>
      </c>
      <c r="K980" s="221">
        <f t="shared" si="308"/>
        <v>251.13</v>
      </c>
      <c r="L980" s="221">
        <f>SUM(F980:K980)</f>
        <v>1506.7800000000002</v>
      </c>
      <c r="M980" s="31"/>
      <c r="N980" s="31"/>
      <c r="O980" s="31"/>
      <c r="P980" s="31"/>
      <c r="Q980" s="31"/>
    </row>
    <row r="981" spans="1:17" ht="15" customHeight="1" x14ac:dyDescent="0.35">
      <c r="E981" s="313"/>
      <c r="F981" s="221"/>
      <c r="G981" s="221"/>
      <c r="H981" s="221"/>
      <c r="I981" s="221"/>
      <c r="J981" s="221"/>
      <c r="K981" s="221"/>
      <c r="L981" s="221"/>
      <c r="M981" s="31"/>
      <c r="N981" s="31"/>
      <c r="O981" s="31"/>
      <c r="P981" s="31"/>
      <c r="Q981" s="31"/>
    </row>
    <row r="982" spans="1:17" ht="15" customHeight="1" x14ac:dyDescent="0.35">
      <c r="A982" s="31">
        <f>A980+1</f>
        <v>5</v>
      </c>
      <c r="C982" s="31" t="s">
        <v>167</v>
      </c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</row>
    <row r="983" spans="1:17" ht="15" customHeight="1" x14ac:dyDescent="0.35">
      <c r="A983" s="31">
        <f>A982+1</f>
        <v>6</v>
      </c>
      <c r="C983" s="31" t="str">
        <f>'C'!B318</f>
        <v xml:space="preserve">    First 50 Mcf</v>
      </c>
      <c r="F983" s="78">
        <f>'C'!D330</f>
        <v>150</v>
      </c>
      <c r="G983" s="78">
        <f>'C'!E330</f>
        <v>150</v>
      </c>
      <c r="H983" s="78">
        <f>'C'!F330</f>
        <v>150</v>
      </c>
      <c r="I983" s="78">
        <f>'C'!G330</f>
        <v>150</v>
      </c>
      <c r="J983" s="78">
        <f>'C'!H330</f>
        <v>150</v>
      </c>
      <c r="K983" s="78">
        <f>'C'!I330</f>
        <v>150</v>
      </c>
      <c r="L983" s="78">
        <f>SUM(F983:K983)</f>
        <v>900</v>
      </c>
      <c r="M983" s="31"/>
      <c r="N983" s="31"/>
      <c r="O983" s="31"/>
      <c r="P983" s="31"/>
      <c r="Q983" s="31"/>
    </row>
    <row r="984" spans="1:17" ht="15" customHeight="1" x14ac:dyDescent="0.35">
      <c r="A984" s="31">
        <f>A983+1</f>
        <v>7</v>
      </c>
      <c r="C984" s="31" t="str">
        <f>'C'!B319</f>
        <v xml:space="preserve">    Next 350 Mcf</v>
      </c>
      <c r="F984" s="78">
        <f>'C'!D331</f>
        <v>1050</v>
      </c>
      <c r="G984" s="78">
        <f>'C'!E331</f>
        <v>1050</v>
      </c>
      <c r="H984" s="78">
        <f>'C'!F331</f>
        <v>1050</v>
      </c>
      <c r="I984" s="78">
        <f>'C'!G331</f>
        <v>949.6</v>
      </c>
      <c r="J984" s="78">
        <f>'C'!H331</f>
        <v>950</v>
      </c>
      <c r="K984" s="78">
        <f>'C'!I331</f>
        <v>950</v>
      </c>
      <c r="L984" s="78">
        <f>SUM(F984:K984)</f>
        <v>5999.6</v>
      </c>
      <c r="M984" s="31"/>
      <c r="N984" s="31"/>
      <c r="O984" s="31"/>
      <c r="P984" s="31"/>
      <c r="Q984" s="31"/>
    </row>
    <row r="985" spans="1:17" ht="15" customHeight="1" x14ac:dyDescent="0.35">
      <c r="A985" s="31">
        <f>A984+1</f>
        <v>8</v>
      </c>
      <c r="C985" s="31" t="str">
        <f>'C'!B320</f>
        <v xml:space="preserve">    Next 600 Mcf</v>
      </c>
      <c r="F985" s="78">
        <f>'C'!D332</f>
        <v>1800</v>
      </c>
      <c r="G985" s="78">
        <f>'C'!E332</f>
        <v>1800</v>
      </c>
      <c r="H985" s="78">
        <f>'C'!F332</f>
        <v>1015.5</v>
      </c>
      <c r="I985" s="78">
        <f>'C'!G332</f>
        <v>168.8</v>
      </c>
      <c r="J985" s="78">
        <f>'C'!H332</f>
        <v>662.6</v>
      </c>
      <c r="K985" s="78">
        <f>'C'!I332</f>
        <v>1170.5</v>
      </c>
      <c r="L985" s="78">
        <f>SUM(F985:K985)</f>
        <v>6617.4000000000005</v>
      </c>
      <c r="M985" s="31"/>
      <c r="N985" s="31"/>
      <c r="O985" s="31"/>
      <c r="P985" s="31"/>
      <c r="Q985" s="31"/>
    </row>
    <row r="986" spans="1:17" ht="15" customHeight="1" x14ac:dyDescent="0.35">
      <c r="A986" s="31">
        <f>A985+1</f>
        <v>9</v>
      </c>
      <c r="C986" s="31" t="str">
        <f>'C'!B321</f>
        <v xml:space="preserve">    Over 1,000 Mcf</v>
      </c>
      <c r="F986" s="61">
        <f>'C'!D333</f>
        <v>4883.8</v>
      </c>
      <c r="G986" s="61">
        <f>'C'!E333</f>
        <v>4203.6000000000004</v>
      </c>
      <c r="H986" s="61">
        <f>'C'!F333</f>
        <v>160.5</v>
      </c>
      <c r="I986" s="61">
        <f>'C'!G333</f>
        <v>0</v>
      </c>
      <c r="J986" s="61">
        <f>'C'!H333</f>
        <v>0</v>
      </c>
      <c r="K986" s="61">
        <f>'C'!I333</f>
        <v>292.10000000000002</v>
      </c>
      <c r="L986" s="61">
        <f>SUM(F986:K986)</f>
        <v>9540.0000000000018</v>
      </c>
      <c r="M986" s="31"/>
      <c r="N986" s="31"/>
      <c r="O986" s="31"/>
      <c r="P986" s="31"/>
      <c r="Q986" s="31"/>
    </row>
    <row r="987" spans="1:17" ht="15" customHeight="1" x14ac:dyDescent="0.35">
      <c r="F987" s="78">
        <f t="shared" ref="F987:J987" si="309">SUM(F983:F986)</f>
        <v>7883.8</v>
      </c>
      <c r="G987" s="78">
        <f t="shared" si="309"/>
        <v>7203.6</v>
      </c>
      <c r="H987" s="78">
        <f t="shared" si="309"/>
        <v>2376</v>
      </c>
      <c r="I987" s="78">
        <f t="shared" si="309"/>
        <v>1268.3999999999999</v>
      </c>
      <c r="J987" s="78">
        <f t="shared" si="309"/>
        <v>1762.6</v>
      </c>
      <c r="K987" s="78">
        <f>SUM(K983:K986)</f>
        <v>2562.6</v>
      </c>
      <c r="L987" s="78">
        <f>SUM(F987:K987)</f>
        <v>23057</v>
      </c>
      <c r="M987" s="31"/>
      <c r="N987" s="31"/>
      <c r="O987" s="31"/>
      <c r="P987" s="31"/>
      <c r="Q987" s="31"/>
    </row>
    <row r="988" spans="1:17" ht="15" customHeight="1" x14ac:dyDescent="0.35">
      <c r="A988" s="31">
        <f>A986+1</f>
        <v>10</v>
      </c>
      <c r="C988" s="31" t="s">
        <v>165</v>
      </c>
      <c r="F988" s="38"/>
      <c r="H988" s="38"/>
      <c r="J988" s="38"/>
      <c r="L988" s="312"/>
      <c r="M988" s="31"/>
      <c r="N988" s="31"/>
      <c r="O988" s="31"/>
      <c r="P988" s="31"/>
      <c r="Q988" s="31"/>
    </row>
    <row r="989" spans="1:17" ht="15" customHeight="1" x14ac:dyDescent="0.35">
      <c r="A989" s="31">
        <f>A988+1</f>
        <v>11</v>
      </c>
      <c r="C989" s="31" t="str">
        <f>C983</f>
        <v xml:space="preserve">    First 50 Mcf</v>
      </c>
      <c r="D989" s="300" t="s">
        <v>27</v>
      </c>
      <c r="E989" s="314">
        <f>Input!C53</f>
        <v>3.2513000000000001</v>
      </c>
      <c r="F989" s="221">
        <f t="shared" ref="F989:K989" si="310">ROUND(F983*$E$989,2)</f>
        <v>487.7</v>
      </c>
      <c r="G989" s="221">
        <f t="shared" si="310"/>
        <v>487.7</v>
      </c>
      <c r="H989" s="221">
        <f t="shared" si="310"/>
        <v>487.7</v>
      </c>
      <c r="I989" s="221">
        <f t="shared" si="310"/>
        <v>487.7</v>
      </c>
      <c r="J989" s="221">
        <f t="shared" si="310"/>
        <v>487.7</v>
      </c>
      <c r="K989" s="221">
        <f t="shared" si="310"/>
        <v>487.7</v>
      </c>
      <c r="L989" s="221">
        <f t="shared" ref="L989:L993" si="311">SUM(F989:K989)</f>
        <v>2926.2</v>
      </c>
      <c r="M989" s="31"/>
      <c r="N989" s="31"/>
      <c r="O989" s="31"/>
      <c r="P989" s="31"/>
      <c r="Q989" s="31"/>
    </row>
    <row r="990" spans="1:17" ht="15" customHeight="1" x14ac:dyDescent="0.35">
      <c r="A990" s="31">
        <f>A989+1</f>
        <v>12</v>
      </c>
      <c r="C990" s="31" t="str">
        <f>C984</f>
        <v xml:space="preserve">    Next 350 Mcf</v>
      </c>
      <c r="D990" s="300" t="s">
        <v>27</v>
      </c>
      <c r="E990" s="314">
        <f>Input!D53</f>
        <v>2.5095999999999998</v>
      </c>
      <c r="F990" s="108">
        <f t="shared" ref="F990:K990" si="312">ROUND(F984*$E$990,2)</f>
        <v>2635.08</v>
      </c>
      <c r="G990" s="108">
        <f t="shared" si="312"/>
        <v>2635.08</v>
      </c>
      <c r="H990" s="108">
        <f t="shared" si="312"/>
        <v>2635.08</v>
      </c>
      <c r="I990" s="108">
        <f t="shared" si="312"/>
        <v>2383.12</v>
      </c>
      <c r="J990" s="108">
        <f t="shared" si="312"/>
        <v>2384.12</v>
      </c>
      <c r="K990" s="108">
        <f t="shared" si="312"/>
        <v>2384.12</v>
      </c>
      <c r="L990" s="108">
        <f t="shared" si="311"/>
        <v>15056.599999999999</v>
      </c>
      <c r="M990" s="31"/>
      <c r="N990" s="31"/>
      <c r="O990" s="31"/>
      <c r="P990" s="31"/>
      <c r="Q990" s="31"/>
    </row>
    <row r="991" spans="1:17" ht="15" customHeight="1" x14ac:dyDescent="0.35">
      <c r="A991" s="31">
        <f>A990+1</f>
        <v>13</v>
      </c>
      <c r="C991" s="31" t="str">
        <f>C985</f>
        <v xml:space="preserve">    Next 600 Mcf</v>
      </c>
      <c r="D991" s="300" t="s">
        <v>27</v>
      </c>
      <c r="E991" s="314">
        <f>Input!E53</f>
        <v>2.3855</v>
      </c>
      <c r="F991" s="108">
        <f t="shared" ref="F991:K991" si="313">ROUND(F985*$E$991,2)</f>
        <v>4293.8999999999996</v>
      </c>
      <c r="G991" s="108">
        <f t="shared" si="313"/>
        <v>4293.8999999999996</v>
      </c>
      <c r="H991" s="108">
        <f t="shared" si="313"/>
        <v>2422.48</v>
      </c>
      <c r="I991" s="108">
        <f t="shared" si="313"/>
        <v>402.67</v>
      </c>
      <c r="J991" s="108">
        <f t="shared" si="313"/>
        <v>1580.63</v>
      </c>
      <c r="K991" s="108">
        <f t="shared" si="313"/>
        <v>2792.23</v>
      </c>
      <c r="L991" s="108">
        <f t="shared" si="311"/>
        <v>15785.809999999998</v>
      </c>
      <c r="M991" s="31"/>
      <c r="N991" s="31"/>
      <c r="O991" s="31"/>
      <c r="P991" s="31"/>
      <c r="Q991" s="31"/>
    </row>
    <row r="992" spans="1:17" ht="15" customHeight="1" x14ac:dyDescent="0.65">
      <c r="A992" s="31">
        <f>A991+1</f>
        <v>14</v>
      </c>
      <c r="C992" s="31" t="str">
        <f>C986</f>
        <v xml:space="preserve">    Over 1,000 Mcf</v>
      </c>
      <c r="D992" s="300" t="s">
        <v>27</v>
      </c>
      <c r="E992" s="314">
        <f>Input!F53</f>
        <v>2.17</v>
      </c>
      <c r="F992" s="316">
        <f t="shared" ref="F992:K992" si="314">ROUND(F986*$E$992,2)</f>
        <v>10597.85</v>
      </c>
      <c r="G992" s="316">
        <f t="shared" si="314"/>
        <v>9121.81</v>
      </c>
      <c r="H992" s="316">
        <f t="shared" si="314"/>
        <v>348.29</v>
      </c>
      <c r="I992" s="316">
        <f t="shared" si="314"/>
        <v>0</v>
      </c>
      <c r="J992" s="316">
        <f t="shared" si="314"/>
        <v>0</v>
      </c>
      <c r="K992" s="316">
        <f t="shared" si="314"/>
        <v>633.86</v>
      </c>
      <c r="L992" s="212">
        <f t="shared" si="311"/>
        <v>20701.810000000001</v>
      </c>
      <c r="M992" s="31"/>
      <c r="N992" s="31"/>
      <c r="O992" s="31"/>
      <c r="P992" s="31"/>
      <c r="Q992" s="31"/>
    </row>
    <row r="993" spans="1:17" ht="15" customHeight="1" x14ac:dyDescent="0.35">
      <c r="F993" s="221">
        <f t="shared" ref="F993:J993" si="315">SUM(F989:F992)</f>
        <v>18014.53</v>
      </c>
      <c r="G993" s="221">
        <f t="shared" si="315"/>
        <v>16538.489999999998</v>
      </c>
      <c r="H993" s="221">
        <f t="shared" si="315"/>
        <v>5893.55</v>
      </c>
      <c r="I993" s="221">
        <f t="shared" si="315"/>
        <v>3273.49</v>
      </c>
      <c r="J993" s="221">
        <f t="shared" si="315"/>
        <v>4452.45</v>
      </c>
      <c r="K993" s="221">
        <f>SUM(K989:K992)</f>
        <v>6297.9099999999989</v>
      </c>
      <c r="L993" s="221">
        <f t="shared" si="311"/>
        <v>54470.419999999991</v>
      </c>
      <c r="M993" s="31"/>
      <c r="N993" s="31"/>
      <c r="O993" s="31"/>
      <c r="P993" s="31"/>
      <c r="Q993" s="31"/>
    </row>
    <row r="994" spans="1:17" ht="15" customHeight="1" x14ac:dyDescent="0.65">
      <c r="C994" s="333"/>
      <c r="D994" s="52"/>
      <c r="E994" s="314"/>
      <c r="F994" s="212"/>
      <c r="G994" s="212"/>
      <c r="H994" s="212"/>
      <c r="I994" s="212"/>
      <c r="J994" s="212"/>
      <c r="K994" s="212"/>
      <c r="L994" s="212"/>
      <c r="M994" s="31"/>
      <c r="N994" s="31"/>
      <c r="O994" s="31"/>
      <c r="P994" s="31"/>
      <c r="Q994" s="31"/>
    </row>
    <row r="995" spans="1:17" ht="14.5" customHeight="1" x14ac:dyDescent="0.35">
      <c r="A995" s="31">
        <f>A992+1</f>
        <v>15</v>
      </c>
      <c r="C995" s="31" t="s">
        <v>162</v>
      </c>
      <c r="F995" s="221">
        <f>F980+F993</f>
        <v>18265.66</v>
      </c>
      <c r="G995" s="221">
        <f t="shared" ref="G995:K995" si="316">G980+G993</f>
        <v>16789.62</v>
      </c>
      <c r="H995" s="221">
        <f t="shared" si="316"/>
        <v>6144.68</v>
      </c>
      <c r="I995" s="221">
        <f t="shared" si="316"/>
        <v>3524.62</v>
      </c>
      <c r="J995" s="221">
        <f t="shared" si="316"/>
        <v>4703.58</v>
      </c>
      <c r="K995" s="221">
        <f t="shared" si="316"/>
        <v>6549.0399999999991</v>
      </c>
      <c r="L995" s="221">
        <f>SUM(F995:K995)</f>
        <v>55977.200000000004</v>
      </c>
      <c r="M995" s="31"/>
      <c r="N995" s="31"/>
      <c r="O995" s="31"/>
      <c r="P995" s="31"/>
      <c r="Q995" s="31"/>
    </row>
    <row r="996" spans="1:17" ht="15" customHeight="1" x14ac:dyDescent="0.35">
      <c r="F996" s="55"/>
      <c r="G996" s="55"/>
      <c r="H996" s="55"/>
      <c r="I996" s="55"/>
      <c r="J996" s="55"/>
      <c r="K996" s="55"/>
      <c r="L996" s="304"/>
      <c r="M996" s="31"/>
      <c r="N996" s="31"/>
      <c r="O996" s="31"/>
      <c r="P996" s="31"/>
      <c r="Q996" s="31"/>
    </row>
    <row r="997" spans="1:17" ht="15" customHeight="1" x14ac:dyDescent="0.35">
      <c r="A997" s="31">
        <f>A995+1</f>
        <v>16</v>
      </c>
      <c r="C997" s="31" t="s">
        <v>132</v>
      </c>
      <c r="D997" s="31" t="s">
        <v>27</v>
      </c>
      <c r="E997" s="311">
        <v>0</v>
      </c>
      <c r="F997" s="221">
        <v>0</v>
      </c>
      <c r="G997" s="221">
        <v>0</v>
      </c>
      <c r="H997" s="221">
        <v>0</v>
      </c>
      <c r="I997" s="221">
        <v>0</v>
      </c>
      <c r="J997" s="221">
        <v>0</v>
      </c>
      <c r="K997" s="221">
        <v>0</v>
      </c>
      <c r="L997" s="221">
        <f>SUM(F997:K997)</f>
        <v>0</v>
      </c>
      <c r="M997" s="31"/>
      <c r="N997" s="31"/>
      <c r="O997" s="31"/>
      <c r="P997" s="31"/>
      <c r="Q997" s="31"/>
    </row>
    <row r="998" spans="1:17" ht="15" customHeight="1" x14ac:dyDescent="0.35">
      <c r="F998" s="38"/>
      <c r="H998" s="38"/>
      <c r="J998" s="38"/>
      <c r="L998" s="39"/>
      <c r="M998" s="31"/>
      <c r="N998" s="31"/>
      <c r="O998" s="31"/>
      <c r="P998" s="31"/>
      <c r="Q998" s="31"/>
    </row>
    <row r="999" spans="1:17" ht="15" customHeight="1" x14ac:dyDescent="0.35">
      <c r="A999" s="31">
        <f>A997+1</f>
        <v>17</v>
      </c>
      <c r="C999" s="36" t="s">
        <v>163</v>
      </c>
      <c r="D999" s="50"/>
      <c r="E999" s="56"/>
      <c r="F999" s="221">
        <f t="shared" ref="F999:J999" si="317">F995+F997</f>
        <v>18265.66</v>
      </c>
      <c r="G999" s="221">
        <f t="shared" si="317"/>
        <v>16789.62</v>
      </c>
      <c r="H999" s="221">
        <f t="shared" si="317"/>
        <v>6144.68</v>
      </c>
      <c r="I999" s="221">
        <f t="shared" si="317"/>
        <v>3524.62</v>
      </c>
      <c r="J999" s="221">
        <f t="shared" si="317"/>
        <v>4703.58</v>
      </c>
      <c r="K999" s="221">
        <f>K995+K997</f>
        <v>6549.0399999999991</v>
      </c>
      <c r="L999" s="221">
        <f>SUM(F999:K999)</f>
        <v>55977.200000000004</v>
      </c>
      <c r="M999" s="31"/>
      <c r="N999" s="31"/>
      <c r="O999" s="31"/>
      <c r="P999" s="31"/>
      <c r="Q999" s="31"/>
    </row>
    <row r="1000" spans="1:17" ht="15" customHeight="1" x14ac:dyDescent="0.35">
      <c r="F1000" s="38"/>
      <c r="H1000" s="38"/>
      <c r="J1000" s="38"/>
      <c r="L1000" s="31"/>
      <c r="M1000" s="31"/>
      <c r="N1000" s="31"/>
      <c r="O1000" s="31"/>
      <c r="P1000" s="31"/>
      <c r="Q1000" s="31"/>
    </row>
    <row r="1001" spans="1:17" ht="15" customHeight="1" x14ac:dyDescent="0.35"/>
    <row r="1002" spans="1:17" ht="15" customHeight="1" x14ac:dyDescent="0.35">
      <c r="A1002" s="31">
        <f>A999+1</f>
        <v>18</v>
      </c>
      <c r="B1002" s="31" t="str">
        <f>B265</f>
        <v>DS3</v>
      </c>
      <c r="C1002" s="31" t="str">
        <f>C265</f>
        <v>GTS Main Line Service - Industrial</v>
      </c>
      <c r="F1002" s="38"/>
      <c r="H1002" s="38"/>
      <c r="J1002" s="38"/>
      <c r="L1002" s="31"/>
      <c r="M1002" s="31"/>
      <c r="N1002" s="31"/>
      <c r="O1002" s="31"/>
      <c r="P1002" s="31"/>
      <c r="Q1002" s="31"/>
    </row>
    <row r="1003" spans="1:17" ht="15" customHeight="1" x14ac:dyDescent="0.35">
      <c r="F1003" s="38"/>
      <c r="H1003" s="38"/>
      <c r="J1003" s="38"/>
      <c r="L1003" s="31"/>
      <c r="M1003" s="31"/>
      <c r="N1003" s="31"/>
      <c r="O1003" s="31"/>
      <c r="P1003" s="31"/>
      <c r="Q1003" s="31"/>
    </row>
    <row r="1004" spans="1:17" ht="15" customHeight="1" x14ac:dyDescent="0.4">
      <c r="A1004" s="31">
        <f>A1002+1</f>
        <v>19</v>
      </c>
      <c r="C1004" s="35" t="s">
        <v>106</v>
      </c>
      <c r="D1004" s="35"/>
      <c r="F1004" s="38"/>
      <c r="H1004" s="38"/>
      <c r="J1004" s="38"/>
      <c r="L1004" s="31"/>
      <c r="M1004" s="31"/>
      <c r="N1004" s="31"/>
      <c r="O1004" s="31"/>
      <c r="P1004" s="31"/>
      <c r="Q1004" s="31"/>
    </row>
    <row r="1005" spans="1:17" ht="15" customHeight="1" x14ac:dyDescent="0.4">
      <c r="C1005" s="35"/>
      <c r="D1005" s="35"/>
      <c r="F1005" s="38"/>
      <c r="H1005" s="38"/>
      <c r="J1005" s="38"/>
      <c r="L1005" s="31"/>
      <c r="M1005" s="31"/>
      <c r="N1005" s="31"/>
      <c r="O1005" s="31"/>
      <c r="P1005" s="31"/>
      <c r="Q1005" s="31"/>
    </row>
    <row r="1006" spans="1:17" ht="15" customHeight="1" x14ac:dyDescent="0.4">
      <c r="A1006" s="31">
        <f>A1004+1</f>
        <v>20</v>
      </c>
      <c r="C1006" s="31" t="s">
        <v>161</v>
      </c>
      <c r="D1006" s="35"/>
      <c r="F1006" s="108">
        <f>B!D236</f>
        <v>3</v>
      </c>
      <c r="G1006" s="108">
        <f>B!E236</f>
        <v>3</v>
      </c>
      <c r="H1006" s="108">
        <f>B!F236</f>
        <v>3</v>
      </c>
      <c r="I1006" s="108">
        <f>B!G236</f>
        <v>3</v>
      </c>
      <c r="J1006" s="108">
        <f>B!H236</f>
        <v>3</v>
      </c>
      <c r="K1006" s="108">
        <f>B!I236</f>
        <v>3</v>
      </c>
      <c r="L1006" s="108">
        <f>SUM(F1006:K1006)</f>
        <v>18</v>
      </c>
      <c r="M1006" s="31"/>
      <c r="N1006" s="31"/>
      <c r="O1006" s="31"/>
      <c r="P1006" s="31"/>
      <c r="Q1006" s="31"/>
    </row>
    <row r="1007" spans="1:17" ht="15" customHeight="1" x14ac:dyDescent="0.35">
      <c r="A1007" s="31">
        <f>A1006+1</f>
        <v>21</v>
      </c>
      <c r="C1007" s="31" t="s">
        <v>168</v>
      </c>
      <c r="D1007" s="31" t="s">
        <v>28</v>
      </c>
      <c r="E1007" s="313">
        <f>Input!H54</f>
        <v>260.11</v>
      </c>
      <c r="F1007" s="221">
        <f t="shared" ref="F1007:K1007" si="318">ROUND(F1006*$E$1007,2)</f>
        <v>780.33</v>
      </c>
      <c r="G1007" s="221">
        <f t="shared" si="318"/>
        <v>780.33</v>
      </c>
      <c r="H1007" s="221">
        <f t="shared" si="318"/>
        <v>780.33</v>
      </c>
      <c r="I1007" s="221">
        <f t="shared" si="318"/>
        <v>780.33</v>
      </c>
      <c r="J1007" s="221">
        <f t="shared" si="318"/>
        <v>780.33</v>
      </c>
      <c r="K1007" s="221">
        <f t="shared" si="318"/>
        <v>780.33</v>
      </c>
      <c r="L1007" s="221">
        <f>SUM(F1007:K1007)</f>
        <v>4681.9800000000005</v>
      </c>
      <c r="M1007" s="31"/>
      <c r="N1007" s="31"/>
      <c r="O1007" s="31"/>
      <c r="P1007" s="31"/>
      <c r="Q1007" s="31"/>
    </row>
    <row r="1008" spans="1:17" ht="15" customHeight="1" x14ac:dyDescent="0.35">
      <c r="E1008" s="313"/>
      <c r="F1008" s="221"/>
      <c r="G1008" s="221"/>
      <c r="H1008" s="221"/>
      <c r="I1008" s="221"/>
      <c r="J1008" s="221"/>
      <c r="K1008" s="221"/>
      <c r="L1008" s="221"/>
      <c r="M1008" s="31"/>
      <c r="N1008" s="31"/>
      <c r="O1008" s="31"/>
      <c r="P1008" s="31"/>
      <c r="Q1008" s="31"/>
    </row>
    <row r="1009" spans="1:17" ht="15" customHeight="1" x14ac:dyDescent="0.35">
      <c r="A1009" s="31">
        <f>A1007+1</f>
        <v>22</v>
      </c>
      <c r="C1009" s="31" t="s">
        <v>174</v>
      </c>
      <c r="F1009" s="37">
        <f>'C'!D356</f>
        <v>45000</v>
      </c>
      <c r="G1009" s="37">
        <f>'C'!E356</f>
        <v>42300</v>
      </c>
      <c r="H1009" s="37">
        <f>'C'!F356</f>
        <v>40400</v>
      </c>
      <c r="I1009" s="37">
        <f>'C'!G356</f>
        <v>42600</v>
      </c>
      <c r="J1009" s="37">
        <f>'C'!H356</f>
        <v>45000</v>
      </c>
      <c r="K1009" s="37">
        <f>'C'!I356</f>
        <v>38500</v>
      </c>
      <c r="L1009" s="37">
        <f>SUM(F1009:K1009)</f>
        <v>253800</v>
      </c>
      <c r="M1009" s="31"/>
      <c r="N1009" s="31"/>
      <c r="O1009" s="31"/>
      <c r="P1009" s="31"/>
      <c r="Q1009" s="31"/>
    </row>
    <row r="1010" spans="1:17" ht="15" customHeight="1" x14ac:dyDescent="0.35">
      <c r="A1010" s="31">
        <f>A1009+1</f>
        <v>23</v>
      </c>
      <c r="C1010" s="36" t="s">
        <v>165</v>
      </c>
      <c r="D1010" s="300" t="s">
        <v>27</v>
      </c>
      <c r="E1010" s="311">
        <f>Input!C54</f>
        <v>8.6699999999999999E-2</v>
      </c>
      <c r="F1010" s="357">
        <f t="shared" ref="F1010:K1010" si="319">ROUND(F1009*$E$1010,2)</f>
        <v>3901.5</v>
      </c>
      <c r="G1010" s="357">
        <f t="shared" si="319"/>
        <v>3667.41</v>
      </c>
      <c r="H1010" s="357">
        <f t="shared" si="319"/>
        <v>3502.68</v>
      </c>
      <c r="I1010" s="357">
        <f t="shared" si="319"/>
        <v>3693.42</v>
      </c>
      <c r="J1010" s="357">
        <f t="shared" si="319"/>
        <v>3901.5</v>
      </c>
      <c r="K1010" s="357">
        <f t="shared" si="319"/>
        <v>3337.95</v>
      </c>
      <c r="L1010" s="357">
        <f>SUM(F1010:K1010)</f>
        <v>22004.460000000003</v>
      </c>
      <c r="M1010" s="31"/>
      <c r="N1010" s="31"/>
      <c r="O1010" s="31"/>
      <c r="P1010" s="31"/>
      <c r="Q1010" s="31"/>
    </row>
    <row r="1011" spans="1:17" ht="15" customHeight="1" x14ac:dyDescent="0.35">
      <c r="C1011" s="36"/>
      <c r="D1011" s="300"/>
      <c r="E1011" s="311"/>
      <c r="F1011" s="357"/>
      <c r="G1011" s="357"/>
      <c r="H1011" s="357"/>
      <c r="I1011" s="357"/>
      <c r="J1011" s="357"/>
      <c r="K1011" s="357"/>
      <c r="L1011" s="357"/>
      <c r="M1011" s="31"/>
      <c r="N1011" s="31"/>
      <c r="O1011" s="31"/>
      <c r="P1011" s="31"/>
      <c r="Q1011" s="31"/>
    </row>
    <row r="1012" spans="1:17" ht="15" customHeight="1" x14ac:dyDescent="0.35">
      <c r="A1012" s="31">
        <f>A1010+1</f>
        <v>24</v>
      </c>
      <c r="C1012" s="31" t="s">
        <v>162</v>
      </c>
      <c r="F1012" s="221">
        <f>F1007+F1010</f>
        <v>4681.83</v>
      </c>
      <c r="G1012" s="221">
        <f t="shared" ref="G1012:K1012" si="320">G1007+G1010</f>
        <v>4447.74</v>
      </c>
      <c r="H1012" s="221">
        <f t="shared" si="320"/>
        <v>4283.01</v>
      </c>
      <c r="I1012" s="221">
        <f t="shared" si="320"/>
        <v>4473.75</v>
      </c>
      <c r="J1012" s="221">
        <f t="shared" si="320"/>
        <v>4681.83</v>
      </c>
      <c r="K1012" s="221">
        <f t="shared" si="320"/>
        <v>4118.28</v>
      </c>
      <c r="L1012" s="221">
        <f>SUM(F1012:K1012)</f>
        <v>26686.440000000002</v>
      </c>
      <c r="M1012" s="31"/>
      <c r="N1012" s="31"/>
      <c r="O1012" s="31"/>
      <c r="P1012" s="31"/>
      <c r="Q1012" s="31"/>
    </row>
    <row r="1013" spans="1:17" ht="15" customHeight="1" x14ac:dyDescent="0.35">
      <c r="F1013" s="38"/>
      <c r="H1013" s="38"/>
      <c r="J1013" s="38"/>
      <c r="L1013" s="312"/>
      <c r="M1013" s="31"/>
      <c r="N1013" s="31"/>
      <c r="O1013" s="31"/>
      <c r="P1013" s="31"/>
      <c r="Q1013" s="31"/>
    </row>
    <row r="1014" spans="1:17" ht="15" customHeight="1" x14ac:dyDescent="0.35">
      <c r="A1014" s="31">
        <f>A1012+1</f>
        <v>25</v>
      </c>
      <c r="C1014" s="31" t="s">
        <v>132</v>
      </c>
      <c r="D1014" s="31" t="s">
        <v>27</v>
      </c>
      <c r="E1014" s="311">
        <v>0</v>
      </c>
      <c r="F1014" s="221">
        <v>0</v>
      </c>
      <c r="G1014" s="221">
        <v>0</v>
      </c>
      <c r="H1014" s="221">
        <v>0</v>
      </c>
      <c r="I1014" s="221">
        <v>0</v>
      </c>
      <c r="J1014" s="221">
        <v>0</v>
      </c>
      <c r="K1014" s="221">
        <v>0</v>
      </c>
      <c r="L1014" s="221">
        <f>SUM(F1014:K1014)</f>
        <v>0</v>
      </c>
      <c r="M1014" s="31"/>
      <c r="N1014" s="31"/>
      <c r="O1014" s="31"/>
      <c r="P1014" s="31"/>
      <c r="Q1014" s="31"/>
    </row>
    <row r="1015" spans="1:17" ht="15" customHeight="1" x14ac:dyDescent="0.35">
      <c r="F1015" s="38"/>
      <c r="H1015" s="38"/>
      <c r="J1015" s="38"/>
      <c r="L1015" s="39"/>
      <c r="M1015" s="31"/>
      <c r="N1015" s="31"/>
      <c r="O1015" s="31"/>
      <c r="P1015" s="31"/>
      <c r="Q1015" s="31"/>
    </row>
    <row r="1016" spans="1:17" ht="15" customHeight="1" x14ac:dyDescent="0.35">
      <c r="A1016" s="31">
        <f>A1014+1</f>
        <v>26</v>
      </c>
      <c r="C1016" s="36" t="s">
        <v>163</v>
      </c>
      <c r="D1016" s="50"/>
      <c r="E1016" s="56"/>
      <c r="F1016" s="221">
        <f t="shared" ref="F1016:J1016" si="321">F1012+F1014</f>
        <v>4681.83</v>
      </c>
      <c r="G1016" s="221">
        <f t="shared" si="321"/>
        <v>4447.74</v>
      </c>
      <c r="H1016" s="221">
        <f t="shared" si="321"/>
        <v>4283.01</v>
      </c>
      <c r="I1016" s="221">
        <f t="shared" si="321"/>
        <v>4473.75</v>
      </c>
      <c r="J1016" s="221">
        <f t="shared" si="321"/>
        <v>4681.83</v>
      </c>
      <c r="K1016" s="221">
        <f>K1012+K1014</f>
        <v>4118.28</v>
      </c>
      <c r="L1016" s="221">
        <f>SUM(F1016:K1016)</f>
        <v>26686.440000000002</v>
      </c>
      <c r="M1016" s="31"/>
      <c r="N1016" s="31"/>
      <c r="O1016" s="31"/>
      <c r="P1016" s="31"/>
      <c r="Q1016" s="31"/>
    </row>
    <row r="1017" spans="1:17" ht="15" customHeight="1" x14ac:dyDescent="0.35"/>
    <row r="1018" spans="1:17" ht="15" customHeight="1" x14ac:dyDescent="0.35"/>
    <row r="1019" spans="1:17" ht="15" customHeight="1" x14ac:dyDescent="0.35">
      <c r="A1019" s="31">
        <f>A1016+1</f>
        <v>27</v>
      </c>
      <c r="B1019" s="31" t="str">
        <f>B272</f>
        <v>FX1</v>
      </c>
      <c r="C1019" s="31" t="str">
        <f>C272</f>
        <v>GTS Flex Rate - Commercial</v>
      </c>
      <c r="F1019" s="38"/>
      <c r="H1019" s="38"/>
      <c r="J1019" s="38"/>
      <c r="L1019" s="31"/>
      <c r="M1019" s="31"/>
      <c r="N1019" s="31"/>
      <c r="O1019" s="31"/>
      <c r="P1019" s="31"/>
      <c r="Q1019" s="31"/>
    </row>
    <row r="1020" spans="1:17" ht="15" customHeight="1" x14ac:dyDescent="0.35">
      <c r="F1020" s="38"/>
      <c r="H1020" s="38"/>
      <c r="J1020" s="38"/>
      <c r="L1020" s="31"/>
      <c r="M1020" s="31"/>
      <c r="N1020" s="31"/>
      <c r="O1020" s="31"/>
      <c r="P1020" s="31"/>
      <c r="Q1020" s="31"/>
    </row>
    <row r="1021" spans="1:17" ht="15" customHeight="1" x14ac:dyDescent="0.4">
      <c r="A1021" s="31">
        <f>A1019+1</f>
        <v>28</v>
      </c>
      <c r="C1021" s="35" t="s">
        <v>105</v>
      </c>
      <c r="D1021" s="35"/>
      <c r="F1021" s="38"/>
      <c r="H1021" s="38"/>
      <c r="J1021" s="38"/>
      <c r="L1021" s="31"/>
      <c r="M1021" s="31"/>
      <c r="N1021" s="31"/>
      <c r="O1021" s="31"/>
      <c r="P1021" s="31"/>
      <c r="Q1021" s="31"/>
    </row>
    <row r="1022" spans="1:17" ht="15" customHeight="1" x14ac:dyDescent="0.4">
      <c r="C1022" s="35"/>
      <c r="D1022" s="35"/>
      <c r="F1022" s="38"/>
      <c r="H1022" s="38"/>
      <c r="J1022" s="38"/>
      <c r="L1022" s="31"/>
      <c r="M1022" s="31"/>
      <c r="N1022" s="31"/>
      <c r="O1022" s="31"/>
      <c r="P1022" s="31"/>
      <c r="Q1022" s="31"/>
    </row>
    <row r="1023" spans="1:17" ht="15" customHeight="1" x14ac:dyDescent="0.4">
      <c r="A1023" s="31">
        <f>A1021+1</f>
        <v>29</v>
      </c>
      <c r="C1023" s="31" t="s">
        <v>161</v>
      </c>
      <c r="D1023" s="35"/>
      <c r="F1023" s="108">
        <f>B!D262</f>
        <v>0</v>
      </c>
      <c r="G1023" s="108">
        <f>B!E262</f>
        <v>0</v>
      </c>
      <c r="H1023" s="108">
        <f>B!F262</f>
        <v>0</v>
      </c>
      <c r="I1023" s="108">
        <f>B!G262</f>
        <v>0</v>
      </c>
      <c r="J1023" s="108">
        <f>B!H262</f>
        <v>0</v>
      </c>
      <c r="K1023" s="108">
        <f>B!I262</f>
        <v>0</v>
      </c>
      <c r="L1023" s="108">
        <f>SUM(F1023:K1023)</f>
        <v>0</v>
      </c>
      <c r="M1023" s="31"/>
      <c r="N1023" s="31"/>
      <c r="O1023" s="31"/>
      <c r="P1023" s="31"/>
      <c r="Q1023" s="31"/>
    </row>
    <row r="1024" spans="1:17" ht="15" customHeight="1" x14ac:dyDescent="0.35">
      <c r="A1024" s="31">
        <f>A1023+1</f>
        <v>30</v>
      </c>
      <c r="C1024" s="31" t="s">
        <v>168</v>
      </c>
      <c r="D1024" s="31" t="s">
        <v>28</v>
      </c>
      <c r="E1024" s="313">
        <f>Input!H55</f>
        <v>0</v>
      </c>
      <c r="F1024" s="221">
        <f t="shared" ref="F1024:K1024" si="322">ROUND(F1023*$E$1024,2)</f>
        <v>0</v>
      </c>
      <c r="G1024" s="221">
        <f t="shared" si="322"/>
        <v>0</v>
      </c>
      <c r="H1024" s="221">
        <f t="shared" si="322"/>
        <v>0</v>
      </c>
      <c r="I1024" s="221">
        <f t="shared" si="322"/>
        <v>0</v>
      </c>
      <c r="J1024" s="221">
        <f t="shared" si="322"/>
        <v>0</v>
      </c>
      <c r="K1024" s="221">
        <f t="shared" si="322"/>
        <v>0</v>
      </c>
      <c r="L1024" s="221">
        <f>SUM(F1024:K1024)</f>
        <v>0</v>
      </c>
      <c r="M1024" s="31"/>
      <c r="N1024" s="31"/>
      <c r="O1024" s="31"/>
      <c r="P1024" s="31"/>
      <c r="Q1024" s="31"/>
    </row>
    <row r="1025" spans="1:18" ht="15" customHeight="1" x14ac:dyDescent="0.35">
      <c r="E1025" s="313"/>
      <c r="F1025" s="221"/>
      <c r="G1025" s="221"/>
      <c r="H1025" s="221"/>
      <c r="I1025" s="221"/>
      <c r="J1025" s="221"/>
      <c r="K1025" s="221"/>
      <c r="L1025" s="221"/>
      <c r="M1025" s="31"/>
      <c r="N1025" s="31"/>
      <c r="O1025" s="31"/>
      <c r="P1025" s="31"/>
      <c r="Q1025" s="31"/>
    </row>
    <row r="1026" spans="1:18" ht="15" customHeight="1" x14ac:dyDescent="0.35">
      <c r="A1026" s="31">
        <f>A1024+1</f>
        <v>31</v>
      </c>
      <c r="C1026" s="31" t="s">
        <v>167</v>
      </c>
      <c r="F1026" s="37">
        <f>'C'!D361</f>
        <v>0</v>
      </c>
      <c r="G1026" s="37">
        <f>'C'!E361</f>
        <v>0</v>
      </c>
      <c r="H1026" s="37">
        <f>'C'!F361</f>
        <v>0</v>
      </c>
      <c r="I1026" s="37">
        <f>'C'!G361</f>
        <v>0</v>
      </c>
      <c r="J1026" s="37">
        <f>'C'!H361</f>
        <v>0</v>
      </c>
      <c r="K1026" s="37">
        <f>'C'!I361</f>
        <v>0</v>
      </c>
      <c r="L1026" s="37">
        <f>SUM(F1026:K1026)</f>
        <v>0</v>
      </c>
      <c r="M1026" s="31"/>
      <c r="N1026" s="31"/>
      <c r="O1026" s="31"/>
      <c r="P1026" s="31"/>
      <c r="Q1026" s="31"/>
    </row>
    <row r="1027" spans="1:18" ht="15" customHeight="1" x14ac:dyDescent="0.35">
      <c r="A1027" s="31">
        <f>A1026+1</f>
        <v>32</v>
      </c>
      <c r="C1027" s="31" t="s">
        <v>165</v>
      </c>
      <c r="D1027" s="300" t="s">
        <v>27</v>
      </c>
      <c r="E1027" s="311">
        <f>Input!C55</f>
        <v>0</v>
      </c>
      <c r="F1027" s="357">
        <f t="shared" ref="F1027:K1027" si="323">ROUND(F1026*$E$1027,2)</f>
        <v>0</v>
      </c>
      <c r="G1027" s="357">
        <f t="shared" si="323"/>
        <v>0</v>
      </c>
      <c r="H1027" s="357">
        <f t="shared" si="323"/>
        <v>0</v>
      </c>
      <c r="I1027" s="357">
        <f t="shared" si="323"/>
        <v>0</v>
      </c>
      <c r="J1027" s="357">
        <f t="shared" si="323"/>
        <v>0</v>
      </c>
      <c r="K1027" s="357">
        <f t="shared" si="323"/>
        <v>0</v>
      </c>
      <c r="L1027" s="357">
        <f>SUM(F1027:K1027)</f>
        <v>0</v>
      </c>
      <c r="M1027" s="31"/>
      <c r="N1027" s="31"/>
      <c r="O1027" s="31"/>
      <c r="P1027" s="31"/>
      <c r="Q1027" s="31"/>
    </row>
    <row r="1028" spans="1:18" ht="15" customHeight="1" x14ac:dyDescent="0.35">
      <c r="D1028" s="300"/>
      <c r="E1028" s="311"/>
      <c r="F1028" s="357"/>
      <c r="G1028" s="357"/>
      <c r="H1028" s="357"/>
      <c r="I1028" s="357"/>
      <c r="J1028" s="357"/>
      <c r="K1028" s="357"/>
      <c r="L1028" s="357"/>
      <c r="M1028" s="31"/>
      <c r="N1028" s="31"/>
      <c r="O1028" s="31"/>
      <c r="P1028" s="31"/>
      <c r="Q1028" s="31"/>
    </row>
    <row r="1029" spans="1:18" ht="15" customHeight="1" x14ac:dyDescent="0.35">
      <c r="A1029" s="31">
        <f>A1027+1</f>
        <v>33</v>
      </c>
      <c r="C1029" s="31" t="s">
        <v>162</v>
      </c>
      <c r="F1029" s="221">
        <f>F1024+F1027</f>
        <v>0</v>
      </c>
      <c r="G1029" s="221">
        <f t="shared" ref="G1029:K1029" si="324">G1024+G1027</f>
        <v>0</v>
      </c>
      <c r="H1029" s="221">
        <f t="shared" si="324"/>
        <v>0</v>
      </c>
      <c r="I1029" s="221">
        <f t="shared" si="324"/>
        <v>0</v>
      </c>
      <c r="J1029" s="221">
        <f t="shared" si="324"/>
        <v>0</v>
      </c>
      <c r="K1029" s="221">
        <f t="shared" si="324"/>
        <v>0</v>
      </c>
      <c r="L1029" s="221">
        <f>SUM(F1029:K1029)</f>
        <v>0</v>
      </c>
      <c r="M1029" s="31"/>
      <c r="N1029" s="31"/>
      <c r="O1029" s="31"/>
      <c r="P1029" s="31"/>
      <c r="Q1029" s="31"/>
    </row>
    <row r="1030" spans="1:18" ht="15" customHeight="1" x14ac:dyDescent="0.35">
      <c r="F1030" s="38"/>
      <c r="H1030" s="38"/>
      <c r="J1030" s="38"/>
      <c r="L1030" s="312"/>
      <c r="M1030" s="31"/>
      <c r="N1030" s="31"/>
      <c r="O1030" s="31"/>
      <c r="P1030" s="31"/>
      <c r="Q1030" s="31"/>
    </row>
    <row r="1031" spans="1:18" ht="15" customHeight="1" x14ac:dyDescent="0.35">
      <c r="A1031" s="31">
        <f>A1029+1</f>
        <v>34</v>
      </c>
      <c r="C1031" s="31" t="s">
        <v>132</v>
      </c>
      <c r="D1031" s="31" t="s">
        <v>27</v>
      </c>
      <c r="E1031" s="311">
        <v>0</v>
      </c>
      <c r="F1031" s="221">
        <v>0</v>
      </c>
      <c r="G1031" s="221">
        <v>0</v>
      </c>
      <c r="H1031" s="221">
        <v>0</v>
      </c>
      <c r="I1031" s="221">
        <v>0</v>
      </c>
      <c r="J1031" s="221">
        <v>0</v>
      </c>
      <c r="K1031" s="221">
        <v>0</v>
      </c>
      <c r="L1031" s="221">
        <f>SUM(F1031:K1031)</f>
        <v>0</v>
      </c>
      <c r="M1031" s="31"/>
      <c r="N1031" s="31"/>
      <c r="O1031" s="31"/>
      <c r="P1031" s="31"/>
      <c r="Q1031" s="31"/>
    </row>
    <row r="1032" spans="1:18" ht="15" customHeight="1" x14ac:dyDescent="0.35">
      <c r="F1032" s="38"/>
      <c r="H1032" s="38"/>
      <c r="J1032" s="38"/>
      <c r="L1032" s="39"/>
      <c r="M1032" s="31"/>
      <c r="N1032" s="31"/>
      <c r="O1032" s="31"/>
      <c r="P1032" s="31"/>
      <c r="Q1032" s="31"/>
    </row>
    <row r="1033" spans="1:18" ht="15" customHeight="1" x14ac:dyDescent="0.35">
      <c r="A1033" s="31">
        <f>A1031+1</f>
        <v>35</v>
      </c>
      <c r="C1033" s="36" t="s">
        <v>163</v>
      </c>
      <c r="D1033" s="50"/>
      <c r="E1033" s="56"/>
      <c r="F1033" s="221">
        <f t="shared" ref="F1033:J1033" si="325">F1029+F1031</f>
        <v>0</v>
      </c>
      <c r="G1033" s="221">
        <f t="shared" si="325"/>
        <v>0</v>
      </c>
      <c r="H1033" s="221">
        <f t="shared" si="325"/>
        <v>0</v>
      </c>
      <c r="I1033" s="221">
        <f t="shared" si="325"/>
        <v>0</v>
      </c>
      <c r="J1033" s="221">
        <f t="shared" si="325"/>
        <v>0</v>
      </c>
      <c r="K1033" s="221">
        <f>K1029+K1031</f>
        <v>0</v>
      </c>
      <c r="L1033" s="221">
        <f>SUM(F1033:K1033)</f>
        <v>0</v>
      </c>
      <c r="M1033" s="31"/>
      <c r="N1033" s="31"/>
      <c r="O1033" s="31"/>
      <c r="P1033" s="31"/>
      <c r="Q1033" s="31"/>
    </row>
    <row r="1034" spans="1:18" ht="15" customHeight="1" x14ac:dyDescent="0.35">
      <c r="F1034" s="38"/>
      <c r="H1034" s="38"/>
      <c r="J1034" s="38"/>
      <c r="L1034" s="31"/>
      <c r="M1034" s="31"/>
      <c r="N1034" s="31"/>
      <c r="O1034" s="31"/>
      <c r="P1034" s="31"/>
      <c r="Q1034" s="31"/>
    </row>
    <row r="1035" spans="1:18" ht="15" customHeight="1" x14ac:dyDescent="0.35"/>
    <row r="1036" spans="1:18" ht="15" customHeight="1" x14ac:dyDescent="0.35">
      <c r="A1036" s="31" t="str">
        <f>$A$280</f>
        <v>[1] Reflects forecasted volumes for March through August 2024.</v>
      </c>
    </row>
    <row r="1037" spans="1:18" ht="15" customHeight="1" x14ac:dyDescent="0.4">
      <c r="A1037" s="480" t="str">
        <f>CONAME</f>
        <v>Columbia Gas of Kentucky, Inc.</v>
      </c>
      <c r="B1037" s="480"/>
      <c r="C1037" s="480"/>
      <c r="D1037" s="480"/>
      <c r="E1037" s="480"/>
      <c r="F1037" s="480"/>
      <c r="G1037" s="480"/>
      <c r="H1037" s="480"/>
      <c r="I1037" s="480"/>
      <c r="J1037" s="480"/>
      <c r="K1037" s="480"/>
      <c r="L1037" s="480"/>
      <c r="M1037" s="89"/>
      <c r="N1037" s="89"/>
      <c r="O1037" s="89"/>
      <c r="P1037" s="89"/>
      <c r="Q1037" s="89"/>
      <c r="R1037" s="89"/>
    </row>
    <row r="1038" spans="1:18" ht="15" customHeight="1" x14ac:dyDescent="0.4">
      <c r="A1038" s="480" t="str">
        <f>case</f>
        <v>Case No. 2024-00092</v>
      </c>
      <c r="B1038" s="480"/>
      <c r="C1038" s="480"/>
      <c r="D1038" s="480"/>
      <c r="E1038" s="480"/>
      <c r="F1038" s="480"/>
      <c r="G1038" s="480"/>
      <c r="H1038" s="480"/>
      <c r="I1038" s="480"/>
      <c r="J1038" s="480"/>
      <c r="K1038" s="480"/>
      <c r="L1038" s="480"/>
      <c r="M1038" s="35"/>
      <c r="N1038" s="35"/>
      <c r="O1038" s="35"/>
      <c r="P1038" s="35"/>
      <c r="Q1038" s="35"/>
      <c r="R1038" s="35"/>
    </row>
    <row r="1039" spans="1:18" ht="15" customHeight="1" x14ac:dyDescent="0.4">
      <c r="A1039" s="480" t="s">
        <v>319</v>
      </c>
      <c r="B1039" s="480"/>
      <c r="C1039" s="480"/>
      <c r="D1039" s="480"/>
      <c r="E1039" s="480"/>
      <c r="F1039" s="480"/>
      <c r="G1039" s="480"/>
      <c r="H1039" s="480"/>
      <c r="I1039" s="480"/>
      <c r="J1039" s="480"/>
      <c r="K1039" s="480"/>
      <c r="L1039" s="480"/>
      <c r="M1039" s="110"/>
      <c r="N1039" s="110"/>
      <c r="O1039" s="110"/>
      <c r="P1039" s="110"/>
      <c r="Q1039" s="110"/>
      <c r="R1039" s="110"/>
    </row>
    <row r="1040" spans="1:18" ht="15" customHeight="1" x14ac:dyDescent="0.4">
      <c r="A1040" s="480" t="str">
        <f>TYDESC</f>
        <v>For the 6 Months Ended August 31, 2024</v>
      </c>
      <c r="B1040" s="480"/>
      <c r="C1040" s="480"/>
      <c r="D1040" s="480"/>
      <c r="E1040" s="480"/>
      <c r="F1040" s="480"/>
      <c r="G1040" s="480"/>
      <c r="H1040" s="480"/>
      <c r="I1040" s="480"/>
      <c r="J1040" s="480"/>
      <c r="K1040" s="480"/>
      <c r="L1040" s="480"/>
      <c r="M1040" s="89"/>
      <c r="N1040" s="89"/>
      <c r="O1040" s="89"/>
      <c r="P1040" s="89"/>
      <c r="Q1040" s="89"/>
      <c r="R1040" s="89"/>
    </row>
    <row r="1041" spans="1:18" ht="15" customHeight="1" x14ac:dyDescent="0.4">
      <c r="A1041" s="480" t="s">
        <v>46</v>
      </c>
      <c r="B1041" s="480"/>
      <c r="C1041" s="480"/>
      <c r="D1041" s="480"/>
      <c r="E1041" s="480"/>
      <c r="F1041" s="480"/>
      <c r="G1041" s="480"/>
      <c r="H1041" s="480"/>
      <c r="I1041" s="480"/>
      <c r="J1041" s="480"/>
      <c r="K1041" s="480"/>
      <c r="L1041" s="480"/>
      <c r="M1041" s="220"/>
      <c r="N1041" s="220"/>
      <c r="O1041" s="220"/>
      <c r="P1041" s="220"/>
      <c r="Q1041" s="220"/>
      <c r="R1041" s="220"/>
    </row>
    <row r="1042" spans="1:18" ht="15" customHeight="1" x14ac:dyDescent="0.4">
      <c r="A1042" s="220"/>
      <c r="B1042" s="220"/>
      <c r="C1042" s="220"/>
      <c r="D1042" s="220"/>
      <c r="E1042" s="220"/>
      <c r="F1042" s="220"/>
      <c r="G1042" s="220"/>
      <c r="H1042" s="220"/>
      <c r="I1042" s="220"/>
      <c r="J1042" s="220"/>
      <c r="K1042" s="220"/>
      <c r="L1042" s="220"/>
      <c r="M1042" s="220"/>
      <c r="N1042" s="220"/>
      <c r="O1042" s="220"/>
      <c r="P1042" s="220"/>
      <c r="Q1042" s="220"/>
      <c r="R1042" s="220"/>
    </row>
    <row r="1043" spans="1:18" ht="15" customHeight="1" x14ac:dyDescent="0.4">
      <c r="A1043" s="35" t="s">
        <v>180</v>
      </c>
    </row>
    <row r="1044" spans="1:18" ht="15" customHeight="1" x14ac:dyDescent="0.4">
      <c r="A1044" s="35" t="s">
        <v>181</v>
      </c>
      <c r="L1044" s="40" t="str">
        <f>$L$55</f>
        <v>Schedule M-2.2B</v>
      </c>
    </row>
    <row r="1045" spans="1:18" ht="15" customHeight="1" x14ac:dyDescent="0.4">
      <c r="A1045" s="35" t="str">
        <f>$A$56</f>
        <v>Work Paper Reference No(s): WPM-B.1, WPM-C.1, WPM-D.1</v>
      </c>
      <c r="L1045" s="40" t="s">
        <v>334</v>
      </c>
    </row>
    <row r="1046" spans="1:18" ht="15.45" x14ac:dyDescent="0.4">
      <c r="A1046" s="320" t="str">
        <f>$A$57</f>
        <v>6 Mos Actual / 6 Mos Forecasted</v>
      </c>
      <c r="B1046" s="321"/>
      <c r="C1046" s="321"/>
      <c r="D1046" s="321"/>
      <c r="E1046" s="322"/>
      <c r="F1046" s="321"/>
      <c r="G1046" s="323"/>
      <c r="H1046" s="324"/>
      <c r="I1046" s="323"/>
      <c r="J1046" s="325"/>
      <c r="K1046" s="323"/>
      <c r="L1046" s="326" t="str">
        <f>Witness</f>
        <v>Witness: J. C. Wozniak</v>
      </c>
    </row>
    <row r="1047" spans="1:18" ht="15.45" x14ac:dyDescent="0.4">
      <c r="A1047" s="327"/>
      <c r="B1047" s="327"/>
      <c r="C1047" s="327"/>
      <c r="D1047" s="327"/>
      <c r="E1047" s="89"/>
      <c r="F1047" s="89"/>
      <c r="G1047" s="89"/>
      <c r="H1047" s="89"/>
      <c r="I1047" s="89"/>
      <c r="J1047" s="89"/>
      <c r="K1047" s="89"/>
      <c r="L1047" s="89"/>
      <c r="M1047" s="327"/>
      <c r="N1047" s="327"/>
      <c r="O1047" s="327"/>
      <c r="P1047" s="327"/>
      <c r="Q1047" s="327"/>
      <c r="R1047" s="327"/>
    </row>
    <row r="1048" spans="1:18" ht="15" customHeight="1" x14ac:dyDescent="0.4">
      <c r="A1048" s="35"/>
    </row>
    <row r="1049" spans="1:18" ht="15" customHeight="1" x14ac:dyDescent="0.4">
      <c r="A1049" s="32"/>
      <c r="B1049" s="32"/>
      <c r="C1049" s="32"/>
      <c r="D1049" s="32"/>
      <c r="E1049" s="33"/>
      <c r="F1049" s="32"/>
      <c r="G1049" s="41"/>
      <c r="H1049" s="301"/>
      <c r="I1049" s="41"/>
      <c r="J1049" s="120"/>
      <c r="K1049" s="41"/>
      <c r="L1049" s="41"/>
      <c r="M1049" s="41"/>
      <c r="N1049" s="41"/>
      <c r="O1049" s="41"/>
      <c r="P1049" s="41"/>
      <c r="Q1049" s="41"/>
      <c r="R1049" s="32"/>
    </row>
    <row r="1050" spans="1:18" ht="15" customHeight="1" x14ac:dyDescent="0.4">
      <c r="A1050" s="32"/>
      <c r="B1050" s="32"/>
      <c r="C1050" s="32"/>
      <c r="D1050" s="32"/>
      <c r="E1050" s="33" t="s">
        <v>52</v>
      </c>
      <c r="F1050" s="32"/>
      <c r="G1050" s="41"/>
      <c r="H1050" s="42"/>
      <c r="I1050" s="41"/>
      <c r="J1050" s="30"/>
      <c r="K1050" s="41"/>
      <c r="L1050" s="41"/>
      <c r="M1050" s="41"/>
      <c r="N1050" s="41"/>
      <c r="O1050" s="41"/>
      <c r="P1050" s="41"/>
      <c r="Q1050" s="41"/>
      <c r="R1050" s="32"/>
    </row>
    <row r="1051" spans="1:18" ht="15" customHeight="1" x14ac:dyDescent="0.4">
      <c r="A1051" s="32" t="s">
        <v>11</v>
      </c>
      <c r="B1051" s="32" t="s">
        <v>10</v>
      </c>
      <c r="C1051" s="32" t="s">
        <v>48</v>
      </c>
      <c r="D1051" s="32"/>
      <c r="E1051" s="33" t="s">
        <v>53</v>
      </c>
      <c r="F1051" s="32"/>
      <c r="G1051" s="41"/>
      <c r="H1051" s="42"/>
      <c r="I1051" s="41"/>
      <c r="J1051" s="30"/>
      <c r="K1051" s="41"/>
      <c r="L1051" s="41"/>
      <c r="M1051" s="41"/>
      <c r="N1051" s="41"/>
      <c r="O1051" s="41"/>
      <c r="P1051" s="41"/>
      <c r="Q1051" s="41"/>
      <c r="R1051" s="34"/>
    </row>
    <row r="1052" spans="1:18" ht="15" customHeight="1" x14ac:dyDescent="0.4">
      <c r="A1052" s="43" t="s">
        <v>13</v>
      </c>
      <c r="B1052" s="43" t="s">
        <v>47</v>
      </c>
      <c r="C1052" s="43" t="s">
        <v>14</v>
      </c>
      <c r="D1052" s="43"/>
      <c r="E1052" s="44" t="s">
        <v>54</v>
      </c>
      <c r="F1052" s="45" t="str">
        <f>B!$D$13</f>
        <v>Mar-24</v>
      </c>
      <c r="G1052" s="45" t="str">
        <f>B!$E$13</f>
        <v>Apr-24</v>
      </c>
      <c r="H1052" s="45" t="str">
        <f>B!$F$13</f>
        <v>May-24</v>
      </c>
      <c r="I1052" s="45" t="str">
        <f>B!$G$13</f>
        <v>Jun-24</v>
      </c>
      <c r="J1052" s="45" t="str">
        <f>B!$H$13</f>
        <v>Jul-24</v>
      </c>
      <c r="K1052" s="45" t="str">
        <f>B!$I$13</f>
        <v>Aug-24</v>
      </c>
      <c r="L1052" s="45" t="s">
        <v>15</v>
      </c>
      <c r="M1052" s="31"/>
      <c r="N1052" s="31"/>
      <c r="O1052" s="31"/>
      <c r="P1052" s="31"/>
      <c r="Q1052" s="31"/>
    </row>
    <row r="1053" spans="1:18" ht="15" customHeight="1" x14ac:dyDescent="0.4">
      <c r="A1053" s="32"/>
      <c r="B1053" s="34" t="s">
        <v>49</v>
      </c>
      <c r="C1053" s="34" t="s">
        <v>50</v>
      </c>
      <c r="D1053" s="34"/>
      <c r="E1053" s="47" t="s">
        <v>51</v>
      </c>
      <c r="F1053" s="48" t="s">
        <v>470</v>
      </c>
      <c r="G1053" s="48" t="s">
        <v>471</v>
      </c>
      <c r="H1053" s="48" t="s">
        <v>472</v>
      </c>
      <c r="I1053" s="48" t="s">
        <v>473</v>
      </c>
      <c r="J1053" s="48" t="s">
        <v>55</v>
      </c>
      <c r="K1053" s="48" t="s">
        <v>56</v>
      </c>
      <c r="L1053" s="48" t="s">
        <v>57</v>
      </c>
      <c r="M1053" s="31"/>
      <c r="N1053" s="31"/>
      <c r="O1053" s="31"/>
      <c r="P1053" s="31"/>
      <c r="Q1053" s="31"/>
    </row>
    <row r="1054" spans="1:18" ht="15" customHeight="1" x14ac:dyDescent="0.4">
      <c r="F1054" s="48"/>
      <c r="G1054" s="48"/>
      <c r="H1054" s="48"/>
      <c r="I1054" s="48"/>
      <c r="J1054" s="48"/>
      <c r="K1054" s="48"/>
      <c r="L1054" s="34"/>
      <c r="M1054" s="31"/>
      <c r="N1054" s="31"/>
      <c r="O1054" s="31"/>
      <c r="P1054" s="31"/>
      <c r="Q1054" s="31"/>
    </row>
    <row r="1055" spans="1:18" ht="15" customHeight="1" x14ac:dyDescent="0.35">
      <c r="F1055" s="38"/>
      <c r="H1055" s="38"/>
      <c r="J1055" s="38"/>
      <c r="L1055" s="31"/>
      <c r="M1055" s="31"/>
      <c r="N1055" s="31"/>
      <c r="O1055" s="31"/>
      <c r="P1055" s="31"/>
      <c r="Q1055" s="31"/>
    </row>
    <row r="1056" spans="1:18" ht="15" customHeight="1" x14ac:dyDescent="0.35">
      <c r="A1056" s="31">
        <v>1</v>
      </c>
      <c r="B1056" s="31" t="str">
        <f>B303</f>
        <v>FX2</v>
      </c>
      <c r="C1056" s="31" t="str">
        <f>C303</f>
        <v>GTS Flex Rate - Commercial</v>
      </c>
      <c r="F1056" s="38"/>
      <c r="H1056" s="38"/>
      <c r="J1056" s="38"/>
      <c r="L1056" s="31"/>
      <c r="M1056" s="31"/>
      <c r="N1056" s="31"/>
      <c r="O1056" s="31"/>
      <c r="P1056" s="31"/>
      <c r="Q1056" s="31"/>
    </row>
    <row r="1057" spans="1:17" ht="15" customHeight="1" x14ac:dyDescent="0.35">
      <c r="F1057" s="38"/>
      <c r="H1057" s="38"/>
      <c r="J1057" s="38"/>
      <c r="L1057" s="31"/>
      <c r="M1057" s="31"/>
      <c r="N1057" s="31"/>
      <c r="O1057" s="31"/>
      <c r="P1057" s="31"/>
      <c r="Q1057" s="31"/>
    </row>
    <row r="1058" spans="1:17" ht="15" customHeight="1" x14ac:dyDescent="0.4">
      <c r="A1058" s="31">
        <f>A1056+1</f>
        <v>2</v>
      </c>
      <c r="C1058" s="35" t="s">
        <v>105</v>
      </c>
      <c r="D1058" s="35"/>
      <c r="F1058" s="38"/>
      <c r="H1058" s="38"/>
      <c r="J1058" s="38"/>
      <c r="L1058" s="31"/>
      <c r="M1058" s="31"/>
      <c r="N1058" s="31"/>
      <c r="O1058" s="31"/>
      <c r="P1058" s="31"/>
      <c r="Q1058" s="31"/>
    </row>
    <row r="1059" spans="1:17" ht="15" customHeight="1" x14ac:dyDescent="0.4">
      <c r="C1059" s="35"/>
      <c r="D1059" s="35"/>
      <c r="F1059" s="38"/>
      <c r="H1059" s="38"/>
      <c r="J1059" s="38"/>
      <c r="L1059" s="31"/>
      <c r="M1059" s="31"/>
      <c r="N1059" s="31"/>
      <c r="O1059" s="31"/>
      <c r="P1059" s="31"/>
      <c r="Q1059" s="31"/>
    </row>
    <row r="1060" spans="1:17" ht="15" customHeight="1" x14ac:dyDescent="0.4">
      <c r="A1060" s="31">
        <f>A1058+1</f>
        <v>3</v>
      </c>
      <c r="C1060" s="31" t="s">
        <v>161</v>
      </c>
      <c r="D1060" s="35"/>
      <c r="F1060" s="108">
        <f>B!D268</f>
        <v>0</v>
      </c>
      <c r="G1060" s="108">
        <f>B!E268</f>
        <v>0</v>
      </c>
      <c r="H1060" s="108">
        <f>B!F268</f>
        <v>0</v>
      </c>
      <c r="I1060" s="108">
        <f>B!G268</f>
        <v>0</v>
      </c>
      <c r="J1060" s="108">
        <f>B!H268</f>
        <v>0</v>
      </c>
      <c r="K1060" s="108">
        <f>B!I268</f>
        <v>0</v>
      </c>
      <c r="L1060" s="108">
        <f>SUM(F1060:K1060)</f>
        <v>0</v>
      </c>
      <c r="M1060" s="31"/>
      <c r="N1060" s="31"/>
      <c r="O1060" s="31"/>
      <c r="P1060" s="31"/>
      <c r="Q1060" s="31"/>
    </row>
    <row r="1061" spans="1:17" ht="15" customHeight="1" x14ac:dyDescent="0.35">
      <c r="A1061" s="31">
        <f>A1060+1</f>
        <v>4</v>
      </c>
      <c r="C1061" s="31" t="s">
        <v>168</v>
      </c>
      <c r="D1061" s="31" t="s">
        <v>28</v>
      </c>
      <c r="E1061" s="313">
        <f>Input!H56</f>
        <v>0</v>
      </c>
      <c r="F1061" s="221">
        <f t="shared" ref="F1061:K1061" si="326">ROUND(F1060*$E$1061,2)</f>
        <v>0</v>
      </c>
      <c r="G1061" s="221">
        <f t="shared" si="326"/>
        <v>0</v>
      </c>
      <c r="H1061" s="221">
        <f t="shared" si="326"/>
        <v>0</v>
      </c>
      <c r="I1061" s="221">
        <f t="shared" si="326"/>
        <v>0</v>
      </c>
      <c r="J1061" s="221">
        <f t="shared" si="326"/>
        <v>0</v>
      </c>
      <c r="K1061" s="221">
        <f t="shared" si="326"/>
        <v>0</v>
      </c>
      <c r="L1061" s="221">
        <f>SUM(F1061:K1061)</f>
        <v>0</v>
      </c>
      <c r="M1061" s="31"/>
      <c r="N1061" s="31"/>
      <c r="O1061" s="31"/>
      <c r="P1061" s="31"/>
      <c r="Q1061" s="31"/>
    </row>
    <row r="1062" spans="1:17" ht="15" customHeight="1" x14ac:dyDescent="0.35">
      <c r="E1062" s="313"/>
      <c r="F1062" s="221"/>
      <c r="G1062" s="221"/>
      <c r="H1062" s="221"/>
      <c r="I1062" s="221"/>
      <c r="J1062" s="221"/>
      <c r="K1062" s="221"/>
      <c r="L1062" s="221"/>
      <c r="M1062" s="31"/>
      <c r="N1062" s="31"/>
      <c r="O1062" s="31"/>
      <c r="P1062" s="31"/>
      <c r="Q1062" s="31"/>
    </row>
    <row r="1063" spans="1:17" ht="15" customHeight="1" x14ac:dyDescent="0.35">
      <c r="A1063" s="31">
        <f>A1061+1</f>
        <v>5</v>
      </c>
      <c r="C1063" s="31" t="s">
        <v>167</v>
      </c>
      <c r="F1063" s="37">
        <f>'C'!D366</f>
        <v>0</v>
      </c>
      <c r="G1063" s="37">
        <f>'C'!E366</f>
        <v>0</v>
      </c>
      <c r="H1063" s="37">
        <f>'C'!F366</f>
        <v>0</v>
      </c>
      <c r="I1063" s="37">
        <f>'C'!G366</f>
        <v>0</v>
      </c>
      <c r="J1063" s="37">
        <f>'C'!H366</f>
        <v>0</v>
      </c>
      <c r="K1063" s="37">
        <f>'C'!I366</f>
        <v>0</v>
      </c>
      <c r="L1063" s="37">
        <f>SUM(F1063:K1063)</f>
        <v>0</v>
      </c>
      <c r="M1063" s="31"/>
      <c r="N1063" s="31"/>
      <c r="O1063" s="31"/>
      <c r="P1063" s="31"/>
      <c r="Q1063" s="31"/>
    </row>
    <row r="1064" spans="1:17" ht="15" customHeight="1" x14ac:dyDescent="0.35">
      <c r="A1064" s="31">
        <f>A1063+1</f>
        <v>6</v>
      </c>
      <c r="C1064" s="36" t="s">
        <v>165</v>
      </c>
      <c r="D1064" s="300" t="s">
        <v>27</v>
      </c>
      <c r="E1064" s="311">
        <f>Input!C56</f>
        <v>0</v>
      </c>
      <c r="F1064" s="357">
        <f t="shared" ref="F1064:K1064" si="327">ROUND(F1063*$E$1064,2)</f>
        <v>0</v>
      </c>
      <c r="G1064" s="357">
        <f t="shared" si="327"/>
        <v>0</v>
      </c>
      <c r="H1064" s="357">
        <f t="shared" si="327"/>
        <v>0</v>
      </c>
      <c r="I1064" s="357">
        <f t="shared" si="327"/>
        <v>0</v>
      </c>
      <c r="J1064" s="357">
        <f t="shared" si="327"/>
        <v>0</v>
      </c>
      <c r="K1064" s="357">
        <f t="shared" si="327"/>
        <v>0</v>
      </c>
      <c r="L1064" s="357">
        <f>SUM(F1064:K1064)</f>
        <v>0</v>
      </c>
      <c r="M1064" s="31"/>
      <c r="N1064" s="31"/>
      <c r="O1064" s="31"/>
      <c r="P1064" s="31"/>
      <c r="Q1064" s="31"/>
    </row>
    <row r="1065" spans="1:17" ht="15" customHeight="1" x14ac:dyDescent="0.35">
      <c r="C1065" s="36"/>
      <c r="D1065" s="300"/>
      <c r="E1065" s="311"/>
      <c r="F1065" s="357"/>
      <c r="G1065" s="357"/>
      <c r="H1065" s="357"/>
      <c r="I1065" s="357"/>
      <c r="J1065" s="357"/>
      <c r="K1065" s="357"/>
      <c r="L1065" s="357"/>
      <c r="M1065" s="31"/>
      <c r="N1065" s="31"/>
      <c r="O1065" s="31"/>
      <c r="P1065" s="31"/>
      <c r="Q1065" s="31"/>
    </row>
    <row r="1066" spans="1:17" ht="15" customHeight="1" x14ac:dyDescent="0.35">
      <c r="A1066" s="31">
        <f>A1064+1</f>
        <v>7</v>
      </c>
      <c r="C1066" s="36" t="s">
        <v>162</v>
      </c>
      <c r="F1066" s="221">
        <f>F1061+F1064</f>
        <v>0</v>
      </c>
      <c r="G1066" s="221">
        <f t="shared" ref="G1066:K1066" si="328">G1061+G1064</f>
        <v>0</v>
      </c>
      <c r="H1066" s="221">
        <f t="shared" si="328"/>
        <v>0</v>
      </c>
      <c r="I1066" s="221">
        <f t="shared" si="328"/>
        <v>0</v>
      </c>
      <c r="J1066" s="221">
        <f t="shared" si="328"/>
        <v>0</v>
      </c>
      <c r="K1066" s="221">
        <f t="shared" si="328"/>
        <v>0</v>
      </c>
      <c r="L1066" s="221">
        <f>SUM(F1066:K1066)</f>
        <v>0</v>
      </c>
      <c r="M1066" s="31"/>
      <c r="N1066" s="31"/>
      <c r="O1066" s="31"/>
      <c r="P1066" s="31"/>
      <c r="Q1066" s="31"/>
    </row>
    <row r="1067" spans="1:17" ht="15" customHeight="1" x14ac:dyDescent="0.35">
      <c r="C1067" s="36"/>
      <c r="F1067" s="38"/>
      <c r="H1067" s="38"/>
      <c r="J1067" s="38"/>
      <c r="L1067" s="312"/>
      <c r="M1067" s="31"/>
      <c r="N1067" s="31"/>
      <c r="O1067" s="31"/>
      <c r="P1067" s="31"/>
      <c r="Q1067" s="31"/>
    </row>
    <row r="1068" spans="1:17" ht="15" customHeight="1" x14ac:dyDescent="0.35">
      <c r="A1068" s="31">
        <f>A1066+1</f>
        <v>8</v>
      </c>
      <c r="C1068" s="31" t="s">
        <v>132</v>
      </c>
      <c r="D1068" s="31" t="s">
        <v>27</v>
      </c>
      <c r="E1068" s="311">
        <v>0</v>
      </c>
      <c r="F1068" s="221">
        <v>0</v>
      </c>
      <c r="G1068" s="221">
        <v>0</v>
      </c>
      <c r="H1068" s="221">
        <v>0</v>
      </c>
      <c r="I1068" s="221">
        <v>0</v>
      </c>
      <c r="J1068" s="221">
        <v>0</v>
      </c>
      <c r="K1068" s="221">
        <v>0</v>
      </c>
      <c r="L1068" s="221">
        <f>SUM(F1068:K1068)</f>
        <v>0</v>
      </c>
      <c r="M1068" s="31"/>
      <c r="N1068" s="31"/>
      <c r="O1068" s="31"/>
      <c r="P1068" s="31"/>
      <c r="Q1068" s="31"/>
    </row>
    <row r="1069" spans="1:17" ht="15" customHeight="1" x14ac:dyDescent="0.35">
      <c r="F1069" s="38"/>
      <c r="H1069" s="38"/>
      <c r="J1069" s="38"/>
      <c r="L1069" s="39"/>
      <c r="M1069" s="31"/>
      <c r="N1069" s="31"/>
      <c r="O1069" s="31"/>
      <c r="P1069" s="31"/>
      <c r="Q1069" s="31"/>
    </row>
    <row r="1070" spans="1:17" ht="15" customHeight="1" x14ac:dyDescent="0.35">
      <c r="A1070" s="31">
        <f>A1068+1</f>
        <v>9</v>
      </c>
      <c r="C1070" s="36" t="s">
        <v>163</v>
      </c>
      <c r="D1070" s="50"/>
      <c r="E1070" s="56"/>
      <c r="F1070" s="221">
        <f t="shared" ref="F1070:J1070" si="329">F1066+F1068</f>
        <v>0</v>
      </c>
      <c r="G1070" s="221">
        <f t="shared" si="329"/>
        <v>0</v>
      </c>
      <c r="H1070" s="221">
        <f t="shared" si="329"/>
        <v>0</v>
      </c>
      <c r="I1070" s="221">
        <f t="shared" si="329"/>
        <v>0</v>
      </c>
      <c r="J1070" s="221">
        <f t="shared" si="329"/>
        <v>0</v>
      </c>
      <c r="K1070" s="221">
        <f>K1066+K1068</f>
        <v>0</v>
      </c>
      <c r="L1070" s="221">
        <f>SUM(F1070:K1070)</f>
        <v>0</v>
      </c>
      <c r="M1070" s="31"/>
      <c r="N1070" s="31"/>
      <c r="O1070" s="31"/>
      <c r="P1070" s="31"/>
      <c r="Q1070" s="31"/>
    </row>
    <row r="1071" spans="1:17" ht="15" customHeight="1" x14ac:dyDescent="0.35">
      <c r="F1071" s="38"/>
      <c r="H1071" s="38"/>
      <c r="J1071" s="38"/>
      <c r="L1071" s="39"/>
      <c r="M1071" s="31"/>
      <c r="N1071" s="31"/>
      <c r="O1071" s="31"/>
      <c r="P1071" s="31"/>
      <c r="Q1071" s="31"/>
    </row>
    <row r="1072" spans="1:17" ht="15" customHeight="1" x14ac:dyDescent="0.35"/>
    <row r="1073" spans="1:17" ht="15" customHeight="1" x14ac:dyDescent="0.35">
      <c r="A1073" s="31">
        <f>A1070+1</f>
        <v>10</v>
      </c>
      <c r="B1073" s="31" t="str">
        <f>B310</f>
        <v>FX5</v>
      </c>
      <c r="C1073" s="31" t="str">
        <f>C310</f>
        <v>GTS Flex Rate - Industrial</v>
      </c>
      <c r="F1073" s="38"/>
      <c r="H1073" s="38"/>
      <c r="J1073" s="38"/>
      <c r="L1073" s="31"/>
      <c r="M1073" s="31"/>
      <c r="N1073" s="31"/>
      <c r="O1073" s="31"/>
      <c r="P1073" s="31"/>
      <c r="Q1073" s="31"/>
    </row>
    <row r="1074" spans="1:17" ht="15" customHeight="1" x14ac:dyDescent="0.35">
      <c r="F1074" s="38"/>
      <c r="H1074" s="38"/>
      <c r="J1074" s="38"/>
      <c r="L1074" s="31"/>
      <c r="M1074" s="31"/>
      <c r="N1074" s="31"/>
      <c r="O1074" s="31"/>
      <c r="P1074" s="31"/>
      <c r="Q1074" s="31"/>
    </row>
    <row r="1075" spans="1:17" ht="15" customHeight="1" x14ac:dyDescent="0.4">
      <c r="A1075" s="31">
        <f>A1073+1</f>
        <v>11</v>
      </c>
      <c r="C1075" s="35" t="s">
        <v>106</v>
      </c>
      <c r="D1075" s="35"/>
      <c r="F1075" s="38"/>
      <c r="H1075" s="38"/>
      <c r="J1075" s="38"/>
      <c r="L1075" s="31"/>
      <c r="M1075" s="31"/>
      <c r="N1075" s="31"/>
      <c r="O1075" s="31"/>
      <c r="P1075" s="31"/>
      <c r="Q1075" s="31"/>
    </row>
    <row r="1076" spans="1:17" ht="15" customHeight="1" x14ac:dyDescent="0.4">
      <c r="C1076" s="35"/>
      <c r="D1076" s="35"/>
      <c r="F1076" s="38"/>
      <c r="H1076" s="38"/>
      <c r="J1076" s="38"/>
      <c r="L1076" s="31"/>
      <c r="M1076" s="31"/>
      <c r="N1076" s="31"/>
      <c r="O1076" s="31"/>
      <c r="P1076" s="31"/>
      <c r="Q1076" s="31"/>
    </row>
    <row r="1077" spans="1:17" ht="15" customHeight="1" x14ac:dyDescent="0.4">
      <c r="A1077" s="31">
        <f>A1075+1</f>
        <v>12</v>
      </c>
      <c r="C1077" s="31" t="s">
        <v>161</v>
      </c>
      <c r="D1077" s="35"/>
      <c r="F1077" s="108">
        <f>B!D274</f>
        <v>3</v>
      </c>
      <c r="G1077" s="108">
        <f>B!E274</f>
        <v>3</v>
      </c>
      <c r="H1077" s="108">
        <f>B!F274</f>
        <v>3</v>
      </c>
      <c r="I1077" s="108">
        <f>B!G274</f>
        <v>3</v>
      </c>
      <c r="J1077" s="108">
        <f>B!H274</f>
        <v>3</v>
      </c>
      <c r="K1077" s="108">
        <f>B!I274</f>
        <v>3</v>
      </c>
      <c r="L1077" s="108">
        <f>SUM(F1077:K1077)</f>
        <v>18</v>
      </c>
      <c r="M1077" s="31"/>
      <c r="N1077" s="31"/>
      <c r="O1077" s="31"/>
      <c r="P1077" s="31"/>
      <c r="Q1077" s="31"/>
    </row>
    <row r="1078" spans="1:17" ht="15" customHeight="1" x14ac:dyDescent="0.35">
      <c r="A1078" s="31">
        <f>A1077+1</f>
        <v>13</v>
      </c>
      <c r="C1078" s="31" t="s">
        <v>168</v>
      </c>
      <c r="D1078" s="31" t="s">
        <v>28</v>
      </c>
      <c r="E1078" s="313">
        <f>Input!H57</f>
        <v>260.11</v>
      </c>
      <c r="F1078" s="221">
        <f t="shared" ref="F1078:K1078" si="330">ROUND(F1077*$E$1078,2)</f>
        <v>780.33</v>
      </c>
      <c r="G1078" s="221">
        <f t="shared" si="330"/>
        <v>780.33</v>
      </c>
      <c r="H1078" s="221">
        <f t="shared" si="330"/>
        <v>780.33</v>
      </c>
      <c r="I1078" s="221">
        <f t="shared" si="330"/>
        <v>780.33</v>
      </c>
      <c r="J1078" s="221">
        <f t="shared" si="330"/>
        <v>780.33</v>
      </c>
      <c r="K1078" s="221">
        <f t="shared" si="330"/>
        <v>780.33</v>
      </c>
      <c r="L1078" s="221">
        <f>SUM(F1078:K1078)</f>
        <v>4681.9800000000005</v>
      </c>
      <c r="M1078" s="31"/>
      <c r="N1078" s="31"/>
      <c r="O1078" s="31"/>
      <c r="P1078" s="31"/>
      <c r="Q1078" s="31"/>
    </row>
    <row r="1079" spans="1:17" ht="15" customHeight="1" x14ac:dyDescent="0.35">
      <c r="E1079" s="313"/>
      <c r="F1079" s="221"/>
      <c r="G1079" s="221"/>
      <c r="H1079" s="221"/>
      <c r="I1079" s="221"/>
      <c r="J1079" s="221"/>
      <c r="K1079" s="221"/>
      <c r="L1079" s="221"/>
      <c r="M1079" s="31"/>
      <c r="N1079" s="31"/>
      <c r="O1079" s="31"/>
      <c r="P1079" s="31"/>
      <c r="Q1079" s="31"/>
    </row>
    <row r="1080" spans="1:17" ht="15" customHeight="1" x14ac:dyDescent="0.35">
      <c r="A1080" s="31">
        <f>A1078+1</f>
        <v>14</v>
      </c>
      <c r="C1080" s="31" t="s">
        <v>167</v>
      </c>
      <c r="F1080" s="37">
        <f>'C'!D369</f>
        <v>720564</v>
      </c>
      <c r="G1080" s="37">
        <f>'C'!E369</f>
        <v>649386.1</v>
      </c>
      <c r="H1080" s="37">
        <f>'C'!F369</f>
        <v>584428.4</v>
      </c>
      <c r="I1080" s="37">
        <f>'C'!G369</f>
        <v>487414.4</v>
      </c>
      <c r="J1080" s="37">
        <f>'C'!H369</f>
        <v>451586.7</v>
      </c>
      <c r="K1080" s="37">
        <f>'C'!I369</f>
        <v>525425.30000000005</v>
      </c>
      <c r="L1080" s="37">
        <f>SUM(F1080:K1080)</f>
        <v>3418804.9000000004</v>
      </c>
      <c r="M1080" s="31"/>
      <c r="N1080" s="31"/>
      <c r="O1080" s="31"/>
      <c r="P1080" s="31"/>
      <c r="Q1080" s="31"/>
    </row>
    <row r="1081" spans="1:17" ht="15" customHeight="1" x14ac:dyDescent="0.35">
      <c r="A1081" s="31">
        <f>A1080+1</f>
        <v>15</v>
      </c>
      <c r="C1081" s="36" t="s">
        <v>165</v>
      </c>
      <c r="D1081" s="300" t="s">
        <v>27</v>
      </c>
      <c r="E1081" s="311">
        <f>Input!C57</f>
        <v>8.6699999999999999E-2</v>
      </c>
      <c r="F1081" s="357">
        <f t="shared" ref="F1081:K1081" si="331">ROUND(F1080*$E$1081,2)</f>
        <v>62472.9</v>
      </c>
      <c r="G1081" s="357">
        <f t="shared" si="331"/>
        <v>56301.77</v>
      </c>
      <c r="H1081" s="357">
        <f t="shared" si="331"/>
        <v>50669.94</v>
      </c>
      <c r="I1081" s="357">
        <f t="shared" si="331"/>
        <v>42258.83</v>
      </c>
      <c r="J1081" s="357">
        <f t="shared" si="331"/>
        <v>39152.57</v>
      </c>
      <c r="K1081" s="357">
        <f t="shared" si="331"/>
        <v>45554.37</v>
      </c>
      <c r="L1081" s="357">
        <f>SUM(F1081:K1081)</f>
        <v>296410.38</v>
      </c>
      <c r="M1081" s="31"/>
      <c r="N1081" s="31"/>
      <c r="O1081" s="31"/>
      <c r="P1081" s="31"/>
      <c r="Q1081" s="31"/>
    </row>
    <row r="1082" spans="1:17" ht="15" customHeight="1" x14ac:dyDescent="0.35">
      <c r="C1082" s="36"/>
      <c r="D1082" s="300"/>
      <c r="E1082" s="311"/>
      <c r="F1082" s="357"/>
      <c r="G1082" s="357"/>
      <c r="H1082" s="357"/>
      <c r="I1082" s="357"/>
      <c r="J1082" s="357"/>
      <c r="K1082" s="357"/>
      <c r="L1082" s="357"/>
      <c r="M1082" s="31"/>
      <c r="N1082" s="31"/>
      <c r="O1082" s="31"/>
      <c r="P1082" s="31"/>
      <c r="Q1082" s="31"/>
    </row>
    <row r="1083" spans="1:17" ht="15" customHeight="1" x14ac:dyDescent="0.35">
      <c r="A1083" s="31">
        <f>A1081+1</f>
        <v>16</v>
      </c>
      <c r="C1083" s="36" t="s">
        <v>162</v>
      </c>
      <c r="F1083" s="221">
        <f>F1078+F1081</f>
        <v>63253.23</v>
      </c>
      <c r="G1083" s="221">
        <f t="shared" ref="G1083:K1083" si="332">G1078+G1081</f>
        <v>57082.1</v>
      </c>
      <c r="H1083" s="221">
        <f t="shared" si="332"/>
        <v>51450.270000000004</v>
      </c>
      <c r="I1083" s="221">
        <f t="shared" si="332"/>
        <v>43039.16</v>
      </c>
      <c r="J1083" s="221">
        <f t="shared" si="332"/>
        <v>39932.9</v>
      </c>
      <c r="K1083" s="221">
        <f t="shared" si="332"/>
        <v>46334.700000000004</v>
      </c>
      <c r="L1083" s="221">
        <f>SUM(F1083:K1083)</f>
        <v>301092.36</v>
      </c>
      <c r="M1083" s="31"/>
      <c r="N1083" s="31"/>
      <c r="O1083" s="31"/>
      <c r="P1083" s="31"/>
      <c r="Q1083" s="31"/>
    </row>
    <row r="1084" spans="1:17" ht="15" customHeight="1" x14ac:dyDescent="0.35">
      <c r="C1084" s="36"/>
      <c r="F1084" s="221"/>
      <c r="G1084" s="221"/>
      <c r="H1084" s="221"/>
      <c r="I1084" s="221"/>
      <c r="J1084" s="221"/>
      <c r="K1084" s="221"/>
      <c r="L1084" s="221"/>
      <c r="M1084" s="31"/>
      <c r="N1084" s="31"/>
      <c r="O1084" s="31"/>
      <c r="P1084" s="31"/>
      <c r="Q1084" s="31"/>
    </row>
    <row r="1085" spans="1:17" ht="15" customHeight="1" x14ac:dyDescent="0.35">
      <c r="A1085" s="31">
        <f>A1083+1</f>
        <v>17</v>
      </c>
      <c r="C1085" s="31" t="s">
        <v>132</v>
      </c>
      <c r="D1085" s="31" t="s">
        <v>27</v>
      </c>
      <c r="E1085" s="311">
        <v>0</v>
      </c>
      <c r="F1085" s="221">
        <v>0</v>
      </c>
      <c r="G1085" s="221">
        <v>0</v>
      </c>
      <c r="H1085" s="221">
        <v>0</v>
      </c>
      <c r="I1085" s="221">
        <v>0</v>
      </c>
      <c r="J1085" s="221">
        <v>0</v>
      </c>
      <c r="K1085" s="221">
        <v>0</v>
      </c>
      <c r="L1085" s="221">
        <f>SUM(F1085:K1085)</f>
        <v>0</v>
      </c>
      <c r="M1085" s="31"/>
      <c r="N1085" s="31"/>
      <c r="O1085" s="31"/>
      <c r="P1085" s="31"/>
      <c r="Q1085" s="31"/>
    </row>
    <row r="1086" spans="1:17" ht="15" customHeight="1" x14ac:dyDescent="0.35">
      <c r="F1086" s="38"/>
      <c r="H1086" s="38"/>
      <c r="J1086" s="38"/>
      <c r="L1086" s="39"/>
      <c r="M1086" s="31"/>
      <c r="N1086" s="31"/>
      <c r="O1086" s="31"/>
      <c r="P1086" s="31"/>
      <c r="Q1086" s="31"/>
    </row>
    <row r="1087" spans="1:17" ht="15" customHeight="1" x14ac:dyDescent="0.35">
      <c r="A1087" s="31">
        <f>A1085+1</f>
        <v>18</v>
      </c>
      <c r="C1087" s="36" t="s">
        <v>163</v>
      </c>
      <c r="D1087" s="50"/>
      <c r="E1087" s="56"/>
      <c r="F1087" s="221">
        <f t="shared" ref="F1087:J1087" si="333">F1083+F1085</f>
        <v>63253.23</v>
      </c>
      <c r="G1087" s="221">
        <f t="shared" si="333"/>
        <v>57082.1</v>
      </c>
      <c r="H1087" s="221">
        <f t="shared" si="333"/>
        <v>51450.270000000004</v>
      </c>
      <c r="I1087" s="221">
        <f t="shared" si="333"/>
        <v>43039.16</v>
      </c>
      <c r="J1087" s="221">
        <f t="shared" si="333"/>
        <v>39932.9</v>
      </c>
      <c r="K1087" s="221">
        <f>K1083+K1085</f>
        <v>46334.700000000004</v>
      </c>
      <c r="L1087" s="221">
        <f>SUM(F1087:K1087)</f>
        <v>301092.36</v>
      </c>
      <c r="M1087" s="31"/>
      <c r="N1087" s="31"/>
      <c r="O1087" s="31"/>
      <c r="P1087" s="31"/>
      <c r="Q1087" s="31"/>
    </row>
    <row r="1088" spans="1:17" ht="15" customHeight="1" x14ac:dyDescent="0.35">
      <c r="F1088" s="38"/>
      <c r="H1088" s="38"/>
      <c r="J1088" s="38"/>
      <c r="L1088" s="39"/>
      <c r="M1088" s="31"/>
      <c r="N1088" s="31"/>
      <c r="O1088" s="31"/>
      <c r="P1088" s="31"/>
      <c r="Q1088" s="31"/>
    </row>
    <row r="1089" spans="1:17" ht="15" customHeight="1" x14ac:dyDescent="0.35"/>
    <row r="1090" spans="1:17" ht="15" customHeight="1" x14ac:dyDescent="0.35">
      <c r="A1090" s="31">
        <f>A1087+1</f>
        <v>19</v>
      </c>
      <c r="B1090" s="31" t="str">
        <f>B317</f>
        <v>FX7</v>
      </c>
      <c r="C1090" s="31" t="str">
        <f>C317</f>
        <v>GTS Flex Rate - Industrial</v>
      </c>
      <c r="F1090" s="38"/>
      <c r="H1090" s="38"/>
      <c r="J1090" s="38"/>
      <c r="L1090" s="31"/>
      <c r="M1090" s="31"/>
      <c r="N1090" s="31"/>
      <c r="O1090" s="31"/>
      <c r="P1090" s="31"/>
      <c r="Q1090" s="31"/>
    </row>
    <row r="1091" spans="1:17" ht="15" customHeight="1" x14ac:dyDescent="0.35">
      <c r="F1091" s="38"/>
      <c r="H1091" s="38"/>
      <c r="J1091" s="38"/>
      <c r="L1091" s="31"/>
      <c r="M1091" s="31"/>
      <c r="N1091" s="31"/>
      <c r="O1091" s="31"/>
      <c r="P1091" s="31"/>
      <c r="Q1091" s="31"/>
    </row>
    <row r="1092" spans="1:17" ht="15" customHeight="1" x14ac:dyDescent="0.4">
      <c r="A1092" s="31">
        <f>A1090+1</f>
        <v>20</v>
      </c>
      <c r="C1092" s="35" t="s">
        <v>106</v>
      </c>
      <c r="D1092" s="35"/>
      <c r="F1092" s="38"/>
      <c r="H1092" s="38"/>
      <c r="J1092" s="38"/>
      <c r="L1092" s="31"/>
      <c r="M1092" s="31"/>
      <c r="N1092" s="31"/>
      <c r="O1092" s="31"/>
      <c r="P1092" s="31"/>
      <c r="Q1092" s="31"/>
    </row>
    <row r="1093" spans="1:17" ht="15" customHeight="1" x14ac:dyDescent="0.4">
      <c r="C1093" s="35"/>
      <c r="D1093" s="35"/>
      <c r="F1093" s="38"/>
      <c r="H1093" s="38"/>
      <c r="J1093" s="38"/>
      <c r="L1093" s="31"/>
      <c r="M1093" s="31"/>
      <c r="N1093" s="31"/>
      <c r="O1093" s="31"/>
      <c r="P1093" s="31"/>
      <c r="Q1093" s="31"/>
    </row>
    <row r="1094" spans="1:17" ht="15" customHeight="1" x14ac:dyDescent="0.4">
      <c r="A1094" s="31">
        <f>A1092+1</f>
        <v>21</v>
      </c>
      <c r="C1094" s="31" t="s">
        <v>161</v>
      </c>
      <c r="D1094" s="35"/>
      <c r="F1094" s="108">
        <f>B!D280</f>
        <v>0</v>
      </c>
      <c r="G1094" s="108">
        <f>B!E280</f>
        <v>0</v>
      </c>
      <c r="H1094" s="108">
        <f>B!F280</f>
        <v>0</v>
      </c>
      <c r="I1094" s="108">
        <f>B!G280</f>
        <v>0</v>
      </c>
      <c r="J1094" s="108">
        <f>B!H280</f>
        <v>0</v>
      </c>
      <c r="K1094" s="108">
        <f>B!I280</f>
        <v>0</v>
      </c>
      <c r="L1094" s="108">
        <f>SUM(F1094:K1094)</f>
        <v>0</v>
      </c>
      <c r="M1094" s="31"/>
      <c r="N1094" s="31"/>
      <c r="O1094" s="31"/>
      <c r="P1094" s="31"/>
      <c r="Q1094" s="31"/>
    </row>
    <row r="1095" spans="1:17" ht="15" customHeight="1" x14ac:dyDescent="0.35">
      <c r="A1095" s="31">
        <f>A1094+1</f>
        <v>22</v>
      </c>
      <c r="C1095" s="31" t="s">
        <v>168</v>
      </c>
      <c r="D1095" s="31" t="s">
        <v>28</v>
      </c>
      <c r="E1095" s="313">
        <f>Input!H58</f>
        <v>0</v>
      </c>
      <c r="F1095" s="221">
        <f t="shared" ref="F1095:K1095" si="334">ROUND(F1094*$E$1095,2)</f>
        <v>0</v>
      </c>
      <c r="G1095" s="221">
        <f t="shared" si="334"/>
        <v>0</v>
      </c>
      <c r="H1095" s="221">
        <f t="shared" si="334"/>
        <v>0</v>
      </c>
      <c r="I1095" s="221">
        <f t="shared" si="334"/>
        <v>0</v>
      </c>
      <c r="J1095" s="221">
        <f t="shared" si="334"/>
        <v>0</v>
      </c>
      <c r="K1095" s="221">
        <f t="shared" si="334"/>
        <v>0</v>
      </c>
      <c r="L1095" s="221">
        <f>SUM(F1095:K1095)</f>
        <v>0</v>
      </c>
      <c r="M1095" s="31"/>
      <c r="N1095" s="31"/>
      <c r="O1095" s="31"/>
      <c r="P1095" s="31"/>
      <c r="Q1095" s="31"/>
    </row>
    <row r="1096" spans="1:17" ht="15" customHeight="1" x14ac:dyDescent="0.35">
      <c r="E1096" s="313"/>
      <c r="F1096" s="221"/>
      <c r="G1096" s="221"/>
      <c r="H1096" s="221"/>
      <c r="I1096" s="221"/>
      <c r="J1096" s="221"/>
      <c r="K1096" s="221"/>
      <c r="L1096" s="221"/>
      <c r="M1096" s="31"/>
      <c r="N1096" s="31"/>
      <c r="O1096" s="31"/>
      <c r="P1096" s="31"/>
      <c r="Q1096" s="31"/>
    </row>
    <row r="1097" spans="1:17" ht="15" customHeight="1" x14ac:dyDescent="0.35">
      <c r="A1097" s="31">
        <f>A1095+1</f>
        <v>23</v>
      </c>
      <c r="C1097" s="31" t="s">
        <v>167</v>
      </c>
      <c r="F1097" s="38"/>
      <c r="H1097" s="38"/>
      <c r="J1097" s="38"/>
      <c r="L1097" s="31"/>
      <c r="M1097" s="31"/>
      <c r="N1097" s="31"/>
      <c r="O1097" s="31"/>
      <c r="P1097" s="31"/>
      <c r="Q1097" s="31"/>
    </row>
    <row r="1098" spans="1:17" ht="15" customHeight="1" x14ac:dyDescent="0.35">
      <c r="A1098" s="31">
        <f>A1097+1</f>
        <v>24</v>
      </c>
      <c r="C1098" s="36" t="str">
        <f>'C'!B375</f>
        <v xml:space="preserve">    First 25,000 Mcf</v>
      </c>
      <c r="E1098" s="31"/>
      <c r="F1098" s="37">
        <f>'C'!D383</f>
        <v>0</v>
      </c>
      <c r="G1098" s="37">
        <f>'C'!E383</f>
        <v>0</v>
      </c>
      <c r="H1098" s="37">
        <f>'C'!F383</f>
        <v>0</v>
      </c>
      <c r="I1098" s="37">
        <f>'C'!G383</f>
        <v>0</v>
      </c>
      <c r="J1098" s="37">
        <f>'C'!H383</f>
        <v>0</v>
      </c>
      <c r="K1098" s="37">
        <f>'C'!I383</f>
        <v>0</v>
      </c>
      <c r="L1098" s="37">
        <f>SUM(F1098:K1098)</f>
        <v>0</v>
      </c>
      <c r="M1098" s="31"/>
      <c r="N1098" s="31"/>
      <c r="O1098" s="31"/>
      <c r="P1098" s="31"/>
      <c r="Q1098" s="31"/>
    </row>
    <row r="1099" spans="1:17" ht="15" customHeight="1" x14ac:dyDescent="0.35">
      <c r="A1099" s="31">
        <f>A1098+1</f>
        <v>25</v>
      </c>
      <c r="C1099" s="36" t="str">
        <f>'C'!B376</f>
        <v xml:space="preserve">    Over 25,000 Mcf</v>
      </c>
      <c r="E1099" s="31"/>
      <c r="F1099" s="61">
        <f>'C'!D384</f>
        <v>0</v>
      </c>
      <c r="G1099" s="61">
        <f>'C'!E384</f>
        <v>0</v>
      </c>
      <c r="H1099" s="61">
        <f>'C'!F384</f>
        <v>0</v>
      </c>
      <c r="I1099" s="61">
        <f>'C'!G384</f>
        <v>0</v>
      </c>
      <c r="J1099" s="61">
        <f>'C'!H384</f>
        <v>0</v>
      </c>
      <c r="K1099" s="61">
        <f>'C'!I384</f>
        <v>0</v>
      </c>
      <c r="L1099" s="61">
        <f>SUM(F1099:K1099)</f>
        <v>0</v>
      </c>
      <c r="M1099" s="31"/>
      <c r="N1099" s="31"/>
      <c r="O1099" s="31"/>
      <c r="P1099" s="31"/>
      <c r="Q1099" s="31"/>
    </row>
    <row r="1100" spans="1:17" ht="15" customHeight="1" x14ac:dyDescent="0.35">
      <c r="C1100" s="36"/>
      <c r="E1100" s="319"/>
      <c r="F1100" s="37">
        <f t="shared" ref="F1100:J1100" si="335">SUM(F1098:F1099)</f>
        <v>0</v>
      </c>
      <c r="G1100" s="37">
        <f t="shared" si="335"/>
        <v>0</v>
      </c>
      <c r="H1100" s="37">
        <f t="shared" si="335"/>
        <v>0</v>
      </c>
      <c r="I1100" s="37">
        <f t="shared" si="335"/>
        <v>0</v>
      </c>
      <c r="J1100" s="37">
        <f t="shared" si="335"/>
        <v>0</v>
      </c>
      <c r="K1100" s="37">
        <f>SUM(K1098:K1099)</f>
        <v>0</v>
      </c>
      <c r="L1100" s="37">
        <f>SUM(F1100:K1100)</f>
        <v>0</v>
      </c>
      <c r="M1100" s="31"/>
      <c r="N1100" s="31"/>
      <c r="O1100" s="31"/>
      <c r="P1100" s="31"/>
      <c r="Q1100" s="31"/>
    </row>
    <row r="1101" spans="1:17" ht="15" customHeight="1" x14ac:dyDescent="0.35">
      <c r="A1101" s="31">
        <f>A1099+1</f>
        <v>26</v>
      </c>
      <c r="C1101" s="36" t="s">
        <v>165</v>
      </c>
      <c r="F1101" s="55"/>
      <c r="G1101" s="55"/>
      <c r="H1101" s="55"/>
      <c r="I1101" s="55"/>
      <c r="J1101" s="55"/>
      <c r="K1101" s="55"/>
      <c r="L1101" s="39"/>
      <c r="M1101" s="31"/>
      <c r="N1101" s="31"/>
      <c r="O1101" s="31"/>
      <c r="P1101" s="31"/>
      <c r="Q1101" s="31"/>
    </row>
    <row r="1102" spans="1:17" ht="15" customHeight="1" x14ac:dyDescent="0.35">
      <c r="A1102" s="31">
        <f>A1101+1</f>
        <v>27</v>
      </c>
      <c r="C1102" s="36" t="str">
        <f>C1098</f>
        <v xml:space="preserve">    First 25,000 Mcf</v>
      </c>
      <c r="D1102" s="300" t="s">
        <v>27</v>
      </c>
      <c r="E1102" s="311">
        <f>Input!C58</f>
        <v>0</v>
      </c>
      <c r="F1102" s="221">
        <f t="shared" ref="F1102:K1102" si="336">ROUND(F1098*$E$1102,2)</f>
        <v>0</v>
      </c>
      <c r="G1102" s="221">
        <f t="shared" si="336"/>
        <v>0</v>
      </c>
      <c r="H1102" s="221">
        <f t="shared" si="336"/>
        <v>0</v>
      </c>
      <c r="I1102" s="221">
        <f t="shared" si="336"/>
        <v>0</v>
      </c>
      <c r="J1102" s="221">
        <f t="shared" si="336"/>
        <v>0</v>
      </c>
      <c r="K1102" s="221">
        <f t="shared" si="336"/>
        <v>0</v>
      </c>
      <c r="L1102" s="221">
        <f>SUM(F1102:K1102)</f>
        <v>0</v>
      </c>
      <c r="M1102" s="31"/>
      <c r="N1102" s="31"/>
      <c r="O1102" s="31"/>
      <c r="P1102" s="31"/>
      <c r="Q1102" s="31"/>
    </row>
    <row r="1103" spans="1:17" ht="15" customHeight="1" x14ac:dyDescent="0.35">
      <c r="A1103" s="31">
        <f>A1102+1</f>
        <v>28</v>
      </c>
      <c r="C1103" s="36" t="str">
        <f>C1099</f>
        <v xml:space="preserve">    Over 25,000 Mcf</v>
      </c>
      <c r="D1103" s="300" t="s">
        <v>27</v>
      </c>
      <c r="E1103" s="311">
        <f>Input!D58</f>
        <v>0</v>
      </c>
      <c r="F1103" s="51">
        <f t="shared" ref="F1103:K1103" si="337">ROUND(F1099*$E$1103,2)</f>
        <v>0</v>
      </c>
      <c r="G1103" s="51">
        <f t="shared" si="337"/>
        <v>0</v>
      </c>
      <c r="H1103" s="51">
        <f t="shared" si="337"/>
        <v>0</v>
      </c>
      <c r="I1103" s="51">
        <f t="shared" si="337"/>
        <v>0</v>
      </c>
      <c r="J1103" s="51">
        <f t="shared" si="337"/>
        <v>0</v>
      </c>
      <c r="K1103" s="51">
        <f t="shared" si="337"/>
        <v>0</v>
      </c>
      <c r="L1103" s="51">
        <f>SUM(F1103:K1103)</f>
        <v>0</v>
      </c>
      <c r="M1103" s="31"/>
      <c r="N1103" s="31"/>
      <c r="O1103" s="31"/>
      <c r="P1103" s="31"/>
      <c r="Q1103" s="31"/>
    </row>
    <row r="1104" spans="1:17" ht="15" customHeight="1" x14ac:dyDescent="0.35">
      <c r="C1104" s="36"/>
      <c r="F1104" s="221">
        <f t="shared" ref="F1104:J1104" si="338">SUM(F1102:F1103)</f>
        <v>0</v>
      </c>
      <c r="G1104" s="221">
        <f t="shared" si="338"/>
        <v>0</v>
      </c>
      <c r="H1104" s="221">
        <f t="shared" si="338"/>
        <v>0</v>
      </c>
      <c r="I1104" s="221">
        <f t="shared" si="338"/>
        <v>0</v>
      </c>
      <c r="J1104" s="221">
        <f t="shared" si="338"/>
        <v>0</v>
      </c>
      <c r="K1104" s="221">
        <f>SUM(K1102:K1103)</f>
        <v>0</v>
      </c>
      <c r="L1104" s="221">
        <f>SUM(F1104:K1104)</f>
        <v>0</v>
      </c>
      <c r="M1104" s="31"/>
      <c r="N1104" s="31"/>
      <c r="O1104" s="31"/>
      <c r="P1104" s="31"/>
      <c r="Q1104" s="31"/>
    </row>
    <row r="1105" spans="1:18" ht="15" customHeight="1" x14ac:dyDescent="0.35">
      <c r="C1105" s="36"/>
      <c r="F1105" s="221"/>
      <c r="G1105" s="221"/>
      <c r="H1105" s="221"/>
      <c r="I1105" s="221"/>
      <c r="J1105" s="221"/>
      <c r="K1105" s="221"/>
      <c r="L1105" s="221"/>
      <c r="M1105" s="31"/>
      <c r="N1105" s="31"/>
      <c r="O1105" s="31"/>
      <c r="P1105" s="31"/>
      <c r="Q1105" s="31"/>
    </row>
    <row r="1106" spans="1:18" ht="15" customHeight="1" x14ac:dyDescent="0.35">
      <c r="A1106" s="31">
        <f>A1103+1</f>
        <v>29</v>
      </c>
      <c r="C1106" s="36" t="s">
        <v>162</v>
      </c>
      <c r="F1106" s="221">
        <f>F1095+F1104</f>
        <v>0</v>
      </c>
      <c r="G1106" s="221">
        <f t="shared" ref="G1106:K1106" si="339">G1095+G1104</f>
        <v>0</v>
      </c>
      <c r="H1106" s="221">
        <f t="shared" si="339"/>
        <v>0</v>
      </c>
      <c r="I1106" s="221">
        <f t="shared" si="339"/>
        <v>0</v>
      </c>
      <c r="J1106" s="221">
        <f t="shared" si="339"/>
        <v>0</v>
      </c>
      <c r="K1106" s="221">
        <f t="shared" si="339"/>
        <v>0</v>
      </c>
      <c r="L1106" s="221">
        <f>SUM(F1106:K1106)</f>
        <v>0</v>
      </c>
      <c r="M1106" s="31"/>
      <c r="N1106" s="31"/>
      <c r="O1106" s="31"/>
      <c r="P1106" s="31"/>
      <c r="Q1106" s="31"/>
    </row>
    <row r="1107" spans="1:18" ht="15" customHeight="1" x14ac:dyDescent="0.35">
      <c r="C1107" s="36"/>
      <c r="E1107" s="31"/>
      <c r="F1107" s="55"/>
      <c r="G1107" s="55"/>
      <c r="H1107" s="55"/>
      <c r="I1107" s="55"/>
      <c r="J1107" s="55"/>
      <c r="K1107" s="55"/>
      <c r="L1107" s="39"/>
      <c r="M1107" s="31"/>
      <c r="N1107" s="31"/>
      <c r="O1107" s="31"/>
      <c r="P1107" s="31"/>
      <c r="Q1107" s="31"/>
    </row>
    <row r="1108" spans="1:18" ht="15" customHeight="1" x14ac:dyDescent="0.35">
      <c r="A1108" s="31">
        <f>A1106+1</f>
        <v>30</v>
      </c>
      <c r="C1108" s="31" t="s">
        <v>132</v>
      </c>
      <c r="D1108" s="31" t="s">
        <v>27</v>
      </c>
      <c r="E1108" s="311">
        <v>0</v>
      </c>
      <c r="F1108" s="221">
        <v>0</v>
      </c>
      <c r="G1108" s="221">
        <v>0</v>
      </c>
      <c r="H1108" s="221">
        <v>0</v>
      </c>
      <c r="I1108" s="221">
        <v>0</v>
      </c>
      <c r="J1108" s="221">
        <v>0</v>
      </c>
      <c r="K1108" s="221">
        <v>0</v>
      </c>
      <c r="L1108" s="221">
        <f>SUM(F1108:K1108)</f>
        <v>0</v>
      </c>
      <c r="M1108" s="31"/>
      <c r="N1108" s="31"/>
      <c r="O1108" s="31"/>
      <c r="P1108" s="31"/>
      <c r="Q1108" s="31"/>
    </row>
    <row r="1109" spans="1:18" ht="15" customHeight="1" x14ac:dyDescent="0.35">
      <c r="F1109" s="38"/>
      <c r="H1109" s="38"/>
      <c r="J1109" s="38"/>
      <c r="L1109" s="31"/>
      <c r="M1109" s="31"/>
      <c r="N1109" s="31"/>
      <c r="O1109" s="31"/>
      <c r="P1109" s="31"/>
      <c r="Q1109" s="31"/>
    </row>
    <row r="1110" spans="1:18" ht="15" customHeight="1" x14ac:dyDescent="0.35">
      <c r="A1110" s="31">
        <f>A1108+1</f>
        <v>31</v>
      </c>
      <c r="C1110" s="36" t="s">
        <v>163</v>
      </c>
      <c r="D1110" s="50"/>
      <c r="E1110" s="56"/>
      <c r="F1110" s="221">
        <f t="shared" ref="F1110:J1110" si="340">F1106+F1108</f>
        <v>0</v>
      </c>
      <c r="G1110" s="221">
        <f t="shared" si="340"/>
        <v>0</v>
      </c>
      <c r="H1110" s="221">
        <f t="shared" si="340"/>
        <v>0</v>
      </c>
      <c r="I1110" s="221">
        <f t="shared" si="340"/>
        <v>0</v>
      </c>
      <c r="J1110" s="221">
        <f t="shared" si="340"/>
        <v>0</v>
      </c>
      <c r="K1110" s="221">
        <f>K1106+K1108</f>
        <v>0</v>
      </c>
      <c r="L1110" s="221">
        <f>SUM(F1110:K1110)</f>
        <v>0</v>
      </c>
      <c r="M1110" s="31"/>
      <c r="N1110" s="31"/>
      <c r="O1110" s="31"/>
      <c r="P1110" s="31"/>
      <c r="Q1110" s="31"/>
    </row>
    <row r="1111" spans="1:18" ht="15" customHeight="1" x14ac:dyDescent="0.35">
      <c r="F1111" s="38"/>
      <c r="H1111" s="38"/>
      <c r="J1111" s="38"/>
      <c r="L1111" s="39"/>
      <c r="M1111" s="31"/>
      <c r="N1111" s="31"/>
      <c r="O1111" s="31"/>
      <c r="P1111" s="31"/>
      <c r="Q1111" s="31"/>
    </row>
    <row r="1113" spans="1:18" x14ac:dyDescent="0.35">
      <c r="A1113" s="31" t="str">
        <f>$A$280</f>
        <v>[1] Reflects forecasted volumes for March through August 2024.</v>
      </c>
    </row>
    <row r="1114" spans="1:18" ht="15.45" x14ac:dyDescent="0.4">
      <c r="A1114" s="480" t="str">
        <f>CONAME</f>
        <v>Columbia Gas of Kentucky, Inc.</v>
      </c>
      <c r="B1114" s="480"/>
      <c r="C1114" s="480"/>
      <c r="D1114" s="480"/>
      <c r="E1114" s="480"/>
      <c r="F1114" s="480"/>
      <c r="G1114" s="480"/>
      <c r="H1114" s="480"/>
      <c r="I1114" s="480"/>
      <c r="J1114" s="480"/>
      <c r="K1114" s="480"/>
      <c r="L1114" s="480"/>
      <c r="M1114" s="89"/>
      <c r="N1114" s="89"/>
      <c r="O1114" s="89"/>
      <c r="P1114" s="89"/>
      <c r="Q1114" s="89"/>
      <c r="R1114" s="89"/>
    </row>
    <row r="1115" spans="1:18" ht="15.45" x14ac:dyDescent="0.4">
      <c r="A1115" s="480" t="str">
        <f>case</f>
        <v>Case No. 2024-00092</v>
      </c>
      <c r="B1115" s="480"/>
      <c r="C1115" s="480"/>
      <c r="D1115" s="480"/>
      <c r="E1115" s="480"/>
      <c r="F1115" s="480"/>
      <c r="G1115" s="480"/>
      <c r="H1115" s="480"/>
      <c r="I1115" s="480"/>
      <c r="J1115" s="480"/>
      <c r="K1115" s="480"/>
      <c r="L1115" s="480"/>
      <c r="M1115" s="35"/>
      <c r="N1115" s="35"/>
      <c r="O1115" s="35"/>
      <c r="P1115" s="35"/>
      <c r="Q1115" s="35"/>
      <c r="R1115" s="35"/>
    </row>
    <row r="1116" spans="1:18" ht="15.45" x14ac:dyDescent="0.4">
      <c r="A1116" s="480" t="s">
        <v>319</v>
      </c>
      <c r="B1116" s="480"/>
      <c r="C1116" s="480"/>
      <c r="D1116" s="480"/>
      <c r="E1116" s="480"/>
      <c r="F1116" s="480"/>
      <c r="G1116" s="480"/>
      <c r="H1116" s="480"/>
      <c r="I1116" s="480"/>
      <c r="J1116" s="480"/>
      <c r="K1116" s="480"/>
      <c r="L1116" s="480"/>
      <c r="M1116" s="110"/>
      <c r="N1116" s="110"/>
      <c r="O1116" s="110"/>
      <c r="P1116" s="110"/>
      <c r="Q1116" s="110"/>
      <c r="R1116" s="110"/>
    </row>
    <row r="1117" spans="1:18" ht="15.45" x14ac:dyDescent="0.4">
      <c r="A1117" s="480" t="str">
        <f>TYDESC</f>
        <v>For the 6 Months Ended August 31, 2024</v>
      </c>
      <c r="B1117" s="480"/>
      <c r="C1117" s="480"/>
      <c r="D1117" s="480"/>
      <c r="E1117" s="480"/>
      <c r="F1117" s="480"/>
      <c r="G1117" s="480"/>
      <c r="H1117" s="480"/>
      <c r="I1117" s="480"/>
      <c r="J1117" s="480"/>
      <c r="K1117" s="480"/>
      <c r="L1117" s="480"/>
      <c r="M1117" s="89"/>
      <c r="N1117" s="89"/>
      <c r="O1117" s="89"/>
      <c r="P1117" s="89"/>
      <c r="Q1117" s="89"/>
      <c r="R1117" s="89"/>
    </row>
    <row r="1118" spans="1:18" ht="15.45" x14ac:dyDescent="0.4">
      <c r="A1118" s="480" t="s">
        <v>46</v>
      </c>
      <c r="B1118" s="480"/>
      <c r="C1118" s="480"/>
      <c r="D1118" s="480"/>
      <c r="E1118" s="480"/>
      <c r="F1118" s="480"/>
      <c r="G1118" s="480"/>
      <c r="H1118" s="480"/>
      <c r="I1118" s="480"/>
      <c r="J1118" s="480"/>
      <c r="K1118" s="480"/>
      <c r="L1118" s="480"/>
      <c r="M1118" s="220"/>
      <c r="N1118" s="220"/>
      <c r="O1118" s="220"/>
      <c r="P1118" s="220"/>
      <c r="Q1118" s="220"/>
      <c r="R1118" s="220"/>
    </row>
    <row r="1119" spans="1:18" ht="15.45" x14ac:dyDescent="0.4">
      <c r="A1119" s="220"/>
      <c r="B1119" s="220"/>
      <c r="C1119" s="220"/>
      <c r="D1119" s="220"/>
      <c r="E1119" s="220"/>
      <c r="F1119" s="220"/>
      <c r="G1119" s="220"/>
      <c r="H1119" s="220"/>
      <c r="I1119" s="220"/>
      <c r="J1119" s="220"/>
      <c r="K1119" s="220"/>
      <c r="L1119" s="220"/>
      <c r="M1119" s="220"/>
      <c r="N1119" s="220"/>
      <c r="O1119" s="220"/>
      <c r="P1119" s="220"/>
      <c r="Q1119" s="220"/>
      <c r="R1119" s="220"/>
    </row>
    <row r="1120" spans="1:18" ht="15.45" x14ac:dyDescent="0.4">
      <c r="A1120" s="35" t="s">
        <v>180</v>
      </c>
    </row>
    <row r="1121" spans="1:18" ht="15.45" x14ac:dyDescent="0.4">
      <c r="A1121" s="35" t="s">
        <v>181</v>
      </c>
      <c r="L1121" s="40" t="str">
        <f>$L$55</f>
        <v>Schedule M-2.2B</v>
      </c>
    </row>
    <row r="1122" spans="1:18" ht="15.45" x14ac:dyDescent="0.4">
      <c r="A1122" s="35" t="str">
        <f>$A$56</f>
        <v>Work Paper Reference No(s): WPM-B.1, WPM-C.1, WPM-D.1</v>
      </c>
      <c r="L1122" s="40" t="s">
        <v>327</v>
      </c>
    </row>
    <row r="1123" spans="1:18" ht="15.45" x14ac:dyDescent="0.4">
      <c r="A1123" s="320" t="str">
        <f>$A$57</f>
        <v>6 Mos Actual / 6 Mos Forecasted</v>
      </c>
      <c r="B1123" s="321"/>
      <c r="C1123" s="321"/>
      <c r="D1123" s="321"/>
      <c r="E1123" s="322"/>
      <c r="F1123" s="321"/>
      <c r="G1123" s="323"/>
      <c r="H1123" s="324"/>
      <c r="I1123" s="323"/>
      <c r="J1123" s="325"/>
      <c r="K1123" s="323"/>
      <c r="L1123" s="326" t="str">
        <f>Witness</f>
        <v>Witness: J. C. Wozniak</v>
      </c>
    </row>
    <row r="1124" spans="1:18" ht="15.45" x14ac:dyDescent="0.4">
      <c r="A1124" s="327"/>
      <c r="B1124" s="327"/>
      <c r="C1124" s="327"/>
      <c r="D1124" s="327"/>
      <c r="E1124" s="89"/>
      <c r="F1124" s="89"/>
      <c r="G1124" s="89"/>
      <c r="H1124" s="89"/>
      <c r="I1124" s="89"/>
      <c r="J1124" s="89"/>
      <c r="K1124" s="89"/>
      <c r="L1124" s="89"/>
      <c r="M1124" s="327"/>
      <c r="N1124" s="327"/>
      <c r="O1124" s="327"/>
      <c r="P1124" s="327"/>
      <c r="Q1124" s="327"/>
      <c r="R1124" s="327"/>
    </row>
    <row r="1125" spans="1:18" ht="15.45" x14ac:dyDescent="0.4">
      <c r="A1125" s="35"/>
    </row>
    <row r="1126" spans="1:18" ht="20.149999999999999" customHeight="1" x14ac:dyDescent="0.4">
      <c r="A1126" s="32"/>
      <c r="B1126" s="32"/>
      <c r="C1126" s="32"/>
      <c r="D1126" s="32"/>
      <c r="E1126" s="33"/>
      <c r="F1126" s="32"/>
      <c r="G1126" s="41"/>
      <c r="H1126" s="301"/>
      <c r="I1126" s="41"/>
      <c r="J1126" s="120"/>
      <c r="K1126" s="41"/>
      <c r="L1126" s="41"/>
      <c r="M1126" s="41"/>
      <c r="N1126" s="41"/>
      <c r="O1126" s="41"/>
      <c r="P1126" s="41"/>
      <c r="Q1126" s="41"/>
      <c r="R1126" s="32"/>
    </row>
    <row r="1127" spans="1:18" ht="15.45" x14ac:dyDescent="0.4">
      <c r="A1127" s="32"/>
      <c r="B1127" s="32"/>
      <c r="C1127" s="32"/>
      <c r="D1127" s="32"/>
      <c r="E1127" s="33" t="s">
        <v>52</v>
      </c>
      <c r="F1127" s="32"/>
      <c r="G1127" s="41"/>
      <c r="H1127" s="42"/>
      <c r="I1127" s="41"/>
      <c r="J1127" s="30"/>
      <c r="K1127" s="41"/>
      <c r="L1127" s="41"/>
      <c r="M1127" s="41"/>
      <c r="N1127" s="41"/>
      <c r="O1127" s="41"/>
      <c r="P1127" s="41"/>
      <c r="Q1127" s="41"/>
      <c r="R1127" s="32"/>
    </row>
    <row r="1128" spans="1:18" ht="15.45" x14ac:dyDescent="0.4">
      <c r="A1128" s="32" t="s">
        <v>11</v>
      </c>
      <c r="B1128" s="32" t="s">
        <v>10</v>
      </c>
      <c r="C1128" s="32" t="s">
        <v>48</v>
      </c>
      <c r="D1128" s="32"/>
      <c r="E1128" s="33" t="s">
        <v>53</v>
      </c>
      <c r="F1128" s="32"/>
      <c r="G1128" s="41"/>
      <c r="H1128" s="42"/>
      <c r="I1128" s="41"/>
      <c r="J1128" s="30"/>
      <c r="K1128" s="41"/>
      <c r="L1128" s="41"/>
      <c r="M1128" s="41"/>
      <c r="N1128" s="41"/>
      <c r="O1128" s="41"/>
      <c r="P1128" s="41"/>
      <c r="Q1128" s="41"/>
      <c r="R1128" s="34"/>
    </row>
    <row r="1129" spans="1:18" ht="15.45" x14ac:dyDescent="0.4">
      <c r="A1129" s="43" t="s">
        <v>13</v>
      </c>
      <c r="B1129" s="43" t="s">
        <v>47</v>
      </c>
      <c r="C1129" s="43" t="s">
        <v>14</v>
      </c>
      <c r="D1129" s="43"/>
      <c r="E1129" s="44" t="s">
        <v>54</v>
      </c>
      <c r="F1129" s="45" t="str">
        <f>B!$D$13</f>
        <v>Mar-24</v>
      </c>
      <c r="G1129" s="45" t="str">
        <f>B!$E$13</f>
        <v>Apr-24</v>
      </c>
      <c r="H1129" s="45" t="str">
        <f>B!$F$13</f>
        <v>May-24</v>
      </c>
      <c r="I1129" s="45" t="str">
        <f>B!$G$13</f>
        <v>Jun-24</v>
      </c>
      <c r="J1129" s="45" t="str">
        <f>B!$H$13</f>
        <v>Jul-24</v>
      </c>
      <c r="K1129" s="45" t="str">
        <f>B!$I$13</f>
        <v>Aug-24</v>
      </c>
      <c r="L1129" s="45" t="s">
        <v>15</v>
      </c>
      <c r="M1129" s="31"/>
      <c r="N1129" s="31"/>
      <c r="O1129" s="31"/>
      <c r="P1129" s="31"/>
      <c r="Q1129" s="31"/>
    </row>
    <row r="1130" spans="1:18" ht="20.149999999999999" customHeight="1" x14ac:dyDescent="0.4">
      <c r="A1130" s="32"/>
      <c r="B1130" s="34" t="s">
        <v>49</v>
      </c>
      <c r="C1130" s="34" t="s">
        <v>50</v>
      </c>
      <c r="D1130" s="34"/>
      <c r="E1130" s="47" t="s">
        <v>51</v>
      </c>
      <c r="F1130" s="48" t="s">
        <v>470</v>
      </c>
      <c r="G1130" s="48" t="s">
        <v>471</v>
      </c>
      <c r="H1130" s="48" t="s">
        <v>472</v>
      </c>
      <c r="I1130" s="48" t="s">
        <v>473</v>
      </c>
      <c r="J1130" s="48" t="s">
        <v>55</v>
      </c>
      <c r="K1130" s="48" t="s">
        <v>56</v>
      </c>
      <c r="L1130" s="48" t="s">
        <v>57</v>
      </c>
      <c r="M1130" s="31"/>
      <c r="N1130" s="31"/>
      <c r="O1130" s="31"/>
      <c r="P1130" s="31"/>
      <c r="Q1130" s="31"/>
    </row>
    <row r="1131" spans="1:18" ht="15.45" x14ac:dyDescent="0.4">
      <c r="F1131" s="48"/>
      <c r="G1131" s="48"/>
      <c r="H1131" s="48"/>
      <c r="I1131" s="48"/>
      <c r="J1131" s="48"/>
      <c r="K1131" s="48"/>
      <c r="L1131" s="34"/>
      <c r="M1131" s="31"/>
      <c r="N1131" s="31"/>
      <c r="O1131" s="31"/>
      <c r="P1131" s="31"/>
      <c r="Q1131" s="31"/>
    </row>
    <row r="1132" spans="1:18" x14ac:dyDescent="0.35">
      <c r="F1132" s="38"/>
      <c r="H1132" s="38"/>
      <c r="J1132" s="38"/>
      <c r="L1132" s="31"/>
      <c r="M1132" s="31"/>
      <c r="N1132" s="31"/>
      <c r="O1132" s="31"/>
      <c r="P1132" s="31"/>
      <c r="Q1132" s="31"/>
    </row>
    <row r="1133" spans="1:18" x14ac:dyDescent="0.35">
      <c r="A1133" s="31">
        <v>1</v>
      </c>
      <c r="B1133" s="31" t="str">
        <f>B324</f>
        <v>SAS</v>
      </c>
      <c r="C1133" s="31" t="str">
        <f>C324</f>
        <v>GTS Special Agency Service</v>
      </c>
      <c r="F1133" s="38"/>
      <c r="H1133" s="38"/>
      <c r="J1133" s="38"/>
      <c r="L1133" s="31"/>
      <c r="M1133" s="31"/>
      <c r="N1133" s="31"/>
      <c r="O1133" s="31"/>
      <c r="P1133" s="31"/>
      <c r="Q1133" s="31"/>
    </row>
    <row r="1134" spans="1:18" x14ac:dyDescent="0.35">
      <c r="F1134" s="38"/>
      <c r="H1134" s="38"/>
      <c r="J1134" s="38"/>
      <c r="L1134" s="31"/>
      <c r="M1134" s="31"/>
      <c r="N1134" s="31"/>
      <c r="O1134" s="31"/>
      <c r="P1134" s="31"/>
      <c r="Q1134" s="31"/>
    </row>
    <row r="1135" spans="1:18" ht="15.45" x14ac:dyDescent="0.4">
      <c r="A1135" s="31">
        <f>A1133+1</f>
        <v>2</v>
      </c>
      <c r="C1135" s="35" t="s">
        <v>105</v>
      </c>
      <c r="D1135" s="35"/>
      <c r="F1135" s="38"/>
      <c r="H1135" s="38"/>
      <c r="J1135" s="38"/>
      <c r="L1135" s="31"/>
      <c r="M1135" s="31"/>
      <c r="N1135" s="31"/>
      <c r="O1135" s="31"/>
      <c r="P1135" s="31"/>
      <c r="Q1135" s="31"/>
    </row>
    <row r="1136" spans="1:18" ht="15.45" x14ac:dyDescent="0.4">
      <c r="C1136" s="35"/>
      <c r="D1136" s="35"/>
      <c r="F1136" s="38"/>
      <c r="H1136" s="38"/>
      <c r="J1136" s="38"/>
      <c r="L1136" s="31"/>
      <c r="M1136" s="31"/>
      <c r="N1136" s="31"/>
      <c r="O1136" s="31"/>
      <c r="P1136" s="31"/>
      <c r="Q1136" s="31"/>
    </row>
    <row r="1137" spans="1:17" ht="15.45" x14ac:dyDescent="0.4">
      <c r="A1137" s="31">
        <f>A1135+1</f>
        <v>3</v>
      </c>
      <c r="C1137" s="31" t="s">
        <v>161</v>
      </c>
      <c r="D1137" s="35"/>
      <c r="F1137" s="108">
        <f>B!D286</f>
        <v>0</v>
      </c>
      <c r="G1137" s="108">
        <f>B!E286</f>
        <v>0</v>
      </c>
      <c r="H1137" s="108">
        <f>B!F286</f>
        <v>0</v>
      </c>
      <c r="I1137" s="108">
        <f>B!G286</f>
        <v>0</v>
      </c>
      <c r="J1137" s="108">
        <f>B!H286</f>
        <v>0</v>
      </c>
      <c r="K1137" s="108">
        <f>B!I286</f>
        <v>0</v>
      </c>
      <c r="L1137" s="108">
        <f>SUM(F1137:K1137)</f>
        <v>0</v>
      </c>
      <c r="M1137" s="31"/>
      <c r="N1137" s="31"/>
      <c r="O1137" s="31"/>
      <c r="P1137" s="31"/>
      <c r="Q1137" s="31"/>
    </row>
    <row r="1138" spans="1:17" x14ac:dyDescent="0.35">
      <c r="A1138" s="31">
        <f>A1137+1</f>
        <v>4</v>
      </c>
      <c r="C1138" s="31" t="s">
        <v>168</v>
      </c>
      <c r="D1138" s="31" t="s">
        <v>28</v>
      </c>
      <c r="E1138" s="313">
        <f>Input!H59</f>
        <v>3982.3</v>
      </c>
      <c r="F1138" s="221">
        <f t="shared" ref="F1138:K1138" si="341">ROUND(F1137*$E$1138,2)</f>
        <v>0</v>
      </c>
      <c r="G1138" s="221">
        <f t="shared" si="341"/>
        <v>0</v>
      </c>
      <c r="H1138" s="221">
        <f t="shared" si="341"/>
        <v>0</v>
      </c>
      <c r="I1138" s="221">
        <f t="shared" si="341"/>
        <v>0</v>
      </c>
      <c r="J1138" s="221">
        <f t="shared" si="341"/>
        <v>0</v>
      </c>
      <c r="K1138" s="221">
        <f t="shared" si="341"/>
        <v>0</v>
      </c>
      <c r="L1138" s="221">
        <f>SUM(F1138:K1138)</f>
        <v>0</v>
      </c>
      <c r="M1138" s="31"/>
      <c r="N1138" s="31"/>
      <c r="O1138" s="31"/>
      <c r="P1138" s="31"/>
      <c r="Q1138" s="31"/>
    </row>
    <row r="1139" spans="1:17" x14ac:dyDescent="0.35">
      <c r="E1139" s="313"/>
      <c r="F1139" s="221"/>
      <c r="G1139" s="221"/>
      <c r="H1139" s="221"/>
      <c r="I1139" s="221"/>
      <c r="J1139" s="221"/>
      <c r="K1139" s="221"/>
      <c r="L1139" s="221"/>
      <c r="M1139" s="31"/>
      <c r="N1139" s="31"/>
      <c r="O1139" s="31"/>
      <c r="P1139" s="31"/>
      <c r="Q1139" s="31"/>
    </row>
    <row r="1140" spans="1:17" x14ac:dyDescent="0.35">
      <c r="A1140" s="31">
        <f>A1138+1</f>
        <v>5</v>
      </c>
      <c r="C1140" s="31" t="s">
        <v>167</v>
      </c>
      <c r="F1140" s="38"/>
      <c r="H1140" s="38"/>
      <c r="J1140" s="38"/>
      <c r="L1140" s="31"/>
      <c r="M1140" s="31"/>
      <c r="N1140" s="31"/>
      <c r="O1140" s="31"/>
      <c r="P1140" s="31"/>
      <c r="Q1140" s="31"/>
    </row>
    <row r="1141" spans="1:17" x14ac:dyDescent="0.35">
      <c r="A1141" s="31">
        <f>A1140+1</f>
        <v>6</v>
      </c>
      <c r="C1141" s="31" t="str">
        <f>'C'!B389</f>
        <v xml:space="preserve">    First 30,000 Mcf</v>
      </c>
      <c r="F1141" s="37">
        <f>'C'!D397</f>
        <v>0</v>
      </c>
      <c r="G1141" s="37">
        <f>'C'!E397</f>
        <v>0</v>
      </c>
      <c r="H1141" s="37">
        <f>'C'!F397</f>
        <v>0</v>
      </c>
      <c r="I1141" s="37">
        <f>'C'!G397</f>
        <v>0</v>
      </c>
      <c r="J1141" s="37">
        <f>'C'!H397</f>
        <v>0</v>
      </c>
      <c r="K1141" s="37">
        <f>'C'!I397</f>
        <v>0</v>
      </c>
      <c r="L1141" s="37">
        <f>SUM(F1141:K1141)</f>
        <v>0</v>
      </c>
      <c r="M1141" s="31"/>
      <c r="N1141" s="31"/>
      <c r="O1141" s="31"/>
      <c r="P1141" s="31"/>
      <c r="Q1141" s="31"/>
    </row>
    <row r="1142" spans="1:17" x14ac:dyDescent="0.35">
      <c r="A1142" s="31">
        <f>A1141+1</f>
        <v>7</v>
      </c>
      <c r="C1142" s="31" t="str">
        <f>'C'!B390</f>
        <v xml:space="preserve">    Over 30,000 Mcf</v>
      </c>
      <c r="F1142" s="61">
        <f>'C'!D398</f>
        <v>0</v>
      </c>
      <c r="G1142" s="61">
        <f>'C'!E398</f>
        <v>0</v>
      </c>
      <c r="H1142" s="61">
        <f>'C'!F398</f>
        <v>0</v>
      </c>
      <c r="I1142" s="61">
        <f>'C'!G398</f>
        <v>0</v>
      </c>
      <c r="J1142" s="61">
        <f>'C'!H398</f>
        <v>0</v>
      </c>
      <c r="K1142" s="61">
        <f>'C'!I398</f>
        <v>0</v>
      </c>
      <c r="L1142" s="61">
        <f>SUM(F1142:K1142)</f>
        <v>0</v>
      </c>
      <c r="M1142" s="31"/>
      <c r="N1142" s="31"/>
      <c r="O1142" s="31"/>
      <c r="P1142" s="31"/>
      <c r="Q1142" s="31"/>
    </row>
    <row r="1143" spans="1:17" x14ac:dyDescent="0.35">
      <c r="F1143" s="37">
        <f t="shared" ref="F1143:J1143" si="342">SUM(F1141:F1142)</f>
        <v>0</v>
      </c>
      <c r="G1143" s="37">
        <f t="shared" si="342"/>
        <v>0</v>
      </c>
      <c r="H1143" s="37">
        <f t="shared" si="342"/>
        <v>0</v>
      </c>
      <c r="I1143" s="37">
        <f t="shared" si="342"/>
        <v>0</v>
      </c>
      <c r="J1143" s="37">
        <f t="shared" si="342"/>
        <v>0</v>
      </c>
      <c r="K1143" s="37">
        <f>SUM(K1141:K1142)</f>
        <v>0</v>
      </c>
      <c r="L1143" s="37">
        <f>SUM(F1143:K1143)</f>
        <v>0</v>
      </c>
      <c r="M1143" s="31"/>
      <c r="N1143" s="31"/>
      <c r="O1143" s="31"/>
      <c r="P1143" s="31"/>
      <c r="Q1143" s="31"/>
    </row>
    <row r="1144" spans="1:17" x14ac:dyDescent="0.35">
      <c r="A1144" s="31">
        <f>A1142+1</f>
        <v>8</v>
      </c>
      <c r="C1144" s="36" t="s">
        <v>165</v>
      </c>
      <c r="F1144" s="55"/>
      <c r="G1144" s="55"/>
      <c r="H1144" s="55"/>
      <c r="I1144" s="55"/>
      <c r="J1144" s="55"/>
      <c r="K1144" s="55"/>
      <c r="L1144" s="39"/>
      <c r="M1144" s="31"/>
      <c r="N1144" s="31"/>
      <c r="O1144" s="31"/>
      <c r="P1144" s="31"/>
      <c r="Q1144" s="31"/>
    </row>
    <row r="1145" spans="1:17" x14ac:dyDescent="0.35">
      <c r="A1145" s="31">
        <f>A1144+1</f>
        <v>9</v>
      </c>
      <c r="C1145" s="36" t="str">
        <f>C1141</f>
        <v xml:space="preserve">    First 30,000 Mcf</v>
      </c>
      <c r="D1145" s="300" t="s">
        <v>27</v>
      </c>
      <c r="E1145" s="311">
        <f>Input!C59</f>
        <v>0.70930000000000004</v>
      </c>
      <c r="F1145" s="221">
        <f t="shared" ref="F1145:K1145" si="343">ROUND(F1141*$E$1145,2)</f>
        <v>0</v>
      </c>
      <c r="G1145" s="221">
        <f t="shared" si="343"/>
        <v>0</v>
      </c>
      <c r="H1145" s="221">
        <f t="shared" si="343"/>
        <v>0</v>
      </c>
      <c r="I1145" s="221">
        <f t="shared" si="343"/>
        <v>0</v>
      </c>
      <c r="J1145" s="221">
        <f t="shared" si="343"/>
        <v>0</v>
      </c>
      <c r="K1145" s="221">
        <f t="shared" si="343"/>
        <v>0</v>
      </c>
      <c r="L1145" s="221">
        <f>SUM(F1145:K1145)</f>
        <v>0</v>
      </c>
      <c r="M1145" s="31"/>
      <c r="N1145" s="31"/>
      <c r="O1145" s="31"/>
      <c r="P1145" s="31"/>
      <c r="Q1145" s="31"/>
    </row>
    <row r="1146" spans="1:17" x14ac:dyDescent="0.35">
      <c r="A1146" s="31">
        <f>A1145+1</f>
        <v>10</v>
      </c>
      <c r="C1146" s="36" t="str">
        <f>C1142</f>
        <v xml:space="preserve">    Over 30,000 Mcf</v>
      </c>
      <c r="D1146" s="300" t="s">
        <v>27</v>
      </c>
      <c r="E1146" s="31">
        <f>Input!D59</f>
        <v>0.43780000000000002</v>
      </c>
      <c r="F1146" s="51">
        <f t="shared" ref="F1146:K1146" si="344">ROUND(F1142*$E$1146,2)</f>
        <v>0</v>
      </c>
      <c r="G1146" s="51">
        <f t="shared" si="344"/>
        <v>0</v>
      </c>
      <c r="H1146" s="51">
        <f t="shared" si="344"/>
        <v>0</v>
      </c>
      <c r="I1146" s="51">
        <f t="shared" si="344"/>
        <v>0</v>
      </c>
      <c r="J1146" s="51">
        <f t="shared" si="344"/>
        <v>0</v>
      </c>
      <c r="K1146" s="51">
        <f t="shared" si="344"/>
        <v>0</v>
      </c>
      <c r="L1146" s="51">
        <f>SUM(F1146:K1146)</f>
        <v>0</v>
      </c>
      <c r="M1146" s="31"/>
      <c r="N1146" s="31"/>
      <c r="O1146" s="31"/>
      <c r="P1146" s="31"/>
      <c r="Q1146" s="31"/>
    </row>
    <row r="1147" spans="1:17" x14ac:dyDescent="0.35">
      <c r="C1147" s="36"/>
      <c r="F1147" s="221">
        <f t="shared" ref="F1147:J1147" si="345">SUM(F1145:F1146)</f>
        <v>0</v>
      </c>
      <c r="G1147" s="221">
        <f t="shared" si="345"/>
        <v>0</v>
      </c>
      <c r="H1147" s="221">
        <f t="shared" si="345"/>
        <v>0</v>
      </c>
      <c r="I1147" s="221">
        <f t="shared" si="345"/>
        <v>0</v>
      </c>
      <c r="J1147" s="221">
        <f t="shared" si="345"/>
        <v>0</v>
      </c>
      <c r="K1147" s="221">
        <f>SUM(K1145:K1146)</f>
        <v>0</v>
      </c>
      <c r="L1147" s="221">
        <f>SUM(F1147:K1147)</f>
        <v>0</v>
      </c>
      <c r="M1147" s="31"/>
      <c r="N1147" s="31"/>
      <c r="O1147" s="31"/>
      <c r="P1147" s="31"/>
      <c r="Q1147" s="31"/>
    </row>
    <row r="1148" spans="1:17" ht="17.600000000000001" x14ac:dyDescent="0.65">
      <c r="C1148" s="333"/>
      <c r="D1148" s="52"/>
      <c r="E1148" s="314"/>
      <c r="F1148" s="212"/>
      <c r="G1148" s="212"/>
      <c r="H1148" s="212"/>
      <c r="I1148" s="212"/>
      <c r="J1148" s="212"/>
      <c r="K1148" s="212"/>
      <c r="L1148" s="212"/>
      <c r="M1148" s="31"/>
      <c r="N1148" s="31"/>
      <c r="O1148" s="31"/>
      <c r="P1148" s="31"/>
      <c r="Q1148" s="31"/>
    </row>
    <row r="1149" spans="1:17" x14ac:dyDescent="0.35">
      <c r="A1149" s="31">
        <f>A1146+1</f>
        <v>11</v>
      </c>
      <c r="C1149" s="36" t="s">
        <v>162</v>
      </c>
      <c r="F1149" s="221">
        <f>F1138+F1147</f>
        <v>0</v>
      </c>
      <c r="G1149" s="221">
        <f t="shared" ref="G1149:K1149" si="346">G1138+G1147</f>
        <v>0</v>
      </c>
      <c r="H1149" s="221">
        <f t="shared" si="346"/>
        <v>0</v>
      </c>
      <c r="I1149" s="221">
        <f t="shared" si="346"/>
        <v>0</v>
      </c>
      <c r="J1149" s="221">
        <f t="shared" si="346"/>
        <v>0</v>
      </c>
      <c r="K1149" s="221">
        <f t="shared" si="346"/>
        <v>0</v>
      </c>
      <c r="L1149" s="221">
        <f>SUM(F1149:K1149)</f>
        <v>0</v>
      </c>
      <c r="M1149" s="31"/>
      <c r="N1149" s="31"/>
      <c r="O1149" s="31"/>
      <c r="P1149" s="31"/>
      <c r="Q1149" s="31"/>
    </row>
    <row r="1150" spans="1:17" x14ac:dyDescent="0.35">
      <c r="C1150" s="36"/>
      <c r="F1150" s="55"/>
      <c r="G1150" s="55"/>
      <c r="H1150" s="55"/>
      <c r="I1150" s="55"/>
      <c r="J1150" s="55"/>
      <c r="K1150" s="55"/>
      <c r="L1150" s="39"/>
      <c r="M1150" s="31"/>
      <c r="N1150" s="31"/>
      <c r="O1150" s="31"/>
      <c r="P1150" s="31"/>
      <c r="Q1150" s="31"/>
    </row>
    <row r="1151" spans="1:17" x14ac:dyDescent="0.35">
      <c r="A1151" s="31">
        <f>A1149+1</f>
        <v>12</v>
      </c>
      <c r="C1151" s="31" t="s">
        <v>132</v>
      </c>
      <c r="D1151" s="31" t="s">
        <v>27</v>
      </c>
      <c r="E1151" s="311">
        <v>0</v>
      </c>
      <c r="F1151" s="221">
        <v>0</v>
      </c>
      <c r="G1151" s="221">
        <v>0</v>
      </c>
      <c r="H1151" s="221">
        <v>0</v>
      </c>
      <c r="I1151" s="221">
        <v>0</v>
      </c>
      <c r="J1151" s="221">
        <v>0</v>
      </c>
      <c r="K1151" s="221">
        <v>0</v>
      </c>
      <c r="L1151" s="221">
        <f>SUM(F1151:K1151)</f>
        <v>0</v>
      </c>
      <c r="M1151" s="31"/>
      <c r="N1151" s="31"/>
      <c r="O1151" s="31"/>
      <c r="P1151" s="31"/>
      <c r="Q1151" s="31"/>
    </row>
    <row r="1152" spans="1:17" x14ac:dyDescent="0.35">
      <c r="F1152" s="38"/>
      <c r="H1152" s="38"/>
      <c r="J1152" s="38"/>
      <c r="L1152" s="31"/>
      <c r="M1152" s="31"/>
      <c r="N1152" s="31"/>
      <c r="O1152" s="31"/>
      <c r="P1152" s="31"/>
      <c r="Q1152" s="31"/>
    </row>
    <row r="1153" spans="1:17" ht="15" customHeight="1" x14ac:dyDescent="0.35">
      <c r="A1153" s="31">
        <f>A1151+1</f>
        <v>13</v>
      </c>
      <c r="C1153" s="36" t="s">
        <v>163</v>
      </c>
      <c r="D1153" s="50"/>
      <c r="E1153" s="56"/>
      <c r="F1153" s="221">
        <f t="shared" ref="F1153:J1153" si="347">F1149+F1151</f>
        <v>0</v>
      </c>
      <c r="G1153" s="221">
        <f t="shared" si="347"/>
        <v>0</v>
      </c>
      <c r="H1153" s="221">
        <f t="shared" si="347"/>
        <v>0</v>
      </c>
      <c r="I1153" s="221">
        <f t="shared" si="347"/>
        <v>0</v>
      </c>
      <c r="J1153" s="221">
        <f t="shared" si="347"/>
        <v>0</v>
      </c>
      <c r="K1153" s="221">
        <f>K1149+K1151</f>
        <v>0</v>
      </c>
      <c r="L1153" s="221">
        <f>SUM(F1153:K1153)</f>
        <v>0</v>
      </c>
      <c r="M1153" s="31"/>
      <c r="N1153" s="31"/>
      <c r="O1153" s="31"/>
      <c r="P1153" s="31"/>
      <c r="Q1153" s="31"/>
    </row>
    <row r="1154" spans="1:17" x14ac:dyDescent="0.35">
      <c r="F1154" s="38"/>
      <c r="H1154" s="38"/>
      <c r="J1154" s="38"/>
      <c r="L1154" s="31"/>
      <c r="M1154" s="31"/>
      <c r="N1154" s="31"/>
      <c r="O1154" s="31"/>
      <c r="P1154" s="31"/>
      <c r="Q1154" s="31"/>
    </row>
    <row r="1155" spans="1:17" x14ac:dyDescent="0.35">
      <c r="A1155" s="31">
        <f>A1153+1</f>
        <v>14</v>
      </c>
      <c r="B1155" s="31" t="str">
        <f>B331</f>
        <v>SC3</v>
      </c>
      <c r="C1155" s="31" t="str">
        <f>C331</f>
        <v>GTS Special Rate - Industrial</v>
      </c>
      <c r="F1155" s="38"/>
      <c r="H1155" s="38"/>
      <c r="J1155" s="38"/>
      <c r="L1155" s="31"/>
      <c r="M1155" s="31"/>
      <c r="N1155" s="31"/>
      <c r="O1155" s="31"/>
      <c r="P1155" s="31"/>
      <c r="Q1155" s="31"/>
    </row>
    <row r="1156" spans="1:17" x14ac:dyDescent="0.35">
      <c r="F1156" s="38"/>
      <c r="H1156" s="38"/>
      <c r="J1156" s="38"/>
      <c r="L1156" s="31"/>
      <c r="M1156" s="31"/>
      <c r="N1156" s="31"/>
      <c r="O1156" s="31"/>
      <c r="P1156" s="31"/>
      <c r="Q1156" s="31"/>
    </row>
    <row r="1157" spans="1:17" ht="15.45" x14ac:dyDescent="0.4">
      <c r="A1157" s="31">
        <f>A1155+1</f>
        <v>15</v>
      </c>
      <c r="C1157" s="35" t="s">
        <v>106</v>
      </c>
      <c r="D1157" s="35"/>
      <c r="F1157" s="38"/>
      <c r="H1157" s="38"/>
      <c r="J1157" s="38"/>
      <c r="L1157" s="31"/>
      <c r="M1157" s="31"/>
      <c r="N1157" s="31"/>
      <c r="O1157" s="31"/>
      <c r="P1157" s="31"/>
      <c r="Q1157" s="31"/>
    </row>
    <row r="1158" spans="1:17" ht="15.45" x14ac:dyDescent="0.4">
      <c r="C1158" s="35"/>
      <c r="D1158" s="35"/>
      <c r="F1158" s="38"/>
      <c r="H1158" s="38"/>
      <c r="J1158" s="38"/>
      <c r="L1158" s="31"/>
      <c r="M1158" s="31"/>
      <c r="N1158" s="31"/>
      <c r="O1158" s="31"/>
      <c r="P1158" s="31"/>
      <c r="Q1158" s="31"/>
    </row>
    <row r="1159" spans="1:17" ht="15.45" x14ac:dyDescent="0.4">
      <c r="A1159" s="31">
        <f>A1157+1</f>
        <v>16</v>
      </c>
      <c r="C1159" s="31" t="s">
        <v>161</v>
      </c>
      <c r="D1159" s="35"/>
      <c r="F1159" s="108">
        <f>B!D292</f>
        <v>0</v>
      </c>
      <c r="G1159" s="108">
        <f>B!E292</f>
        <v>0</v>
      </c>
      <c r="H1159" s="108">
        <f>B!F292</f>
        <v>0</v>
      </c>
      <c r="I1159" s="108">
        <f>B!G292</f>
        <v>0</v>
      </c>
      <c r="J1159" s="108">
        <f>B!H292</f>
        <v>0</v>
      </c>
      <c r="K1159" s="108">
        <f>B!I292</f>
        <v>0</v>
      </c>
      <c r="L1159" s="108">
        <f>SUM(F1159:K1159)</f>
        <v>0</v>
      </c>
      <c r="M1159" s="31"/>
      <c r="N1159" s="31"/>
      <c r="O1159" s="31"/>
      <c r="P1159" s="31"/>
      <c r="Q1159" s="31"/>
    </row>
    <row r="1160" spans="1:17" x14ac:dyDescent="0.35">
      <c r="A1160" s="31">
        <f>A1159+1</f>
        <v>17</v>
      </c>
      <c r="C1160" s="31" t="s">
        <v>168</v>
      </c>
      <c r="D1160" s="31" t="s">
        <v>28</v>
      </c>
      <c r="E1160" s="313">
        <f>Input!H60</f>
        <v>0</v>
      </c>
      <c r="F1160" s="221">
        <f t="shared" ref="F1160:K1160" si="348">ROUND(F1159*$E$1160,2)</f>
        <v>0</v>
      </c>
      <c r="G1160" s="221">
        <f t="shared" si="348"/>
        <v>0</v>
      </c>
      <c r="H1160" s="221">
        <f t="shared" si="348"/>
        <v>0</v>
      </c>
      <c r="I1160" s="221">
        <f t="shared" si="348"/>
        <v>0</v>
      </c>
      <c r="J1160" s="221">
        <f t="shared" si="348"/>
        <v>0</v>
      </c>
      <c r="K1160" s="221">
        <f t="shared" si="348"/>
        <v>0</v>
      </c>
      <c r="L1160" s="221">
        <f>SUM(F1160:K1160)</f>
        <v>0</v>
      </c>
      <c r="M1160" s="31"/>
      <c r="N1160" s="31"/>
      <c r="O1160" s="31"/>
      <c r="P1160" s="31"/>
      <c r="Q1160" s="31"/>
    </row>
    <row r="1161" spans="1:17" x14ac:dyDescent="0.35">
      <c r="E1161" s="313"/>
      <c r="F1161" s="221"/>
      <c r="G1161" s="221"/>
      <c r="H1161" s="221"/>
      <c r="I1161" s="221"/>
      <c r="J1161" s="221"/>
      <c r="K1161" s="221"/>
      <c r="L1161" s="221"/>
      <c r="M1161" s="31"/>
      <c r="N1161" s="31"/>
      <c r="O1161" s="31"/>
      <c r="P1161" s="31"/>
      <c r="Q1161" s="31"/>
    </row>
    <row r="1162" spans="1:17" x14ac:dyDescent="0.35">
      <c r="A1162" s="31">
        <f>A1160+1</f>
        <v>18</v>
      </c>
      <c r="C1162" s="31" t="s">
        <v>167</v>
      </c>
      <c r="F1162" s="38"/>
      <c r="H1162" s="38"/>
      <c r="J1162" s="38"/>
      <c r="L1162" s="31"/>
      <c r="M1162" s="31"/>
      <c r="N1162" s="31"/>
      <c r="O1162" s="31"/>
      <c r="P1162" s="31"/>
      <c r="Q1162" s="31"/>
    </row>
    <row r="1163" spans="1:17" x14ac:dyDescent="0.35">
      <c r="A1163" s="31">
        <f>A1162+1</f>
        <v>19</v>
      </c>
      <c r="C1163" s="36" t="str">
        <f>'C'!B418</f>
        <v xml:space="preserve">    First 150,000 Mcf</v>
      </c>
      <c r="F1163" s="37">
        <f>'C'!D418</f>
        <v>0</v>
      </c>
      <c r="G1163" s="37">
        <f>'C'!E418</f>
        <v>0</v>
      </c>
      <c r="H1163" s="37">
        <f>'C'!F418</f>
        <v>0</v>
      </c>
      <c r="I1163" s="37">
        <f>'C'!G418</f>
        <v>0</v>
      </c>
      <c r="J1163" s="37">
        <f>'C'!H418</f>
        <v>0</v>
      </c>
      <c r="K1163" s="37">
        <f>'C'!I418</f>
        <v>0</v>
      </c>
      <c r="L1163" s="37">
        <f>SUM(F1163:K1163)</f>
        <v>0</v>
      </c>
      <c r="M1163" s="31"/>
      <c r="N1163" s="31"/>
      <c r="O1163" s="31"/>
      <c r="P1163" s="31"/>
      <c r="Q1163" s="31"/>
    </row>
    <row r="1164" spans="1:17" x14ac:dyDescent="0.35">
      <c r="A1164" s="31">
        <f>A1163+1</f>
        <v>20</v>
      </c>
      <c r="C1164" s="36" t="str">
        <f>'C'!B419</f>
        <v xml:space="preserve">    Over 150,000 Mcf</v>
      </c>
      <c r="F1164" s="61">
        <f>'C'!D419</f>
        <v>0</v>
      </c>
      <c r="G1164" s="61">
        <f>'C'!E419</f>
        <v>0</v>
      </c>
      <c r="H1164" s="61">
        <f>'C'!F419</f>
        <v>0</v>
      </c>
      <c r="I1164" s="61">
        <f>'C'!G419</f>
        <v>0</v>
      </c>
      <c r="J1164" s="61">
        <f>'C'!H419</f>
        <v>0</v>
      </c>
      <c r="K1164" s="61">
        <f>'C'!I419</f>
        <v>0</v>
      </c>
      <c r="L1164" s="61">
        <f>SUM(F1164:K1164)</f>
        <v>0</v>
      </c>
      <c r="M1164" s="31"/>
      <c r="N1164" s="31"/>
      <c r="O1164" s="31"/>
      <c r="P1164" s="31"/>
      <c r="Q1164" s="31"/>
    </row>
    <row r="1165" spans="1:17" x14ac:dyDescent="0.35">
      <c r="C1165" s="36"/>
      <c r="F1165" s="37">
        <f t="shared" ref="F1165:J1165" si="349">SUM(F1163:F1164)</f>
        <v>0</v>
      </c>
      <c r="G1165" s="37">
        <f t="shared" si="349"/>
        <v>0</v>
      </c>
      <c r="H1165" s="37">
        <f t="shared" si="349"/>
        <v>0</v>
      </c>
      <c r="I1165" s="37">
        <f t="shared" si="349"/>
        <v>0</v>
      </c>
      <c r="J1165" s="37">
        <f t="shared" si="349"/>
        <v>0</v>
      </c>
      <c r="K1165" s="37">
        <f>SUM(K1163:K1164)</f>
        <v>0</v>
      </c>
      <c r="L1165" s="37">
        <f>SUM(F1165:K1165)</f>
        <v>0</v>
      </c>
      <c r="M1165" s="31"/>
      <c r="N1165" s="31"/>
      <c r="O1165" s="31"/>
      <c r="P1165" s="31"/>
      <c r="Q1165" s="31"/>
    </row>
    <row r="1166" spans="1:17" x14ac:dyDescent="0.35">
      <c r="A1166" s="31">
        <f>A1164+1</f>
        <v>21</v>
      </c>
      <c r="C1166" s="36" t="s">
        <v>165</v>
      </c>
      <c r="F1166" s="55"/>
      <c r="G1166" s="55"/>
      <c r="H1166" s="55"/>
      <c r="I1166" s="55"/>
      <c r="J1166" s="55"/>
      <c r="K1166" s="55"/>
      <c r="L1166" s="39"/>
      <c r="M1166" s="31"/>
      <c r="N1166" s="31"/>
      <c r="O1166" s="31"/>
      <c r="P1166" s="31"/>
      <c r="Q1166" s="31"/>
    </row>
    <row r="1167" spans="1:17" x14ac:dyDescent="0.35">
      <c r="A1167" s="31">
        <f>A1166+1</f>
        <v>22</v>
      </c>
      <c r="C1167" s="36" t="str">
        <f>C1163</f>
        <v xml:space="preserve">    First 150,000 Mcf</v>
      </c>
      <c r="D1167" s="300" t="s">
        <v>27</v>
      </c>
      <c r="E1167" s="314">
        <f>Input!C60</f>
        <v>0</v>
      </c>
      <c r="F1167" s="221">
        <f t="shared" ref="F1167:K1167" si="350">ROUND(F1163*$E$1167,2)</f>
        <v>0</v>
      </c>
      <c r="G1167" s="221">
        <f t="shared" si="350"/>
        <v>0</v>
      </c>
      <c r="H1167" s="221">
        <f t="shared" si="350"/>
        <v>0</v>
      </c>
      <c r="I1167" s="221">
        <f t="shared" si="350"/>
        <v>0</v>
      </c>
      <c r="J1167" s="221">
        <f t="shared" si="350"/>
        <v>0</v>
      </c>
      <c r="K1167" s="221">
        <f t="shared" si="350"/>
        <v>0</v>
      </c>
      <c r="L1167" s="221">
        <f>SUM(F1167:K1167)</f>
        <v>0</v>
      </c>
      <c r="M1167" s="31"/>
      <c r="N1167" s="31"/>
      <c r="O1167" s="31"/>
      <c r="P1167" s="31"/>
      <c r="Q1167" s="31"/>
    </row>
    <row r="1168" spans="1:17" x14ac:dyDescent="0.35">
      <c r="A1168" s="31">
        <f>A1167+1</f>
        <v>23</v>
      </c>
      <c r="C1168" s="36" t="str">
        <f>C1164</f>
        <v xml:space="preserve">    Over 150,000 Mcf</v>
      </c>
      <c r="D1168" s="300" t="s">
        <v>27</v>
      </c>
      <c r="E1168" s="314">
        <f>Input!D60</f>
        <v>0</v>
      </c>
      <c r="F1168" s="51">
        <f t="shared" ref="F1168:K1168" si="351">ROUND(F1164*$E$1168,2)</f>
        <v>0</v>
      </c>
      <c r="G1168" s="51">
        <f t="shared" si="351"/>
        <v>0</v>
      </c>
      <c r="H1168" s="51">
        <f t="shared" si="351"/>
        <v>0</v>
      </c>
      <c r="I1168" s="51">
        <f t="shared" si="351"/>
        <v>0</v>
      </c>
      <c r="J1168" s="51">
        <f t="shared" si="351"/>
        <v>0</v>
      </c>
      <c r="K1168" s="51">
        <f t="shared" si="351"/>
        <v>0</v>
      </c>
      <c r="L1168" s="51">
        <f>SUM(F1168:K1168)</f>
        <v>0</v>
      </c>
      <c r="M1168" s="31"/>
      <c r="N1168" s="31"/>
      <c r="O1168" s="31"/>
      <c r="P1168" s="31"/>
      <c r="Q1168" s="31"/>
    </row>
    <row r="1169" spans="1:17" x14ac:dyDescent="0.35">
      <c r="C1169" s="36"/>
      <c r="F1169" s="221">
        <f t="shared" ref="F1169:J1169" si="352">SUM(F1167:F1168)</f>
        <v>0</v>
      </c>
      <c r="G1169" s="221">
        <f t="shared" si="352"/>
        <v>0</v>
      </c>
      <c r="H1169" s="221">
        <f t="shared" si="352"/>
        <v>0</v>
      </c>
      <c r="I1169" s="221">
        <f t="shared" si="352"/>
        <v>0</v>
      </c>
      <c r="J1169" s="221">
        <f t="shared" si="352"/>
        <v>0</v>
      </c>
      <c r="K1169" s="221">
        <f>SUM(K1167:K1168)</f>
        <v>0</v>
      </c>
      <c r="L1169" s="221">
        <f>SUM(F1169:K1169)</f>
        <v>0</v>
      </c>
      <c r="M1169" s="31"/>
      <c r="N1169" s="31"/>
      <c r="O1169" s="31"/>
      <c r="P1169" s="31"/>
      <c r="Q1169" s="31"/>
    </row>
    <row r="1170" spans="1:17" x14ac:dyDescent="0.35">
      <c r="C1170" s="36"/>
      <c r="F1170" s="221"/>
      <c r="G1170" s="221"/>
      <c r="H1170" s="221"/>
      <c r="I1170" s="221"/>
      <c r="J1170" s="221"/>
      <c r="K1170" s="221"/>
      <c r="L1170" s="221"/>
      <c r="M1170" s="31"/>
      <c r="N1170" s="31"/>
      <c r="O1170" s="31"/>
      <c r="P1170" s="31"/>
      <c r="Q1170" s="31"/>
    </row>
    <row r="1171" spans="1:17" x14ac:dyDescent="0.35">
      <c r="A1171" s="31">
        <f>A1168+1</f>
        <v>24</v>
      </c>
      <c r="C1171" s="36" t="s">
        <v>162</v>
      </c>
      <c r="F1171" s="221">
        <f>F1160+F1169</f>
        <v>0</v>
      </c>
      <c r="G1171" s="221">
        <f t="shared" ref="G1171:K1171" si="353">G1160+G1169</f>
        <v>0</v>
      </c>
      <c r="H1171" s="221">
        <f t="shared" si="353"/>
        <v>0</v>
      </c>
      <c r="I1171" s="221">
        <f t="shared" si="353"/>
        <v>0</v>
      </c>
      <c r="J1171" s="221">
        <f t="shared" si="353"/>
        <v>0</v>
      </c>
      <c r="K1171" s="221">
        <f t="shared" si="353"/>
        <v>0</v>
      </c>
      <c r="L1171" s="221">
        <f>SUM(F1171:K1171)</f>
        <v>0</v>
      </c>
      <c r="M1171" s="31"/>
      <c r="N1171" s="31"/>
      <c r="O1171" s="31"/>
      <c r="P1171" s="31"/>
      <c r="Q1171" s="31"/>
    </row>
    <row r="1172" spans="1:17" x14ac:dyDescent="0.35">
      <c r="C1172" s="36"/>
      <c r="F1172" s="55"/>
      <c r="G1172" s="55"/>
      <c r="H1172" s="55"/>
      <c r="I1172" s="55"/>
      <c r="J1172" s="55"/>
      <c r="K1172" s="55"/>
      <c r="L1172" s="39"/>
      <c r="M1172" s="31"/>
      <c r="N1172" s="31"/>
      <c r="O1172" s="31"/>
      <c r="P1172" s="31"/>
      <c r="Q1172" s="31"/>
    </row>
    <row r="1173" spans="1:17" x14ac:dyDescent="0.35">
      <c r="A1173" s="31">
        <f>A1171+1</f>
        <v>25</v>
      </c>
      <c r="C1173" s="31" t="s">
        <v>132</v>
      </c>
      <c r="D1173" s="31" t="s">
        <v>27</v>
      </c>
      <c r="E1173" s="311">
        <v>0</v>
      </c>
      <c r="F1173" s="221">
        <v>0</v>
      </c>
      <c r="G1173" s="221">
        <v>0</v>
      </c>
      <c r="H1173" s="221">
        <v>0</v>
      </c>
      <c r="I1173" s="221">
        <v>0</v>
      </c>
      <c r="J1173" s="221">
        <v>0</v>
      </c>
      <c r="K1173" s="221">
        <v>0</v>
      </c>
      <c r="L1173" s="221">
        <f>SUM(F1173:K1173)</f>
        <v>0</v>
      </c>
      <c r="M1173" s="31"/>
      <c r="N1173" s="31"/>
      <c r="O1173" s="31"/>
      <c r="P1173" s="31"/>
      <c r="Q1173" s="31"/>
    </row>
    <row r="1174" spans="1:17" x14ac:dyDescent="0.35">
      <c r="F1174" s="38"/>
      <c r="H1174" s="38"/>
      <c r="J1174" s="38"/>
      <c r="L1174" s="31"/>
      <c r="M1174" s="31"/>
      <c r="N1174" s="31"/>
      <c r="O1174" s="31"/>
      <c r="P1174" s="31"/>
      <c r="Q1174" s="31"/>
    </row>
    <row r="1175" spans="1:17" x14ac:dyDescent="0.35">
      <c r="A1175" s="31">
        <f>A1173+1</f>
        <v>26</v>
      </c>
      <c r="C1175" s="36" t="s">
        <v>163</v>
      </c>
      <c r="D1175" s="50"/>
      <c r="E1175" s="56"/>
      <c r="F1175" s="221">
        <f t="shared" ref="F1175:J1175" si="354">F1171+F1173</f>
        <v>0</v>
      </c>
      <c r="G1175" s="221">
        <f t="shared" si="354"/>
        <v>0</v>
      </c>
      <c r="H1175" s="221">
        <f t="shared" si="354"/>
        <v>0</v>
      </c>
      <c r="I1175" s="221">
        <f t="shared" si="354"/>
        <v>0</v>
      </c>
      <c r="J1175" s="221">
        <f t="shared" si="354"/>
        <v>0</v>
      </c>
      <c r="K1175" s="221">
        <f>K1171+K1173</f>
        <v>0</v>
      </c>
      <c r="L1175" s="221">
        <f>SUM(F1175:K1175)</f>
        <v>0</v>
      </c>
      <c r="M1175" s="31"/>
      <c r="N1175" s="31"/>
      <c r="O1175" s="31"/>
      <c r="P1175" s="31"/>
      <c r="Q1175" s="31"/>
    </row>
    <row r="1176" spans="1:17" x14ac:dyDescent="0.35">
      <c r="F1176" s="38"/>
      <c r="H1176" s="38"/>
      <c r="J1176" s="38"/>
      <c r="L1176" s="31"/>
      <c r="M1176" s="31"/>
      <c r="N1176" s="31"/>
      <c r="O1176" s="31"/>
      <c r="P1176" s="31"/>
      <c r="Q1176" s="31"/>
    </row>
    <row r="1178" spans="1:17" x14ac:dyDescent="0.35">
      <c r="A1178" s="31" t="str">
        <f>$A$280</f>
        <v>[1] Reflects forecasted volumes for March through August 2024.</v>
      </c>
    </row>
    <row r="1180" spans="1:17" x14ac:dyDescent="0.35">
      <c r="N1180" s="31"/>
      <c r="O1180" s="31"/>
      <c r="P1180" s="31"/>
      <c r="Q1180" s="31"/>
    </row>
    <row r="1181" spans="1:17" x14ac:dyDescent="0.35">
      <c r="N1181" s="31"/>
      <c r="O1181" s="31"/>
      <c r="P1181" s="31"/>
      <c r="Q1181" s="31"/>
    </row>
    <row r="1182" spans="1:17" x14ac:dyDescent="0.35">
      <c r="N1182" s="31"/>
      <c r="O1182" s="31"/>
      <c r="P1182" s="31"/>
      <c r="Q1182" s="31"/>
    </row>
    <row r="1183" spans="1:17" x14ac:dyDescent="0.35">
      <c r="N1183" s="31"/>
      <c r="O1183" s="31"/>
      <c r="P1183" s="31"/>
      <c r="Q1183" s="31"/>
    </row>
    <row r="1184" spans="1:17" x14ac:dyDescent="0.35">
      <c r="F1184" s="36"/>
      <c r="G1184" s="36"/>
      <c r="H1184" s="36"/>
      <c r="I1184" s="36"/>
      <c r="J1184" s="36"/>
      <c r="K1184" s="36"/>
      <c r="L1184" s="36"/>
      <c r="N1184" s="31"/>
      <c r="O1184" s="31"/>
      <c r="P1184" s="31"/>
      <c r="Q1184" s="31"/>
    </row>
    <row r="1185" spans="6:17" x14ac:dyDescent="0.35">
      <c r="F1185" s="36"/>
      <c r="G1185" s="36"/>
      <c r="H1185" s="36"/>
      <c r="I1185" s="36"/>
      <c r="J1185" s="36"/>
      <c r="K1185" s="36"/>
      <c r="L1185" s="36"/>
      <c r="N1185" s="31"/>
      <c r="O1185" s="31"/>
      <c r="P1185" s="31"/>
      <c r="Q1185" s="31"/>
    </row>
    <row r="1186" spans="6:17" x14ac:dyDescent="0.35">
      <c r="F1186" s="37"/>
      <c r="G1186" s="37"/>
      <c r="H1186" s="37"/>
      <c r="I1186" s="37"/>
      <c r="K1186" s="37"/>
      <c r="N1186" s="31"/>
      <c r="O1186" s="31"/>
      <c r="P1186" s="31"/>
      <c r="Q1186" s="31"/>
    </row>
    <row r="1187" spans="6:17" x14ac:dyDescent="0.35">
      <c r="N1187" s="31"/>
      <c r="O1187" s="31"/>
      <c r="P1187" s="31"/>
      <c r="Q1187" s="31"/>
    </row>
    <row r="1188" spans="6:17" x14ac:dyDescent="0.35">
      <c r="F1188" s="36"/>
      <c r="G1188" s="36"/>
      <c r="H1188" s="36"/>
      <c r="I1188" s="36"/>
      <c r="J1188" s="36"/>
      <c r="K1188" s="36"/>
      <c r="N1188" s="31"/>
      <c r="O1188" s="31"/>
      <c r="P1188" s="31"/>
      <c r="Q1188" s="31"/>
    </row>
    <row r="1189" spans="6:17" x14ac:dyDescent="0.35">
      <c r="N1189" s="31"/>
      <c r="O1189" s="31"/>
      <c r="P1189" s="31"/>
      <c r="Q1189" s="31"/>
    </row>
    <row r="1190" spans="6:17" x14ac:dyDescent="0.35">
      <c r="N1190" s="31"/>
      <c r="O1190" s="31"/>
      <c r="P1190" s="31"/>
      <c r="Q1190" s="31"/>
    </row>
    <row r="1191" spans="6:17" x14ac:dyDescent="0.35">
      <c r="N1191" s="31"/>
      <c r="O1191" s="31"/>
      <c r="P1191" s="31"/>
      <c r="Q1191" s="31"/>
    </row>
    <row r="1192" spans="6:17" x14ac:dyDescent="0.35">
      <c r="N1192" s="31"/>
      <c r="O1192" s="31"/>
      <c r="P1192" s="31"/>
      <c r="Q1192" s="31"/>
    </row>
    <row r="1193" spans="6:17" x14ac:dyDescent="0.35">
      <c r="N1193" s="31"/>
      <c r="O1193" s="31"/>
      <c r="P1193" s="31"/>
      <c r="Q1193" s="31"/>
    </row>
    <row r="1194" spans="6:17" x14ac:dyDescent="0.35">
      <c r="N1194" s="31"/>
      <c r="O1194" s="31"/>
      <c r="P1194" s="31"/>
      <c r="Q1194" s="31"/>
    </row>
    <row r="1195" spans="6:17" x14ac:dyDescent="0.35">
      <c r="N1195" s="31"/>
      <c r="O1195" s="31"/>
      <c r="P1195" s="31"/>
      <c r="Q1195" s="31"/>
    </row>
    <row r="1196" spans="6:17" x14ac:dyDescent="0.35">
      <c r="N1196" s="31"/>
      <c r="O1196" s="31"/>
      <c r="P1196" s="31"/>
      <c r="Q1196" s="31"/>
    </row>
    <row r="1197" spans="6:17" x14ac:dyDescent="0.35">
      <c r="N1197" s="31"/>
      <c r="O1197" s="31"/>
      <c r="P1197" s="31"/>
      <c r="Q1197" s="31"/>
    </row>
    <row r="1198" spans="6:17" x14ac:dyDescent="0.35">
      <c r="N1198" s="31"/>
      <c r="O1198" s="31"/>
      <c r="P1198" s="31"/>
      <c r="Q1198" s="31"/>
    </row>
    <row r="1199" spans="6:17" x14ac:dyDescent="0.35">
      <c r="N1199" s="31"/>
      <c r="O1199" s="31"/>
      <c r="P1199" s="31"/>
      <c r="Q1199" s="31"/>
    </row>
    <row r="1200" spans="6:17" x14ac:dyDescent="0.35">
      <c r="N1200" s="31"/>
      <c r="O1200" s="31"/>
      <c r="P1200" s="31"/>
      <c r="Q1200" s="31"/>
    </row>
    <row r="1201" spans="14:17" x14ac:dyDescent="0.35">
      <c r="N1201" s="31"/>
      <c r="O1201" s="31"/>
      <c r="P1201" s="31"/>
      <c r="Q1201" s="31"/>
    </row>
    <row r="1202" spans="14:17" x14ac:dyDescent="0.35">
      <c r="N1202" s="31"/>
      <c r="O1202" s="31"/>
      <c r="P1202" s="31"/>
      <c r="Q1202" s="31"/>
    </row>
    <row r="1203" spans="14:17" x14ac:dyDescent="0.35">
      <c r="N1203" s="31"/>
      <c r="O1203" s="31"/>
      <c r="P1203" s="31"/>
      <c r="Q1203" s="31"/>
    </row>
    <row r="1204" spans="14:17" x14ac:dyDescent="0.35">
      <c r="N1204" s="31"/>
      <c r="O1204" s="31"/>
      <c r="P1204" s="31"/>
      <c r="Q1204" s="31"/>
    </row>
    <row r="1206" spans="14:17" x14ac:dyDescent="0.35">
      <c r="N1206" s="31"/>
      <c r="O1206" s="31"/>
      <c r="P1206" s="31"/>
      <c r="Q1206" s="31"/>
    </row>
    <row r="1207" spans="14:17" x14ac:dyDescent="0.35">
      <c r="N1207" s="31"/>
      <c r="O1207" s="31"/>
      <c r="P1207" s="31"/>
      <c r="Q1207" s="31"/>
    </row>
    <row r="1208" spans="14:17" x14ac:dyDescent="0.35">
      <c r="N1208" s="31"/>
      <c r="O1208" s="31"/>
      <c r="P1208" s="31"/>
      <c r="Q1208" s="31"/>
    </row>
    <row r="1209" spans="14:17" x14ac:dyDescent="0.35">
      <c r="N1209" s="31"/>
      <c r="O1209" s="31"/>
      <c r="P1209" s="31"/>
      <c r="Q1209" s="31"/>
    </row>
    <row r="1210" spans="14:17" x14ac:dyDescent="0.35">
      <c r="N1210" s="31"/>
      <c r="O1210" s="31"/>
      <c r="P1210" s="31"/>
      <c r="Q1210" s="31"/>
    </row>
    <row r="1211" spans="14:17" x14ac:dyDescent="0.35">
      <c r="N1211" s="31"/>
      <c r="O1211" s="31"/>
      <c r="P1211" s="31"/>
      <c r="Q1211" s="31"/>
    </row>
    <row r="1212" spans="14:17" x14ac:dyDescent="0.35">
      <c r="N1212" s="31"/>
      <c r="O1212" s="31"/>
      <c r="P1212" s="31"/>
      <c r="Q1212" s="31"/>
    </row>
    <row r="1213" spans="14:17" x14ac:dyDescent="0.35">
      <c r="N1213" s="31"/>
      <c r="O1213" s="31"/>
      <c r="P1213" s="31"/>
      <c r="Q1213" s="31"/>
    </row>
    <row r="1214" spans="14:17" x14ac:dyDescent="0.35">
      <c r="N1214" s="31"/>
      <c r="O1214" s="31"/>
      <c r="P1214" s="31"/>
      <c r="Q1214" s="31"/>
    </row>
    <row r="1215" spans="14:17" x14ac:dyDescent="0.35">
      <c r="N1215" s="31"/>
      <c r="O1215" s="31"/>
      <c r="P1215" s="31"/>
      <c r="Q1215" s="31"/>
    </row>
    <row r="1216" spans="14:17" x14ac:dyDescent="0.35">
      <c r="N1216" s="31"/>
      <c r="O1216" s="31"/>
      <c r="P1216" s="31"/>
      <c r="Q1216" s="31"/>
    </row>
    <row r="1217" spans="14:17" x14ac:dyDescent="0.35">
      <c r="N1217" s="31"/>
      <c r="O1217" s="31"/>
      <c r="P1217" s="31"/>
      <c r="Q1217" s="31"/>
    </row>
    <row r="1218" spans="14:17" x14ac:dyDescent="0.35">
      <c r="N1218" s="31"/>
      <c r="O1218" s="31"/>
      <c r="P1218" s="31"/>
      <c r="Q1218" s="31"/>
    </row>
    <row r="1219" spans="14:17" x14ac:dyDescent="0.35">
      <c r="N1219" s="31"/>
      <c r="O1219" s="31"/>
      <c r="P1219" s="31"/>
      <c r="Q1219" s="31"/>
    </row>
    <row r="1220" spans="14:17" x14ac:dyDescent="0.35">
      <c r="N1220" s="31"/>
      <c r="O1220" s="31"/>
      <c r="P1220" s="31"/>
      <c r="Q1220" s="31"/>
    </row>
    <row r="1221" spans="14:17" x14ac:dyDescent="0.35">
      <c r="N1221" s="31"/>
      <c r="O1221" s="31"/>
      <c r="P1221" s="31"/>
      <c r="Q1221" s="31"/>
    </row>
    <row r="1222" spans="14:17" x14ac:dyDescent="0.35">
      <c r="N1222" s="31"/>
      <c r="O1222" s="31"/>
      <c r="P1222" s="31"/>
      <c r="Q1222" s="31"/>
    </row>
    <row r="1223" spans="14:17" x14ac:dyDescent="0.35">
      <c r="N1223" s="31"/>
      <c r="O1223" s="31"/>
      <c r="P1223" s="31"/>
      <c r="Q1223" s="31"/>
    </row>
    <row r="1224" spans="14:17" x14ac:dyDescent="0.35">
      <c r="N1224" s="31"/>
      <c r="O1224" s="31"/>
      <c r="P1224" s="31"/>
      <c r="Q1224" s="31"/>
    </row>
    <row r="1225" spans="14:17" x14ac:dyDescent="0.35">
      <c r="N1225" s="31"/>
      <c r="O1225" s="31"/>
      <c r="P1225" s="31"/>
      <c r="Q1225" s="31"/>
    </row>
    <row r="1226" spans="14:17" x14ac:dyDescent="0.35">
      <c r="N1226" s="31"/>
      <c r="O1226" s="31"/>
      <c r="P1226" s="31"/>
      <c r="Q1226" s="31"/>
    </row>
    <row r="1227" spans="14:17" x14ac:dyDescent="0.35">
      <c r="N1227" s="31"/>
      <c r="O1227" s="31"/>
      <c r="P1227" s="31"/>
      <c r="Q1227" s="31"/>
    </row>
  </sheetData>
  <mergeCells count="75">
    <mergeCell ref="A1116:L1116"/>
    <mergeCell ref="A1117:L1117"/>
    <mergeCell ref="A1118:L1118"/>
    <mergeCell ref="A1039:L1039"/>
    <mergeCell ref="A1040:L1040"/>
    <mergeCell ref="A1041:L1041"/>
    <mergeCell ref="A1114:L1114"/>
    <mergeCell ref="A1115:L1115"/>
    <mergeCell ref="A958:L958"/>
    <mergeCell ref="A959:L959"/>
    <mergeCell ref="A960:L960"/>
    <mergeCell ref="A1037:L1037"/>
    <mergeCell ref="A1038:L1038"/>
    <mergeCell ref="A699:L699"/>
    <mergeCell ref="A700:L700"/>
    <mergeCell ref="A956:L956"/>
    <mergeCell ref="A957:L957"/>
    <mergeCell ref="A770:L770"/>
    <mergeCell ref="A771:L771"/>
    <mergeCell ref="A772:L772"/>
    <mergeCell ref="A768:L768"/>
    <mergeCell ref="A769:L769"/>
    <mergeCell ref="A864:L864"/>
    <mergeCell ref="A865:L865"/>
    <mergeCell ref="A866:L866"/>
    <mergeCell ref="A867:L867"/>
    <mergeCell ref="A611:L611"/>
    <mergeCell ref="A612:L612"/>
    <mergeCell ref="A696:L696"/>
    <mergeCell ref="A697:L697"/>
    <mergeCell ref="A698:L698"/>
    <mergeCell ref="A520:L520"/>
    <mergeCell ref="A521:L521"/>
    <mergeCell ref="A608:L608"/>
    <mergeCell ref="A609:L609"/>
    <mergeCell ref="A610:L610"/>
    <mergeCell ref="A435:L435"/>
    <mergeCell ref="A436:L436"/>
    <mergeCell ref="A517:L517"/>
    <mergeCell ref="A518:L518"/>
    <mergeCell ref="A519:L519"/>
    <mergeCell ref="A1:L1"/>
    <mergeCell ref="A2:L2"/>
    <mergeCell ref="A3:L3"/>
    <mergeCell ref="A4:L4"/>
    <mergeCell ref="A5:L5"/>
    <mergeCell ref="A197:L197"/>
    <mergeCell ref="A198:L198"/>
    <mergeCell ref="A136:L136"/>
    <mergeCell ref="A137:L137"/>
    <mergeCell ref="A199:L199"/>
    <mergeCell ref="A200:L200"/>
    <mergeCell ref="A201:L201"/>
    <mergeCell ref="A282:L282"/>
    <mergeCell ref="A283:L283"/>
    <mergeCell ref="A863:L863"/>
    <mergeCell ref="A284:L284"/>
    <mergeCell ref="A285:L285"/>
    <mergeCell ref="A286:L286"/>
    <mergeCell ref="A354:L354"/>
    <mergeCell ref="A355:L355"/>
    <mergeCell ref="A356:L356"/>
    <mergeCell ref="A357:L357"/>
    <mergeCell ref="A358:L358"/>
    <mergeCell ref="A432:L432"/>
    <mergeCell ref="A433:L433"/>
    <mergeCell ref="A434:L434"/>
    <mergeCell ref="A52:L52"/>
    <mergeCell ref="A133:L133"/>
    <mergeCell ref="A134:L134"/>
    <mergeCell ref="A135:L135"/>
    <mergeCell ref="A48:L48"/>
    <mergeCell ref="A49:L49"/>
    <mergeCell ref="A50:L50"/>
    <mergeCell ref="A51:L51"/>
  </mergeCells>
  <phoneticPr fontId="0" type="noConversion"/>
  <printOptions horizontalCentered="1"/>
  <pageMargins left="0.25" right="0.25" top="0.75" bottom="0.25" header="0.5" footer="0.5"/>
  <pageSetup scale="46" orientation="portrait" r:id="rId1"/>
  <headerFooter alignWithMargins="0"/>
  <rowBreaks count="14" manualBreakCount="14">
    <brk id="47" max="11" man="1"/>
    <brk id="132" max="16383" man="1"/>
    <brk id="196" max="16383" man="1"/>
    <brk id="281" max="16383" man="1"/>
    <brk id="353" max="16383" man="1"/>
    <brk id="431" max="16383" man="1"/>
    <brk id="516" max="16383" man="1"/>
    <brk id="607" max="16383" man="1"/>
    <brk id="695" max="16383" man="1"/>
    <brk id="767" max="16383" man="1"/>
    <brk id="862" max="11" man="1"/>
    <brk id="955" max="16383" man="1"/>
    <brk id="1036" max="16383" man="1"/>
    <brk id="1113" max="16383" man="1"/>
  </rowBreaks>
  <colBreaks count="1" manualBreakCount="1">
    <brk id="12" max="170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0.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7FB64C-536D-4C94-8697-9C83FFDE21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0B6B01-5517-41EC-869F-D9C8F566F9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1189B4-29EB-4335-B66B-24E873C48F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Input</vt:lpstr>
      <vt:lpstr>A</vt:lpstr>
      <vt:lpstr>B</vt:lpstr>
      <vt:lpstr>C</vt:lpstr>
      <vt:lpstr>D pg 1</vt:lpstr>
      <vt:lpstr>D pg 2 </vt:lpstr>
      <vt:lpstr>Sch M</vt:lpstr>
      <vt:lpstr>Sch M 2.2B</vt:lpstr>
      <vt:lpstr>case</vt:lpstr>
      <vt:lpstr>Commodity</vt:lpstr>
      <vt:lpstr>CONAME</vt:lpstr>
      <vt:lpstr>EGC</vt:lpstr>
      <vt:lpstr>EGCDATE</vt:lpstr>
      <vt:lpstr>firmcom</vt:lpstr>
      <vt:lpstr>firmdem</vt:lpstr>
      <vt:lpstr>HEAD</vt:lpstr>
      <vt:lpstr>A!Print_Area</vt:lpstr>
      <vt:lpstr>B!Print_Area</vt:lpstr>
      <vt:lpstr>'C'!Print_Area</vt:lpstr>
      <vt:lpstr>'D pg 1'!Print_Area</vt:lpstr>
      <vt:lpstr>'D pg 2 '!Print_Area</vt:lpstr>
      <vt:lpstr>Input!Print_Area</vt:lpstr>
      <vt:lpstr>'Sch M'!Print_Area</vt:lpstr>
      <vt:lpstr>'Sch M 2.2B'!Print_Area</vt:lpstr>
      <vt:lpstr>TYDESC</vt:lpstr>
      <vt:lpstr>Witness</vt:lpstr>
    </vt:vector>
  </TitlesOfParts>
  <Company>Columbia 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Heather Temple</cp:lastModifiedBy>
  <cp:lastPrinted>2021-05-19T17:22:31Z</cp:lastPrinted>
  <dcterms:created xsi:type="dcterms:W3CDTF">1997-11-13T15:08:18Z</dcterms:created>
  <dcterms:modified xsi:type="dcterms:W3CDTF">2024-05-30T21:15:27Z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ContentTypeId">
    <vt:lpwstr>0x01010023D3BF6419712D41B897E776747B2DEC</vt:lpwstr>
  </property>
</Properties>
</file>