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U:\PSC\Rate Case\Rate Case 2024\First Data Request - AG\"/>
    </mc:Choice>
  </mc:AlternateContent>
  <xr:revisionPtr revIDLastSave="0" documentId="13_ncr:1_{1CA61675-F269-4677-BA89-0B3EBB0DE366}" xr6:coauthVersionLast="47" xr6:coauthVersionMax="47" xr10:uidLastSave="{00000000-0000-0000-0000-000000000000}"/>
  <bookViews>
    <workbookView xWindow="-120" yWindow="-120" windowWidth="29040" windowHeight="15840" xr2:uid="{83B02F93-C27C-4815-BAE9-E2BC92E0ED43}"/>
  </bookViews>
  <sheets>
    <sheet name="2019" sheetId="7" r:id="rId1"/>
    <sheet name="2020" sheetId="6" r:id="rId2"/>
    <sheet name="2021" sheetId="1" r:id="rId3"/>
    <sheet name="2022" sheetId="2" r:id="rId4"/>
    <sheet name="2023" sheetId="3" r:id="rId5"/>
  </sheets>
  <definedNames>
    <definedName name="_xlnm._FilterDatabase" localSheetId="0" hidden="1">'2019'!$A$1:$K$83</definedName>
    <definedName name="_xlnm._FilterDatabase" localSheetId="1" hidden="1">'2020'!$A$1:$K$75</definedName>
    <definedName name="_xlnm._FilterDatabase" localSheetId="2" hidden="1">'2021'!$A$1:$K$74</definedName>
    <definedName name="_xlnm._FilterDatabase" localSheetId="3" hidden="1">'2022'!$A$1:$K$76</definedName>
    <definedName name="_xlnm._FilterDatabase" localSheetId="4" hidden="1">'2023'!$A$1:$K$72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7" l="1"/>
  <c r="E84" i="7"/>
  <c r="F84" i="7"/>
  <c r="G84" i="7"/>
  <c r="H84" i="7"/>
  <c r="I84" i="7"/>
  <c r="J84" i="7"/>
  <c r="D76" i="6"/>
  <c r="E76" i="6"/>
  <c r="F76" i="6"/>
  <c r="G76" i="6"/>
  <c r="H76" i="6"/>
  <c r="I76" i="6"/>
  <c r="D75" i="1"/>
  <c r="E75" i="1"/>
  <c r="F75" i="1"/>
  <c r="H75" i="1"/>
  <c r="I75" i="1"/>
  <c r="J75" i="1"/>
  <c r="D77" i="2"/>
  <c r="E77" i="2"/>
  <c r="F77" i="2"/>
  <c r="G77" i="2"/>
  <c r="H77" i="2"/>
  <c r="I77" i="2"/>
  <c r="J77" i="2"/>
  <c r="D74" i="3"/>
  <c r="E74" i="3"/>
  <c r="F74" i="3"/>
  <c r="G74" i="3"/>
  <c r="H74" i="3"/>
  <c r="I74" i="3"/>
  <c r="J74" i="3"/>
  <c r="B55" i="7"/>
  <c r="K55" i="7" s="1"/>
  <c r="G47" i="7"/>
  <c r="B47" i="7"/>
  <c r="K47" i="7" s="1"/>
  <c r="B46" i="7"/>
  <c r="G4" i="7"/>
  <c r="B4" i="7"/>
  <c r="B3" i="7"/>
  <c r="K3" i="7" s="1"/>
  <c r="C83" i="7"/>
  <c r="B83" i="7"/>
  <c r="B82" i="7"/>
  <c r="K82" i="7" s="1"/>
  <c r="B81" i="7"/>
  <c r="K81" i="7" s="1"/>
  <c r="C80" i="7"/>
  <c r="K80" i="7" s="1"/>
  <c r="B80" i="7"/>
  <c r="C79" i="7"/>
  <c r="B79" i="7"/>
  <c r="K79" i="7" s="1"/>
  <c r="C78" i="7"/>
  <c r="B78" i="7"/>
  <c r="B77" i="7"/>
  <c r="K77" i="7" s="1"/>
  <c r="B76" i="7"/>
  <c r="K76" i="7" s="1"/>
  <c r="C75" i="7"/>
  <c r="B75" i="7"/>
  <c r="C74" i="7"/>
  <c r="B74" i="7"/>
  <c r="B73" i="7"/>
  <c r="K73" i="7" s="1"/>
  <c r="B72" i="7"/>
  <c r="K72" i="7" s="1"/>
  <c r="B71" i="7"/>
  <c r="K71" i="7" s="1"/>
  <c r="B70" i="7"/>
  <c r="K70" i="7" s="1"/>
  <c r="B69" i="7"/>
  <c r="B68" i="7"/>
  <c r="K68" i="7" s="1"/>
  <c r="B67" i="7"/>
  <c r="K67" i="7" s="1"/>
  <c r="B66" i="7"/>
  <c r="K66" i="7" s="1"/>
  <c r="C65" i="7"/>
  <c r="B65" i="7"/>
  <c r="C64" i="7"/>
  <c r="B64" i="7"/>
  <c r="B63" i="7"/>
  <c r="K63" i="7" s="1"/>
  <c r="C62" i="7"/>
  <c r="B62" i="7"/>
  <c r="C61" i="7"/>
  <c r="B61" i="7"/>
  <c r="C60" i="7"/>
  <c r="B60" i="7"/>
  <c r="C59" i="7"/>
  <c r="B59" i="7"/>
  <c r="B58" i="7"/>
  <c r="K58" i="7" s="1"/>
  <c r="C57" i="7"/>
  <c r="B57" i="7"/>
  <c r="C56" i="7"/>
  <c r="B56" i="7"/>
  <c r="C53" i="7"/>
  <c r="B53" i="7"/>
  <c r="C52" i="7"/>
  <c r="B52" i="7"/>
  <c r="C51" i="7"/>
  <c r="B51" i="7"/>
  <c r="C50" i="7"/>
  <c r="B50" i="7"/>
  <c r="B49" i="7"/>
  <c r="C49" i="7"/>
  <c r="C48" i="7"/>
  <c r="B48" i="7"/>
  <c r="B45" i="7"/>
  <c r="K45" i="7" s="1"/>
  <c r="B44" i="7"/>
  <c r="K44" i="7" s="1"/>
  <c r="C43" i="7"/>
  <c r="B43" i="7"/>
  <c r="B42" i="7"/>
  <c r="K42" i="7" s="1"/>
  <c r="C41" i="7"/>
  <c r="B41" i="7"/>
  <c r="C40" i="7"/>
  <c r="B40" i="7"/>
  <c r="B39" i="7"/>
  <c r="K39" i="7" s="1"/>
  <c r="C38" i="7"/>
  <c r="B38" i="7"/>
  <c r="C37" i="7"/>
  <c r="B37" i="7"/>
  <c r="C36" i="7"/>
  <c r="B36" i="7"/>
  <c r="B35" i="7"/>
  <c r="K35" i="7" s="1"/>
  <c r="C34" i="7"/>
  <c r="B34" i="7"/>
  <c r="C33" i="7"/>
  <c r="B33" i="7"/>
  <c r="C32" i="7"/>
  <c r="B32" i="7"/>
  <c r="C31" i="7"/>
  <c r="B31" i="7"/>
  <c r="B30" i="7"/>
  <c r="K30" i="7" s="1"/>
  <c r="C29" i="7"/>
  <c r="B29" i="7"/>
  <c r="C28" i="7"/>
  <c r="B28" i="7"/>
  <c r="B27" i="7"/>
  <c r="C27" i="7"/>
  <c r="B26" i="7"/>
  <c r="C26" i="7"/>
  <c r="C25" i="7"/>
  <c r="B25" i="7"/>
  <c r="C24" i="7"/>
  <c r="B24" i="7"/>
  <c r="C23" i="7"/>
  <c r="B23" i="7"/>
  <c r="B22" i="7"/>
  <c r="K22" i="7" s="1"/>
  <c r="C21" i="7"/>
  <c r="B21" i="7"/>
  <c r="C20" i="7"/>
  <c r="B20" i="7"/>
  <c r="B19" i="7"/>
  <c r="C19" i="7"/>
  <c r="C18" i="7"/>
  <c r="B18" i="7"/>
  <c r="C17" i="7"/>
  <c r="B17" i="7"/>
  <c r="B16" i="7"/>
  <c r="K16" i="7" s="1"/>
  <c r="C15" i="7"/>
  <c r="B15" i="7"/>
  <c r="C14" i="7"/>
  <c r="B14" i="7"/>
  <c r="B13" i="7"/>
  <c r="C13" i="7"/>
  <c r="C12" i="7"/>
  <c r="B12" i="7"/>
  <c r="C11" i="7"/>
  <c r="B11" i="7"/>
  <c r="B10" i="7"/>
  <c r="K10" i="7" s="1"/>
  <c r="B9" i="7"/>
  <c r="K9" i="7" s="1"/>
  <c r="C8" i="7"/>
  <c r="B8" i="7"/>
  <c r="C7" i="7"/>
  <c r="C84" i="7" s="1"/>
  <c r="B7" i="7"/>
  <c r="B6" i="7"/>
  <c r="K6" i="7" s="1"/>
  <c r="B5" i="7"/>
  <c r="K5" i="7" s="1"/>
  <c r="B2" i="7"/>
  <c r="K2" i="7" s="1"/>
  <c r="K54" i="7"/>
  <c r="B75" i="6"/>
  <c r="K75" i="6" s="1"/>
  <c r="B74" i="6"/>
  <c r="K74" i="6" s="1"/>
  <c r="C73" i="6"/>
  <c r="B73" i="6"/>
  <c r="B72" i="6"/>
  <c r="K72" i="6" s="1"/>
  <c r="B71" i="6"/>
  <c r="K71" i="6" s="1"/>
  <c r="B70" i="6"/>
  <c r="K70" i="6" s="1"/>
  <c r="B69" i="6"/>
  <c r="C69" i="6"/>
  <c r="C68" i="6"/>
  <c r="B68" i="6"/>
  <c r="C67" i="6"/>
  <c r="B67" i="6"/>
  <c r="B66" i="6"/>
  <c r="K66" i="6" s="1"/>
  <c r="B65" i="6"/>
  <c r="K65" i="6" s="1"/>
  <c r="B64" i="6"/>
  <c r="K64" i="6" s="1"/>
  <c r="B63" i="6"/>
  <c r="K63" i="6" s="1"/>
  <c r="J62" i="6"/>
  <c r="B62" i="6"/>
  <c r="B61" i="6"/>
  <c r="K61" i="6" s="1"/>
  <c r="B60" i="6"/>
  <c r="K60" i="6" s="1"/>
  <c r="B59" i="6"/>
  <c r="K59" i="6" s="1"/>
  <c r="B58" i="6"/>
  <c r="K58" i="6" s="1"/>
  <c r="B57" i="6"/>
  <c r="K57" i="6" s="1"/>
  <c r="B56" i="6"/>
  <c r="K56" i="6" s="1"/>
  <c r="B55" i="6"/>
  <c r="K55" i="6" s="1"/>
  <c r="C54" i="6"/>
  <c r="B54" i="6"/>
  <c r="C53" i="6"/>
  <c r="B53" i="6"/>
  <c r="J52" i="6"/>
  <c r="B52" i="6"/>
  <c r="C51" i="6"/>
  <c r="B51" i="6"/>
  <c r="B50" i="6"/>
  <c r="K50" i="6" s="1"/>
  <c r="B49" i="6"/>
  <c r="K49" i="6" s="1"/>
  <c r="B47" i="6"/>
  <c r="K47" i="6" s="1"/>
  <c r="B46" i="6"/>
  <c r="K46" i="6" s="1"/>
  <c r="C45" i="6"/>
  <c r="B45" i="6"/>
  <c r="C44" i="6"/>
  <c r="B44" i="6"/>
  <c r="C43" i="6"/>
  <c r="B43" i="6"/>
  <c r="B42" i="6"/>
  <c r="K42" i="6" s="1"/>
  <c r="J41" i="6"/>
  <c r="J76" i="6" s="1"/>
  <c r="B41" i="6"/>
  <c r="B40" i="6"/>
  <c r="K40" i="6" s="1"/>
  <c r="B39" i="6"/>
  <c r="K39" i="6" s="1"/>
  <c r="C38" i="6"/>
  <c r="B38" i="6"/>
  <c r="C37" i="6"/>
  <c r="B37" i="6"/>
  <c r="C36" i="6"/>
  <c r="B36" i="6"/>
  <c r="C35" i="6"/>
  <c r="B35" i="6"/>
  <c r="B34" i="6"/>
  <c r="C33" i="6"/>
  <c r="B33" i="6"/>
  <c r="C32" i="6"/>
  <c r="B32" i="6"/>
  <c r="C31" i="6"/>
  <c r="B31" i="6"/>
  <c r="B30" i="6"/>
  <c r="K30" i="6" s="1"/>
  <c r="C29" i="6"/>
  <c r="B29" i="6"/>
  <c r="C28" i="6"/>
  <c r="B28" i="6"/>
  <c r="C27" i="6"/>
  <c r="B27" i="6"/>
  <c r="B26" i="6"/>
  <c r="K26" i="6" s="1"/>
  <c r="C25" i="6"/>
  <c r="B25" i="6"/>
  <c r="C24" i="6"/>
  <c r="B24" i="6"/>
  <c r="C23" i="6"/>
  <c r="B23" i="6"/>
  <c r="B22" i="6"/>
  <c r="K22" i="6" s="1"/>
  <c r="B21" i="6"/>
  <c r="K21" i="6" s="1"/>
  <c r="C20" i="6"/>
  <c r="B20" i="6"/>
  <c r="C19" i="6"/>
  <c r="B19" i="6"/>
  <c r="B18" i="6"/>
  <c r="K18" i="6" s="1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K8" i="6" s="1"/>
  <c r="B7" i="6"/>
  <c r="C6" i="6"/>
  <c r="C76" i="6" s="1"/>
  <c r="B6" i="6"/>
  <c r="C5" i="6"/>
  <c r="B5" i="6"/>
  <c r="B4" i="6"/>
  <c r="K4" i="6" s="1"/>
  <c r="B3" i="6"/>
  <c r="B2" i="6"/>
  <c r="B76" i="6" s="1"/>
  <c r="K48" i="6"/>
  <c r="K34" i="6"/>
  <c r="A3" i="6"/>
  <c r="B84" i="7" l="1"/>
  <c r="K33" i="6"/>
  <c r="K56" i="7"/>
  <c r="K78" i="7"/>
  <c r="K60" i="7"/>
  <c r="K83" i="7"/>
  <c r="K74" i="7"/>
  <c r="K75" i="7"/>
  <c r="K73" i="6"/>
  <c r="K17" i="6"/>
  <c r="K27" i="6"/>
  <c r="K41" i="6"/>
  <c r="K14" i="6"/>
  <c r="K28" i="6"/>
  <c r="K37" i="6"/>
  <c r="K11" i="6"/>
  <c r="K44" i="6"/>
  <c r="K53" i="6"/>
  <c r="K34" i="7"/>
  <c r="K36" i="7"/>
  <c r="K43" i="7"/>
  <c r="K59" i="7"/>
  <c r="K11" i="7"/>
  <c r="K40" i="7"/>
  <c r="K4" i="7"/>
  <c r="K84" i="7" s="1"/>
  <c r="K9" i="6"/>
  <c r="K12" i="6"/>
  <c r="K15" i="6"/>
  <c r="K13" i="6"/>
  <c r="K16" i="6"/>
  <c r="K19" i="6"/>
  <c r="K32" i="6"/>
  <c r="K38" i="6"/>
  <c r="K69" i="6"/>
  <c r="K65" i="7"/>
  <c r="K27" i="7"/>
  <c r="K61" i="7"/>
  <c r="K21" i="7"/>
  <c r="K52" i="7"/>
  <c r="K62" i="7"/>
  <c r="K64" i="7"/>
  <c r="K53" i="7"/>
  <c r="K57" i="7"/>
  <c r="K38" i="7"/>
  <c r="K50" i="7"/>
  <c r="K37" i="7"/>
  <c r="K23" i="7"/>
  <c r="K28" i="7"/>
  <c r="K33" i="7"/>
  <c r="K51" i="7"/>
  <c r="K49" i="7"/>
  <c r="K26" i="7"/>
  <c r="K41" i="7"/>
  <c r="K48" i="7"/>
  <c r="K7" i="7"/>
  <c r="K13" i="7"/>
  <c r="K32" i="7"/>
  <c r="K12" i="7"/>
  <c r="K15" i="7"/>
  <c r="K25" i="7"/>
  <c r="K19" i="7"/>
  <c r="K29" i="7"/>
  <c r="K14" i="7"/>
  <c r="K17" i="7"/>
  <c r="K20" i="7"/>
  <c r="K24" i="7"/>
  <c r="K46" i="7"/>
  <c r="K69" i="7"/>
  <c r="K8" i="7"/>
  <c r="K18" i="7"/>
  <c r="K31" i="7"/>
  <c r="K31" i="6"/>
  <c r="K35" i="6"/>
  <c r="K45" i="6"/>
  <c r="K54" i="6"/>
  <c r="K20" i="6"/>
  <c r="K25" i="6"/>
  <c r="K43" i="6"/>
  <c r="K6" i="6"/>
  <c r="K24" i="6"/>
  <c r="K51" i="6"/>
  <c r="K29" i="6"/>
  <c r="K36" i="6"/>
  <c r="K67" i="6"/>
  <c r="K23" i="6"/>
  <c r="K68" i="6"/>
  <c r="K52" i="6"/>
  <c r="K62" i="6"/>
  <c r="K10" i="6"/>
  <c r="K5" i="6"/>
  <c r="K3" i="6"/>
  <c r="K7" i="6"/>
  <c r="K2" i="6"/>
  <c r="B73" i="3"/>
  <c r="K73" i="3" s="1"/>
  <c r="C72" i="3"/>
  <c r="B72" i="3"/>
  <c r="C71" i="3"/>
  <c r="B71" i="3"/>
  <c r="B70" i="3"/>
  <c r="C70" i="3"/>
  <c r="C69" i="3"/>
  <c r="B69" i="3"/>
  <c r="B68" i="3"/>
  <c r="K68" i="3" s="1"/>
  <c r="B67" i="3"/>
  <c r="K67" i="3" s="1"/>
  <c r="B66" i="3"/>
  <c r="K66" i="3" s="1"/>
  <c r="C65" i="3"/>
  <c r="B65" i="3"/>
  <c r="C64" i="3"/>
  <c r="B64" i="3"/>
  <c r="B63" i="3"/>
  <c r="K63" i="3" s="1"/>
  <c r="C62" i="3"/>
  <c r="B62" i="3"/>
  <c r="K62" i="3" s="1"/>
  <c r="C61" i="3"/>
  <c r="B61" i="3"/>
  <c r="B60" i="3"/>
  <c r="C60" i="3"/>
  <c r="C59" i="3"/>
  <c r="B59" i="3"/>
  <c r="C58" i="3"/>
  <c r="B58" i="3"/>
  <c r="B57" i="3"/>
  <c r="K57" i="3" s="1"/>
  <c r="C56" i="3"/>
  <c r="B56" i="3"/>
  <c r="C55" i="3"/>
  <c r="B55" i="3"/>
  <c r="K55" i="3" s="1"/>
  <c r="C54" i="3"/>
  <c r="B54" i="3"/>
  <c r="B53" i="3"/>
  <c r="K53" i="3" s="1"/>
  <c r="B52" i="3"/>
  <c r="K52" i="3" s="1"/>
  <c r="B51" i="3"/>
  <c r="K51" i="3" s="1"/>
  <c r="B50" i="3"/>
  <c r="K50" i="3" s="1"/>
  <c r="B49" i="3"/>
  <c r="K49" i="3" s="1"/>
  <c r="B48" i="3"/>
  <c r="K48" i="3" s="1"/>
  <c r="B47" i="3"/>
  <c r="K47" i="3" s="1"/>
  <c r="C46" i="3"/>
  <c r="B46" i="3"/>
  <c r="C45" i="3"/>
  <c r="B45" i="3"/>
  <c r="B44" i="3"/>
  <c r="B43" i="3"/>
  <c r="K43" i="3" s="1"/>
  <c r="B41" i="3"/>
  <c r="C41" i="3"/>
  <c r="C40" i="3"/>
  <c r="B40" i="3"/>
  <c r="B39" i="3"/>
  <c r="C39" i="3"/>
  <c r="C38" i="3"/>
  <c r="B38" i="3"/>
  <c r="C37" i="3"/>
  <c r="B37" i="3"/>
  <c r="B36" i="3"/>
  <c r="K36" i="3" s="1"/>
  <c r="B35" i="3"/>
  <c r="K35" i="3" s="1"/>
  <c r="B34" i="3"/>
  <c r="K34" i="3" s="1"/>
  <c r="C33" i="3"/>
  <c r="B33" i="3"/>
  <c r="B32" i="3"/>
  <c r="K32" i="3" s="1"/>
  <c r="C31" i="3"/>
  <c r="B31" i="3"/>
  <c r="C30" i="3"/>
  <c r="B30" i="3"/>
  <c r="C29" i="3"/>
  <c r="B29" i="3"/>
  <c r="C28" i="3"/>
  <c r="B28" i="3"/>
  <c r="K28" i="3" s="1"/>
  <c r="C27" i="3"/>
  <c r="B27" i="3"/>
  <c r="C26" i="3"/>
  <c r="B26" i="3"/>
  <c r="C25" i="3"/>
  <c r="B25" i="3"/>
  <c r="B24" i="3"/>
  <c r="C24" i="3"/>
  <c r="C23" i="3"/>
  <c r="B23" i="3"/>
  <c r="B22" i="3"/>
  <c r="K22" i="3" s="1"/>
  <c r="B21" i="3"/>
  <c r="K21" i="3" s="1"/>
  <c r="C20" i="3"/>
  <c r="B20" i="3"/>
  <c r="C19" i="3"/>
  <c r="B19" i="3"/>
  <c r="C18" i="3"/>
  <c r="B18" i="3"/>
  <c r="B17" i="3"/>
  <c r="K17" i="3" s="1"/>
  <c r="C16" i="3"/>
  <c r="B16" i="3"/>
  <c r="C15" i="3"/>
  <c r="B15" i="3"/>
  <c r="C14" i="3"/>
  <c r="B14" i="3"/>
  <c r="B13" i="3"/>
  <c r="K13" i="3" s="1"/>
  <c r="C12" i="3"/>
  <c r="B12" i="3"/>
  <c r="C11" i="3"/>
  <c r="B11" i="3"/>
  <c r="C10" i="3"/>
  <c r="B10" i="3"/>
  <c r="C9" i="3"/>
  <c r="B9" i="3"/>
  <c r="C8" i="3"/>
  <c r="B8" i="3"/>
  <c r="C7" i="3"/>
  <c r="B7" i="3"/>
  <c r="B6" i="3"/>
  <c r="K6" i="3" s="1"/>
  <c r="C5" i="3"/>
  <c r="B5" i="3"/>
  <c r="C4" i="3"/>
  <c r="B4" i="3"/>
  <c r="C3" i="3"/>
  <c r="C74" i="3" s="1"/>
  <c r="B3" i="3"/>
  <c r="B2" i="3"/>
  <c r="K42" i="3"/>
  <c r="A3" i="3"/>
  <c r="A4" i="3" s="1"/>
  <c r="A5" i="3" s="1"/>
  <c r="A6" i="3" s="1"/>
  <c r="A7" i="3" s="1"/>
  <c r="A8" i="3" s="1"/>
  <c r="C76" i="2"/>
  <c r="B76" i="2"/>
  <c r="B75" i="2"/>
  <c r="K75" i="2" s="1"/>
  <c r="C74" i="2"/>
  <c r="B74" i="2"/>
  <c r="C73" i="2"/>
  <c r="B73" i="2"/>
  <c r="B72" i="2"/>
  <c r="K72" i="2" s="1"/>
  <c r="B71" i="2"/>
  <c r="K71" i="2" s="1"/>
  <c r="B70" i="2"/>
  <c r="K70" i="2" s="1"/>
  <c r="C69" i="2"/>
  <c r="B69" i="2"/>
  <c r="C68" i="2"/>
  <c r="B68" i="2"/>
  <c r="B67" i="2"/>
  <c r="K67" i="2" s="1"/>
  <c r="B66" i="2"/>
  <c r="K66" i="2" s="1"/>
  <c r="B65" i="2"/>
  <c r="K65" i="2" s="1"/>
  <c r="K64" i="2"/>
  <c r="C63" i="2"/>
  <c r="B63" i="2"/>
  <c r="C62" i="2"/>
  <c r="B62" i="2"/>
  <c r="C61" i="2"/>
  <c r="B61" i="2"/>
  <c r="B60" i="2"/>
  <c r="K60" i="2" s="1"/>
  <c r="B59" i="2"/>
  <c r="K59" i="2" s="1"/>
  <c r="B58" i="2"/>
  <c r="K58" i="2" s="1"/>
  <c r="B57" i="2"/>
  <c r="K57" i="2" s="1"/>
  <c r="B56" i="2"/>
  <c r="K56" i="2" s="1"/>
  <c r="B55" i="2"/>
  <c r="K55" i="2" s="1"/>
  <c r="B54" i="2"/>
  <c r="K54" i="2" s="1"/>
  <c r="B53" i="2"/>
  <c r="K53" i="2" s="1"/>
  <c r="B52" i="2"/>
  <c r="K52" i="2" s="1"/>
  <c r="B51" i="2"/>
  <c r="K51" i="2" s="1"/>
  <c r="B50" i="2"/>
  <c r="K50" i="2" s="1"/>
  <c r="B49" i="2"/>
  <c r="K49" i="2" s="1"/>
  <c r="C48" i="2"/>
  <c r="B48" i="2"/>
  <c r="C47" i="2"/>
  <c r="B47" i="2"/>
  <c r="B46" i="2"/>
  <c r="K46" i="2" s="1"/>
  <c r="C45" i="2"/>
  <c r="B45" i="2"/>
  <c r="B44" i="2"/>
  <c r="K44" i="2" s="1"/>
  <c r="B42" i="2"/>
  <c r="K42" i="2" s="1"/>
  <c r="B41" i="2"/>
  <c r="C40" i="2"/>
  <c r="B40" i="2"/>
  <c r="C39" i="2"/>
  <c r="B39" i="2"/>
  <c r="C38" i="2"/>
  <c r="B38" i="2"/>
  <c r="B37" i="2"/>
  <c r="K37" i="2" s="1"/>
  <c r="B36" i="2"/>
  <c r="K36" i="2" s="1"/>
  <c r="B35" i="2"/>
  <c r="K35" i="2" s="1"/>
  <c r="B34" i="2"/>
  <c r="K34" i="2" s="1"/>
  <c r="B33" i="2"/>
  <c r="K33" i="2" s="1"/>
  <c r="C32" i="2"/>
  <c r="B32" i="2"/>
  <c r="B31" i="2"/>
  <c r="K31" i="2" s="1"/>
  <c r="B30" i="2"/>
  <c r="K30" i="2" s="1"/>
  <c r="C29" i="2"/>
  <c r="B29" i="2"/>
  <c r="B28" i="2"/>
  <c r="K28" i="2" s="1"/>
  <c r="C27" i="2"/>
  <c r="B27" i="2"/>
  <c r="B26" i="2"/>
  <c r="K26" i="2" s="1"/>
  <c r="B25" i="2"/>
  <c r="K25" i="2" s="1"/>
  <c r="C24" i="2"/>
  <c r="B24" i="2"/>
  <c r="B23" i="2"/>
  <c r="B22" i="2"/>
  <c r="K22" i="2" s="1"/>
  <c r="B21" i="2"/>
  <c r="K21" i="2" s="1"/>
  <c r="C20" i="2"/>
  <c r="B20" i="2"/>
  <c r="C19" i="2"/>
  <c r="B19" i="2"/>
  <c r="B18" i="2"/>
  <c r="K18" i="2" s="1"/>
  <c r="C17" i="2"/>
  <c r="B17" i="2"/>
  <c r="B16" i="2"/>
  <c r="K16" i="2" s="1"/>
  <c r="C15" i="2"/>
  <c r="B15" i="2"/>
  <c r="B14" i="2"/>
  <c r="K14" i="2" s="1"/>
  <c r="C13" i="2"/>
  <c r="B13" i="2"/>
  <c r="C12" i="2"/>
  <c r="B12" i="2"/>
  <c r="B11" i="2"/>
  <c r="C10" i="2"/>
  <c r="B10" i="2"/>
  <c r="C9" i="2"/>
  <c r="B9" i="2"/>
  <c r="C8" i="2"/>
  <c r="B8" i="2"/>
  <c r="C7" i="2"/>
  <c r="B7" i="2"/>
  <c r="B6" i="2"/>
  <c r="K6" i="2" s="1"/>
  <c r="B5" i="2"/>
  <c r="C4" i="2"/>
  <c r="B4" i="2"/>
  <c r="B3" i="2"/>
  <c r="K3" i="2" s="1"/>
  <c r="B2" i="2"/>
  <c r="K43" i="2"/>
  <c r="K41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G2" i="1"/>
  <c r="G7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B74" i="1"/>
  <c r="K74" i="1" s="1"/>
  <c r="C73" i="1"/>
  <c r="B73" i="1"/>
  <c r="C72" i="1"/>
  <c r="B72" i="1"/>
  <c r="B71" i="1"/>
  <c r="K71" i="1" s="1"/>
  <c r="B70" i="1"/>
  <c r="K70" i="1" s="1"/>
  <c r="B69" i="1"/>
  <c r="K69" i="1" s="1"/>
  <c r="B68" i="1"/>
  <c r="K68" i="1" s="1"/>
  <c r="C67" i="1"/>
  <c r="B67" i="1"/>
  <c r="C66" i="1"/>
  <c r="B66" i="1"/>
  <c r="C65" i="1"/>
  <c r="B65" i="1"/>
  <c r="B64" i="1"/>
  <c r="K64" i="1" s="1"/>
  <c r="B63" i="1"/>
  <c r="K63" i="1" s="1"/>
  <c r="B62" i="1"/>
  <c r="K62" i="1" s="1"/>
  <c r="B61" i="1"/>
  <c r="K61" i="1" s="1"/>
  <c r="B60" i="1"/>
  <c r="K60" i="1" s="1"/>
  <c r="B59" i="1"/>
  <c r="K59" i="1" s="1"/>
  <c r="B58" i="1"/>
  <c r="K58" i="1" s="1"/>
  <c r="B57" i="1"/>
  <c r="K57" i="1" s="1"/>
  <c r="B56" i="1"/>
  <c r="K56" i="1" s="1"/>
  <c r="B55" i="1"/>
  <c r="K55" i="1" s="1"/>
  <c r="B54" i="1"/>
  <c r="K54" i="1" s="1"/>
  <c r="B53" i="1"/>
  <c r="K53" i="1" s="1"/>
  <c r="C52" i="1"/>
  <c r="K52" i="1" s="1"/>
  <c r="B52" i="1"/>
  <c r="C51" i="1"/>
  <c r="B51" i="1"/>
  <c r="B50" i="1"/>
  <c r="K50" i="1" s="1"/>
  <c r="C49" i="1"/>
  <c r="B49" i="1"/>
  <c r="K49" i="1" s="1"/>
  <c r="B48" i="1"/>
  <c r="K48" i="1" s="1"/>
  <c r="B47" i="1"/>
  <c r="K47" i="1" s="1"/>
  <c r="B45" i="1"/>
  <c r="K45" i="1" s="1"/>
  <c r="B44" i="1"/>
  <c r="K44" i="1" s="1"/>
  <c r="C43" i="1"/>
  <c r="B43" i="1"/>
  <c r="C42" i="1"/>
  <c r="B42" i="1"/>
  <c r="C41" i="1"/>
  <c r="B41" i="1"/>
  <c r="B40" i="1"/>
  <c r="K40" i="1" s="1"/>
  <c r="K46" i="1"/>
  <c r="B39" i="1"/>
  <c r="K39" i="1" s="1"/>
  <c r="B38" i="1"/>
  <c r="K38" i="1" s="1"/>
  <c r="B37" i="1"/>
  <c r="K37" i="1" s="1"/>
  <c r="B36" i="1"/>
  <c r="K36" i="1" s="1"/>
  <c r="B35" i="1"/>
  <c r="K35" i="1" s="1"/>
  <c r="C34" i="1"/>
  <c r="B34" i="1"/>
  <c r="K34" i="1" s="1"/>
  <c r="B33" i="1"/>
  <c r="K33" i="1" s="1"/>
  <c r="B32" i="1"/>
  <c r="K32" i="1" s="1"/>
  <c r="B31" i="1"/>
  <c r="C31" i="1"/>
  <c r="B30" i="1"/>
  <c r="K30" i="1" s="1"/>
  <c r="B29" i="1"/>
  <c r="C29" i="1"/>
  <c r="B28" i="1"/>
  <c r="K28" i="1" s="1"/>
  <c r="B27" i="1"/>
  <c r="K27" i="1" s="1"/>
  <c r="C26" i="1"/>
  <c r="B26" i="1"/>
  <c r="B25" i="1"/>
  <c r="K25" i="1" s="1"/>
  <c r="B24" i="1"/>
  <c r="K24" i="1" s="1"/>
  <c r="B23" i="1"/>
  <c r="K23" i="1" s="1"/>
  <c r="C22" i="1"/>
  <c r="B22" i="1"/>
  <c r="C21" i="1"/>
  <c r="B21" i="1"/>
  <c r="B20" i="1"/>
  <c r="K20" i="1" s="1"/>
  <c r="C19" i="1"/>
  <c r="B19" i="1"/>
  <c r="B18" i="1"/>
  <c r="K18" i="1" s="1"/>
  <c r="B17" i="1"/>
  <c r="K17" i="1" s="1"/>
  <c r="C16" i="1"/>
  <c r="B16" i="1"/>
  <c r="B15" i="1"/>
  <c r="K15" i="1" s="1"/>
  <c r="C14" i="1"/>
  <c r="B14" i="1"/>
  <c r="C13" i="1"/>
  <c r="B13" i="1"/>
  <c r="K13" i="1" s="1"/>
  <c r="B12" i="1"/>
  <c r="K12" i="1" s="1"/>
  <c r="C11" i="1"/>
  <c r="B11" i="1"/>
  <c r="C10" i="1"/>
  <c r="B10" i="1"/>
  <c r="C9" i="1"/>
  <c r="B9" i="1"/>
  <c r="B8" i="1"/>
  <c r="K8" i="1" s="1"/>
  <c r="C7" i="1"/>
  <c r="B7" i="1"/>
  <c r="K7" i="1" s="1"/>
  <c r="K76" i="6" l="1"/>
  <c r="B77" i="2"/>
  <c r="C77" i="2"/>
  <c r="K72" i="3"/>
  <c r="K2" i="3"/>
  <c r="B74" i="3"/>
  <c r="K11" i="1"/>
  <c r="K21" i="1"/>
  <c r="K66" i="1"/>
  <c r="K31" i="1"/>
  <c r="K17" i="2"/>
  <c r="K27" i="2"/>
  <c r="K24" i="2"/>
  <c r="K76" i="2"/>
  <c r="K74" i="2"/>
  <c r="K73" i="2"/>
  <c r="K61" i="3"/>
  <c r="K70" i="3"/>
  <c r="K58" i="3"/>
  <c r="K5" i="3"/>
  <c r="K54" i="3"/>
  <c r="K9" i="3"/>
  <c r="K26" i="3"/>
  <c r="K56" i="3"/>
  <c r="K71" i="3"/>
  <c r="K60" i="3"/>
  <c r="K69" i="3"/>
  <c r="K30" i="3"/>
  <c r="K33" i="3"/>
  <c r="K39" i="3"/>
  <c r="K14" i="3"/>
  <c r="K37" i="3"/>
  <c r="K20" i="3"/>
  <c r="K29" i="3"/>
  <c r="K41" i="3"/>
  <c r="K45" i="3"/>
  <c r="K10" i="3"/>
  <c r="K31" i="3"/>
  <c r="K24" i="3"/>
  <c r="K27" i="3"/>
  <c r="K16" i="3"/>
  <c r="K19" i="3"/>
  <c r="K25" i="3"/>
  <c r="K59" i="3"/>
  <c r="K4" i="3"/>
  <c r="K7" i="3"/>
  <c r="K12" i="3"/>
  <c r="K15" i="3"/>
  <c r="K18" i="3"/>
  <c r="K23" i="3"/>
  <c r="K11" i="3"/>
  <c r="K40" i="3"/>
  <c r="K3" i="3"/>
  <c r="K8" i="3"/>
  <c r="K46" i="3"/>
  <c r="K64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K38" i="3"/>
  <c r="K44" i="3"/>
  <c r="K65" i="3"/>
  <c r="K63" i="2"/>
  <c r="K15" i="2"/>
  <c r="K47" i="2"/>
  <c r="K48" i="2"/>
  <c r="K61" i="2"/>
  <c r="K69" i="2"/>
  <c r="K68" i="2"/>
  <c r="K62" i="2"/>
  <c r="K7" i="2"/>
  <c r="K4" i="2"/>
  <c r="K45" i="2"/>
  <c r="K20" i="2"/>
  <c r="K23" i="2"/>
  <c r="K19" i="2"/>
  <c r="K38" i="2"/>
  <c r="K9" i="2"/>
  <c r="A14" i="2"/>
  <c r="A15" i="2" s="1"/>
  <c r="A16" i="2" s="1"/>
  <c r="K29" i="2"/>
  <c r="K39" i="2"/>
  <c r="K8" i="2"/>
  <c r="K13" i="2"/>
  <c r="K10" i="2"/>
  <c r="K12" i="2"/>
  <c r="K32" i="2"/>
  <c r="K40" i="2"/>
  <c r="K11" i="2"/>
  <c r="K5" i="2"/>
  <c r="K2" i="2"/>
  <c r="K51" i="1"/>
  <c r="K67" i="1"/>
  <c r="K72" i="1"/>
  <c r="K41" i="1"/>
  <c r="K73" i="1"/>
  <c r="K65" i="1"/>
  <c r="K19" i="1"/>
  <c r="K14" i="1"/>
  <c r="K26" i="1"/>
  <c r="K16" i="1"/>
  <c r="K22" i="1"/>
  <c r="K42" i="1"/>
  <c r="K29" i="1"/>
  <c r="K9" i="1"/>
  <c r="K10" i="1"/>
  <c r="K43" i="1"/>
  <c r="B6" i="1"/>
  <c r="K6" i="1" s="1"/>
  <c r="B5" i="1"/>
  <c r="K5" i="1" s="1"/>
  <c r="C4" i="1"/>
  <c r="C75" i="1" s="1"/>
  <c r="B4" i="1"/>
  <c r="B3" i="1"/>
  <c r="K3" i="1" s="1"/>
  <c r="K77" i="2" l="1"/>
  <c r="K74" i="3"/>
  <c r="A44" i="3"/>
  <c r="A45" i="3" s="1"/>
  <c r="A46" i="3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K4" i="1"/>
  <c r="B2" i="1"/>
  <c r="B75" i="1" s="1"/>
  <c r="A47" i="3" l="1"/>
  <c r="A48" i="3" s="1"/>
  <c r="A49" i="3" s="1"/>
  <c r="A50" i="3" s="1"/>
  <c r="A51" i="3" s="1"/>
  <c r="A52" i="3" s="1"/>
  <c r="A53" i="3" s="1"/>
  <c r="A54" i="3" s="1"/>
  <c r="A37" i="2"/>
  <c r="A38" i="2" s="1"/>
  <c r="A39" i="2" s="1"/>
  <c r="A40" i="2" s="1"/>
  <c r="A41" i="2" s="1"/>
  <c r="A42" i="2" s="1"/>
  <c r="A43" i="2" s="1"/>
  <c r="K2" i="1"/>
  <c r="K75" i="1" s="1"/>
  <c r="A56" i="3" l="1"/>
  <c r="A57" i="3" s="1"/>
  <c r="A58" i="3" s="1"/>
  <c r="A59" i="3" s="1"/>
  <c r="A60" i="3" s="1"/>
  <c r="A55" i="3"/>
  <c r="A44" i="2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1" i="3" l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64" i="2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Becky Blackwell</author>
  </authors>
  <commentList>
    <comment ref="A2" authorId="0" shapeId="0" xr:uid="{B62DAC11-323A-41A5-8372-541B6204F61F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Retired June 2019
</t>
        </r>
      </text>
    </comment>
    <comment ref="A4" authorId="0" shapeId="0" xr:uid="{9D5AFE4C-29D2-4BDA-846E-978836CF97D4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Retired October 2019
</t>
        </r>
      </text>
    </comment>
    <comment ref="A30" authorId="0" shapeId="0" xr:uid="{D1B0800C-F9CB-4AD5-B618-4789D752228D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Retired April 2019
</t>
        </r>
      </text>
    </comment>
    <comment ref="A34" authorId="0" shapeId="0" xr:uid="{5A65EAB4-D3F3-42D4-BD82-DBFB46369029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Terminated February 2019
</t>
        </r>
      </text>
    </comment>
    <comment ref="A51" authorId="0" shapeId="0" xr:uid="{1819C07B-8A98-4BA5-BF22-6F956B96336C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Resigned July 2019
</t>
        </r>
      </text>
    </comment>
    <comment ref="A59" authorId="0" shapeId="0" xr:uid="{396C1C84-876A-41EE-8ED5-61DEFEFBE45C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Resigned September 2019
</t>
        </r>
      </text>
    </comment>
    <comment ref="A62" authorId="0" shapeId="0" xr:uid="{C1DB62CA-C712-42B3-A261-3ACEA4ECB04E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Resigned July 2019
</t>
        </r>
      </text>
    </comment>
    <comment ref="A67" authorId="0" shapeId="0" xr:uid="{BFC7DB9E-CF17-4447-8A21-1EDFEAA49ACF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Resigned August 2019
</t>
        </r>
      </text>
    </comment>
    <comment ref="A68" authorId="0" shapeId="0" xr:uid="{E9AF9EE2-18F9-4DFE-95BB-4B256D263432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January 2019</t>
        </r>
      </text>
    </comment>
    <comment ref="A69" authorId="0" shapeId="0" xr:uid="{C0AE6DE6-658F-48EE-B59B-9174C5169125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January 2019</t>
        </r>
      </text>
    </comment>
    <comment ref="A70" authorId="0" shapeId="0" xr:uid="{445CB9AA-D7A7-4EEC-AEEE-A7AD28ADE8D0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January 2019</t>
        </r>
      </text>
    </comment>
    <comment ref="A71" authorId="0" shapeId="0" xr:uid="{8C5601C7-2B77-46FD-A81B-072786AC6BBC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February 2019</t>
        </r>
      </text>
    </comment>
    <comment ref="A72" authorId="0" shapeId="0" xr:uid="{AD43240B-26CE-41E7-9118-40C5F4EC2B88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February 2019</t>
        </r>
      </text>
    </comment>
    <comment ref="A73" authorId="0" shapeId="0" xr:uid="{D0E6FC82-C36D-4218-BACD-78797EC1AC1E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April 2019
</t>
        </r>
      </text>
    </comment>
    <comment ref="A74" authorId="0" shapeId="0" xr:uid="{3F590CF2-0457-4CB6-8323-6B617960DFC5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May 2019; Resigned October 2019</t>
        </r>
      </text>
    </comment>
    <comment ref="A75" authorId="0" shapeId="0" xr:uid="{A7C772EB-6294-42E6-B61D-17D1F32471E8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May 2019; Resigned September 2019</t>
        </r>
      </text>
    </comment>
    <comment ref="A76" authorId="0" shapeId="0" xr:uid="{86C1DDA1-8C64-410B-8D85-B4276ED97498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June 2019
</t>
        </r>
      </text>
    </comment>
    <comment ref="A77" authorId="0" shapeId="0" xr:uid="{177EE0CE-553B-4B73-AB88-A13DD63765DF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June 2019</t>
        </r>
      </text>
    </comment>
    <comment ref="A78" authorId="0" shapeId="0" xr:uid="{84E3497C-2A8B-40EA-8C4A-23D4F78E260C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June 2019</t>
        </r>
      </text>
    </comment>
    <comment ref="A79" authorId="0" shapeId="0" xr:uid="{56AB75ED-3ED6-438F-90AF-D5017B8D6B3A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June 2019</t>
        </r>
      </text>
    </comment>
    <comment ref="A80" authorId="0" shapeId="0" xr:uid="{1F284E20-5AC6-4E1C-B644-A21C5E63F624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July 2019
</t>
        </r>
      </text>
    </comment>
    <comment ref="A81" authorId="0" shapeId="0" xr:uid="{0D8FC9F0-7E35-4F16-9722-1FF3DF47924F}">
      <text>
        <r>
          <rPr>
            <b/>
            <sz val="9"/>
            <color indexed="81"/>
            <rFont val="Tahoma"/>
            <family val="2"/>
          </rPr>
          <t>Becky Blackwell:</t>
        </r>
        <r>
          <rPr>
            <sz val="9"/>
            <color indexed="81"/>
            <rFont val="Tahoma"/>
            <family val="2"/>
          </rPr>
          <t xml:space="preserve">
Hired July 2019
</t>
        </r>
      </text>
    </comment>
    <comment ref="A82" authorId="0" shapeId="0" xr:uid="{6D8D0E89-0AB3-46E5-A8AB-EFDEB2468D78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Hired July 2019
</t>
        </r>
      </text>
    </comment>
    <comment ref="A83" authorId="0" shapeId="0" xr:uid="{6B1F39A7-1FA1-4282-BDCC-6F7F00E319E9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Hired August 2019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Becky Blackwell</author>
  </authors>
  <commentList>
    <comment ref="A4" authorId="0" shapeId="0" xr:uid="{E865125D-4741-4AAD-B057-8E6AFD475EE1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Employee retired May 2020
</t>
        </r>
      </text>
    </comment>
    <comment ref="A22" authorId="0" shapeId="0" xr:uid="{F5C88282-5ED4-4908-94C3-E964D96283C4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Retired October 2020
</t>
        </r>
      </text>
    </comment>
    <comment ref="A71" authorId="0" shapeId="0" xr:uid="{09A1C217-17EF-49EF-B94D-B6BFE1899CCC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Terminated in March 2020
</t>
        </r>
      </text>
    </comment>
    <comment ref="A72" authorId="0" shapeId="0" xr:uid="{CF7D75F7-1FC4-4A11-A955-FA1C02414AD3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resigned January 2020
</t>
        </r>
      </text>
    </comment>
    <comment ref="A73" authorId="0" shapeId="0" xr:uid="{4D144AAB-7D55-4E2B-8FC8-3541296F6788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Resigned December 2020
</t>
        </r>
      </text>
    </comment>
    <comment ref="A74" authorId="0" shapeId="0" xr:uid="{7AAAA88E-7B28-46EF-81C1-5741B1CECF5C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Started June 2020
</t>
        </r>
      </text>
    </comment>
    <comment ref="A75" authorId="0" shapeId="0" xr:uid="{0B10CFB9-4DF0-469B-B409-5E6216249686}">
      <text>
        <r>
          <rPr>
            <b/>
            <sz val="9"/>
            <color indexed="81"/>
            <rFont val="Tahoma"/>
            <charset val="1"/>
          </rPr>
          <t>Becky Blackwell:</t>
        </r>
        <r>
          <rPr>
            <sz val="9"/>
            <color indexed="81"/>
            <rFont val="Tahoma"/>
            <charset val="1"/>
          </rPr>
          <t xml:space="preserve">
Started September 2020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A8" authorId="0" shapeId="0" xr:uid="{F561A56C-1798-4094-AD80-61D226B7F3F2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Retired May 2021</t>
        </r>
      </text>
    </comment>
    <comment ref="A18" authorId="0" shapeId="0" xr:uid="{26A8F8BC-8400-4380-A2BE-FF18DE6B769F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Resigned August 2021</t>
        </r>
      </text>
    </comment>
    <comment ref="A39" authorId="0" shapeId="0" xr:uid="{B33F22C1-BD45-40DD-8BED-AE171D5B7AE6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Resigned January 2021</t>
        </r>
      </text>
    </comment>
    <comment ref="A47" authorId="0" shapeId="0" xr:uid="{883B296F-D76E-47AE-933E-9E9FB30D87D5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Resigned May 2021</t>
        </r>
      </text>
    </comment>
    <comment ref="A71" authorId="0" shapeId="0" xr:uid="{29C75A23-3C16-41E4-B008-5648454846A4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Hired March 2021</t>
        </r>
      </text>
    </comment>
    <comment ref="A72" authorId="0" shapeId="0" xr:uid="{458286AA-BD75-427D-9DCB-A0706CC3E6D6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Hired March 2021</t>
        </r>
      </text>
    </comment>
    <comment ref="A73" authorId="0" shapeId="0" xr:uid="{B3A0CB3A-FDAA-434D-B8AE-BF7CDD2A263F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Hired March 2021</t>
        </r>
      </text>
    </comment>
    <comment ref="A74" authorId="0" shapeId="0" xr:uid="{7EB51C34-7450-49F9-A82F-71CB142D3E65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Hired December 2021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A9" authorId="0" shapeId="0" xr:uid="{7385B2BA-6E3F-48D3-8D0D-8B9E3EC25A74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Retired August 2022</t>
        </r>
      </text>
    </comment>
    <comment ref="A45" authorId="0" shapeId="0" xr:uid="{B321A761-CE86-49CF-945F-C52BBD17ADCD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resigned May 2022</t>
        </r>
      </text>
    </comment>
    <comment ref="A49" authorId="0" shapeId="0" xr:uid="{9E9A7FAD-E00F-4ADD-8F7C-EA5699954060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resigned in June 2022</t>
        </r>
      </text>
    </comment>
    <comment ref="A50" authorId="0" shapeId="0" xr:uid="{E0F113D1-547F-4B6B-9271-079F8BC55E1E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resigned November 2022</t>
        </r>
      </text>
    </comment>
    <comment ref="A64" authorId="0" shapeId="0" xr:uid="{04F4032A-71BF-459D-B181-565899C0A366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Only worked 72 hours in 2022</t>
        </r>
      </text>
    </comment>
    <comment ref="A71" authorId="0" shapeId="0" xr:uid="{C0CDAA51-145B-4541-B362-939473ACC6D0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February 2022</t>
        </r>
      </text>
    </comment>
    <comment ref="A72" authorId="0" shapeId="0" xr:uid="{0990AC56-7107-4D58-B39B-0F60FB4BD54E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May 2022</t>
        </r>
      </text>
    </comment>
    <comment ref="A73" authorId="0" shapeId="0" xr:uid="{359F2CE3-6B54-435E-8964-830132A6B0D7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July 2022</t>
        </r>
      </text>
    </comment>
    <comment ref="A74" authorId="0" shapeId="0" xr:uid="{A8B77E11-26E8-428F-9063-D8BE6940A733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August 2022</t>
        </r>
      </text>
    </comment>
    <comment ref="A75" authorId="0" shapeId="0" xr:uid="{64CFF605-51B0-473D-89A9-F570C5510CED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August 2022</t>
        </r>
      </text>
    </comment>
    <comment ref="A76" authorId="0" shapeId="0" xr:uid="{BF811028-6960-476C-AB25-A8F167A09217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August 2022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A6" authorId="0" shapeId="0" xr:uid="{CEC5F29A-1394-42AE-BED6-1EBE9E0CB174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retired April 2023</t>
        </r>
      </text>
    </comment>
    <comment ref="A32" authorId="0" shapeId="0" xr:uid="{0B62A772-B04E-41D4-AFFA-82DAB548A61E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resigned October 2023</t>
        </r>
      </text>
    </comment>
    <comment ref="A41" authorId="0" shapeId="0" xr:uid="{B26CA8F6-F1BA-418B-83B4-B21FF39651F1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resigned October 2023</t>
        </r>
      </text>
    </comment>
    <comment ref="A55" authorId="0" shapeId="0" xr:uid="{74E39832-49A0-4EFB-9B1C-85075426196D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October 2023</t>
        </r>
      </text>
    </comment>
    <comment ref="A62" authorId="0" shapeId="0" xr:uid="{0BDADCB1-A3CC-4BE4-B441-7001AE54A3F7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resigned April 2023</t>
        </r>
      </text>
    </comment>
    <comment ref="A73" authorId="0" shapeId="0" xr:uid="{7CA45A21-A83E-44D2-BC94-FC5F2B558037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Employee hired September 2023</t>
        </r>
      </text>
    </comment>
  </commentList>
</comments>
</file>

<file path=xl/sharedStrings.xml><?xml version="1.0" encoding="utf-8"?>
<sst xmlns="http://schemas.openxmlformats.org/spreadsheetml/2006/main" count="60" uniqueCount="12">
  <si>
    <t>Empl</t>
  </si>
  <si>
    <t>Reg Salary</t>
  </si>
  <si>
    <t>OT Amount</t>
  </si>
  <si>
    <t>Vac Payout</t>
  </si>
  <si>
    <t>Bonus</t>
  </si>
  <si>
    <t>Sick Payout</t>
  </si>
  <si>
    <t>Other</t>
  </si>
  <si>
    <t>Cell Phone Reimbursement</t>
  </si>
  <si>
    <t>Deferred Comp Payout</t>
  </si>
  <si>
    <t>Auto Allowance</t>
  </si>
  <si>
    <t>Total Comp</t>
  </si>
  <si>
    <t>Average Number of Employees: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</si>
</sst>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3" fontId="2" fillId="0" borderId="2" xfId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43" fontId="2" fillId="0" borderId="1" xfId="1" applyFont="1" applyFill="1" applyBorder="1" applyAlignment="1">
      <alignment horizontal="center" vertical="top" wrapText="1"/>
    </xf>
    <xf numFmtId="43" fontId="0" fillId="0" borderId="3" xfId="1" applyFont="1" applyBorder="1"/>
    <xf numFmtId="43" fontId="2" fillId="0" borderId="2" xfId="1" applyFont="1" applyFill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43" fontId="0" fillId="0" borderId="3" xfId="1" applyFont="1" applyFill="1" applyBorder="1"/>
    <xf numFmtId="164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C8AF-ED31-4103-ABE3-811370988204}">
  <dimension ref="A1:L88"/>
  <sheetViews>
    <sheetView tabSelected="1" zoomScaleNormal="100" workbookViewId="0">
      <pane xSplit="1" ySplit="1" topLeftCell="B65" activePane="bottomRight" state="frozen"/>
      <selection pane="bottomRight" activeCell="C94" sqref="C94"/>
      <selection pane="bottomLeft" activeCell="A2" sqref="A2"/>
      <selection pane="topRight" activeCell="D1" sqref="D1"/>
    </sheetView>
  </sheetViews>
  <sheetFormatPr defaultRowHeight="15"/>
  <cols>
    <col min="1" max="1" width="28.5703125" bestFit="1" customWidth="1"/>
    <col min="2" max="2" width="14.28515625" style="8" customWidth="1"/>
    <col min="3" max="3" width="14.5703125" style="8" customWidth="1"/>
    <col min="4" max="4" width="14.7109375" style="8" customWidth="1"/>
    <col min="5" max="5" width="11.28515625" style="8" customWidth="1"/>
    <col min="6" max="6" width="15.140625" style="8" customWidth="1"/>
    <col min="7" max="7" width="11.28515625" style="8" bestFit="1" customWidth="1"/>
    <col min="8" max="10" width="16.140625" style="8" customWidth="1"/>
    <col min="11" max="11" width="14.7109375" style="8" customWidth="1"/>
  </cols>
  <sheetData>
    <row r="1" spans="1:12" s="2" customFormat="1" ht="48.75" customHeight="1">
      <c r="A1" s="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H1" s="9" t="s">
        <v>7</v>
      </c>
      <c r="I1" s="9" t="s">
        <v>8</v>
      </c>
      <c r="J1" s="9" t="s">
        <v>9</v>
      </c>
      <c r="K1" s="12" t="s">
        <v>10</v>
      </c>
    </row>
    <row r="2" spans="1:12" s="2" customFormat="1">
      <c r="A2">
        <v>1</v>
      </c>
      <c r="B2" s="8">
        <f>27720.7+1114.4+3900.96+5794.88</f>
        <v>38530.94</v>
      </c>
      <c r="C2" s="8">
        <v>1044.75</v>
      </c>
      <c r="D2" s="8">
        <v>0</v>
      </c>
      <c r="E2" s="8">
        <v>940.46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f>+SUM(B2:H2)</f>
        <v>40516.15</v>
      </c>
    </row>
    <row r="3" spans="1:12">
      <c r="A3">
        <v>2</v>
      </c>
      <c r="B3" s="8">
        <f>90057.62+4039.46+419.2+2065.04+30.8+10162.54+419.2</f>
        <v>107193.86</v>
      </c>
      <c r="C3" s="8">
        <v>0</v>
      </c>
      <c r="D3" s="8">
        <v>0</v>
      </c>
      <c r="E3" s="8">
        <v>163.89</v>
      </c>
      <c r="F3" s="8">
        <v>4192</v>
      </c>
      <c r="G3" s="8">
        <v>4225</v>
      </c>
      <c r="H3" s="8">
        <v>0</v>
      </c>
      <c r="I3" s="8">
        <v>0</v>
      </c>
      <c r="J3" s="8">
        <v>0</v>
      </c>
      <c r="K3" s="8">
        <f>+SUM(B3:H3)</f>
        <v>115774.75</v>
      </c>
    </row>
    <row r="4" spans="1:12">
      <c r="A4">
        <v>3</v>
      </c>
      <c r="B4" s="8">
        <f>67868.6+2639.35+377.05+754.1+1508.2+3393.45+754.1</f>
        <v>77294.85000000002</v>
      </c>
      <c r="C4" s="8">
        <v>0</v>
      </c>
      <c r="D4" s="8">
        <v>6160.02</v>
      </c>
      <c r="E4" s="8">
        <v>0</v>
      </c>
      <c r="F4" s="8">
        <v>10557.34</v>
      </c>
      <c r="G4" s="8">
        <f>713.36+4225</f>
        <v>4938.3599999999997</v>
      </c>
      <c r="H4" s="8">
        <v>0</v>
      </c>
      <c r="I4" s="8">
        <v>0</v>
      </c>
      <c r="J4" s="8">
        <v>0</v>
      </c>
      <c r="K4" s="8">
        <f>+SUM(B4:H4)</f>
        <v>98950.570000000022</v>
      </c>
    </row>
    <row r="5" spans="1:12">
      <c r="A5">
        <v>4</v>
      </c>
      <c r="B5" s="8">
        <f>48880.92+2504.96+452.96+5560.16+1418.92</f>
        <v>58817.919999999998</v>
      </c>
      <c r="C5" s="8">
        <v>4274.74</v>
      </c>
      <c r="D5" s="8">
        <v>0</v>
      </c>
      <c r="E5" s="8">
        <v>165.07</v>
      </c>
      <c r="F5" s="8">
        <v>2772.48</v>
      </c>
      <c r="G5" s="8">
        <v>330.14</v>
      </c>
      <c r="H5" s="8">
        <v>300</v>
      </c>
      <c r="I5" s="8">
        <v>0</v>
      </c>
      <c r="J5" s="8">
        <v>0</v>
      </c>
      <c r="K5" s="8">
        <f t="shared" ref="K5:K41" si="0">+SUM(B5:J5)</f>
        <v>66660.349999999991</v>
      </c>
    </row>
    <row r="6" spans="1:12">
      <c r="A6">
        <v>5</v>
      </c>
      <c r="B6" s="8">
        <f>36126.38+1698.56+172.4+21.2+4623+2148.99</f>
        <v>44790.529999999992</v>
      </c>
      <c r="C6" s="8">
        <v>1160.4100000000001</v>
      </c>
      <c r="D6" s="8">
        <v>0</v>
      </c>
      <c r="E6" s="8">
        <v>166.01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f t="shared" si="0"/>
        <v>46116.95</v>
      </c>
    </row>
    <row r="7" spans="1:12">
      <c r="A7">
        <v>6</v>
      </c>
      <c r="B7" s="8">
        <f>57007.52+6244.17+3857.92+1524.96+4151.68+6789.76+958.08</f>
        <v>80534.09</v>
      </c>
      <c r="C7" s="8">
        <f>12967.62+2115.76+16912.58+4646.82</f>
        <v>36642.78</v>
      </c>
      <c r="D7" s="8">
        <v>0</v>
      </c>
      <c r="E7" s="8">
        <v>164.21</v>
      </c>
      <c r="F7" s="8">
        <v>81.03</v>
      </c>
      <c r="G7" s="8">
        <v>0</v>
      </c>
      <c r="H7" s="8">
        <v>300</v>
      </c>
      <c r="I7" s="8">
        <v>0</v>
      </c>
      <c r="J7" s="8">
        <v>0</v>
      </c>
      <c r="K7" s="8">
        <f t="shared" si="0"/>
        <v>117722.11</v>
      </c>
    </row>
    <row r="8" spans="1:12">
      <c r="A8">
        <v>7</v>
      </c>
      <c r="B8" s="8">
        <f>45104.54+2976.48+246.8+4204.28+3726.8+1480.8</f>
        <v>57739.700000000012</v>
      </c>
      <c r="C8" s="8">
        <f>49812.58+1203.15</f>
        <v>51015.73</v>
      </c>
      <c r="D8" s="8">
        <v>2517.6</v>
      </c>
      <c r="E8" s="8">
        <v>164.38</v>
      </c>
      <c r="F8" s="8">
        <v>0</v>
      </c>
      <c r="G8" s="8">
        <v>0</v>
      </c>
      <c r="H8" s="8">
        <v>300</v>
      </c>
      <c r="I8" s="8">
        <v>0</v>
      </c>
      <c r="J8" s="8">
        <v>0</v>
      </c>
      <c r="K8" s="8">
        <f t="shared" si="0"/>
        <v>111737.41000000003</v>
      </c>
    </row>
    <row r="9" spans="1:12">
      <c r="A9">
        <v>8</v>
      </c>
      <c r="B9" s="8">
        <f>64437.56+2979.58+296.18+1480.91+22.4+5959.15+2387.22</f>
        <v>77562.999999999985</v>
      </c>
      <c r="C9" s="8">
        <v>0</v>
      </c>
      <c r="D9" s="8">
        <v>0</v>
      </c>
      <c r="E9" s="8">
        <v>165.9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f t="shared" si="0"/>
        <v>77728.89999999998</v>
      </c>
    </row>
    <row r="10" spans="1:12">
      <c r="A10">
        <v>9</v>
      </c>
      <c r="B10" s="8">
        <f>1019.62+509.84+1274.4</f>
        <v>2803.86</v>
      </c>
      <c r="C10" s="8">
        <v>0</v>
      </c>
      <c r="D10" s="8">
        <v>0</v>
      </c>
      <c r="E10" s="8">
        <v>497.99</v>
      </c>
      <c r="F10" s="8">
        <v>4842.72</v>
      </c>
      <c r="G10" s="8">
        <v>0</v>
      </c>
      <c r="H10" s="8">
        <v>0</v>
      </c>
      <c r="I10" s="8">
        <v>0</v>
      </c>
      <c r="J10" s="8">
        <v>0</v>
      </c>
      <c r="K10" s="8">
        <f t="shared" si="0"/>
        <v>8144.5700000000006</v>
      </c>
    </row>
    <row r="11" spans="1:12">
      <c r="A11">
        <v>10</v>
      </c>
      <c r="B11" s="8">
        <f>51916.08+7522.94+4503.04+319.36+1916.16+2525.36+1836.32+7722.24+3193.6</f>
        <v>81455.10000000002</v>
      </c>
      <c r="C11" s="8">
        <f>17710.14+2115.76+19542.2+6859.73</f>
        <v>46227.83</v>
      </c>
      <c r="D11" s="8">
        <v>0</v>
      </c>
      <c r="E11" s="8">
        <v>164.19</v>
      </c>
      <c r="F11" s="8">
        <v>0</v>
      </c>
      <c r="G11" s="8">
        <v>0</v>
      </c>
      <c r="H11" s="8">
        <v>300</v>
      </c>
      <c r="I11" s="8">
        <v>0</v>
      </c>
      <c r="J11" s="8">
        <v>0</v>
      </c>
      <c r="K11" s="8">
        <f t="shared" si="0"/>
        <v>128147.12000000002</v>
      </c>
    </row>
    <row r="12" spans="1:12">
      <c r="A12">
        <v>11</v>
      </c>
      <c r="B12" s="8">
        <f>57768.84+7514.62+3532.16+638.72+2671.88+1876.24+6631.6+2994</f>
        <v>83628.060000000012</v>
      </c>
      <c r="C12" s="8">
        <f>4291.62+279.44+10212.46+5568.47</f>
        <v>20351.989999999998</v>
      </c>
      <c r="D12" s="8">
        <v>1615.36</v>
      </c>
      <c r="E12" s="8">
        <v>164.57</v>
      </c>
      <c r="F12" s="8">
        <v>0</v>
      </c>
      <c r="G12" s="8">
        <v>0</v>
      </c>
      <c r="H12" s="8">
        <v>300</v>
      </c>
      <c r="I12" s="8">
        <v>0</v>
      </c>
      <c r="J12" s="8">
        <v>0</v>
      </c>
      <c r="K12" s="8">
        <f t="shared" si="0"/>
        <v>106059.98000000003</v>
      </c>
      <c r="L12" s="7"/>
    </row>
    <row r="13" spans="1:12">
      <c r="A13">
        <v>12</v>
      </c>
      <c r="B13" s="8">
        <f>52434.32+6642.69+3532.16+325.76+958.08+4600.4+415.17+3353.28+7275.2+2794.4</f>
        <v>82331.459999999992</v>
      </c>
      <c r="C13" s="8">
        <f>8592.78+1437.12+10742.47+4047.89</f>
        <v>24820.260000000002</v>
      </c>
      <c r="D13" s="8">
        <v>1628.8</v>
      </c>
      <c r="E13" s="8">
        <v>164.16</v>
      </c>
      <c r="F13" s="8">
        <v>0</v>
      </c>
      <c r="G13" s="8">
        <v>0</v>
      </c>
      <c r="H13" s="8">
        <v>300</v>
      </c>
      <c r="I13" s="8">
        <v>0</v>
      </c>
      <c r="J13" s="8">
        <v>0</v>
      </c>
      <c r="K13" s="8">
        <f t="shared" si="0"/>
        <v>109244.68000000001</v>
      </c>
    </row>
    <row r="14" spans="1:12">
      <c r="A14">
        <v>13</v>
      </c>
      <c r="B14" s="8">
        <f>53292.71+3211.04+290.32+2369.8+199.1+5383.66+1705.63+5860.21+865.23</f>
        <v>73177.700000000012</v>
      </c>
      <c r="C14" s="8">
        <f>18530.3+6152.21+2906.86+21159.64+4141.28</f>
        <v>52890.289999999994</v>
      </c>
      <c r="D14" s="8">
        <v>0</v>
      </c>
      <c r="E14" s="8">
        <v>164.2</v>
      </c>
      <c r="F14" s="8">
        <v>0</v>
      </c>
      <c r="G14" s="8">
        <v>0</v>
      </c>
      <c r="H14" s="8">
        <v>300</v>
      </c>
      <c r="I14" s="8">
        <v>0</v>
      </c>
      <c r="J14" s="8">
        <v>0</v>
      </c>
      <c r="K14" s="8">
        <f t="shared" si="0"/>
        <v>126532.19</v>
      </c>
    </row>
    <row r="15" spans="1:12">
      <c r="A15">
        <v>14</v>
      </c>
      <c r="B15" s="8">
        <f>59238.4+6642.68+3532.16+319.36+1277.44+319.36+4966.08+39.92+4975.68+1882.64</f>
        <v>83193.720000000016</v>
      </c>
      <c r="C15" s="8">
        <f>7436.52+1037.92+8446.08+3840.3</f>
        <v>20760.82</v>
      </c>
      <c r="D15" s="8">
        <v>715.04</v>
      </c>
      <c r="E15" s="8">
        <v>164.44</v>
      </c>
      <c r="F15" s="8">
        <v>0</v>
      </c>
      <c r="G15" s="8">
        <v>0</v>
      </c>
      <c r="H15" s="8">
        <v>300</v>
      </c>
      <c r="I15" s="8">
        <v>0</v>
      </c>
      <c r="J15" s="8">
        <v>0</v>
      </c>
      <c r="K15" s="8">
        <f t="shared" si="0"/>
        <v>105134.02</v>
      </c>
    </row>
    <row r="16" spans="1:12">
      <c r="A16">
        <v>15</v>
      </c>
      <c r="B16" s="8">
        <f>44218.48+1956.96+193.36+58.4+4463.26+585.92</f>
        <v>51476.380000000005</v>
      </c>
      <c r="C16" s="8">
        <v>1713.86</v>
      </c>
      <c r="D16" s="8">
        <v>0</v>
      </c>
      <c r="E16" s="8">
        <v>165.05</v>
      </c>
      <c r="F16" s="8">
        <v>1792.8</v>
      </c>
      <c r="G16" s="8">
        <v>0</v>
      </c>
      <c r="H16" s="8">
        <v>0</v>
      </c>
      <c r="I16" s="8">
        <v>0</v>
      </c>
      <c r="J16" s="8">
        <v>0</v>
      </c>
      <c r="K16" s="8">
        <f t="shared" si="0"/>
        <v>55148.090000000011</v>
      </c>
    </row>
    <row r="17" spans="1:12">
      <c r="A17">
        <v>16</v>
      </c>
      <c r="B17" s="8">
        <f>52517.72+10404.15+2658.28+4170.88+2554.88+6313.92+1277.44</f>
        <v>79897.270000000019</v>
      </c>
      <c r="C17" s="8">
        <f>17995.14+4111.76+19985+10669.88</f>
        <v>52761.78</v>
      </c>
      <c r="D17" s="8">
        <v>1791.68</v>
      </c>
      <c r="E17" s="8">
        <v>164.13</v>
      </c>
      <c r="F17" s="8">
        <v>0</v>
      </c>
      <c r="G17" s="8">
        <v>0</v>
      </c>
      <c r="H17" s="8">
        <v>300</v>
      </c>
      <c r="I17" s="8">
        <v>0</v>
      </c>
      <c r="J17" s="8">
        <v>0</v>
      </c>
      <c r="K17" s="8">
        <f t="shared" si="0"/>
        <v>134914.86000000002</v>
      </c>
    </row>
    <row r="18" spans="1:12">
      <c r="A18">
        <v>17</v>
      </c>
      <c r="B18" s="8">
        <f>37554.02+3211.04+1161.28+4246.78+8720.38+9110.81+3193.52+7333.92+2038.08</f>
        <v>76569.829999999987</v>
      </c>
      <c r="C18" s="8">
        <f>7216.49+1197.57+955.69+2070.64+21392.62+10042.61</f>
        <v>42875.619999999995</v>
      </c>
      <c r="D18" s="8">
        <v>0</v>
      </c>
      <c r="E18" s="8">
        <v>164.18</v>
      </c>
      <c r="F18" s="8">
        <v>740.4</v>
      </c>
      <c r="G18" s="8">
        <v>0</v>
      </c>
      <c r="H18" s="8">
        <v>0</v>
      </c>
      <c r="I18" s="8">
        <v>0</v>
      </c>
      <c r="J18" s="8">
        <v>0</v>
      </c>
      <c r="K18" s="8">
        <f t="shared" si="0"/>
        <v>120350.02999999997</v>
      </c>
    </row>
    <row r="19" spans="1:12">
      <c r="A19">
        <v>18</v>
      </c>
      <c r="B19" s="8">
        <f>50070.01+2729.68+2124.39+4322.87+2379.87</f>
        <v>61626.820000000007</v>
      </c>
      <c r="C19" s="8">
        <f>24941.02+185.1</f>
        <v>25126.12</v>
      </c>
      <c r="D19" s="8">
        <v>2423.19</v>
      </c>
      <c r="E19" s="8">
        <v>164.38</v>
      </c>
      <c r="F19" s="8">
        <v>110.15</v>
      </c>
      <c r="G19" s="8">
        <v>219.18</v>
      </c>
      <c r="H19" s="8">
        <v>300</v>
      </c>
      <c r="I19" s="8">
        <v>0</v>
      </c>
      <c r="J19" s="8">
        <v>0</v>
      </c>
      <c r="K19" s="8">
        <f t="shared" si="0"/>
        <v>89969.84</v>
      </c>
      <c r="L19" s="7"/>
    </row>
    <row r="20" spans="1:12">
      <c r="A20">
        <v>19</v>
      </c>
      <c r="B20" s="8">
        <f>61715.88+5397.18+4754.52+3851.52+1596.8+3035.52</f>
        <v>80351.420000000013</v>
      </c>
      <c r="C20" s="8">
        <f>19623.9+3872.24+16480.39+6487</f>
        <v>46463.53</v>
      </c>
      <c r="D20" s="8">
        <v>3094.72</v>
      </c>
      <c r="E20" s="8">
        <v>164.23</v>
      </c>
      <c r="F20" s="8">
        <v>651.52</v>
      </c>
      <c r="G20" s="8">
        <v>0</v>
      </c>
      <c r="H20" s="8">
        <v>300</v>
      </c>
      <c r="I20" s="8">
        <v>0</v>
      </c>
      <c r="J20" s="8">
        <v>0</v>
      </c>
      <c r="K20" s="8">
        <f t="shared" si="0"/>
        <v>131025.42000000001</v>
      </c>
    </row>
    <row r="21" spans="1:12">
      <c r="A21">
        <v>20</v>
      </c>
      <c r="B21" s="8">
        <f>40277.6+1736.8+110.5+493.9+26+1565.2+1498.26</f>
        <v>45708.26</v>
      </c>
      <c r="C21" s="8">
        <f>3254.62</f>
        <v>3254.62</v>
      </c>
      <c r="D21" s="8">
        <v>1768</v>
      </c>
      <c r="E21" s="8">
        <v>166.02</v>
      </c>
      <c r="F21" s="8">
        <v>950.3</v>
      </c>
      <c r="G21" s="8">
        <v>0</v>
      </c>
      <c r="H21" s="8">
        <v>0</v>
      </c>
      <c r="I21" s="8">
        <v>0</v>
      </c>
      <c r="J21" s="8">
        <v>0</v>
      </c>
      <c r="K21" s="8">
        <f t="shared" si="0"/>
        <v>51847.200000000004</v>
      </c>
    </row>
    <row r="22" spans="1:12">
      <c r="A22">
        <v>21</v>
      </c>
      <c r="B22" s="8">
        <f>66311.28+2915.52+54.81+8006.28</f>
        <v>77287.89</v>
      </c>
      <c r="C22" s="8">
        <v>28738.98</v>
      </c>
      <c r="D22" s="8">
        <v>74.77</v>
      </c>
      <c r="E22" s="8">
        <v>165.91</v>
      </c>
      <c r="F22" s="8">
        <v>3571.2</v>
      </c>
      <c r="G22" s="8">
        <v>0</v>
      </c>
      <c r="H22" s="8">
        <v>0</v>
      </c>
      <c r="I22" s="8">
        <v>0</v>
      </c>
      <c r="J22" s="8">
        <v>0</v>
      </c>
      <c r="K22" s="8">
        <f t="shared" si="0"/>
        <v>109838.75</v>
      </c>
      <c r="L22" s="7"/>
    </row>
    <row r="23" spans="1:12">
      <c r="A23">
        <v>22</v>
      </c>
      <c r="B23" s="8">
        <f>45395.04+3507.2+290.32+290.32+3313.34+10428.79+7883.61+4064.48+580.64</f>
        <v>75753.739999999991</v>
      </c>
      <c r="C23" s="8">
        <f>8211.11+1923.37+3979.18+964.44+6381.88+14909.44</f>
        <v>36369.42</v>
      </c>
      <c r="D23" s="8">
        <v>2517.36</v>
      </c>
      <c r="E23" s="8">
        <v>164.32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f t="shared" si="0"/>
        <v>114804.84</v>
      </c>
    </row>
    <row r="24" spans="1:12">
      <c r="A24">
        <v>23</v>
      </c>
      <c r="B24" s="8">
        <f>15147.55+2142.36+36686.21+44.88+1750.06+254.12</f>
        <v>56025.179999999993</v>
      </c>
      <c r="C24" s="8">
        <f>2471.33+3177.1</f>
        <v>5648.43</v>
      </c>
      <c r="D24" s="8">
        <v>2065.6</v>
      </c>
      <c r="E24" s="8">
        <v>165.92</v>
      </c>
      <c r="F24" s="8">
        <v>2065.6</v>
      </c>
      <c r="G24" s="8">
        <v>0</v>
      </c>
      <c r="H24" s="8">
        <v>0</v>
      </c>
      <c r="I24" s="8">
        <v>0</v>
      </c>
      <c r="J24" s="8">
        <v>0</v>
      </c>
      <c r="K24" s="8">
        <f t="shared" si="0"/>
        <v>65970.73</v>
      </c>
    </row>
    <row r="25" spans="1:12">
      <c r="A25">
        <v>24</v>
      </c>
      <c r="B25" s="8">
        <f>55927.94+2214.4+109.84+43.73+2363.25+56.02</f>
        <v>60715.18</v>
      </c>
      <c r="C25" s="8">
        <f>21241.07-149.91</f>
        <v>21091.16</v>
      </c>
      <c r="D25" s="8">
        <v>2240.8000000000002</v>
      </c>
      <c r="E25" s="8">
        <v>164.14</v>
      </c>
      <c r="F25" s="8">
        <v>2688.96</v>
      </c>
      <c r="G25" s="8">
        <v>0</v>
      </c>
      <c r="H25" s="8">
        <v>0</v>
      </c>
      <c r="I25" s="8">
        <v>0</v>
      </c>
      <c r="J25" s="8">
        <v>0</v>
      </c>
      <c r="K25" s="8">
        <f t="shared" si="0"/>
        <v>86900.24</v>
      </c>
    </row>
    <row r="26" spans="1:12">
      <c r="A26">
        <v>25</v>
      </c>
      <c r="B26" s="8">
        <f>38370.42+3501.36+290.32+2943.87+12088.82+7078.14+4354.8+6462.96+1457.44</f>
        <v>76548.13</v>
      </c>
      <c r="C26" s="8">
        <f>435.49+508.06+1791.91+364.95+16417.6+5199.38</f>
        <v>24717.39</v>
      </c>
      <c r="D26" s="8">
        <v>173.62</v>
      </c>
      <c r="E26" s="8">
        <v>164.41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f t="shared" si="0"/>
        <v>101603.55</v>
      </c>
    </row>
    <row r="27" spans="1:12">
      <c r="A27">
        <v>26</v>
      </c>
      <c r="B27" s="8">
        <f>36823.82+4159.16+3211.04+290.32+145.16+3564.45+3518.76+1671.7+6166.8+1926.29+13935.36</f>
        <v>75412.86</v>
      </c>
      <c r="C27" s="8">
        <f>2885.63+9511.81+5972.77+212.89+1886.37</f>
        <v>20469.469999999998</v>
      </c>
      <c r="D27" s="8">
        <v>173.62</v>
      </c>
      <c r="E27" s="8">
        <v>164.19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f t="shared" si="0"/>
        <v>96220.14</v>
      </c>
    </row>
    <row r="28" spans="1:12">
      <c r="A28">
        <v>27</v>
      </c>
      <c r="B28" s="8">
        <f>30663.45+1409.76+566.56+126.88+2681.66+1745.26</f>
        <v>37193.57</v>
      </c>
      <c r="C28" s="8">
        <f>3176.16+10.07</f>
        <v>3186.23</v>
      </c>
      <c r="D28" s="8">
        <v>0</v>
      </c>
      <c r="E28" s="8">
        <v>166.02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f t="shared" si="0"/>
        <v>40545.82</v>
      </c>
    </row>
    <row r="29" spans="1:12">
      <c r="A29">
        <v>28</v>
      </c>
      <c r="B29" s="8">
        <f>50754.34+2199.84+223.92+55.98+217.36+33.62+2492.86+2771.34</f>
        <v>58749.259999999995</v>
      </c>
      <c r="C29" s="8">
        <f>25431.64</f>
        <v>25431.64</v>
      </c>
      <c r="D29" s="8">
        <v>504.94</v>
      </c>
      <c r="E29" s="8">
        <v>166.03</v>
      </c>
      <c r="F29" s="8">
        <v>0</v>
      </c>
      <c r="G29" s="8">
        <v>166.02</v>
      </c>
      <c r="H29" s="8">
        <v>0</v>
      </c>
      <c r="I29" s="8">
        <v>0</v>
      </c>
      <c r="J29" s="8">
        <v>0</v>
      </c>
      <c r="K29" s="8">
        <f t="shared" si="0"/>
        <v>85017.89</v>
      </c>
    </row>
    <row r="30" spans="1:12">
      <c r="A30">
        <v>29</v>
      </c>
      <c r="B30" s="8">
        <f>20284.9+1159.13+1448.92+1448.91+289.78</f>
        <v>24631.640000000003</v>
      </c>
      <c r="C30" s="8">
        <v>0</v>
      </c>
      <c r="D30" s="8">
        <v>2296.71</v>
      </c>
      <c r="E30" s="8">
        <v>0</v>
      </c>
      <c r="F30" s="8">
        <v>2897.6</v>
      </c>
      <c r="G30" s="8">
        <v>0</v>
      </c>
      <c r="H30" s="8">
        <v>0</v>
      </c>
      <c r="I30" s="8">
        <v>0</v>
      </c>
      <c r="J30" s="8">
        <v>2018.66</v>
      </c>
      <c r="K30" s="8">
        <f t="shared" si="0"/>
        <v>31844.61</v>
      </c>
    </row>
    <row r="31" spans="1:12">
      <c r="A31">
        <v>30</v>
      </c>
      <c r="B31" s="8">
        <f>51421.83+4528.99+3270.24+290.32+1315.2+4790.08+1656.52+4837.4+1197.57+290.32</f>
        <v>73598.47</v>
      </c>
      <c r="C31" s="8">
        <f>8961.22+1161.28+17231.51+5802.77+2120.43+802.97+621.2</f>
        <v>36701.379999999997</v>
      </c>
      <c r="D31" s="8">
        <v>0</v>
      </c>
      <c r="E31" s="8">
        <v>164.18</v>
      </c>
      <c r="F31" s="8">
        <v>2565.36</v>
      </c>
      <c r="G31" s="8">
        <v>0</v>
      </c>
      <c r="H31" s="8">
        <v>0</v>
      </c>
      <c r="I31" s="8">
        <v>0</v>
      </c>
      <c r="J31" s="8">
        <v>0</v>
      </c>
      <c r="K31" s="8">
        <f t="shared" si="0"/>
        <v>113029.39</v>
      </c>
      <c r="L31" s="7"/>
    </row>
    <row r="32" spans="1:12">
      <c r="A32">
        <v>31</v>
      </c>
      <c r="B32" s="8">
        <f>63249.6+3095.2+275.84+4443.92+813.36</f>
        <v>71877.919999999998</v>
      </c>
      <c r="C32" s="8">
        <f>17384.46+620.64+51.72</f>
        <v>18056.82</v>
      </c>
      <c r="D32" s="8">
        <v>938.83</v>
      </c>
      <c r="E32" s="8">
        <v>164.48</v>
      </c>
      <c r="F32" s="8">
        <v>2702.46</v>
      </c>
      <c r="G32" s="8">
        <v>0</v>
      </c>
      <c r="H32" s="8">
        <v>300</v>
      </c>
      <c r="I32" s="8">
        <v>0</v>
      </c>
      <c r="J32" s="8">
        <v>0</v>
      </c>
      <c r="K32" s="8">
        <f t="shared" si="0"/>
        <v>94040.51</v>
      </c>
    </row>
    <row r="33" spans="1:12">
      <c r="A33">
        <v>32</v>
      </c>
      <c r="B33" s="8">
        <f>39771.73+1662.24+412.21+34.86+1901.16+1335.84</f>
        <v>45118.04</v>
      </c>
      <c r="C33" s="8">
        <f>10305.73+3.15</f>
        <v>10308.879999999999</v>
      </c>
      <c r="D33" s="8">
        <v>841.62</v>
      </c>
      <c r="E33" s="8">
        <v>163.93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f t="shared" si="0"/>
        <v>56432.47</v>
      </c>
    </row>
    <row r="34" spans="1:12">
      <c r="A34">
        <v>33</v>
      </c>
      <c r="B34" s="8">
        <f>5951.56+1509.66+1161.28+290.32+1016.12+318.56+1161.28+870.96</f>
        <v>12279.740000000002</v>
      </c>
      <c r="C34" s="8">
        <f>1238.41+2264.5</f>
        <v>3502.91</v>
      </c>
      <c r="D34" s="8">
        <v>246.05</v>
      </c>
      <c r="E34" s="8">
        <v>0</v>
      </c>
      <c r="F34" s="8">
        <v>4645.12</v>
      </c>
      <c r="G34" s="8">
        <v>0</v>
      </c>
      <c r="H34" s="8">
        <v>0</v>
      </c>
      <c r="I34" s="8">
        <v>0</v>
      </c>
      <c r="J34" s="8">
        <v>0</v>
      </c>
      <c r="K34" s="8">
        <f t="shared" si="0"/>
        <v>20673.82</v>
      </c>
    </row>
    <row r="35" spans="1:12">
      <c r="A35">
        <v>34</v>
      </c>
      <c r="B35" s="8">
        <f>31065.9+1433.28+35.6+2206.16+2853.93</f>
        <v>37594.870000000003</v>
      </c>
      <c r="C35" s="8">
        <v>1390.87</v>
      </c>
      <c r="D35" s="8">
        <v>0</v>
      </c>
      <c r="E35" s="8">
        <v>166.02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f t="shared" si="0"/>
        <v>39151.760000000002</v>
      </c>
    </row>
    <row r="36" spans="1:12">
      <c r="A36">
        <v>35</v>
      </c>
      <c r="B36" s="8">
        <f>51615.02+2279.68+3507.2+3023.02+5188.61+979.83+4947.12+2794.33+870.96</f>
        <v>75205.76999999999</v>
      </c>
      <c r="C36" s="8">
        <f>6997.11+7797.45+2856.24+182.48</f>
        <v>17833.28</v>
      </c>
      <c r="D36" s="8">
        <v>0</v>
      </c>
      <c r="E36" s="8">
        <v>164.36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f t="shared" si="0"/>
        <v>93203.409999999989</v>
      </c>
    </row>
    <row r="37" spans="1:12">
      <c r="A37">
        <v>36</v>
      </c>
      <c r="B37" s="8">
        <f>53622.86+2729.68+246.8+863.8+3294.9+3089.96</f>
        <v>63848.000000000007</v>
      </c>
      <c r="C37" s="8">
        <f>5073.19+1018.05</f>
        <v>6091.24</v>
      </c>
      <c r="D37" s="8">
        <v>1321.74</v>
      </c>
      <c r="E37" s="8">
        <v>166</v>
      </c>
      <c r="F37" s="8">
        <v>755.28</v>
      </c>
      <c r="G37" s="8">
        <v>0</v>
      </c>
      <c r="H37" s="8">
        <v>0</v>
      </c>
      <c r="I37" s="8">
        <v>0</v>
      </c>
      <c r="J37" s="8">
        <v>0</v>
      </c>
      <c r="K37" s="8">
        <f t="shared" si="0"/>
        <v>72182.260000000009</v>
      </c>
    </row>
    <row r="38" spans="1:12">
      <c r="A38">
        <v>37</v>
      </c>
      <c r="B38" s="8">
        <f>52474.38+6416.07+3211.04+145.16+4309.51+2254.21+414.13+4384+1270.16</f>
        <v>74878.660000000018</v>
      </c>
      <c r="C38" s="8">
        <f>9418.4+2365.42+14188.58+943.54+2180.17+1762.3</f>
        <v>30858.41</v>
      </c>
      <c r="D38" s="8">
        <v>496.07</v>
      </c>
      <c r="E38" s="8">
        <v>164.17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f t="shared" si="0"/>
        <v>106397.31000000003</v>
      </c>
    </row>
    <row r="39" spans="1:12">
      <c r="A39">
        <v>38</v>
      </c>
      <c r="B39" s="8">
        <f>37019.56+1768.4+173.12+5447.56+2818.71</f>
        <v>47227.35</v>
      </c>
      <c r="C39" s="8">
        <v>4828.84</v>
      </c>
      <c r="D39" s="8">
        <v>0</v>
      </c>
      <c r="E39" s="8">
        <v>166.02</v>
      </c>
      <c r="F39" s="8">
        <v>0</v>
      </c>
      <c r="G39" s="8">
        <v>110.68</v>
      </c>
      <c r="H39" s="8">
        <v>0</v>
      </c>
      <c r="I39" s="8">
        <v>0</v>
      </c>
      <c r="J39" s="8">
        <v>0</v>
      </c>
      <c r="K39" s="8">
        <f t="shared" si="0"/>
        <v>52332.89</v>
      </c>
    </row>
    <row r="40" spans="1:12">
      <c r="A40">
        <v>39</v>
      </c>
      <c r="B40" s="8">
        <f>15280.05+1993.12+35346.77+61.92+1783.85+454.55</f>
        <v>54920.259999999995</v>
      </c>
      <c r="C40" s="8">
        <f>2268.16+3300.2+0.65</f>
        <v>5569.0099999999993</v>
      </c>
      <c r="D40" s="8">
        <v>1352.62</v>
      </c>
      <c r="E40" s="8">
        <v>165.92</v>
      </c>
      <c r="F40" s="8">
        <v>953.63</v>
      </c>
      <c r="G40" s="8">
        <v>110.63</v>
      </c>
      <c r="H40" s="8">
        <v>0</v>
      </c>
      <c r="I40" s="8">
        <v>0</v>
      </c>
      <c r="J40" s="8">
        <v>0</v>
      </c>
      <c r="K40" s="8">
        <f t="shared" si="0"/>
        <v>63072.069999999992</v>
      </c>
    </row>
    <row r="41" spans="1:12">
      <c r="A41">
        <v>40</v>
      </c>
      <c r="B41" s="8">
        <f>47533.23+7586.28+3501.36+290.32+2543.95+5695.32+828.26+4502.88+2221.72</f>
        <v>74703.319999999992</v>
      </c>
      <c r="C41" s="8">
        <f>7273.12+444.24+14788.17+5636.84+8456.74+4189.13</f>
        <v>40788.239999999998</v>
      </c>
      <c r="D41" s="8">
        <v>0.74</v>
      </c>
      <c r="E41" s="8">
        <v>164.26</v>
      </c>
      <c r="F41" s="8">
        <v>0</v>
      </c>
      <c r="G41" s="8">
        <v>109.51</v>
      </c>
      <c r="H41" s="8">
        <v>0</v>
      </c>
      <c r="I41" s="8">
        <v>0</v>
      </c>
      <c r="J41" s="8">
        <v>0</v>
      </c>
      <c r="K41" s="8">
        <f t="shared" si="0"/>
        <v>115766.06999999999</v>
      </c>
    </row>
    <row r="42" spans="1:12">
      <c r="A42">
        <v>41</v>
      </c>
      <c r="B42" s="8">
        <f>42170.46+1698.88+956.72+354.68</f>
        <v>45180.74</v>
      </c>
      <c r="C42" s="8">
        <v>2561.9</v>
      </c>
      <c r="D42" s="8">
        <v>1354.8</v>
      </c>
      <c r="E42" s="8">
        <v>166.02</v>
      </c>
      <c r="F42" s="8">
        <v>2167.6799999999998</v>
      </c>
      <c r="G42" s="8">
        <v>110.68</v>
      </c>
      <c r="H42" s="8">
        <v>0</v>
      </c>
      <c r="I42" s="8">
        <v>0</v>
      </c>
      <c r="J42" s="8">
        <v>0</v>
      </c>
      <c r="K42" s="8">
        <f t="shared" ref="K42:K79" si="1">+SUM(B42:J42)</f>
        <v>51541.82</v>
      </c>
    </row>
    <row r="43" spans="1:12">
      <c r="A43">
        <v>42</v>
      </c>
      <c r="B43" s="8">
        <f>34034.98+1403.36+76.96+987.24+147.22</f>
        <v>36649.760000000002</v>
      </c>
      <c r="C43" s="8">
        <f>1258.72+3.33</f>
        <v>1262.05</v>
      </c>
      <c r="D43" s="8">
        <v>1011.36</v>
      </c>
      <c r="E43" s="8">
        <v>166.01</v>
      </c>
      <c r="F43" s="8">
        <v>1733.76</v>
      </c>
      <c r="G43" s="8">
        <v>0</v>
      </c>
      <c r="H43" s="8">
        <v>0</v>
      </c>
      <c r="I43" s="8">
        <v>0</v>
      </c>
      <c r="J43" s="8">
        <v>0</v>
      </c>
      <c r="K43" s="8">
        <f t="shared" si="1"/>
        <v>40822.94000000001</v>
      </c>
    </row>
    <row r="44" spans="1:12">
      <c r="A44">
        <v>43</v>
      </c>
      <c r="B44" s="8">
        <f>73077.02+3277.02+1638.5+4915.54+2293.92</f>
        <v>85202</v>
      </c>
      <c r="C44" s="8">
        <v>0</v>
      </c>
      <c r="D44" s="8">
        <v>0</v>
      </c>
      <c r="E44" s="8">
        <v>165.95</v>
      </c>
      <c r="F44" s="8">
        <v>1638.52</v>
      </c>
      <c r="G44" s="8">
        <v>0</v>
      </c>
      <c r="H44" s="8">
        <v>0</v>
      </c>
      <c r="I44" s="8">
        <v>0</v>
      </c>
      <c r="J44" s="8">
        <v>0</v>
      </c>
      <c r="K44" s="8">
        <f t="shared" si="1"/>
        <v>87006.47</v>
      </c>
    </row>
    <row r="45" spans="1:12">
      <c r="A45">
        <v>44</v>
      </c>
      <c r="B45" s="8">
        <f>32888.64+1629.68+85.68+1770+3520.89</f>
        <v>39894.89</v>
      </c>
      <c r="C45" s="8">
        <v>654.1</v>
      </c>
      <c r="D45" s="8">
        <v>893</v>
      </c>
      <c r="E45" s="8">
        <v>165.98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f t="shared" si="1"/>
        <v>41607.97</v>
      </c>
    </row>
    <row r="46" spans="1:12">
      <c r="A46">
        <v>45</v>
      </c>
      <c r="B46" s="8">
        <f>126615.85+5650.04+557.7+2803.87+19.6+9603.91+1673.09</f>
        <v>146924.06000000003</v>
      </c>
      <c r="C46" s="8">
        <v>0</v>
      </c>
      <c r="D46" s="8">
        <v>5157.72</v>
      </c>
      <c r="E46" s="8">
        <v>153.18</v>
      </c>
      <c r="F46" s="8">
        <v>5157.72</v>
      </c>
      <c r="G46" s="8">
        <v>4225</v>
      </c>
      <c r="H46" s="8">
        <v>0</v>
      </c>
      <c r="I46" s="8">
        <v>0</v>
      </c>
      <c r="J46" s="8">
        <v>3631.91</v>
      </c>
      <c r="K46" s="8">
        <f t="shared" si="1"/>
        <v>165249.59000000003</v>
      </c>
      <c r="L46" s="7"/>
    </row>
    <row r="47" spans="1:12">
      <c r="A47">
        <v>46</v>
      </c>
      <c r="B47" s="8">
        <f>50284.15+2285.76+1187.32+2318.05+3495.14</f>
        <v>59570.420000000006</v>
      </c>
      <c r="C47" s="8">
        <v>0</v>
      </c>
      <c r="D47" s="8">
        <v>0</v>
      </c>
      <c r="E47" s="8">
        <v>166.02</v>
      </c>
      <c r="F47" s="8">
        <v>0</v>
      </c>
      <c r="G47" s="8">
        <f>55.34+6500</f>
        <v>6555.34</v>
      </c>
      <c r="H47" s="8">
        <v>0</v>
      </c>
      <c r="I47" s="8">
        <v>0</v>
      </c>
      <c r="J47" s="8">
        <v>0</v>
      </c>
      <c r="K47" s="8">
        <f t="shared" si="1"/>
        <v>66291.78</v>
      </c>
    </row>
    <row r="48" spans="1:12">
      <c r="A48">
        <v>47</v>
      </c>
      <c r="B48" s="8">
        <f>47110.35+10605.61+4056.08+2367.29+21.76+3234.4+5948.76</f>
        <v>73344.25</v>
      </c>
      <c r="C48" s="8">
        <f>14725.07+2475.05+25487.94+12693.15+1642.58</f>
        <v>57023.79</v>
      </c>
      <c r="D48" s="8">
        <v>0</v>
      </c>
      <c r="E48" s="8">
        <v>164.19</v>
      </c>
      <c r="F48" s="8">
        <v>0</v>
      </c>
      <c r="G48" s="8">
        <v>54.73</v>
      </c>
      <c r="H48" s="8">
        <v>0</v>
      </c>
      <c r="I48" s="8">
        <v>0</v>
      </c>
      <c r="J48" s="8">
        <v>0</v>
      </c>
      <c r="K48" s="8">
        <f t="shared" si="1"/>
        <v>130586.96</v>
      </c>
    </row>
    <row r="49" spans="1:12">
      <c r="A49">
        <v>48</v>
      </c>
      <c r="B49" s="8">
        <f>48467.44+11662.56+3748.24+290.32+3205.25+637.12+21.76+2604.24+3054.2</f>
        <v>73691.12999999999</v>
      </c>
      <c r="C49" s="8">
        <f>12932.75+435.48+21503.17+8225.62+382.82+1863.6+1760.04+15.91</f>
        <v>47119.39</v>
      </c>
      <c r="D49" s="8">
        <v>75.150000000000006</v>
      </c>
      <c r="E49" s="8">
        <v>164.17</v>
      </c>
      <c r="F49" s="8">
        <v>0</v>
      </c>
      <c r="G49" s="8">
        <v>54.71</v>
      </c>
      <c r="H49" s="8">
        <v>0</v>
      </c>
      <c r="I49" s="8">
        <v>0</v>
      </c>
      <c r="J49" s="8">
        <v>0</v>
      </c>
      <c r="K49" s="8">
        <f t="shared" si="1"/>
        <v>121104.54999999999</v>
      </c>
    </row>
    <row r="50" spans="1:12">
      <c r="A50">
        <v>49</v>
      </c>
      <c r="B50" s="8">
        <f>50540.58+5227.34+3414.48+296.16+137.92+2886.1+3570.99+3436.2+1473.41</f>
        <v>70983.180000000008</v>
      </c>
      <c r="C50" s="8">
        <f>24784.66+4865.7+15460.07+6322.07+872.11</f>
        <v>52304.61</v>
      </c>
      <c r="D50" s="8">
        <v>0</v>
      </c>
      <c r="E50" s="8">
        <v>164.13</v>
      </c>
      <c r="F50" s="8">
        <v>0</v>
      </c>
      <c r="G50" s="8">
        <v>54.7</v>
      </c>
      <c r="H50" s="8">
        <v>0</v>
      </c>
      <c r="I50" s="8">
        <v>0</v>
      </c>
      <c r="J50" s="8">
        <v>0</v>
      </c>
      <c r="K50" s="8">
        <f t="shared" si="1"/>
        <v>123506.62000000001</v>
      </c>
    </row>
    <row r="51" spans="1:12">
      <c r="A51">
        <v>50</v>
      </c>
      <c r="B51" s="8">
        <f>22899.52+6171.36+2250.16+290.32+1765.72+2746.86+6133.37</f>
        <v>42257.310000000005</v>
      </c>
      <c r="C51" s="8">
        <f>8605.36+2823.56+9408.61+5420.76</f>
        <v>26258.29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f t="shared" si="1"/>
        <v>68515.600000000006</v>
      </c>
    </row>
    <row r="52" spans="1:12">
      <c r="A52">
        <v>51</v>
      </c>
      <c r="B52" s="8">
        <f>31139.37+1369.76+126.88+1527.01+1692.6</f>
        <v>35855.619999999995</v>
      </c>
      <c r="C52" s="8">
        <f>1728.48+3.66</f>
        <v>1732.14</v>
      </c>
      <c r="D52" s="8">
        <v>326.16000000000003</v>
      </c>
      <c r="E52" s="8">
        <v>166.03</v>
      </c>
      <c r="F52" s="8">
        <v>398.64</v>
      </c>
      <c r="G52" s="8">
        <v>55.35</v>
      </c>
      <c r="H52" s="8">
        <v>0</v>
      </c>
      <c r="I52" s="8">
        <v>0</v>
      </c>
      <c r="J52" s="8">
        <v>0</v>
      </c>
      <c r="K52" s="8">
        <f t="shared" si="1"/>
        <v>38533.939999999995</v>
      </c>
    </row>
    <row r="53" spans="1:12">
      <c r="A53">
        <v>52</v>
      </c>
      <c r="B53" s="8">
        <f>35155.73+1505.76+147.6+74.4+1102.58+1366.07</f>
        <v>39352.140000000007</v>
      </c>
      <c r="C53" s="8">
        <f>2497.76</f>
        <v>2497.7600000000002</v>
      </c>
      <c r="D53" s="8">
        <v>717.06</v>
      </c>
      <c r="E53" s="8">
        <v>164.24</v>
      </c>
      <c r="F53" s="8">
        <v>649.23</v>
      </c>
      <c r="G53" s="8">
        <v>0</v>
      </c>
      <c r="H53" s="8">
        <v>0</v>
      </c>
      <c r="I53" s="8">
        <v>0</v>
      </c>
      <c r="J53" s="8">
        <v>0</v>
      </c>
      <c r="K53" s="8">
        <f t="shared" si="1"/>
        <v>43380.430000000008</v>
      </c>
    </row>
    <row r="54" spans="1:12">
      <c r="A54">
        <v>53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6699.87</v>
      </c>
      <c r="J54" s="8">
        <v>0</v>
      </c>
      <c r="K54" s="8">
        <f t="shared" si="1"/>
        <v>6699.87</v>
      </c>
    </row>
    <row r="55" spans="1:12">
      <c r="A55">
        <v>54</v>
      </c>
      <c r="B55" s="8">
        <f>61143.33+2578.39+236.98+1184.88+35.6+1526.16+526.11</f>
        <v>67231.45</v>
      </c>
      <c r="C55" s="8">
        <v>0</v>
      </c>
      <c r="D55" s="8">
        <v>1156.51</v>
      </c>
      <c r="E55" s="8">
        <v>165.96</v>
      </c>
      <c r="F55" s="8">
        <v>3469.54</v>
      </c>
      <c r="G55" s="8">
        <v>4225</v>
      </c>
      <c r="H55" s="8">
        <v>0</v>
      </c>
      <c r="I55" s="8">
        <v>0</v>
      </c>
      <c r="J55" s="8">
        <v>0</v>
      </c>
      <c r="K55" s="8">
        <f t="shared" si="1"/>
        <v>76248.459999999992</v>
      </c>
      <c r="L55" s="7"/>
    </row>
    <row r="56" spans="1:12">
      <c r="A56">
        <v>55</v>
      </c>
      <c r="B56" s="8">
        <f>15894.89+1806.08+171.44+31139.31+33.12+1046.57</f>
        <v>50091.41</v>
      </c>
      <c r="C56" s="8">
        <f>1771.94+5.69+1984.9</f>
        <v>3762.53</v>
      </c>
      <c r="D56" s="8">
        <v>1060.6500000000001</v>
      </c>
      <c r="E56" s="8">
        <v>165.93</v>
      </c>
      <c r="F56" s="8">
        <v>1319.92</v>
      </c>
      <c r="G56" s="8">
        <v>0</v>
      </c>
      <c r="H56" s="8">
        <v>0</v>
      </c>
      <c r="I56" s="8">
        <v>0</v>
      </c>
      <c r="J56" s="8">
        <v>0</v>
      </c>
      <c r="K56" s="8">
        <f t="shared" si="1"/>
        <v>56400.44</v>
      </c>
    </row>
    <row r="57" spans="1:12">
      <c r="A57">
        <v>56</v>
      </c>
      <c r="B57" s="8">
        <f>50393.05+6483.19+3211.04+290.32+3129.7+2713.6+158.15+36.29+3495.52+3183.56</f>
        <v>73094.42</v>
      </c>
      <c r="C57" s="8">
        <f>9337.28+6803.02+20951.9+3832.73+4616.74+358.38-54.44</f>
        <v>45845.61</v>
      </c>
      <c r="D57" s="8">
        <v>0</v>
      </c>
      <c r="E57" s="8">
        <v>164.13</v>
      </c>
      <c r="F57" s="8">
        <v>740.4</v>
      </c>
      <c r="G57" s="8">
        <v>0</v>
      </c>
      <c r="H57" s="8">
        <v>0</v>
      </c>
      <c r="I57" s="8">
        <v>0</v>
      </c>
      <c r="J57" s="8">
        <v>0</v>
      </c>
      <c r="K57" s="8">
        <f t="shared" si="1"/>
        <v>119844.56</v>
      </c>
    </row>
    <row r="58" spans="1:12">
      <c r="A58">
        <v>57</v>
      </c>
      <c r="B58" s="8">
        <f>101125.82+4201.3+445.13+1975.64+445.13+790.26</f>
        <v>108983.28000000001</v>
      </c>
      <c r="C58" s="8">
        <v>0</v>
      </c>
      <c r="D58" s="8">
        <v>4451.28</v>
      </c>
      <c r="E58" s="8">
        <v>165.77</v>
      </c>
      <c r="F58" s="8">
        <v>5341.54</v>
      </c>
      <c r="G58" s="8">
        <v>0</v>
      </c>
      <c r="H58" s="8">
        <v>0</v>
      </c>
      <c r="I58" s="8">
        <v>0</v>
      </c>
      <c r="J58" s="8">
        <v>4069.23</v>
      </c>
      <c r="K58" s="8">
        <f t="shared" si="1"/>
        <v>123011.1</v>
      </c>
    </row>
    <row r="59" spans="1:12">
      <c r="A59">
        <v>58</v>
      </c>
      <c r="B59" s="8">
        <f>30056.93+1538.72+203.2+2052.27+3628.64+2439.4</f>
        <v>39919.160000000003</v>
      </c>
      <c r="C59" s="8">
        <f>11202.16+2946.58</f>
        <v>14148.74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f t="shared" si="1"/>
        <v>54067.9</v>
      </c>
    </row>
    <row r="60" spans="1:12">
      <c r="A60">
        <v>59</v>
      </c>
      <c r="B60" s="8">
        <f>40519.72+2160.56+188.72+2606.73+2252.51+2374.16</f>
        <v>50102.400000000009</v>
      </c>
      <c r="C60" s="8">
        <f>8226.54+2107.23</f>
        <v>10333.77</v>
      </c>
      <c r="D60" s="8">
        <v>0</v>
      </c>
      <c r="E60" s="8">
        <v>164.18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f t="shared" si="1"/>
        <v>60600.350000000013</v>
      </c>
    </row>
    <row r="61" spans="1:12">
      <c r="A61">
        <v>60</v>
      </c>
      <c r="B61" s="8">
        <f>47688.54+2334.18+2642.32+251.76+3935.46+2073.1+2113.57</f>
        <v>61038.93</v>
      </c>
      <c r="C61" s="8">
        <f>12898.61+3444.1+4595.7+1794.78</f>
        <v>22733.19</v>
      </c>
      <c r="D61" s="8">
        <v>0</v>
      </c>
      <c r="E61" s="8">
        <v>164.44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f t="shared" si="1"/>
        <v>83936.56</v>
      </c>
    </row>
    <row r="62" spans="1:12">
      <c r="A62">
        <v>61</v>
      </c>
      <c r="B62" s="8">
        <f>22278.84+1277.36+2380.64+76.48+2942.62+1022.86</f>
        <v>29978.799999999999</v>
      </c>
      <c r="C62" s="8">
        <f>6438.57+802.06+1.79</f>
        <v>7242.4199999999992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f t="shared" si="1"/>
        <v>37221.22</v>
      </c>
    </row>
    <row r="63" spans="1:12">
      <c r="A63">
        <v>62</v>
      </c>
      <c r="B63" s="8">
        <f>122423.4+5673.14+557.7+2788.49+12019.35+3942.36</f>
        <v>147404.43999999997</v>
      </c>
      <c r="C63" s="8">
        <v>0</v>
      </c>
      <c r="D63" s="8">
        <v>386.54</v>
      </c>
      <c r="E63" s="8">
        <v>155.36000000000001</v>
      </c>
      <c r="F63" s="8">
        <v>4615.42</v>
      </c>
      <c r="G63" s="8">
        <v>0</v>
      </c>
      <c r="H63" s="8">
        <v>0</v>
      </c>
      <c r="I63" s="8">
        <v>0</v>
      </c>
      <c r="J63" s="8">
        <v>3334.48</v>
      </c>
      <c r="K63" s="8">
        <f t="shared" si="1"/>
        <v>155896.24</v>
      </c>
    </row>
    <row r="64" spans="1:12">
      <c r="A64">
        <v>63</v>
      </c>
      <c r="B64" s="8">
        <f>36852.43+1673.6+162.08+632+1822.02+2128.99</f>
        <v>43271.119999999995</v>
      </c>
      <c r="C64" s="8">
        <f>809.61</f>
        <v>809.61</v>
      </c>
      <c r="D64" s="8">
        <v>0</v>
      </c>
      <c r="E64" s="8">
        <v>166.02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f t="shared" si="1"/>
        <v>44246.749999999993</v>
      </c>
    </row>
    <row r="65" spans="1:11">
      <c r="A65">
        <v>64</v>
      </c>
      <c r="B65" s="8">
        <f>52264.17+2109.6+207.84+1115.46+302.67</f>
        <v>55999.739999999991</v>
      </c>
      <c r="C65" s="8">
        <f>5364.9</f>
        <v>5364.9</v>
      </c>
      <c r="D65" s="8">
        <v>555.76</v>
      </c>
      <c r="E65" s="8">
        <v>166.02</v>
      </c>
      <c r="F65" s="8">
        <v>2106.81</v>
      </c>
      <c r="G65" s="8">
        <v>0</v>
      </c>
      <c r="H65" s="8">
        <v>0</v>
      </c>
      <c r="I65" s="8">
        <v>0</v>
      </c>
      <c r="J65" s="8">
        <v>0</v>
      </c>
      <c r="K65" s="8">
        <f t="shared" si="1"/>
        <v>64193.229999999989</v>
      </c>
    </row>
    <row r="66" spans="1:11">
      <c r="A66">
        <v>65</v>
      </c>
      <c r="B66" s="8">
        <f>223385.86+10605.81+1038.46+5192.31+276.4+30017.02+6396.66</f>
        <v>276912.51999999996</v>
      </c>
      <c r="C66" s="8">
        <v>0</v>
      </c>
      <c r="D66" s="8">
        <v>2734.4</v>
      </c>
      <c r="E66" s="8">
        <v>156.83000000000001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f t="shared" si="1"/>
        <v>279803.75</v>
      </c>
    </row>
    <row r="67" spans="1:11">
      <c r="A67">
        <v>66</v>
      </c>
      <c r="B67" s="8">
        <f>35534.89+1323.58+1112.58+1691.4+2021.65</f>
        <v>41684.100000000006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f t="shared" si="1"/>
        <v>41684.100000000006</v>
      </c>
    </row>
    <row r="68" spans="1:11">
      <c r="A68">
        <v>67</v>
      </c>
      <c r="B68" s="8">
        <f>51417.21+1517.01+218.2+872.8+109.1</f>
        <v>54134.32</v>
      </c>
      <c r="C68" s="8">
        <v>1077.3499999999999</v>
      </c>
      <c r="D68" s="8">
        <v>0</v>
      </c>
      <c r="E68" s="8">
        <v>166.03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f t="shared" si="1"/>
        <v>55377.7</v>
      </c>
    </row>
    <row r="69" spans="1:11">
      <c r="A69">
        <v>68</v>
      </c>
      <c r="B69" s="8">
        <f>62410.85+1825.01+250+656.23</f>
        <v>65142.090000000004</v>
      </c>
      <c r="C69" s="8">
        <v>3070.38</v>
      </c>
      <c r="D69" s="8">
        <v>0</v>
      </c>
      <c r="E69" s="8">
        <v>166.02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f t="shared" si="1"/>
        <v>68378.490000000005</v>
      </c>
    </row>
    <row r="70" spans="1:11">
      <c r="A70">
        <v>69</v>
      </c>
      <c r="B70" s="8">
        <f>45740.92+1426.24+72.12+1145.76</f>
        <v>48385.04</v>
      </c>
      <c r="C70" s="8">
        <v>5220.87</v>
      </c>
      <c r="D70" s="8">
        <v>0</v>
      </c>
      <c r="E70" s="8">
        <v>166.02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f t="shared" si="1"/>
        <v>53771.93</v>
      </c>
    </row>
    <row r="71" spans="1:11">
      <c r="A71">
        <v>70</v>
      </c>
      <c r="B71" s="8">
        <f>72942.75+2576.95+384.62+1865.39+384.62</f>
        <v>78154.329999999987</v>
      </c>
      <c r="C71" s="8">
        <v>0</v>
      </c>
      <c r="D71" s="8">
        <v>129.81</v>
      </c>
      <c r="E71" s="8">
        <v>166.02</v>
      </c>
      <c r="F71" s="8">
        <v>0</v>
      </c>
      <c r="G71" s="8">
        <v>547.29</v>
      </c>
      <c r="H71" s="8">
        <v>0</v>
      </c>
      <c r="I71" s="8">
        <v>0</v>
      </c>
      <c r="J71" s="8">
        <v>3293.66</v>
      </c>
      <c r="K71" s="8">
        <f t="shared" si="1"/>
        <v>82291.109999999986</v>
      </c>
    </row>
    <row r="72" spans="1:11">
      <c r="A72">
        <v>71</v>
      </c>
      <c r="B72" s="8">
        <f>49576.26+1715.53+242.31+731.77</f>
        <v>52265.869999999995</v>
      </c>
      <c r="C72" s="8">
        <v>0</v>
      </c>
      <c r="D72" s="8">
        <v>1041.1300000000001</v>
      </c>
      <c r="E72" s="8">
        <v>166.03</v>
      </c>
      <c r="F72" s="8">
        <v>2471.52</v>
      </c>
      <c r="G72" s="8">
        <v>0</v>
      </c>
      <c r="H72" s="8">
        <v>0</v>
      </c>
      <c r="I72" s="8">
        <v>0</v>
      </c>
      <c r="J72" s="8">
        <v>0</v>
      </c>
      <c r="K72" s="8">
        <f t="shared" si="1"/>
        <v>55944.549999999988</v>
      </c>
    </row>
    <row r="73" spans="1:11">
      <c r="A73">
        <v>72</v>
      </c>
      <c r="B73" s="8">
        <f>19209.4+765.6+628+125.6</f>
        <v>20728.599999999999</v>
      </c>
      <c r="C73" s="8">
        <v>1664.07</v>
      </c>
      <c r="D73" s="8">
        <v>0</v>
      </c>
      <c r="E73" s="8">
        <v>166.02</v>
      </c>
      <c r="F73" s="8">
        <v>907.2</v>
      </c>
      <c r="G73" s="8">
        <v>0</v>
      </c>
      <c r="H73" s="8">
        <v>0</v>
      </c>
      <c r="I73" s="8">
        <v>0</v>
      </c>
      <c r="J73" s="8">
        <v>0</v>
      </c>
      <c r="K73" s="8">
        <f t="shared" si="1"/>
        <v>23465.89</v>
      </c>
    </row>
    <row r="74" spans="1:11">
      <c r="A74">
        <v>73</v>
      </c>
      <c r="B74" s="8">
        <f>26491.7+870.96+1161.28+508.06+606.04</f>
        <v>29638.04</v>
      </c>
      <c r="C74" s="8">
        <f>22046.2+3012.07+328.52</f>
        <v>25386.79</v>
      </c>
      <c r="D74" s="8">
        <v>0</v>
      </c>
      <c r="E74" s="8">
        <v>0</v>
      </c>
      <c r="F74" s="8">
        <v>1451.6</v>
      </c>
      <c r="G74" s="8">
        <v>0</v>
      </c>
      <c r="H74" s="8">
        <v>0</v>
      </c>
      <c r="I74" s="8">
        <v>0</v>
      </c>
      <c r="J74" s="8">
        <v>0</v>
      </c>
      <c r="K74" s="8">
        <f t="shared" si="1"/>
        <v>56476.43</v>
      </c>
    </row>
    <row r="75" spans="1:11">
      <c r="A75">
        <v>74</v>
      </c>
      <c r="B75" s="8">
        <f>10589.61+341.6+402.3+569.62+683.2+42.7</f>
        <v>12629.030000000002</v>
      </c>
      <c r="C75" s="8">
        <f>320.25</f>
        <v>320.25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f t="shared" si="1"/>
        <v>12949.280000000002</v>
      </c>
    </row>
    <row r="76" spans="1:11">
      <c r="A76">
        <v>75</v>
      </c>
      <c r="B76" s="8">
        <f>26088+960</f>
        <v>27048</v>
      </c>
      <c r="C76" s="8">
        <v>2775</v>
      </c>
      <c r="D76" s="8">
        <v>0</v>
      </c>
      <c r="E76" s="8">
        <v>166.02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f t="shared" si="1"/>
        <v>29989.02</v>
      </c>
    </row>
    <row r="77" spans="1:11">
      <c r="A77">
        <v>76</v>
      </c>
      <c r="B77" s="8">
        <f>15103.4+628+376.8+227.65</f>
        <v>16335.849999999999</v>
      </c>
      <c r="C77" s="8">
        <v>211.97</v>
      </c>
      <c r="D77" s="8">
        <v>0</v>
      </c>
      <c r="E77" s="8">
        <v>166.01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f t="shared" si="1"/>
        <v>16713.829999999998</v>
      </c>
    </row>
    <row r="78" spans="1:11">
      <c r="A78">
        <v>77</v>
      </c>
      <c r="B78" s="8">
        <f>19997.66+881.36+1184.82</f>
        <v>22063.84</v>
      </c>
      <c r="C78" s="8">
        <f>9772.8+1137.32</f>
        <v>10910.119999999999</v>
      </c>
      <c r="D78" s="8">
        <v>0</v>
      </c>
      <c r="E78" s="8">
        <v>166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f t="shared" si="1"/>
        <v>33139.96</v>
      </c>
    </row>
    <row r="79" spans="1:11">
      <c r="A79">
        <v>78</v>
      </c>
      <c r="B79" s="8">
        <f>26583.52+1175.12+1424.49+236.88</f>
        <v>29420.010000000002</v>
      </c>
      <c r="C79" s="8">
        <f>14094.59+3040.58</f>
        <v>17135.169999999998</v>
      </c>
      <c r="D79" s="8">
        <v>0</v>
      </c>
      <c r="E79" s="8">
        <v>164.02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f t="shared" si="1"/>
        <v>46719.199999999997</v>
      </c>
    </row>
    <row r="80" spans="1:11">
      <c r="A80">
        <v>79</v>
      </c>
      <c r="B80" s="8">
        <f>19867.59+825.04+1192.58</f>
        <v>21885.21</v>
      </c>
      <c r="C80" s="8">
        <f>3218+667.54</f>
        <v>3885.54</v>
      </c>
      <c r="D80" s="8">
        <v>0</v>
      </c>
      <c r="E80" s="8">
        <v>164.01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f t="shared" ref="K80:K83" si="2">+SUM(B80:J80)</f>
        <v>25934.76</v>
      </c>
    </row>
    <row r="81" spans="1:12">
      <c r="A81">
        <v>80</v>
      </c>
      <c r="B81" s="8">
        <f>30503.89+1184.6+888.45</f>
        <v>32576.94</v>
      </c>
      <c r="C81" s="8">
        <v>0</v>
      </c>
      <c r="D81" s="8">
        <v>198.05</v>
      </c>
      <c r="E81" s="8">
        <v>166.02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f t="shared" si="2"/>
        <v>32941.009999999995</v>
      </c>
    </row>
    <row r="82" spans="1:12">
      <c r="A82">
        <v>81</v>
      </c>
      <c r="B82" s="8">
        <f>18126.15+683.2</f>
        <v>18809.350000000002</v>
      </c>
      <c r="C82" s="8">
        <v>112.09</v>
      </c>
      <c r="D82" s="8">
        <v>355.9</v>
      </c>
      <c r="E82" s="8">
        <v>166.01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f t="shared" si="2"/>
        <v>19443.350000000002</v>
      </c>
    </row>
    <row r="83" spans="1:12">
      <c r="A83">
        <v>82</v>
      </c>
      <c r="B83" s="8">
        <f>25660.53+1178.8+2106.75</f>
        <v>28946.079999999998</v>
      </c>
      <c r="C83" s="8">
        <f>6446.9+399.19</f>
        <v>6846.0899999999992</v>
      </c>
      <c r="D83" s="8">
        <v>0</v>
      </c>
      <c r="E83" s="8">
        <v>164.02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f t="shared" si="2"/>
        <v>35956.189999999995</v>
      </c>
    </row>
    <row r="84" spans="1:12" ht="15.75" thickBot="1">
      <c r="B84" s="13">
        <f>+SUM(B2:B83)</f>
        <v>4871034.4899999993</v>
      </c>
      <c r="C84" s="13">
        <f t="shared" ref="C84:K84" si="3">+SUM(C2:C83)</f>
        <v>1153238.2200000004</v>
      </c>
      <c r="D84" s="13">
        <f t="shared" si="3"/>
        <v>58564.780000000013</v>
      </c>
      <c r="E84" s="13">
        <f t="shared" si="3"/>
        <v>12966.550000000008</v>
      </c>
      <c r="F84" s="13">
        <f t="shared" si="3"/>
        <v>83705.45</v>
      </c>
      <c r="G84" s="13">
        <f t="shared" si="3"/>
        <v>26092.32</v>
      </c>
      <c r="H84" s="13">
        <f t="shared" si="3"/>
        <v>3600</v>
      </c>
      <c r="I84" s="13">
        <f t="shared" si="3"/>
        <v>6699.87</v>
      </c>
      <c r="J84" s="13">
        <f t="shared" si="3"/>
        <v>16347.939999999999</v>
      </c>
      <c r="K84" s="13">
        <f t="shared" si="3"/>
        <v>6232249.6199999973</v>
      </c>
    </row>
    <row r="85" spans="1:12" ht="15.75" thickTop="1"/>
    <row r="86" spans="1:12">
      <c r="A86" t="s">
        <v>11</v>
      </c>
      <c r="B86" s="14">
        <v>70</v>
      </c>
    </row>
    <row r="88" spans="1:12" s="8" customFormat="1">
      <c r="A88"/>
      <c r="L88"/>
    </row>
  </sheetData>
  <autoFilter ref="A1:K83" xr:uid="{713D6F93-451C-4540-9664-6C65187BE982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B5F6-B843-4D8A-9A19-1B4A02C3661D}">
  <dimension ref="A1:L78"/>
  <sheetViews>
    <sheetView zoomScaleNormal="100" workbookViewId="0">
      <pane xSplit="1" ySplit="1" topLeftCell="B59" activePane="bottomRight" state="frozen"/>
      <selection pane="bottomRight" activeCell="B1" sqref="B1:C1048576"/>
      <selection pane="bottomLeft" activeCell="A2" sqref="A2"/>
      <selection pane="topRight" activeCell="D1" sqref="D1"/>
    </sheetView>
  </sheetViews>
  <sheetFormatPr defaultRowHeight="15"/>
  <cols>
    <col min="1" max="1" width="28.5703125" bestFit="1" customWidth="1"/>
    <col min="2" max="2" width="14.28515625" style="8" customWidth="1"/>
    <col min="3" max="3" width="14.5703125" style="8" customWidth="1"/>
    <col min="4" max="4" width="14.7109375" style="8" customWidth="1"/>
    <col min="5" max="5" width="11.28515625" style="8" customWidth="1"/>
    <col min="6" max="6" width="15.140625" style="8" customWidth="1"/>
    <col min="7" max="7" width="10.140625" style="8" customWidth="1"/>
    <col min="8" max="10" width="16.140625" style="8" customWidth="1"/>
    <col min="11" max="11" width="14.7109375" style="8" customWidth="1"/>
  </cols>
  <sheetData>
    <row r="1" spans="1:12" s="2" customFormat="1" ht="48.75" customHeight="1">
      <c r="A1" s="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H1" s="9" t="s">
        <v>7</v>
      </c>
      <c r="I1" s="9" t="s">
        <v>8</v>
      </c>
      <c r="J1" s="9" t="s">
        <v>9</v>
      </c>
      <c r="K1" s="12" t="s">
        <v>10</v>
      </c>
    </row>
    <row r="2" spans="1:12">
      <c r="A2">
        <v>1</v>
      </c>
      <c r="B2" s="8">
        <f>93856.81+4718.09+438.06+2152.6+10813.24</f>
        <v>111978.8</v>
      </c>
      <c r="C2" s="8">
        <v>0</v>
      </c>
      <c r="D2" s="8">
        <v>0</v>
      </c>
      <c r="E2" s="8">
        <v>327.79</v>
      </c>
      <c r="F2" s="8">
        <v>5256.77</v>
      </c>
      <c r="G2" s="8">
        <v>0</v>
      </c>
      <c r="H2" s="8">
        <v>0</v>
      </c>
      <c r="I2" s="8">
        <v>0</v>
      </c>
      <c r="J2" s="8">
        <v>0</v>
      </c>
      <c r="K2" s="8">
        <f>+SUM(B2:H2)</f>
        <v>117563.36</v>
      </c>
    </row>
    <row r="3" spans="1:12">
      <c r="A3">
        <f>+A2+1</f>
        <v>2</v>
      </c>
      <c r="B3" s="8">
        <f>50164.56+2555.12+235.6+5434+1836.16</f>
        <v>60225.440000000002</v>
      </c>
      <c r="C3" s="8">
        <v>606.48</v>
      </c>
      <c r="D3" s="8">
        <v>0</v>
      </c>
      <c r="E3" s="8">
        <v>220.08</v>
      </c>
      <c r="F3" s="8">
        <v>0</v>
      </c>
      <c r="G3" s="8">
        <v>0</v>
      </c>
      <c r="H3" s="8">
        <v>300</v>
      </c>
      <c r="I3" s="8">
        <v>0</v>
      </c>
      <c r="J3" s="8">
        <v>0</v>
      </c>
      <c r="K3" s="8">
        <f t="shared" ref="K3:K36" si="0">+SUM(B3:J3)</f>
        <v>61352.000000000007</v>
      </c>
    </row>
    <row r="4" spans="1:12">
      <c r="A4">
        <v>3</v>
      </c>
      <c r="B4" s="8">
        <f>18123.55+1034.4+517.2+172.4</f>
        <v>19847.550000000003</v>
      </c>
      <c r="C4" s="8">
        <v>113.14</v>
      </c>
      <c r="D4" s="8">
        <v>4310</v>
      </c>
      <c r="E4" s="8">
        <v>0</v>
      </c>
      <c r="F4" s="8">
        <v>3189.4</v>
      </c>
      <c r="G4" s="8">
        <v>940.75</v>
      </c>
      <c r="H4" s="8">
        <v>0</v>
      </c>
      <c r="I4" s="8">
        <v>0</v>
      </c>
      <c r="J4" s="8">
        <v>0</v>
      </c>
      <c r="K4" s="8">
        <f t="shared" si="0"/>
        <v>28400.840000000004</v>
      </c>
    </row>
    <row r="5" spans="1:12">
      <c r="A5">
        <v>4</v>
      </c>
      <c r="B5" s="8">
        <f>65646.24+7216.13+3602.8+2931.84+2625.52+977.28+651.52</f>
        <v>83651.330000000016</v>
      </c>
      <c r="C5" s="8">
        <f>6570.35+732.96+12717.27+2223.32</f>
        <v>22243.9</v>
      </c>
      <c r="D5" s="8">
        <v>0</v>
      </c>
      <c r="E5" s="8">
        <v>218.95</v>
      </c>
      <c r="F5" s="8">
        <v>0</v>
      </c>
      <c r="G5" s="8">
        <v>328.43</v>
      </c>
      <c r="H5" s="8">
        <v>300</v>
      </c>
      <c r="I5" s="8">
        <v>0</v>
      </c>
      <c r="J5" s="8">
        <v>0</v>
      </c>
      <c r="K5" s="8">
        <f t="shared" si="0"/>
        <v>106742.61</v>
      </c>
    </row>
    <row r="6" spans="1:12">
      <c r="A6">
        <v>5</v>
      </c>
      <c r="B6" s="8">
        <f>52680.9+2784.48+251.76+4342.86+3303.12+2265.84</f>
        <v>65628.960000000006</v>
      </c>
      <c r="C6" s="8">
        <f>2124.26</f>
        <v>2124.2600000000002</v>
      </c>
      <c r="D6" s="8">
        <v>4340.3999999999996</v>
      </c>
      <c r="E6" s="8">
        <v>219.17</v>
      </c>
      <c r="F6" s="8">
        <v>0</v>
      </c>
      <c r="G6" s="8">
        <v>328.78</v>
      </c>
      <c r="H6" s="8">
        <v>300</v>
      </c>
      <c r="J6" s="8">
        <v>0</v>
      </c>
      <c r="K6" s="8">
        <f t="shared" si="0"/>
        <v>72941.569999999992</v>
      </c>
    </row>
    <row r="7" spans="1:12">
      <c r="A7">
        <v>6</v>
      </c>
      <c r="B7" s="8">
        <f>68843.48+3306.84+300.62+1503.1+2705.6+1503.12</f>
        <v>78162.759999999995</v>
      </c>
      <c r="C7" s="8">
        <v>0</v>
      </c>
      <c r="D7" s="8">
        <v>0</v>
      </c>
      <c r="E7" s="8">
        <v>221.21</v>
      </c>
      <c r="F7" s="8">
        <v>300.62</v>
      </c>
      <c r="G7" s="8">
        <v>0</v>
      </c>
      <c r="H7" s="8">
        <v>0</v>
      </c>
      <c r="I7" s="8">
        <v>0</v>
      </c>
      <c r="J7" s="8">
        <v>0</v>
      </c>
      <c r="K7" s="8">
        <f t="shared" si="0"/>
        <v>78684.59</v>
      </c>
    </row>
    <row r="8" spans="1:12">
      <c r="A8">
        <v>7</v>
      </c>
      <c r="B8" s="8">
        <f>65320.48+4251.72+3602.8+325.76+4886.4+5870.16+990.24</f>
        <v>85247.56</v>
      </c>
      <c r="C8" s="8">
        <f>10248.36+244.32+6407.03+2620.19</f>
        <v>19519.899999999998</v>
      </c>
      <c r="D8" s="8">
        <v>0</v>
      </c>
      <c r="E8" s="8">
        <v>218.9</v>
      </c>
      <c r="F8" s="8">
        <v>332.24</v>
      </c>
      <c r="G8" s="8">
        <v>0</v>
      </c>
      <c r="H8" s="8">
        <v>300</v>
      </c>
      <c r="I8" s="8">
        <v>0</v>
      </c>
      <c r="J8" s="8">
        <v>0</v>
      </c>
      <c r="K8" s="8">
        <f t="shared" si="0"/>
        <v>105618.59999999999</v>
      </c>
    </row>
    <row r="9" spans="1:12">
      <c r="A9">
        <v>8</v>
      </c>
      <c r="B9" s="8">
        <f>64167.36+5970.95+3602.8+325.76+4072+4899.36+2931.84</f>
        <v>85970.069999999992</v>
      </c>
      <c r="C9" s="8">
        <f>244.93+6136.22+1648.38</f>
        <v>8029.5300000000007</v>
      </c>
      <c r="D9" s="8">
        <v>0</v>
      </c>
      <c r="E9" s="8">
        <v>219.45</v>
      </c>
      <c r="F9" s="8">
        <v>0</v>
      </c>
      <c r="G9" s="8">
        <v>0</v>
      </c>
      <c r="H9" s="8">
        <v>300</v>
      </c>
      <c r="I9" s="8">
        <v>0</v>
      </c>
      <c r="J9" s="8">
        <v>0</v>
      </c>
      <c r="K9" s="8">
        <f t="shared" si="0"/>
        <v>94519.049999999988</v>
      </c>
      <c r="L9" s="7"/>
    </row>
    <row r="10" spans="1:12">
      <c r="A10">
        <v>9</v>
      </c>
      <c r="B10" s="8">
        <f>64160.88+10629.31+3941.52+4397.76+2286.8+651.52+423.49</f>
        <v>86491.280000000013</v>
      </c>
      <c r="C10" s="8">
        <f>2413.88+285.04+13956.72+10415.46</f>
        <v>27071.1</v>
      </c>
      <c r="D10" s="8">
        <v>3322.4</v>
      </c>
      <c r="E10" s="8">
        <v>218.9</v>
      </c>
      <c r="F10" s="8">
        <v>747.54</v>
      </c>
      <c r="G10" s="8">
        <v>0</v>
      </c>
      <c r="H10" s="8">
        <v>125</v>
      </c>
      <c r="I10" s="8">
        <v>0</v>
      </c>
      <c r="J10" s="8">
        <v>0</v>
      </c>
      <c r="K10" s="8">
        <f t="shared" si="0"/>
        <v>117976.21999999999</v>
      </c>
    </row>
    <row r="11" spans="1:12">
      <c r="A11">
        <v>10</v>
      </c>
      <c r="B11" s="8">
        <f>47541.06+3867.84+296.16+444.24+2702.46+3276.56+5927.17+8162.16+1048.4+2718.72</f>
        <v>75984.76999999999</v>
      </c>
      <c r="C11" s="8">
        <f>14636.07+561.96+1320.5+18329.22+8434.41</f>
        <v>43282.16</v>
      </c>
      <c r="D11" s="8">
        <v>0</v>
      </c>
      <c r="E11" s="8">
        <v>218.91</v>
      </c>
      <c r="F11" s="8">
        <v>0</v>
      </c>
      <c r="G11" s="8">
        <v>0</v>
      </c>
      <c r="H11" s="8">
        <v>300</v>
      </c>
      <c r="J11" s="8">
        <v>0</v>
      </c>
      <c r="K11" s="8">
        <f t="shared" si="0"/>
        <v>119785.84</v>
      </c>
    </row>
    <row r="12" spans="1:12">
      <c r="A12">
        <v>11</v>
      </c>
      <c r="B12" s="8">
        <f>55699.44+5522.19+3602.8+325.76+1316+5782.24+6371.76+1018+1993.44</f>
        <v>81631.63</v>
      </c>
      <c r="C12" s="8">
        <f>12400.46+2117.44+12352.86+4631.76</f>
        <v>31502.520000000004</v>
      </c>
      <c r="D12" s="8">
        <v>0</v>
      </c>
      <c r="E12" s="8">
        <v>219.26</v>
      </c>
      <c r="F12" s="8">
        <v>0</v>
      </c>
      <c r="H12" s="8">
        <v>300</v>
      </c>
      <c r="I12" s="8">
        <v>0</v>
      </c>
      <c r="J12" s="8">
        <v>0</v>
      </c>
      <c r="K12" s="8">
        <f t="shared" si="0"/>
        <v>113653.41</v>
      </c>
    </row>
    <row r="13" spans="1:12">
      <c r="A13">
        <v>12</v>
      </c>
      <c r="B13" s="8">
        <f>44577.3+2221.2+199.2+4137.9+1394.4</f>
        <v>52530</v>
      </c>
      <c r="C13" s="8">
        <f>500.18</f>
        <v>500.18</v>
      </c>
      <c r="D13" s="8">
        <v>205.2</v>
      </c>
      <c r="E13" s="8">
        <v>220.09</v>
      </c>
      <c r="F13" s="8">
        <v>820.8</v>
      </c>
      <c r="G13" s="8">
        <v>0</v>
      </c>
      <c r="H13" s="8">
        <v>0</v>
      </c>
      <c r="I13" s="8">
        <v>0</v>
      </c>
      <c r="J13" s="8">
        <v>0</v>
      </c>
      <c r="K13" s="8">
        <f t="shared" si="0"/>
        <v>54276.27</v>
      </c>
    </row>
    <row r="14" spans="1:12">
      <c r="A14">
        <v>13</v>
      </c>
      <c r="B14" s="8">
        <f>61121.68+7648.06+3602.8+162.88+5619.36+5264+325.76</f>
        <v>83744.540000000008</v>
      </c>
      <c r="C14" s="8">
        <f>10665.75+2931.84+14496.76+3387.9</f>
        <v>31482.25</v>
      </c>
      <c r="D14" s="8">
        <v>0</v>
      </c>
      <c r="E14" s="8">
        <v>218.83</v>
      </c>
      <c r="F14" s="8">
        <v>0</v>
      </c>
      <c r="H14" s="8">
        <v>300</v>
      </c>
      <c r="I14" s="8">
        <v>0</v>
      </c>
      <c r="J14" s="8">
        <v>0</v>
      </c>
      <c r="K14" s="8">
        <f t="shared" si="0"/>
        <v>115745.62000000001</v>
      </c>
    </row>
    <row r="15" spans="1:12">
      <c r="A15">
        <v>14</v>
      </c>
      <c r="B15" s="8">
        <f>48724.18+3275.52+5367.9+6432.06+6747.52+3873.76+2387.04</f>
        <v>76807.979999999981</v>
      </c>
      <c r="C15" s="8">
        <f>2873.13+518.28+883.08+21705.54+4322.64</f>
        <v>30302.67</v>
      </c>
      <c r="D15" s="8">
        <v>0</v>
      </c>
      <c r="E15" s="8">
        <v>218.91</v>
      </c>
      <c r="F15" s="8">
        <v>1963.52</v>
      </c>
      <c r="G15" s="8">
        <v>0</v>
      </c>
      <c r="H15" s="8">
        <v>0</v>
      </c>
      <c r="I15" s="8">
        <v>0</v>
      </c>
      <c r="J15" s="8">
        <v>0</v>
      </c>
      <c r="K15" s="8">
        <f t="shared" si="0"/>
        <v>109293.07999999999</v>
      </c>
    </row>
    <row r="16" spans="1:12">
      <c r="A16">
        <v>15</v>
      </c>
      <c r="B16" s="8">
        <f>52994.38+2784.48+3305+4531.07+1258.8+755.28</f>
        <v>65629.010000000009</v>
      </c>
      <c r="C16" s="8">
        <f>992.24</f>
        <v>992.24</v>
      </c>
      <c r="D16" s="8">
        <v>1300.05</v>
      </c>
      <c r="E16" s="8">
        <v>219.18</v>
      </c>
      <c r="F16" s="8">
        <v>1284</v>
      </c>
      <c r="H16" s="8">
        <v>300</v>
      </c>
      <c r="I16" s="8">
        <v>0</v>
      </c>
      <c r="J16" s="8">
        <v>0</v>
      </c>
      <c r="K16" s="8">
        <f t="shared" si="0"/>
        <v>69724.48000000001</v>
      </c>
      <c r="L16" s="7"/>
    </row>
    <row r="17" spans="1:12">
      <c r="A17">
        <v>16</v>
      </c>
      <c r="B17" s="8">
        <f>60059.5+10629.31+3602.8+162.88+4032.9+3094.72+895.84</f>
        <v>82477.95</v>
      </c>
      <c r="C17" s="8">
        <f>16763.26+5910.88+16672.27+7930.64</f>
        <v>47277.05</v>
      </c>
      <c r="D17" s="8">
        <v>3820.76</v>
      </c>
      <c r="E17" s="8">
        <v>218.99</v>
      </c>
      <c r="F17" s="8">
        <v>3073.22</v>
      </c>
      <c r="H17" s="8">
        <v>300</v>
      </c>
      <c r="I17" s="8">
        <v>0</v>
      </c>
      <c r="J17" s="8">
        <v>0</v>
      </c>
      <c r="K17" s="8">
        <f t="shared" si="0"/>
        <v>137167.97</v>
      </c>
    </row>
    <row r="18" spans="1:12">
      <c r="A18">
        <v>17</v>
      </c>
      <c r="B18" s="8">
        <f>41546.45+1984.8+184.8+2507.2+807.6</f>
        <v>47030.85</v>
      </c>
      <c r="C18" s="8">
        <v>447.54</v>
      </c>
      <c r="D18" s="8">
        <v>2772</v>
      </c>
      <c r="E18" s="8">
        <v>221.36</v>
      </c>
      <c r="F18" s="8">
        <v>1201.2</v>
      </c>
      <c r="G18" s="8">
        <v>0</v>
      </c>
      <c r="H18" s="8">
        <v>0</v>
      </c>
      <c r="I18" s="8">
        <v>0</v>
      </c>
      <c r="J18" s="8">
        <v>0</v>
      </c>
      <c r="K18" s="8">
        <f t="shared" si="0"/>
        <v>51672.95</v>
      </c>
    </row>
    <row r="19" spans="1:12">
      <c r="A19">
        <v>18</v>
      </c>
      <c r="B19" s="8">
        <f>74321.74+3397.92+272.16+3649.4+306.56</f>
        <v>81947.78</v>
      </c>
      <c r="C19" s="8">
        <f>3010.88+31.08</f>
        <v>3041.96</v>
      </c>
      <c r="D19" s="8">
        <v>0</v>
      </c>
      <c r="E19" s="8">
        <v>221.21</v>
      </c>
      <c r="F19" s="8">
        <v>1594.4</v>
      </c>
      <c r="G19" s="8">
        <v>221.2</v>
      </c>
      <c r="H19" s="8">
        <v>0</v>
      </c>
      <c r="I19" s="8">
        <v>0</v>
      </c>
      <c r="J19" s="8">
        <v>0</v>
      </c>
      <c r="K19" s="8">
        <f t="shared" si="0"/>
        <v>87026.55</v>
      </c>
      <c r="L19" s="7"/>
    </row>
    <row r="20" spans="1:12">
      <c r="A20">
        <v>19</v>
      </c>
      <c r="B20" s="8">
        <f>49434.96+3275.52+302.08+4627.5+5196.32+6747.52+4460.16+888.48+1510.4</f>
        <v>76442.939999999988</v>
      </c>
      <c r="C20" s="8">
        <f>12061.15+1999.08+486.61+10595.79+3268.33</f>
        <v>28410.959999999999</v>
      </c>
      <c r="D20" s="8">
        <v>0</v>
      </c>
      <c r="E20" s="8">
        <v>219.1</v>
      </c>
      <c r="F20" s="8">
        <v>2416.64</v>
      </c>
      <c r="G20" s="8">
        <v>0</v>
      </c>
      <c r="H20" s="8">
        <v>0</v>
      </c>
      <c r="I20" s="8">
        <v>0</v>
      </c>
      <c r="J20" s="8">
        <v>0</v>
      </c>
      <c r="K20" s="8">
        <f t="shared" si="0"/>
        <v>107489.64</v>
      </c>
    </row>
    <row r="21" spans="1:12">
      <c r="A21">
        <v>20</v>
      </c>
      <c r="B21" s="8">
        <f>50326.52+2536.52+1260.54+1576.46</f>
        <v>55700.039999999994</v>
      </c>
      <c r="C21" s="8">
        <v>8185.32</v>
      </c>
      <c r="D21" s="8">
        <v>4186.4799999999996</v>
      </c>
      <c r="E21" s="8">
        <v>221.23</v>
      </c>
      <c r="F21" s="8">
        <v>2128</v>
      </c>
      <c r="G21" s="8">
        <v>0</v>
      </c>
      <c r="H21" s="8">
        <v>0</v>
      </c>
      <c r="I21" s="8">
        <v>0</v>
      </c>
      <c r="J21" s="8">
        <v>0</v>
      </c>
      <c r="K21" s="8">
        <f t="shared" si="0"/>
        <v>70421.069999999992</v>
      </c>
    </row>
    <row r="22" spans="1:12">
      <c r="A22">
        <v>21</v>
      </c>
      <c r="B22" s="8">
        <f>44293.23+1801.76+1801.15</f>
        <v>47896.140000000007</v>
      </c>
      <c r="C22" s="8">
        <v>1787.81</v>
      </c>
      <c r="D22" s="8">
        <v>4160.3900000000003</v>
      </c>
      <c r="E22" s="8">
        <v>0</v>
      </c>
      <c r="F22" s="8">
        <v>6802.04</v>
      </c>
      <c r="G22" s="8">
        <v>383.03</v>
      </c>
      <c r="H22" s="8">
        <v>0</v>
      </c>
      <c r="I22" s="8">
        <v>0</v>
      </c>
      <c r="J22" s="8">
        <v>0</v>
      </c>
      <c r="K22" s="8">
        <f t="shared" si="0"/>
        <v>61029.41</v>
      </c>
    </row>
    <row r="23" spans="1:12">
      <c r="A23">
        <v>22</v>
      </c>
      <c r="B23" s="8">
        <f>52685.3+3275.52+2850.54+6349.48+6747.52+4442.4+1930.96</f>
        <v>78281.72</v>
      </c>
      <c r="C23" s="8">
        <f>864.05+517.57+861.17+12019.1+3162.9</f>
        <v>17424.79</v>
      </c>
      <c r="D23" s="8">
        <v>0</v>
      </c>
      <c r="E23" s="8">
        <v>219.2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f t="shared" si="0"/>
        <v>95925.71</v>
      </c>
    </row>
    <row r="24" spans="1:12">
      <c r="A24">
        <v>23</v>
      </c>
      <c r="B24" s="8">
        <f>51340.75+8123.64+3275.52+296.16+598.24+3128.93+3736.52+5644.8+1184.64</f>
        <v>77329.2</v>
      </c>
      <c r="C24" s="8">
        <f>4335.8+222.12+11317.79+4241.82+182.48</f>
        <v>20300.009999999998</v>
      </c>
      <c r="D24" s="8">
        <v>0</v>
      </c>
      <c r="E24" s="8">
        <v>218.92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f t="shared" si="0"/>
        <v>97848.12999999999</v>
      </c>
    </row>
    <row r="25" spans="1:12">
      <c r="A25">
        <v>24</v>
      </c>
      <c r="B25" s="8">
        <f>34936.23+1715.2+148.96+297.92+22.56+2504.24+1353.33</f>
        <v>40978.439999999995</v>
      </c>
      <c r="C25" s="8">
        <f>407.21+0.7</f>
        <v>407.90999999999997</v>
      </c>
      <c r="D25" s="8">
        <v>0</v>
      </c>
      <c r="E25" s="8">
        <v>221.36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f t="shared" si="0"/>
        <v>41607.71</v>
      </c>
    </row>
    <row r="26" spans="1:12">
      <c r="A26">
        <v>25</v>
      </c>
      <c r="B26" s="8">
        <f>54018.82+2507.92+232.88+3081.16</f>
        <v>59840.78</v>
      </c>
      <c r="C26" s="8">
        <v>3004.49</v>
      </c>
      <c r="D26" s="8">
        <v>1746.6</v>
      </c>
      <c r="E26" s="8">
        <v>221.35</v>
      </c>
      <c r="F26" s="8">
        <v>756.86</v>
      </c>
      <c r="G26" s="8">
        <v>0</v>
      </c>
      <c r="H26" s="8">
        <v>0</v>
      </c>
      <c r="I26" s="8">
        <v>0</v>
      </c>
      <c r="J26" s="8">
        <v>0</v>
      </c>
      <c r="K26" s="8">
        <f t="shared" si="0"/>
        <v>65570.079999999987</v>
      </c>
    </row>
    <row r="27" spans="1:12">
      <c r="A27">
        <v>26</v>
      </c>
      <c r="B27" s="8">
        <f>64933.75+10214.25+3602.8+325.76+5876.64+1018.81</f>
        <v>85972.01</v>
      </c>
      <c r="C27" s="8">
        <f>11215.3+1920.32+14323.53+5113.45</f>
        <v>32572.600000000002</v>
      </c>
      <c r="D27" s="8">
        <v>1628.8</v>
      </c>
      <c r="E27" s="8">
        <v>218.91</v>
      </c>
      <c r="F27" s="8">
        <v>0</v>
      </c>
      <c r="G27" s="8">
        <v>164.18</v>
      </c>
      <c r="H27" s="8">
        <v>0</v>
      </c>
      <c r="I27" s="8">
        <v>0</v>
      </c>
      <c r="J27" s="8">
        <v>0</v>
      </c>
      <c r="K27" s="8">
        <f t="shared" si="0"/>
        <v>120556.5</v>
      </c>
      <c r="L27" s="7"/>
    </row>
    <row r="28" spans="1:12">
      <c r="A28">
        <v>27</v>
      </c>
      <c r="B28" s="8">
        <f>66703.29+3275.52+4534.95+2689.12</f>
        <v>77202.87999999999</v>
      </c>
      <c r="C28" s="8">
        <f>6048.38+672.28</f>
        <v>6720.66</v>
      </c>
      <c r="D28" s="8">
        <v>0</v>
      </c>
      <c r="E28" s="8">
        <v>219.28</v>
      </c>
      <c r="F28" s="8">
        <v>0</v>
      </c>
      <c r="G28" s="8">
        <v>0</v>
      </c>
      <c r="H28" s="8">
        <v>300</v>
      </c>
      <c r="J28" s="8">
        <v>0</v>
      </c>
      <c r="K28" s="8">
        <f t="shared" si="0"/>
        <v>84442.819999999992</v>
      </c>
    </row>
    <row r="29" spans="1:12">
      <c r="A29">
        <v>28</v>
      </c>
      <c r="B29" s="8">
        <f>40616.97+1909.84+2203.64+595.93</f>
        <v>45326.38</v>
      </c>
      <c r="C29" s="8">
        <f>3112.27</f>
        <v>3112.27</v>
      </c>
      <c r="D29" s="8">
        <v>1395.62</v>
      </c>
      <c r="E29" s="8">
        <v>218.58</v>
      </c>
      <c r="F29" s="8">
        <v>1755.78</v>
      </c>
      <c r="G29" s="8">
        <v>0</v>
      </c>
      <c r="H29" s="8">
        <v>0</v>
      </c>
      <c r="I29" s="8">
        <v>0</v>
      </c>
      <c r="J29" s="8">
        <v>0</v>
      </c>
      <c r="K29" s="8">
        <f t="shared" si="0"/>
        <v>51808.63</v>
      </c>
    </row>
    <row r="30" spans="1:12">
      <c r="A30">
        <v>29</v>
      </c>
      <c r="B30" s="8">
        <f>28186.77+1646+152.08+2784.36+2649.01</f>
        <v>35418.22</v>
      </c>
      <c r="C30" s="8">
        <v>154.33000000000001</v>
      </c>
      <c r="D30" s="8">
        <v>0</v>
      </c>
      <c r="E30" s="8">
        <v>221.36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f t="shared" si="0"/>
        <v>35793.910000000003</v>
      </c>
    </row>
    <row r="31" spans="1:12">
      <c r="A31">
        <v>30</v>
      </c>
      <c r="B31" s="8">
        <f>56182.2+5390.1+3275.52+302.08+3036.38+1500.35+4738.56+2375.2</f>
        <v>76800.39</v>
      </c>
      <c r="C31" s="8">
        <f>4038.18+10972.73+3609.46</f>
        <v>18620.37</v>
      </c>
      <c r="D31" s="8">
        <v>0</v>
      </c>
      <c r="E31" s="8">
        <v>219.13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f t="shared" si="0"/>
        <v>95639.89</v>
      </c>
    </row>
    <row r="32" spans="1:12">
      <c r="A32">
        <v>31</v>
      </c>
      <c r="B32" s="8">
        <f>57111.9+2784.48+503.52+3209.94+2019.12</f>
        <v>65628.960000000006</v>
      </c>
      <c r="C32" s="8">
        <f>428.18</f>
        <v>428.18</v>
      </c>
      <c r="D32" s="8">
        <v>3210</v>
      </c>
      <c r="E32" s="8">
        <v>221.33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f t="shared" si="0"/>
        <v>69488.47</v>
      </c>
    </row>
    <row r="33" spans="1:12">
      <c r="A33">
        <v>32</v>
      </c>
      <c r="B33" s="8">
        <f>55883.86+8508.66+3571.68+3777.07+843.44+2369.28+2416.64</f>
        <v>77370.63</v>
      </c>
      <c r="C33" s="8">
        <f>12341.04+672.28+16125.58+3615.22+121.66</f>
        <v>32875.780000000006</v>
      </c>
      <c r="D33" s="8">
        <v>0</v>
      </c>
      <c r="E33" s="8">
        <v>218.89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f t="shared" si="0"/>
        <v>110465.3</v>
      </c>
    </row>
    <row r="34" spans="1:12">
      <c r="A34">
        <v>33</v>
      </c>
      <c r="B34" s="8">
        <f>42864.43+2097.04+2685.76+1961.16</f>
        <v>49608.390000000007</v>
      </c>
      <c r="C34" s="8">
        <v>515.27</v>
      </c>
      <c r="D34" s="8">
        <v>0</v>
      </c>
      <c r="E34" s="8">
        <v>221.35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f t="shared" si="0"/>
        <v>50345.01</v>
      </c>
    </row>
    <row r="35" spans="1:12">
      <c r="A35">
        <v>34</v>
      </c>
      <c r="B35" s="8">
        <f>50918.44+2586.38+1480.08+1441.83</f>
        <v>56426.73</v>
      </c>
      <c r="C35" s="8">
        <f>8394.58</f>
        <v>8394.58</v>
      </c>
      <c r="D35" s="8">
        <v>1724.8</v>
      </c>
      <c r="E35" s="8">
        <v>221.24</v>
      </c>
      <c r="F35" s="8">
        <v>1509.2</v>
      </c>
      <c r="G35" s="8">
        <v>0</v>
      </c>
      <c r="H35" s="8">
        <v>0</v>
      </c>
      <c r="I35" s="8">
        <v>0</v>
      </c>
      <c r="J35" s="8">
        <v>0</v>
      </c>
      <c r="K35" s="8">
        <f t="shared" si="0"/>
        <v>68276.55</v>
      </c>
    </row>
    <row r="36" spans="1:12">
      <c r="A36">
        <v>35</v>
      </c>
      <c r="B36" s="8">
        <f>56334.02+7738.63+3879.68+296.16+2998.62+2937.36+421.72+1486.72+1788.8+302.08</f>
        <v>78183.789999999994</v>
      </c>
      <c r="C36" s="8">
        <f>3472.32+999.54+12544.26+5907.92+123.87</f>
        <v>23047.91</v>
      </c>
      <c r="D36" s="8">
        <v>0</v>
      </c>
      <c r="E36" s="8">
        <v>219.02</v>
      </c>
      <c r="F36" s="8">
        <v>37.76</v>
      </c>
      <c r="G36" s="8">
        <v>0</v>
      </c>
      <c r="H36" s="8">
        <v>0</v>
      </c>
      <c r="I36" s="8">
        <v>0</v>
      </c>
      <c r="J36" s="8">
        <v>0</v>
      </c>
      <c r="K36" s="8">
        <f t="shared" si="0"/>
        <v>101488.48</v>
      </c>
    </row>
    <row r="37" spans="1:12">
      <c r="A37">
        <v>36</v>
      </c>
      <c r="B37" s="8">
        <f>45585.18+2052.32+755.2+406.98</f>
        <v>48799.68</v>
      </c>
      <c r="C37" s="8">
        <f>105.69</f>
        <v>105.69</v>
      </c>
      <c r="D37" s="8">
        <v>2777.04</v>
      </c>
      <c r="E37" s="8">
        <v>221.36</v>
      </c>
      <c r="F37" s="8">
        <v>1675.8</v>
      </c>
      <c r="G37" s="8">
        <v>0</v>
      </c>
      <c r="H37" s="8">
        <v>0</v>
      </c>
      <c r="I37" s="8">
        <v>0</v>
      </c>
      <c r="J37" s="8">
        <v>0</v>
      </c>
      <c r="K37" s="8">
        <f t="shared" ref="K37:K68" si="1">+SUM(B37:J37)</f>
        <v>53579.570000000007</v>
      </c>
    </row>
    <row r="38" spans="1:12">
      <c r="A38">
        <v>37</v>
      </c>
      <c r="B38" s="8">
        <f>36041.02+1631.52+163.52+1126.6+37.95</f>
        <v>39000.609999999986</v>
      </c>
      <c r="C38" s="8">
        <f>387.49+0.55</f>
        <v>388.04</v>
      </c>
      <c r="D38" s="8">
        <v>1289.96</v>
      </c>
      <c r="E38" s="8">
        <v>221.35</v>
      </c>
      <c r="F38" s="8">
        <v>1811.64</v>
      </c>
      <c r="G38" s="8">
        <v>110.67</v>
      </c>
      <c r="H38" s="8">
        <v>0</v>
      </c>
      <c r="I38" s="8">
        <v>0</v>
      </c>
      <c r="J38" s="8">
        <v>0</v>
      </c>
      <c r="K38" s="8">
        <f t="shared" si="1"/>
        <v>42822.269999999982</v>
      </c>
    </row>
    <row r="39" spans="1:12">
      <c r="A39">
        <v>38</v>
      </c>
      <c r="B39" s="8">
        <f>74492.69+3670.26+327.7+1363.24+2660.95+3303.24+1022.42</f>
        <v>86840.5</v>
      </c>
      <c r="C39" s="8">
        <v>0</v>
      </c>
      <c r="D39" s="8">
        <v>0</v>
      </c>
      <c r="E39" s="8">
        <v>331.91</v>
      </c>
      <c r="F39" s="8">
        <v>2385.66</v>
      </c>
      <c r="G39" s="8">
        <v>0</v>
      </c>
      <c r="H39" s="8">
        <v>0</v>
      </c>
      <c r="I39" s="8">
        <v>0</v>
      </c>
      <c r="J39" s="8">
        <v>0</v>
      </c>
      <c r="K39" s="8">
        <f t="shared" si="1"/>
        <v>89558.07</v>
      </c>
    </row>
    <row r="40" spans="1:12">
      <c r="A40">
        <v>39</v>
      </c>
      <c r="B40" s="8">
        <f>45671.78+2124.4+978.07+1657.69</f>
        <v>50431.94</v>
      </c>
      <c r="C40" s="8">
        <v>634.51</v>
      </c>
      <c r="D40" s="8">
        <v>1494.6</v>
      </c>
      <c r="E40" s="8">
        <v>221.3</v>
      </c>
      <c r="F40" s="8">
        <v>249.1</v>
      </c>
      <c r="G40" s="8">
        <v>0</v>
      </c>
      <c r="H40" s="8">
        <v>0</v>
      </c>
      <c r="I40" s="8">
        <v>0</v>
      </c>
      <c r="J40" s="8">
        <v>0</v>
      </c>
      <c r="K40" s="8">
        <f t="shared" si="1"/>
        <v>53031.450000000004</v>
      </c>
    </row>
    <row r="41" spans="1:12">
      <c r="A41">
        <v>40</v>
      </c>
      <c r="B41" s="8">
        <f>137195.37+6418.53+596.01+2980.04+4676.35</f>
        <v>151866.30000000002</v>
      </c>
      <c r="C41" s="8">
        <v>0</v>
      </c>
      <c r="D41" s="8">
        <v>5364.07</v>
      </c>
      <c r="E41" s="8">
        <v>612.70000000000005</v>
      </c>
      <c r="F41" s="8">
        <v>6556.09</v>
      </c>
      <c r="G41" s="8">
        <v>0</v>
      </c>
      <c r="H41" s="8">
        <v>0</v>
      </c>
      <c r="I41" s="8">
        <v>0</v>
      </c>
      <c r="J41" s="8">
        <f>1148.77+6105.78</f>
        <v>7254.5499999999993</v>
      </c>
      <c r="K41" s="8">
        <f t="shared" si="1"/>
        <v>171653.71000000002</v>
      </c>
      <c r="L41" s="7"/>
    </row>
    <row r="42" spans="1:12">
      <c r="A42">
        <v>41</v>
      </c>
      <c r="B42" s="8">
        <f>57491.19+2823.58+514.96+62.19+798.55+1243.88+2875.8+1047.32</f>
        <v>66857.470000000016</v>
      </c>
      <c r="C42" s="8">
        <v>0</v>
      </c>
      <c r="D42" s="8">
        <v>0</v>
      </c>
      <c r="E42" s="8">
        <v>332.04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f t="shared" si="1"/>
        <v>67189.510000000009</v>
      </c>
    </row>
    <row r="43" spans="1:12">
      <c r="A43">
        <v>42</v>
      </c>
      <c r="B43" s="8">
        <f>52932.6+7353.63+2979.36+302.08+296.16+3202.23+2270.8+2073.12+2949.01</f>
        <v>74358.989999999991</v>
      </c>
      <c r="C43" s="8">
        <f>14648.32+4337.26+13879.04+7651.04+486.6</f>
        <v>41002.26</v>
      </c>
      <c r="D43" s="8">
        <v>0</v>
      </c>
      <c r="E43" s="8">
        <v>218.91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f t="shared" si="1"/>
        <v>115580.16</v>
      </c>
    </row>
    <row r="44" spans="1:12">
      <c r="A44">
        <v>43</v>
      </c>
      <c r="B44" s="8">
        <f>48473.19+5005.1+3275.52+302.08+5145.78+973.2+5761.78+2961.6+2416.64</f>
        <v>74314.89</v>
      </c>
      <c r="C44" s="8">
        <f>10329.17+2110.14+12524.79+2646.92</f>
        <v>27611.019999999997</v>
      </c>
      <c r="D44" s="8">
        <v>0</v>
      </c>
      <c r="E44" s="8">
        <v>218.91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f t="shared" si="1"/>
        <v>102144.82</v>
      </c>
    </row>
    <row r="45" spans="1:12">
      <c r="A45">
        <v>44</v>
      </c>
      <c r="B45" s="8">
        <f>53452.36+9278.66+3275.52+296.16+148.08+4480.9+121.65+2073.12+299.12</f>
        <v>73425.569999999992</v>
      </c>
      <c r="C45" s="8">
        <f>20460.07+3781.96+16745.69+8028.36</f>
        <v>49016.08</v>
      </c>
      <c r="D45" s="8">
        <v>0</v>
      </c>
      <c r="E45" s="8">
        <v>218.82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f t="shared" si="1"/>
        <v>122660.47</v>
      </c>
    </row>
    <row r="46" spans="1:12">
      <c r="A46">
        <v>45</v>
      </c>
      <c r="B46" s="8">
        <f>34071.84+1651.76+123.2+2051.44+1106.66+311.04</f>
        <v>39315.94</v>
      </c>
      <c r="C46" s="8">
        <v>141.84</v>
      </c>
      <c r="D46" s="8">
        <v>0</v>
      </c>
      <c r="E46" s="8">
        <v>221.36</v>
      </c>
      <c r="F46" s="8">
        <v>427.68</v>
      </c>
      <c r="G46" s="8">
        <v>0</v>
      </c>
      <c r="H46" s="8">
        <v>0</v>
      </c>
      <c r="I46" s="8">
        <v>0</v>
      </c>
      <c r="J46" s="8">
        <v>0</v>
      </c>
      <c r="K46" s="8">
        <f t="shared" si="1"/>
        <v>40106.82</v>
      </c>
    </row>
    <row r="47" spans="1:12">
      <c r="A47">
        <v>46</v>
      </c>
      <c r="B47" s="8">
        <f>37862.74+1759.84+1436.5+631.04</f>
        <v>41690.119999999995</v>
      </c>
      <c r="C47" s="8">
        <v>466.65</v>
      </c>
      <c r="D47" s="8">
        <v>974.78</v>
      </c>
      <c r="E47" s="8">
        <v>219.42</v>
      </c>
      <c r="F47" s="8">
        <v>1161.44</v>
      </c>
      <c r="G47" s="8">
        <v>54.31</v>
      </c>
      <c r="H47" s="8">
        <v>0</v>
      </c>
      <c r="I47" s="8">
        <v>0</v>
      </c>
      <c r="J47" s="8">
        <v>0</v>
      </c>
      <c r="K47" s="8">
        <f t="shared" si="1"/>
        <v>44566.719999999994</v>
      </c>
    </row>
    <row r="48" spans="1:12">
      <c r="A48">
        <v>47</v>
      </c>
      <c r="I48" s="8">
        <v>12994.67</v>
      </c>
      <c r="K48" s="8">
        <f t="shared" si="1"/>
        <v>12994.67</v>
      </c>
    </row>
    <row r="49" spans="1:12">
      <c r="A49">
        <v>48</v>
      </c>
      <c r="B49" s="8">
        <f>68673.14+3319.21+300.7+312.26+1480.35+3377.03+1815.75</f>
        <v>79278.44</v>
      </c>
      <c r="C49" s="8">
        <v>0</v>
      </c>
      <c r="D49" s="8">
        <v>1249.02</v>
      </c>
      <c r="E49" s="8">
        <v>331.91</v>
      </c>
      <c r="F49" s="8">
        <v>1249.02</v>
      </c>
      <c r="G49" s="8">
        <v>55.32</v>
      </c>
      <c r="H49" s="8">
        <v>0</v>
      </c>
      <c r="I49" s="8">
        <v>0</v>
      </c>
      <c r="J49" s="8">
        <v>0</v>
      </c>
      <c r="K49" s="8">
        <f t="shared" si="1"/>
        <v>82163.710000000021</v>
      </c>
      <c r="L49" s="7"/>
    </row>
    <row r="50" spans="1:12">
      <c r="A50">
        <v>49</v>
      </c>
      <c r="B50" s="8">
        <f>45088.11+2540.22+933.66+1725.81+196.16</f>
        <v>50483.960000000006</v>
      </c>
      <c r="C50" s="8">
        <v>7193.31</v>
      </c>
      <c r="D50" s="8">
        <v>0</v>
      </c>
      <c r="E50" s="8">
        <v>221.24</v>
      </c>
      <c r="F50" s="8">
        <v>1471.2</v>
      </c>
      <c r="G50" s="8">
        <v>0</v>
      </c>
      <c r="H50" s="8">
        <v>0</v>
      </c>
      <c r="I50" s="8">
        <v>0</v>
      </c>
      <c r="J50" s="8">
        <v>0</v>
      </c>
      <c r="K50" s="8">
        <f t="shared" si="1"/>
        <v>59369.71</v>
      </c>
    </row>
    <row r="51" spans="1:12">
      <c r="A51">
        <v>50</v>
      </c>
      <c r="B51" s="8">
        <f>51142.3+6160.13+4164+296.16+4220.28+3371.57+2455.16+2677.28+2073.12</f>
        <v>76560.000000000015</v>
      </c>
      <c r="C51" s="8">
        <f>3945.45+861.08+18206.79+7218.9+1034.02</f>
        <v>31266.240000000002</v>
      </c>
      <c r="D51" s="8">
        <v>0</v>
      </c>
      <c r="E51" s="8">
        <v>218.83</v>
      </c>
      <c r="F51" s="8">
        <v>830.72</v>
      </c>
      <c r="G51" s="8">
        <v>0</v>
      </c>
      <c r="H51" s="8">
        <v>0</v>
      </c>
      <c r="I51" s="8">
        <v>0</v>
      </c>
      <c r="J51" s="8">
        <v>0</v>
      </c>
      <c r="K51" s="8">
        <f t="shared" si="1"/>
        <v>108875.79000000002</v>
      </c>
    </row>
    <row r="52" spans="1:12">
      <c r="A52">
        <v>51</v>
      </c>
      <c r="B52" s="8">
        <f>110926.05+5074.49+480.74+1922.98+445.13+1335.39</f>
        <v>120184.78000000001</v>
      </c>
      <c r="C52" s="8">
        <v>0</v>
      </c>
      <c r="D52" s="8">
        <v>9614.8799999999992</v>
      </c>
      <c r="E52" s="8">
        <v>663.06</v>
      </c>
      <c r="F52" s="8">
        <v>4807.4399999999996</v>
      </c>
      <c r="G52" s="8">
        <v>0</v>
      </c>
      <c r="H52" s="8">
        <v>0</v>
      </c>
      <c r="I52" s="8">
        <v>0</v>
      </c>
      <c r="J52" s="8">
        <f>1495.32+7739.05</f>
        <v>9234.3700000000008</v>
      </c>
      <c r="K52" s="8">
        <f t="shared" si="1"/>
        <v>144504.53</v>
      </c>
    </row>
    <row r="53" spans="1:12">
      <c r="A53">
        <v>52</v>
      </c>
      <c r="B53" s="8">
        <f>45014.49+2516.24+222.08+4165.84+325.6+1362.08+2349.04+3823.12</f>
        <v>59778.49</v>
      </c>
      <c r="C53" s="8">
        <f>3468.25+893.02+16.65</f>
        <v>4377.92</v>
      </c>
      <c r="D53" s="8">
        <v>0</v>
      </c>
      <c r="E53" s="8">
        <v>218.91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f t="shared" si="1"/>
        <v>64375.32</v>
      </c>
    </row>
    <row r="54" spans="1:12">
      <c r="A54">
        <v>53</v>
      </c>
      <c r="B54" s="8">
        <f>53038.8+7860.94+3028.32+286.96+2660.72+250.32+1089.68+2502.08</f>
        <v>70717.820000000007</v>
      </c>
      <c r="C54" s="8">
        <f>9192.86+1177.54+15784.63+3293.09+67.16</f>
        <v>29515.279999999999</v>
      </c>
      <c r="D54" s="8">
        <v>0</v>
      </c>
      <c r="E54" s="8">
        <v>219.25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f t="shared" si="1"/>
        <v>100452.35</v>
      </c>
    </row>
    <row r="55" spans="1:12">
      <c r="A55">
        <v>54</v>
      </c>
      <c r="B55" s="8">
        <f>128094.92+6432.73+576.93+2971.16+2901.95+8250.02+2936.55</f>
        <v>152164.25999999998</v>
      </c>
      <c r="C55" s="8">
        <v>0</v>
      </c>
      <c r="D55" s="8">
        <v>5942.32</v>
      </c>
      <c r="E55" s="8">
        <v>621.44000000000005</v>
      </c>
      <c r="F55" s="8">
        <v>3565.39</v>
      </c>
      <c r="G55" s="8">
        <v>0</v>
      </c>
      <c r="H55" s="8">
        <v>0</v>
      </c>
      <c r="I55" s="8">
        <v>0</v>
      </c>
      <c r="J55" s="8">
        <v>3591.98</v>
      </c>
      <c r="K55" s="8">
        <f t="shared" si="1"/>
        <v>165885.39000000001</v>
      </c>
    </row>
    <row r="56" spans="1:12">
      <c r="A56">
        <v>55</v>
      </c>
      <c r="B56" s="8">
        <f>39194.77+1914.08+177.76+483.68+1572.68+1761.19</f>
        <v>45104.160000000003</v>
      </c>
      <c r="C56" s="8">
        <v>116.66</v>
      </c>
      <c r="D56" s="8">
        <v>0</v>
      </c>
      <c r="E56" s="8">
        <v>221.36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f t="shared" si="1"/>
        <v>45442.180000000008</v>
      </c>
    </row>
    <row r="57" spans="1:12">
      <c r="A57">
        <v>56</v>
      </c>
      <c r="B57" s="8">
        <f>54090.81+2495.52+234.72+1973.52+330.48</f>
        <v>59125.049999999996</v>
      </c>
      <c r="C57" s="8">
        <v>240.71</v>
      </c>
      <c r="D57" s="8">
        <v>704.16</v>
      </c>
      <c r="E57" s="8">
        <v>221.36</v>
      </c>
      <c r="F57" s="8">
        <v>2464.56</v>
      </c>
      <c r="G57" s="8">
        <v>0</v>
      </c>
      <c r="H57" s="8">
        <v>0</v>
      </c>
      <c r="I57" s="8">
        <v>0</v>
      </c>
      <c r="J57" s="8">
        <v>0</v>
      </c>
      <c r="K57" s="8">
        <f t="shared" si="1"/>
        <v>62755.839999999997</v>
      </c>
    </row>
    <row r="58" spans="1:12">
      <c r="A58">
        <v>57</v>
      </c>
      <c r="B58" s="8">
        <f>241038.32+12185.21+1132.22+5468.8+384.56+27882.48+1093.76</f>
        <v>289185.34999999998</v>
      </c>
      <c r="C58" s="8">
        <v>0</v>
      </c>
      <c r="D58" s="8">
        <v>0</v>
      </c>
      <c r="E58" s="8">
        <v>627.29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f t="shared" si="1"/>
        <v>289812.63999999996</v>
      </c>
    </row>
    <row r="59" spans="1:12">
      <c r="A59">
        <v>58</v>
      </c>
      <c r="B59" s="8">
        <f>53561.82+2433.11+224.78+1335.53+0.01</f>
        <v>57555.25</v>
      </c>
      <c r="C59" s="8">
        <v>0</v>
      </c>
      <c r="D59" s="8">
        <v>0</v>
      </c>
      <c r="E59" s="8">
        <v>221.36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f t="shared" si="1"/>
        <v>57776.61</v>
      </c>
    </row>
    <row r="60" spans="1:12">
      <c r="A60">
        <v>59</v>
      </c>
      <c r="B60" s="8">
        <f>66431.46+3082.52+275+1457.52+2253.5</f>
        <v>73500.000000000015</v>
      </c>
      <c r="C60" s="8">
        <v>0</v>
      </c>
      <c r="D60" s="8">
        <v>0</v>
      </c>
      <c r="E60" s="8">
        <v>221.37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f t="shared" si="1"/>
        <v>73721.37000000001</v>
      </c>
    </row>
    <row r="61" spans="1:12">
      <c r="A61">
        <v>60</v>
      </c>
      <c r="B61" s="8">
        <f>53467.4+2434.32+233.68+1986.46+513.76</f>
        <v>58635.62</v>
      </c>
      <c r="C61" s="8">
        <v>2776.02</v>
      </c>
      <c r="D61" s="8">
        <v>0</v>
      </c>
      <c r="E61" s="8">
        <v>332.04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f t="shared" si="1"/>
        <v>61743.68</v>
      </c>
    </row>
    <row r="62" spans="1:12">
      <c r="A62">
        <v>61</v>
      </c>
      <c r="B62" s="8">
        <f>91877.56+4384.66+384.62+2492.35+1923.09+2400.03+384.62</f>
        <v>103846.93</v>
      </c>
      <c r="C62" s="8">
        <v>0</v>
      </c>
      <c r="D62" s="8">
        <v>0</v>
      </c>
      <c r="E62" s="8">
        <v>664.08</v>
      </c>
      <c r="F62" s="8">
        <v>0</v>
      </c>
      <c r="G62" s="8">
        <v>0</v>
      </c>
      <c r="H62" s="8">
        <v>0</v>
      </c>
      <c r="I62" s="8">
        <v>0</v>
      </c>
      <c r="J62" s="8">
        <f>1143.81+5311.17</f>
        <v>6454.98</v>
      </c>
      <c r="K62" s="8">
        <f t="shared" si="1"/>
        <v>110965.98999999999</v>
      </c>
    </row>
    <row r="63" spans="1:12">
      <c r="A63">
        <v>62</v>
      </c>
      <c r="B63" s="8">
        <f>63681.8+2859.56+1833.88</f>
        <v>68375.240000000005</v>
      </c>
      <c r="C63" s="8">
        <v>0</v>
      </c>
      <c r="D63" s="8">
        <v>1380.68</v>
      </c>
      <c r="E63" s="8">
        <v>332.05</v>
      </c>
      <c r="F63" s="8">
        <v>2963.4</v>
      </c>
      <c r="G63" s="8">
        <v>0</v>
      </c>
      <c r="H63" s="8">
        <v>0</v>
      </c>
      <c r="I63" s="8">
        <v>0</v>
      </c>
      <c r="J63" s="8">
        <v>0</v>
      </c>
      <c r="K63" s="8">
        <f t="shared" si="1"/>
        <v>73051.37</v>
      </c>
    </row>
    <row r="64" spans="1:12">
      <c r="A64">
        <v>63</v>
      </c>
      <c r="B64" s="8">
        <f>32490.8+1489.92+85.76+850.69+458.96</f>
        <v>35376.130000000005</v>
      </c>
      <c r="C64" s="8">
        <v>265.2</v>
      </c>
      <c r="D64" s="8">
        <v>0</v>
      </c>
      <c r="E64" s="8">
        <v>221.37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f t="shared" si="1"/>
        <v>35862.700000000004</v>
      </c>
    </row>
    <row r="65" spans="1:12">
      <c r="A65">
        <v>64</v>
      </c>
      <c r="B65" s="8">
        <f>47846.95+2220+1853.6+1277.25+208.8</f>
        <v>53406.6</v>
      </c>
      <c r="C65" s="8">
        <v>2846.68</v>
      </c>
      <c r="D65" s="8">
        <v>0</v>
      </c>
      <c r="E65" s="8">
        <v>221.36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f t="shared" si="1"/>
        <v>56474.64</v>
      </c>
    </row>
    <row r="66" spans="1:12">
      <c r="A66">
        <v>65</v>
      </c>
      <c r="B66" s="8">
        <f>31840.11+1470.96+1078.95+200.43</f>
        <v>34590.449999999997</v>
      </c>
      <c r="C66" s="8">
        <v>124.43</v>
      </c>
      <c r="D66" s="8">
        <v>235.9</v>
      </c>
      <c r="E66" s="8">
        <v>221.36</v>
      </c>
      <c r="F66" s="8">
        <v>1246.9000000000001</v>
      </c>
      <c r="G66" s="8">
        <v>0</v>
      </c>
      <c r="H66" s="8">
        <v>0</v>
      </c>
      <c r="I66" s="8">
        <v>0</v>
      </c>
      <c r="J66" s="8">
        <v>0</v>
      </c>
      <c r="K66" s="8">
        <f t="shared" si="1"/>
        <v>36419.040000000001</v>
      </c>
    </row>
    <row r="67" spans="1:12">
      <c r="A67">
        <v>66</v>
      </c>
      <c r="B67" s="8">
        <f>42642.75+2174.16+192.48+577.44+3183.81+88.8+596.4+1228.88</f>
        <v>50684.720000000008</v>
      </c>
      <c r="C67" s="8">
        <f>10744.09+3181.86+26.36</f>
        <v>13952.310000000001</v>
      </c>
      <c r="D67" s="8">
        <v>0</v>
      </c>
      <c r="E67" s="8">
        <v>221.31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f t="shared" si="1"/>
        <v>64858.340000000011</v>
      </c>
    </row>
    <row r="68" spans="1:12">
      <c r="A68">
        <v>67</v>
      </c>
      <c r="B68" s="8">
        <f>46169.65+7688.4+2844.08+251.76+4355.57+89.28+2341.92+1753.36</f>
        <v>65494.020000000004</v>
      </c>
      <c r="C68" s="8">
        <f>13451.42+5360.94+13813.17+4874.56+11.16</f>
        <v>37511.25</v>
      </c>
      <c r="D68" s="8">
        <v>0</v>
      </c>
      <c r="E68" s="8">
        <v>218.67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f t="shared" si="1"/>
        <v>103223.94</v>
      </c>
    </row>
    <row r="69" spans="1:12">
      <c r="A69">
        <v>68</v>
      </c>
      <c r="B69" s="8">
        <f>47414.88+2471.84+222.08+3460.74+1699.92+1897.74+1691.2</f>
        <v>58858.399999999994</v>
      </c>
      <c r="C69" s="8">
        <f>7366.88+794.94</f>
        <v>8161.82</v>
      </c>
      <c r="D69" s="8">
        <v>0</v>
      </c>
      <c r="E69" s="8">
        <v>218.68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f t="shared" ref="K69:K75" si="2">+SUM(B69:J69)</f>
        <v>67238.899999999994</v>
      </c>
    </row>
    <row r="70" spans="1:12">
      <c r="A70">
        <v>69</v>
      </c>
      <c r="B70" s="8">
        <f>72105.66+3410.8+319.85+2130.78+3194.02+319.85</f>
        <v>81480.960000000021</v>
      </c>
      <c r="C70" s="8">
        <v>0</v>
      </c>
      <c r="D70" s="8">
        <v>2461.5700000000002</v>
      </c>
      <c r="E70" s="8">
        <v>332.04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f t="shared" si="2"/>
        <v>84274.570000000022</v>
      </c>
    </row>
    <row r="71" spans="1:12">
      <c r="A71">
        <v>70</v>
      </c>
      <c r="B71" s="8">
        <f>10052.53+768.6+2115.36+339.14</f>
        <v>13275.630000000001</v>
      </c>
      <c r="C71" s="8">
        <v>1550.21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f t="shared" si="2"/>
        <v>14825.84</v>
      </c>
    </row>
    <row r="72" spans="1:12">
      <c r="A72">
        <v>71</v>
      </c>
      <c r="B72" s="8">
        <f>2443.32+888.48+962.52+3456.19</f>
        <v>7750.51</v>
      </c>
      <c r="C72" s="8">
        <v>27.77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f t="shared" si="2"/>
        <v>7778.2800000000007</v>
      </c>
    </row>
    <row r="73" spans="1:12">
      <c r="A73">
        <v>72</v>
      </c>
      <c r="B73" s="8">
        <f>59479.22+3080.06+2387.04+296.16+5812.14+296.16+906.24</f>
        <v>72257.020000000019</v>
      </c>
      <c r="C73" s="8">
        <f>6942.99+1628.88+5702.93+866.27</f>
        <v>15141.07</v>
      </c>
      <c r="D73" s="8">
        <v>2718.72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f t="shared" si="2"/>
        <v>90116.810000000027</v>
      </c>
    </row>
    <row r="74" spans="1:12">
      <c r="A74">
        <v>73</v>
      </c>
      <c r="B74" s="8">
        <f>23273.93+854+854+54.98</f>
        <v>25036.91</v>
      </c>
      <c r="C74" s="8">
        <v>1826.89</v>
      </c>
      <c r="D74" s="8">
        <v>512.4</v>
      </c>
      <c r="E74" s="8">
        <v>221.37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f t="shared" si="2"/>
        <v>27597.57</v>
      </c>
    </row>
    <row r="75" spans="1:12">
      <c r="A75">
        <v>74</v>
      </c>
      <c r="B75" s="8">
        <f>12784+564</f>
        <v>13348</v>
      </c>
      <c r="C75" s="8">
        <v>35.25</v>
      </c>
      <c r="D75" s="8">
        <v>0</v>
      </c>
      <c r="E75" s="8">
        <v>218.8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f t="shared" si="2"/>
        <v>13602.05</v>
      </c>
    </row>
    <row r="76" spans="1:12" ht="15.75" thickBot="1">
      <c r="B76" s="13">
        <f>+SUM(B2:B75)</f>
        <v>5032352.6099999975</v>
      </c>
      <c r="C76" s="13">
        <f t="shared" ref="C76:K76" si="3">+SUM(C2:C75)</f>
        <v>750795.23</v>
      </c>
      <c r="D76" s="13">
        <f t="shared" si="3"/>
        <v>74843.599999999977</v>
      </c>
      <c r="E76" s="13">
        <f t="shared" si="3"/>
        <v>17830.030000000002</v>
      </c>
      <c r="F76" s="13">
        <f t="shared" si="3"/>
        <v>68036.03</v>
      </c>
      <c r="G76" s="13">
        <f t="shared" si="3"/>
        <v>2586.67</v>
      </c>
      <c r="H76" s="13">
        <f t="shared" si="3"/>
        <v>3425</v>
      </c>
      <c r="I76" s="13">
        <f t="shared" si="3"/>
        <v>12994.67</v>
      </c>
      <c r="J76" s="13">
        <f t="shared" si="3"/>
        <v>26535.879999999997</v>
      </c>
      <c r="K76" s="13">
        <f t="shared" si="3"/>
        <v>5989399.7199999997</v>
      </c>
    </row>
    <row r="77" spans="1:12" ht="15.75" thickTop="1"/>
    <row r="78" spans="1:12" s="8" customFormat="1">
      <c r="A78" t="s">
        <v>11</v>
      </c>
      <c r="B78" s="14">
        <v>68</v>
      </c>
      <c r="L78"/>
    </row>
  </sheetData>
  <autoFilter ref="A1:K75" xr:uid="{713D6F93-451C-4540-9664-6C65187BE982}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6F93-451C-4540-9664-6C65187BE982}">
  <dimension ref="A1:L77"/>
  <sheetViews>
    <sheetView zoomScaleNormal="100" workbookViewId="0">
      <pane ySplit="1" topLeftCell="A59" activePane="bottomLeft" state="frozen"/>
      <selection pane="bottomLeft" activeCell="A81" sqref="A81"/>
    </sheetView>
  </sheetViews>
  <sheetFormatPr defaultRowHeight="15"/>
  <cols>
    <col min="1" max="1" width="28.5703125" bestFit="1" customWidth="1"/>
    <col min="2" max="2" width="14.28515625" style="8" customWidth="1"/>
    <col min="3" max="3" width="14.5703125" style="8" customWidth="1"/>
    <col min="4" max="4" width="14.7109375" style="8" customWidth="1"/>
    <col min="5" max="5" width="11.28515625" style="8" customWidth="1"/>
    <col min="6" max="6" width="15.140625" style="8" customWidth="1"/>
    <col min="7" max="7" width="10.140625" style="8" customWidth="1"/>
    <col min="8" max="10" width="16.140625" style="8" customWidth="1"/>
    <col min="11" max="11" width="14.7109375" style="8" customWidth="1"/>
  </cols>
  <sheetData>
    <row r="1" spans="1:12" s="2" customFormat="1" ht="48.75" customHeight="1">
      <c r="A1" s="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H1" s="9" t="s">
        <v>7</v>
      </c>
      <c r="I1" s="9" t="s">
        <v>8</v>
      </c>
      <c r="J1" s="9" t="s">
        <v>9</v>
      </c>
      <c r="K1" s="12" t="s">
        <v>10</v>
      </c>
    </row>
    <row r="2" spans="1:12">
      <c r="A2">
        <v>1</v>
      </c>
      <c r="B2" s="8">
        <f>90235.75+5771.49+438.06+224.51+2190.32+12495.77+5705.8+449.02</f>
        <v>117510.72000000002</v>
      </c>
      <c r="C2" s="8">
        <v>0</v>
      </c>
      <c r="D2" s="8">
        <v>0</v>
      </c>
      <c r="E2" s="8">
        <v>574.83000000000004</v>
      </c>
      <c r="F2" s="8">
        <v>0</v>
      </c>
      <c r="G2" s="8">
        <f>437.97</f>
        <v>437.97</v>
      </c>
      <c r="K2" s="8">
        <f>+SUM(B2:H2)</f>
        <v>118523.52000000002</v>
      </c>
    </row>
    <row r="3" spans="1:12">
      <c r="A3">
        <f>+A2+1</f>
        <v>2</v>
      </c>
      <c r="B3" s="8">
        <f>53694.55+3258+364+5826.72+3195.29</f>
        <v>66338.559999999998</v>
      </c>
      <c r="C3" s="8">
        <v>6882.52</v>
      </c>
      <c r="D3" s="8">
        <v>0</v>
      </c>
      <c r="E3" s="8">
        <v>218.94</v>
      </c>
      <c r="F3" s="8">
        <v>0</v>
      </c>
      <c r="G3" s="8">
        <v>0</v>
      </c>
      <c r="H3" s="8">
        <v>300</v>
      </c>
      <c r="J3" s="8">
        <v>0</v>
      </c>
      <c r="K3" s="8">
        <f t="shared" ref="K3:K34" si="0">+SUM(B3:J3)</f>
        <v>73740.02</v>
      </c>
    </row>
    <row r="4" spans="1:12">
      <c r="A4">
        <f t="shared" ref="A4:A67" si="1">+A3+1</f>
        <v>3</v>
      </c>
      <c r="B4" s="8">
        <f>62834.78+9968.51+4684.56+166.12+1038.26+7661.44+1993.44</f>
        <v>88347.109999999986</v>
      </c>
      <c r="C4" s="8">
        <f>11257.99+6698.75+15409.58+4882.75</f>
        <v>38249.07</v>
      </c>
      <c r="D4" s="8">
        <v>0</v>
      </c>
      <c r="E4" s="8">
        <v>218.93</v>
      </c>
      <c r="F4" s="8">
        <v>7116.48</v>
      </c>
      <c r="G4" s="8">
        <v>0</v>
      </c>
      <c r="H4" s="8">
        <v>300</v>
      </c>
      <c r="J4" s="8">
        <v>0</v>
      </c>
      <c r="K4" s="8">
        <f t="shared" si="0"/>
        <v>134231.59</v>
      </c>
    </row>
    <row r="5" spans="1:12">
      <c r="A5">
        <f t="shared" si="1"/>
        <v>4</v>
      </c>
      <c r="B5" s="8">
        <f>42812.14+3364+256.8+2733.62+5251.4+10272</f>
        <v>64689.960000000006</v>
      </c>
      <c r="C5" s="8">
        <v>2787.83</v>
      </c>
      <c r="D5" s="8">
        <v>0</v>
      </c>
      <c r="E5" s="8">
        <v>218.94</v>
      </c>
      <c r="F5" s="8">
        <v>0</v>
      </c>
      <c r="G5" s="8">
        <v>0</v>
      </c>
      <c r="H5" s="8">
        <v>300</v>
      </c>
      <c r="J5" s="8">
        <v>0</v>
      </c>
      <c r="K5" s="8">
        <f t="shared" si="0"/>
        <v>67996.73000000001</v>
      </c>
    </row>
    <row r="6" spans="1:12">
      <c r="A6">
        <f t="shared" si="1"/>
        <v>5</v>
      </c>
      <c r="B6" s="8">
        <f>67051.88+3992.28+300.62+1503.11+6842.19+1226.54+312.65</f>
        <v>81229.26999999999</v>
      </c>
      <c r="C6" s="8">
        <v>0</v>
      </c>
      <c r="D6" s="8">
        <v>3126.48</v>
      </c>
      <c r="E6" s="8">
        <v>219.13</v>
      </c>
      <c r="F6" s="8">
        <v>2501.1799999999998</v>
      </c>
      <c r="G6" s="8">
        <v>0</v>
      </c>
      <c r="H6" s="8">
        <v>0</v>
      </c>
      <c r="J6" s="8">
        <v>0</v>
      </c>
      <c r="K6" s="8">
        <f t="shared" si="0"/>
        <v>87076.059999999983</v>
      </c>
    </row>
    <row r="7" spans="1:12">
      <c r="A7">
        <f t="shared" si="1"/>
        <v>6</v>
      </c>
      <c r="B7" s="8">
        <f>61299.84+7808.95+3674.56+332.24+1625.48+5335.76+3342.32+338.88</f>
        <v>83758.03</v>
      </c>
      <c r="C7" s="8">
        <f>23366.88+664.48+23551.69+9597.06</f>
        <v>57180.11</v>
      </c>
      <c r="D7" s="8">
        <v>0</v>
      </c>
      <c r="E7" s="8">
        <v>0</v>
      </c>
      <c r="F7" s="8">
        <v>1016.64</v>
      </c>
      <c r="G7" s="8">
        <v>0</v>
      </c>
      <c r="H7" s="8">
        <v>300</v>
      </c>
      <c r="J7" s="8">
        <v>0</v>
      </c>
      <c r="K7" s="8">
        <f t="shared" si="0"/>
        <v>142254.78000000003</v>
      </c>
    </row>
    <row r="8" spans="1:12">
      <c r="A8">
        <f t="shared" si="1"/>
        <v>7</v>
      </c>
      <c r="B8" s="8">
        <f>28281.94+1661.2+1391.26+2657.92+2554.1</f>
        <v>36546.42</v>
      </c>
      <c r="C8" s="8">
        <v>249.19</v>
      </c>
      <c r="D8" s="8">
        <v>10631.68</v>
      </c>
      <c r="E8" s="8">
        <v>0</v>
      </c>
      <c r="F8" s="8">
        <v>7620.76</v>
      </c>
      <c r="G8" s="8">
        <v>603.48</v>
      </c>
      <c r="H8" s="8">
        <v>125</v>
      </c>
      <c r="J8" s="8">
        <v>0</v>
      </c>
      <c r="K8" s="8">
        <f t="shared" si="0"/>
        <v>55776.530000000006</v>
      </c>
      <c r="L8" s="7"/>
    </row>
    <row r="9" spans="1:12">
      <c r="A9">
        <f t="shared" si="1"/>
        <v>8</v>
      </c>
      <c r="B9" s="8">
        <f>61405.72+13821.18+4352.32+2604.34+3016.72+249.18+338.88</f>
        <v>85788.34</v>
      </c>
      <c r="C9" s="8">
        <f>16949.86+4028.41+21136.82+6964.59</f>
        <v>49079.679999999993</v>
      </c>
      <c r="D9" s="8">
        <v>0</v>
      </c>
      <c r="E9" s="8">
        <v>218.94</v>
      </c>
      <c r="F9" s="8">
        <v>3812.4</v>
      </c>
      <c r="G9" s="8">
        <v>0</v>
      </c>
      <c r="H9" s="8">
        <v>0</v>
      </c>
      <c r="J9" s="8">
        <v>0</v>
      </c>
      <c r="K9" s="8">
        <f t="shared" si="0"/>
        <v>138899.35999999999</v>
      </c>
    </row>
    <row r="10" spans="1:12">
      <c r="A10">
        <f t="shared" si="1"/>
        <v>9</v>
      </c>
      <c r="B10" s="8">
        <f>43267.06+400.5+3957.04+302.08+1927.26+8140.13+11227.21+4839.28+3039.68</f>
        <v>77100.239999999991</v>
      </c>
      <c r="C10" s="8">
        <f>17756.42+2657.19+6057.79+20688.16+9144.54</f>
        <v>56304.1</v>
      </c>
      <c r="D10" s="8">
        <v>0</v>
      </c>
      <c r="E10" s="8">
        <v>218.92</v>
      </c>
      <c r="F10" s="8">
        <v>0</v>
      </c>
      <c r="G10" s="8">
        <v>0</v>
      </c>
      <c r="H10" s="8">
        <v>300</v>
      </c>
      <c r="J10" s="8">
        <v>0</v>
      </c>
      <c r="K10" s="8">
        <f t="shared" si="0"/>
        <v>133923.26</v>
      </c>
    </row>
    <row r="11" spans="1:12">
      <c r="A11">
        <f t="shared" si="1"/>
        <v>10</v>
      </c>
      <c r="B11" s="8">
        <f>61316.45+4319.12+4352.32+332.24+166.12+2785.83+5342.4+4325.76+1328.96</f>
        <v>84269.199999999983</v>
      </c>
      <c r="C11" s="8">
        <f>22827.92+3587.32+6559.71+5344.92</f>
        <v>38319.869999999995</v>
      </c>
      <c r="D11" s="8">
        <v>0</v>
      </c>
      <c r="E11" s="8">
        <v>219.14</v>
      </c>
      <c r="F11" s="8">
        <v>0</v>
      </c>
      <c r="G11" s="8">
        <v>273.95</v>
      </c>
      <c r="H11" s="8">
        <v>300</v>
      </c>
      <c r="J11" s="8">
        <v>0</v>
      </c>
      <c r="K11" s="8">
        <f t="shared" si="0"/>
        <v>123382.15999999997</v>
      </c>
    </row>
    <row r="12" spans="1:12">
      <c r="A12">
        <f t="shared" si="1"/>
        <v>11</v>
      </c>
      <c r="B12" s="8">
        <f>45846.19+2710.72+205.2+5830.3+1338.95+211.36</f>
        <v>56142.720000000001</v>
      </c>
      <c r="C12" s="8">
        <v>2869.69</v>
      </c>
      <c r="D12" s="8">
        <v>0</v>
      </c>
      <c r="E12" s="8">
        <v>218.93</v>
      </c>
      <c r="F12" s="8">
        <v>977.54</v>
      </c>
      <c r="G12" s="8">
        <v>273.67</v>
      </c>
      <c r="H12" s="8">
        <v>0</v>
      </c>
      <c r="J12" s="8">
        <v>0</v>
      </c>
      <c r="K12" s="8">
        <f t="shared" si="0"/>
        <v>60482.55</v>
      </c>
    </row>
    <row r="13" spans="1:12">
      <c r="A13">
        <f t="shared" si="1"/>
        <v>12</v>
      </c>
      <c r="B13" s="8">
        <f>61373.77+6424.7+4352.32+1003.36+166.12+3074.88+5355.68</f>
        <v>81750.830000000016</v>
      </c>
      <c r="C13" s="8">
        <f>28027.71+8442.18+14131.72+6407.38</f>
        <v>57008.99</v>
      </c>
      <c r="D13" s="8">
        <v>0</v>
      </c>
      <c r="E13" s="8">
        <v>218.93</v>
      </c>
      <c r="F13" s="8">
        <v>7116.48</v>
      </c>
      <c r="G13" s="8">
        <v>0</v>
      </c>
      <c r="H13" s="8">
        <v>300</v>
      </c>
      <c r="J13" s="8">
        <v>0</v>
      </c>
      <c r="K13" s="8">
        <f t="shared" si="0"/>
        <v>146395.23000000001</v>
      </c>
    </row>
    <row r="14" spans="1:12">
      <c r="A14">
        <f t="shared" si="1"/>
        <v>13</v>
      </c>
      <c r="B14" s="8">
        <f>46023.54+392.7+4265.12+2725.47+5736.67+8213.5+6820.8+2718.72+392.7+308.08</f>
        <v>77597.3</v>
      </c>
      <c r="C14" s="8">
        <f>14641.25+3549.44+1185.77+336.32+12838.62+6897.96</f>
        <v>39449.360000000001</v>
      </c>
      <c r="D14" s="8">
        <v>0</v>
      </c>
      <c r="E14" s="8">
        <v>218.94</v>
      </c>
      <c r="F14" s="8">
        <v>0</v>
      </c>
      <c r="G14" s="8">
        <v>0</v>
      </c>
      <c r="H14" s="8">
        <v>0</v>
      </c>
      <c r="J14" s="8">
        <v>0</v>
      </c>
      <c r="K14" s="8">
        <f t="shared" si="0"/>
        <v>117265.60000000001</v>
      </c>
    </row>
    <row r="15" spans="1:12">
      <c r="A15">
        <f t="shared" si="1"/>
        <v>14</v>
      </c>
      <c r="B15" s="8">
        <f>54499.62+3374.24+658.05+6771.62+1331.46+2311.2</f>
        <v>68946.19</v>
      </c>
      <c r="C15" s="8">
        <v>1260.58</v>
      </c>
      <c r="D15" s="8">
        <v>229.18</v>
      </c>
      <c r="E15" s="8">
        <v>218.94</v>
      </c>
      <c r="F15" s="8">
        <v>1276.8599999999999</v>
      </c>
      <c r="G15" s="8">
        <v>0</v>
      </c>
      <c r="H15" s="8">
        <v>300</v>
      </c>
      <c r="J15" s="8">
        <v>0</v>
      </c>
      <c r="K15" s="8">
        <f t="shared" si="0"/>
        <v>72231.75</v>
      </c>
      <c r="L15" s="7"/>
    </row>
    <row r="16" spans="1:12">
      <c r="A16">
        <f t="shared" si="1"/>
        <v>15</v>
      </c>
      <c r="B16" s="8">
        <f>67268.94+5614.86+4352.32+166.12+3491.43+3342.32</f>
        <v>84235.989999999991</v>
      </c>
      <c r="C16" s="8">
        <f>17701.68+6324.15+13929.23+4427.09</f>
        <v>42382.149999999994</v>
      </c>
      <c r="D16" s="8">
        <v>3388.8</v>
      </c>
      <c r="E16" s="8">
        <v>218.93</v>
      </c>
      <c r="F16" s="8">
        <v>4066.56</v>
      </c>
      <c r="G16" s="8">
        <v>0</v>
      </c>
      <c r="H16" s="8">
        <v>300</v>
      </c>
      <c r="J16" s="8">
        <v>0</v>
      </c>
      <c r="K16" s="8">
        <f t="shared" si="0"/>
        <v>134592.43</v>
      </c>
    </row>
    <row r="17" spans="1:12">
      <c r="A17">
        <f t="shared" si="1"/>
        <v>16</v>
      </c>
      <c r="B17" s="8">
        <f>42601.69+2453.92+3266.1+1524.5+192.16</f>
        <v>50038.37</v>
      </c>
      <c r="C17" s="8">
        <v>548.15</v>
      </c>
      <c r="D17" s="8">
        <v>1921.6</v>
      </c>
      <c r="E17" s="8">
        <v>218.94</v>
      </c>
      <c r="F17" s="8">
        <v>936.78</v>
      </c>
      <c r="G17" s="8">
        <v>218.94</v>
      </c>
      <c r="H17" s="8">
        <v>0</v>
      </c>
      <c r="J17" s="8">
        <v>0</v>
      </c>
      <c r="K17" s="8">
        <f t="shared" si="0"/>
        <v>53882.780000000006</v>
      </c>
    </row>
    <row r="18" spans="1:12">
      <c r="A18">
        <f t="shared" si="1"/>
        <v>17</v>
      </c>
      <c r="B18" s="8">
        <f>50343.18+2232.16+5719.91</f>
        <v>58295.25</v>
      </c>
      <c r="C18" s="8">
        <v>5500.69</v>
      </c>
      <c r="D18" s="8">
        <v>10622.69</v>
      </c>
      <c r="E18" s="8">
        <v>0</v>
      </c>
      <c r="F18" s="8">
        <v>10523.04</v>
      </c>
      <c r="G18" s="8">
        <v>383.15</v>
      </c>
      <c r="H18" s="8">
        <v>0</v>
      </c>
      <c r="J18" s="8">
        <v>0</v>
      </c>
      <c r="K18" s="8">
        <f t="shared" si="0"/>
        <v>85324.82</v>
      </c>
      <c r="L18" s="7"/>
    </row>
    <row r="19" spans="1:12">
      <c r="A19">
        <f t="shared" si="1"/>
        <v>18</v>
      </c>
      <c r="B19" s="8">
        <f>50102.24+4869.28+154.04+1812.48+6936.72+9915.56+4250.12+1812.48</f>
        <v>79852.92</v>
      </c>
      <c r="C19" s="8">
        <f>15588.72+6813.79+1858.07+289.03+11719.47+6410.96</f>
        <v>42680.039999999994</v>
      </c>
      <c r="D19" s="8">
        <v>0</v>
      </c>
      <c r="E19" s="8">
        <v>218.95</v>
      </c>
      <c r="F19" s="8">
        <v>4005.04</v>
      </c>
      <c r="G19" s="8">
        <v>218.95</v>
      </c>
      <c r="H19" s="8">
        <v>0</v>
      </c>
      <c r="J19" s="8">
        <v>0</v>
      </c>
      <c r="K19" s="8">
        <f t="shared" si="0"/>
        <v>126975.89999999998</v>
      </c>
    </row>
    <row r="20" spans="1:12">
      <c r="A20">
        <f t="shared" si="1"/>
        <v>19</v>
      </c>
      <c r="B20" s="8">
        <f>52596.26+3919.44+2176.76</f>
        <v>58692.460000000006</v>
      </c>
      <c r="C20" s="8">
        <v>11556.51</v>
      </c>
      <c r="D20" s="8">
        <v>2212.8000000000002</v>
      </c>
      <c r="E20" s="8">
        <v>218.95</v>
      </c>
      <c r="F20" s="8">
        <v>2434.08</v>
      </c>
      <c r="G20" s="8">
        <v>218.95</v>
      </c>
      <c r="H20" s="8">
        <v>0</v>
      </c>
      <c r="J20" s="8">
        <v>0</v>
      </c>
      <c r="K20" s="8">
        <f t="shared" si="0"/>
        <v>75333.75</v>
      </c>
    </row>
    <row r="21" spans="1:12">
      <c r="A21">
        <f t="shared" si="1"/>
        <v>20</v>
      </c>
      <c r="B21" s="8">
        <f>64243.32+3319.22+4201.52+2084.73+1651.6+4294.16+5383.15+1562.16+440.54</f>
        <v>87180.4</v>
      </c>
      <c r="C21" s="8">
        <f>5798.26+4451.48+4383.62+3064.38+456.17+2536.25+2200.75</f>
        <v>22890.91</v>
      </c>
      <c r="D21" s="8">
        <v>0</v>
      </c>
      <c r="E21" s="8">
        <v>219.08</v>
      </c>
      <c r="F21" s="8">
        <v>2529.7399999999998</v>
      </c>
      <c r="G21" s="8">
        <v>0</v>
      </c>
      <c r="H21" s="8">
        <v>0</v>
      </c>
      <c r="J21" s="8">
        <v>0</v>
      </c>
      <c r="K21" s="8">
        <f t="shared" si="0"/>
        <v>112820.13</v>
      </c>
    </row>
    <row r="22" spans="1:12">
      <c r="A22">
        <f t="shared" si="1"/>
        <v>21</v>
      </c>
      <c r="B22" s="8">
        <f>48872.17+5497.86+3957.04+302.08+1438.63+4324.16+8500.24+1742.96+1812.48</f>
        <v>76447.62000000001</v>
      </c>
      <c r="C22" s="8">
        <f>16009.02+6135.61+11228.88+3583.43+93.47+40.26</f>
        <v>37090.670000000006</v>
      </c>
      <c r="D22" s="8">
        <v>0</v>
      </c>
      <c r="E22" s="8">
        <v>218.92</v>
      </c>
      <c r="F22" s="8">
        <v>0</v>
      </c>
      <c r="G22" s="8">
        <v>0</v>
      </c>
      <c r="H22" s="8">
        <v>0</v>
      </c>
      <c r="J22" s="8">
        <v>0</v>
      </c>
      <c r="K22" s="8">
        <f t="shared" si="0"/>
        <v>113757.21</v>
      </c>
    </row>
    <row r="23" spans="1:12">
      <c r="A23">
        <f t="shared" si="1"/>
        <v>22</v>
      </c>
      <c r="B23" s="8">
        <f>35961.3+2130.24+166.08+3454.08+1532.4+166.08</f>
        <v>43410.180000000008</v>
      </c>
      <c r="C23" s="8">
        <v>515.42999999999995</v>
      </c>
      <c r="D23" s="8">
        <v>0</v>
      </c>
      <c r="E23" s="8">
        <v>218.93</v>
      </c>
      <c r="F23" s="8">
        <v>0</v>
      </c>
      <c r="G23" s="8">
        <v>164.2</v>
      </c>
      <c r="H23" s="8">
        <v>0</v>
      </c>
      <c r="J23" s="8">
        <v>0</v>
      </c>
      <c r="K23" s="8">
        <f t="shared" si="0"/>
        <v>44308.740000000005</v>
      </c>
    </row>
    <row r="24" spans="1:12">
      <c r="A24">
        <f t="shared" si="1"/>
        <v>23</v>
      </c>
      <c r="B24" s="8">
        <f>60103.83+3100.8+2203.41+87.33+243.36</f>
        <v>65738.73000000001</v>
      </c>
      <c r="C24" s="8">
        <v>28315.31</v>
      </c>
      <c r="D24" s="8">
        <v>2433.6</v>
      </c>
      <c r="E24" s="8">
        <v>218.94</v>
      </c>
      <c r="F24" s="8">
        <v>2342.34</v>
      </c>
      <c r="G24" s="8">
        <v>0</v>
      </c>
      <c r="H24" s="8">
        <v>0</v>
      </c>
      <c r="J24" s="8">
        <v>0</v>
      </c>
      <c r="K24" s="8">
        <f t="shared" si="0"/>
        <v>99048.920000000013</v>
      </c>
    </row>
    <row r="25" spans="1:12">
      <c r="A25">
        <f t="shared" si="1"/>
        <v>24</v>
      </c>
      <c r="B25" s="8">
        <f>91210.4+5112.14+384.62+1923.08+5982.84+769.24+423.08</f>
        <v>105805.4</v>
      </c>
      <c r="C25" s="8">
        <v>1588.52</v>
      </c>
      <c r="D25" s="8">
        <v>4230.8</v>
      </c>
      <c r="E25" s="8">
        <v>574.72</v>
      </c>
      <c r="F25" s="8">
        <v>0</v>
      </c>
      <c r="G25" s="8">
        <v>0</v>
      </c>
      <c r="H25" s="8">
        <v>0</v>
      </c>
      <c r="J25" s="8">
        <v>0</v>
      </c>
      <c r="K25" s="8">
        <f t="shared" si="0"/>
        <v>112199.44</v>
      </c>
      <c r="L25" s="7"/>
    </row>
    <row r="26" spans="1:12">
      <c r="A26">
        <f t="shared" si="1"/>
        <v>25</v>
      </c>
      <c r="B26" s="8">
        <f>67792.66+3957.04+6534.73+1692.7</f>
        <v>79977.12999999999</v>
      </c>
      <c r="C26" s="8">
        <f>13142.55+1450.63</f>
        <v>14593.18</v>
      </c>
      <c r="D26" s="8">
        <v>0</v>
      </c>
      <c r="E26" s="8">
        <v>218.92</v>
      </c>
      <c r="F26" s="8">
        <v>1540.4</v>
      </c>
      <c r="G26" s="8">
        <v>164.21</v>
      </c>
      <c r="H26" s="8">
        <v>300</v>
      </c>
      <c r="J26" s="8">
        <v>0</v>
      </c>
      <c r="K26" s="8">
        <f t="shared" si="0"/>
        <v>96793.84</v>
      </c>
    </row>
    <row r="27" spans="1:12">
      <c r="A27">
        <f t="shared" si="1"/>
        <v>26</v>
      </c>
      <c r="B27" s="8">
        <f>44398.65+2448+586.08+3183.6+1547.6</f>
        <v>52163.93</v>
      </c>
      <c r="C27" s="8">
        <v>17796.39</v>
      </c>
      <c r="D27" s="8">
        <v>976.8</v>
      </c>
      <c r="E27" s="8">
        <v>218.94</v>
      </c>
      <c r="F27" s="8">
        <v>976.8</v>
      </c>
      <c r="G27" s="8">
        <v>164.19</v>
      </c>
      <c r="H27" s="8">
        <v>0</v>
      </c>
      <c r="J27" s="8">
        <v>0</v>
      </c>
      <c r="K27" s="8">
        <f t="shared" si="0"/>
        <v>72297.050000000017</v>
      </c>
    </row>
    <row r="28" spans="1:12">
      <c r="A28">
        <f t="shared" si="1"/>
        <v>27</v>
      </c>
      <c r="B28" s="8">
        <f>33633.75+2019.6+158.16+59.31+2541.25+2230.27+158.16</f>
        <v>40800.5</v>
      </c>
      <c r="C28" s="8">
        <v>130.04</v>
      </c>
      <c r="D28" s="8">
        <v>0</v>
      </c>
      <c r="E28" s="8">
        <v>218.94</v>
      </c>
      <c r="F28" s="8">
        <v>0</v>
      </c>
      <c r="G28" s="8">
        <v>0</v>
      </c>
      <c r="H28" s="8">
        <v>0</v>
      </c>
      <c r="J28" s="8">
        <v>0</v>
      </c>
      <c r="K28" s="8">
        <f t="shared" si="0"/>
        <v>41149.480000000003</v>
      </c>
    </row>
    <row r="29" spans="1:12">
      <c r="A29">
        <f t="shared" si="1"/>
        <v>28</v>
      </c>
      <c r="B29" s="8">
        <f>55995.54+10486.95+4259.12+308.08+1549.66+1321.28+4531.2+1812.48+308.08+429.42</f>
        <v>81001.81</v>
      </c>
      <c r="C29" s="8">
        <f>9633.1+2029.03+13679.72+5862.92</f>
        <v>31204.769999999997</v>
      </c>
      <c r="D29" s="8">
        <v>0</v>
      </c>
      <c r="E29" s="8">
        <v>219.16</v>
      </c>
      <c r="F29" s="8">
        <v>731.69</v>
      </c>
      <c r="G29" s="8">
        <v>0</v>
      </c>
      <c r="H29" s="8">
        <v>0</v>
      </c>
      <c r="J29" s="8">
        <v>0</v>
      </c>
      <c r="K29" s="8">
        <f t="shared" si="0"/>
        <v>113157.43</v>
      </c>
    </row>
    <row r="30" spans="1:12">
      <c r="A30">
        <f t="shared" si="1"/>
        <v>29</v>
      </c>
      <c r="B30" s="8">
        <f>61478.09+3364+261.92+261.92+2054.4+564.31+261.92</f>
        <v>68246.559999999983</v>
      </c>
      <c r="C30" s="8">
        <v>3407.62</v>
      </c>
      <c r="D30" s="8">
        <v>1702.48</v>
      </c>
      <c r="E30" s="8">
        <v>218.93</v>
      </c>
      <c r="F30" s="8">
        <v>1424.19</v>
      </c>
      <c r="G30" s="8">
        <v>0</v>
      </c>
      <c r="H30" s="8">
        <v>0</v>
      </c>
      <c r="J30" s="8">
        <v>0</v>
      </c>
      <c r="K30" s="8">
        <f t="shared" si="0"/>
        <v>74999.77999999997</v>
      </c>
    </row>
    <row r="31" spans="1:12">
      <c r="A31">
        <f t="shared" si="1"/>
        <v>30</v>
      </c>
      <c r="B31" s="8">
        <f>66950.82+7774.42+4954.8+2189.44+4231.68+249.18</f>
        <v>86350.34</v>
      </c>
      <c r="C31" s="8">
        <f>24727.65+6226.95+12471.54+5236.93+681.29</f>
        <v>49344.36</v>
      </c>
      <c r="D31" s="8">
        <v>3219.36</v>
      </c>
      <c r="E31" s="8">
        <v>218.95</v>
      </c>
      <c r="F31" s="8">
        <v>4617.24</v>
      </c>
      <c r="G31" s="8">
        <v>0</v>
      </c>
      <c r="H31" s="8">
        <v>0</v>
      </c>
      <c r="J31" s="8">
        <v>0</v>
      </c>
      <c r="K31" s="8">
        <f t="shared" si="0"/>
        <v>143750.25</v>
      </c>
    </row>
    <row r="32" spans="1:12">
      <c r="A32">
        <f t="shared" si="1"/>
        <v>31</v>
      </c>
      <c r="B32" s="8">
        <f>42829.21+2542.64+3448.57+3084.57</f>
        <v>51904.99</v>
      </c>
      <c r="C32" s="8">
        <v>454.3</v>
      </c>
      <c r="D32" s="8">
        <v>986.8</v>
      </c>
      <c r="E32" s="8">
        <v>218.94</v>
      </c>
      <c r="F32" s="8">
        <v>0</v>
      </c>
      <c r="G32" s="8">
        <v>0</v>
      </c>
      <c r="H32" s="8">
        <v>0</v>
      </c>
      <c r="J32" s="8">
        <v>0</v>
      </c>
      <c r="K32" s="8">
        <f t="shared" si="0"/>
        <v>53565.030000000006</v>
      </c>
    </row>
    <row r="33" spans="1:12">
      <c r="A33">
        <f t="shared" si="1"/>
        <v>32</v>
      </c>
      <c r="B33" s="8">
        <f>54450.91+4070.78+1244.12</f>
        <v>59765.810000000005</v>
      </c>
      <c r="C33" s="8">
        <v>12259.95</v>
      </c>
      <c r="D33" s="8">
        <v>2057.04</v>
      </c>
      <c r="E33" s="8">
        <v>218.94</v>
      </c>
      <c r="F33" s="8">
        <v>2742.72</v>
      </c>
      <c r="G33" s="8">
        <v>0</v>
      </c>
      <c r="H33" s="8">
        <v>0</v>
      </c>
      <c r="J33" s="8">
        <v>0</v>
      </c>
      <c r="K33" s="8">
        <f t="shared" si="0"/>
        <v>77044.460000000006</v>
      </c>
    </row>
    <row r="34" spans="1:12">
      <c r="A34">
        <f t="shared" si="1"/>
        <v>33</v>
      </c>
      <c r="B34" s="8">
        <f>50236.65+6970.49+3957.04+302.08+1925.76+3144.04+6083.6+1859.99+302.08</f>
        <v>74781.73000000001</v>
      </c>
      <c r="C34" s="8">
        <f>27566.39+6699.01+7510.46+3436.16+3293.81</f>
        <v>48505.83</v>
      </c>
      <c r="D34" s="8">
        <v>0</v>
      </c>
      <c r="E34" s="8">
        <v>218.93</v>
      </c>
      <c r="F34" s="8">
        <v>2002.52</v>
      </c>
      <c r="G34" s="8">
        <v>0</v>
      </c>
      <c r="H34" s="8">
        <v>0</v>
      </c>
      <c r="J34" s="8">
        <v>0</v>
      </c>
      <c r="K34" s="8">
        <f t="shared" si="0"/>
        <v>125509.01000000001</v>
      </c>
    </row>
    <row r="35" spans="1:12">
      <c r="A35">
        <f t="shared" si="1"/>
        <v>34</v>
      </c>
      <c r="B35" s="8">
        <f>48471.75+2556.96+191.52+802.05+150.84</f>
        <v>52173.119999999995</v>
      </c>
      <c r="C35" s="8">
        <v>2581.36</v>
      </c>
      <c r="D35" s="8">
        <v>1709.52</v>
      </c>
      <c r="E35" s="8">
        <v>218.94</v>
      </c>
      <c r="F35" s="8">
        <v>2413.44</v>
      </c>
      <c r="G35" s="8">
        <v>0</v>
      </c>
      <c r="H35" s="8">
        <v>0</v>
      </c>
      <c r="J35" s="8">
        <v>0</v>
      </c>
      <c r="K35" s="8">
        <f t="shared" ref="K35:K66" si="2">+SUM(B35:J35)</f>
        <v>59096.38</v>
      </c>
    </row>
    <row r="36" spans="1:12">
      <c r="A36">
        <f t="shared" si="1"/>
        <v>35</v>
      </c>
      <c r="B36" s="8">
        <f>36110.16+1994.16+1694.05+842.49</f>
        <v>40640.860000000008</v>
      </c>
      <c r="C36" s="8">
        <v>385.87</v>
      </c>
      <c r="D36" s="8">
        <v>919.13</v>
      </c>
      <c r="E36" s="8">
        <v>218.94</v>
      </c>
      <c r="F36" s="8">
        <v>928.8</v>
      </c>
      <c r="G36" s="8">
        <v>0</v>
      </c>
      <c r="H36" s="8">
        <v>0</v>
      </c>
      <c r="J36" s="8">
        <v>0</v>
      </c>
      <c r="K36" s="8">
        <f t="shared" si="2"/>
        <v>43093.600000000013</v>
      </c>
    </row>
    <row r="37" spans="1:12">
      <c r="A37">
        <f t="shared" si="1"/>
        <v>36</v>
      </c>
      <c r="B37" s="8">
        <f>76745.65+4430.53+681.62+2044.86+4089.71+2492.16</f>
        <v>90484.53</v>
      </c>
      <c r="C37" s="8">
        <v>447.31</v>
      </c>
      <c r="D37" s="8">
        <v>0</v>
      </c>
      <c r="E37" s="8">
        <v>218.94</v>
      </c>
      <c r="F37" s="8">
        <v>1235.43</v>
      </c>
      <c r="G37" s="8">
        <v>109.47</v>
      </c>
      <c r="H37" s="8">
        <v>0</v>
      </c>
      <c r="J37" s="8">
        <v>0</v>
      </c>
      <c r="K37" s="8">
        <f t="shared" si="2"/>
        <v>92495.679999999993</v>
      </c>
    </row>
    <row r="38" spans="1:12">
      <c r="A38">
        <f t="shared" si="1"/>
        <v>37</v>
      </c>
      <c r="B38" s="8">
        <f>45340.79+597.84+2033.96+3037.42+199.28+209.28+2660.64</f>
        <v>54079.209999999992</v>
      </c>
      <c r="C38" s="8">
        <v>0</v>
      </c>
      <c r="D38" s="8">
        <v>1281.8399999999999</v>
      </c>
      <c r="E38" s="8">
        <v>218.94</v>
      </c>
      <c r="F38" s="8">
        <v>0</v>
      </c>
      <c r="G38" s="8">
        <v>109.47</v>
      </c>
      <c r="H38" s="8">
        <v>0</v>
      </c>
      <c r="J38" s="8">
        <v>0</v>
      </c>
      <c r="K38" s="8">
        <f t="shared" si="2"/>
        <v>55689.459999999992</v>
      </c>
    </row>
    <row r="39" spans="1:12">
      <c r="A39">
        <f t="shared" si="1"/>
        <v>38</v>
      </c>
      <c r="B39" s="8">
        <f>4768+38740.52+2384.03+1788.03</f>
        <v>47680.579999999994</v>
      </c>
      <c r="C39" s="8">
        <v>0</v>
      </c>
      <c r="D39" s="8">
        <v>22052.3</v>
      </c>
      <c r="E39" s="8">
        <v>0</v>
      </c>
      <c r="F39" s="8">
        <v>0</v>
      </c>
      <c r="G39" s="8">
        <v>0</v>
      </c>
      <c r="H39" s="8">
        <v>0</v>
      </c>
      <c r="J39" s="8">
        <v>680.96</v>
      </c>
      <c r="K39" s="8">
        <f t="shared" si="2"/>
        <v>70413.84</v>
      </c>
      <c r="L39" s="7"/>
    </row>
    <row r="40" spans="1:12">
      <c r="A40">
        <f t="shared" si="1"/>
        <v>39</v>
      </c>
      <c r="B40" s="8">
        <f>60424.22+3684+266.18+1330.92+4674.23+4312.2</f>
        <v>74691.75</v>
      </c>
      <c r="C40" s="8">
        <v>0</v>
      </c>
      <c r="D40" s="8">
        <v>0</v>
      </c>
      <c r="E40" s="8">
        <v>574.72</v>
      </c>
      <c r="F40" s="8">
        <v>0</v>
      </c>
      <c r="G40" s="8">
        <v>0</v>
      </c>
      <c r="H40" s="8">
        <v>0</v>
      </c>
      <c r="J40" s="8">
        <v>0</v>
      </c>
      <c r="K40" s="8">
        <f t="shared" si="2"/>
        <v>75266.47</v>
      </c>
    </row>
    <row r="41" spans="1:12">
      <c r="A41">
        <f t="shared" si="1"/>
        <v>40</v>
      </c>
      <c r="B41" s="8">
        <f>51177.53+10045.14+3340.88+302.08+2364.13+2718.38+214.71+4543.2+2114.56</f>
        <v>76820.61</v>
      </c>
      <c r="C41" s="8">
        <f>15687.37+2882.51+20239.55+8676.55+726.11</f>
        <v>48212.09</v>
      </c>
      <c r="D41" s="8">
        <v>0</v>
      </c>
      <c r="E41" s="8">
        <v>218.94</v>
      </c>
      <c r="F41" s="8">
        <v>0</v>
      </c>
      <c r="G41" s="8">
        <v>0</v>
      </c>
      <c r="H41" s="8">
        <v>0</v>
      </c>
      <c r="J41" s="8">
        <v>0</v>
      </c>
      <c r="K41" s="8">
        <f t="shared" si="2"/>
        <v>125251.64</v>
      </c>
    </row>
    <row r="42" spans="1:12">
      <c r="A42">
        <f t="shared" si="1"/>
        <v>41</v>
      </c>
      <c r="B42" s="8">
        <f>53358.24+8277.99+3957.04+302.08+2668.08+3951.04+4491.68</f>
        <v>77006.149999999994</v>
      </c>
      <c r="C42" s="8">
        <f>11785.43+2893.76+13307.89+5320.67</f>
        <v>33307.75</v>
      </c>
      <c r="D42" s="8">
        <v>0</v>
      </c>
      <c r="E42" s="8">
        <v>218.94</v>
      </c>
      <c r="F42" s="8">
        <v>0</v>
      </c>
      <c r="G42" s="8">
        <v>0</v>
      </c>
      <c r="H42" s="8">
        <v>0</v>
      </c>
      <c r="J42" s="8">
        <v>0</v>
      </c>
      <c r="K42" s="8">
        <f t="shared" si="2"/>
        <v>110532.84</v>
      </c>
    </row>
    <row r="43" spans="1:12">
      <c r="A43">
        <f t="shared" si="1"/>
        <v>42</v>
      </c>
      <c r="B43" s="8">
        <f>52046.62+8639.49+3957.04+302.08+459.12+1644.06+598.71+429.42+3929.16+6204.64+302.08</f>
        <v>78512.420000000013</v>
      </c>
      <c r="C43" s="8">
        <f>13649.1+5010.31+18187.1+6185.1+1114.84</f>
        <v>44146.44999999999</v>
      </c>
      <c r="D43" s="8">
        <v>0</v>
      </c>
      <c r="E43" s="8">
        <v>218.95</v>
      </c>
      <c r="F43" s="8">
        <v>0</v>
      </c>
      <c r="G43" s="8">
        <v>0</v>
      </c>
      <c r="H43" s="8">
        <v>0</v>
      </c>
      <c r="J43" s="8">
        <v>0</v>
      </c>
      <c r="K43" s="8">
        <f t="shared" si="2"/>
        <v>122877.81999999999</v>
      </c>
    </row>
    <row r="44" spans="1:12">
      <c r="A44">
        <f t="shared" si="1"/>
        <v>43</v>
      </c>
      <c r="B44" s="8">
        <f>36799.66+2054.24+480.48+1103.29+1330.9+160.16</f>
        <v>41928.73000000001</v>
      </c>
      <c r="C44" s="8">
        <v>221.75</v>
      </c>
      <c r="D44" s="8">
        <v>0</v>
      </c>
      <c r="E44" s="8">
        <v>218.95</v>
      </c>
      <c r="F44" s="8">
        <v>600.6</v>
      </c>
      <c r="G44" s="8">
        <v>0</v>
      </c>
      <c r="H44" s="8">
        <v>0</v>
      </c>
      <c r="J44" s="8">
        <v>0</v>
      </c>
      <c r="K44" s="8">
        <f t="shared" si="2"/>
        <v>42970.030000000006</v>
      </c>
    </row>
    <row r="45" spans="1:12">
      <c r="A45">
        <f t="shared" si="1"/>
        <v>44</v>
      </c>
      <c r="B45" s="8">
        <f>39320.73+2179.92+507.6+1516.24+2017.28</f>
        <v>45541.77</v>
      </c>
      <c r="C45" s="8">
        <v>9671.6299999999992</v>
      </c>
      <c r="D45" s="8">
        <v>0</v>
      </c>
      <c r="E45" s="8">
        <v>218.93</v>
      </c>
      <c r="F45" s="8">
        <v>0</v>
      </c>
      <c r="G45" s="8">
        <v>0</v>
      </c>
      <c r="H45" s="8">
        <v>0</v>
      </c>
      <c r="J45" s="8">
        <v>0</v>
      </c>
      <c r="K45" s="8">
        <f t="shared" si="2"/>
        <v>55432.329999999994</v>
      </c>
    </row>
    <row r="46" spans="1:12">
      <c r="A46">
        <f t="shared" si="1"/>
        <v>45</v>
      </c>
      <c r="I46" s="8">
        <v>13711.77</v>
      </c>
      <c r="K46" s="8">
        <f t="shared" si="2"/>
        <v>13711.77</v>
      </c>
    </row>
    <row r="47" spans="1:12">
      <c r="A47">
        <f t="shared" si="1"/>
        <v>46</v>
      </c>
      <c r="B47" s="8">
        <f>31225.55+1561.29+312.26+1561.3+1249.04</f>
        <v>35909.440000000002</v>
      </c>
      <c r="C47" s="8">
        <v>0</v>
      </c>
      <c r="D47" s="8">
        <v>4683.84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f t="shared" si="2"/>
        <v>40593.279999999999</v>
      </c>
      <c r="L47" s="7"/>
    </row>
    <row r="48" spans="1:12">
      <c r="A48">
        <f t="shared" si="1"/>
        <v>47</v>
      </c>
      <c r="B48" s="8">
        <f>48793.56+3662.24+1231.86+588.48+204</f>
        <v>54480.14</v>
      </c>
      <c r="C48" s="8">
        <v>9761.2199999999993</v>
      </c>
      <c r="D48" s="8">
        <v>1530</v>
      </c>
      <c r="E48" s="8">
        <v>218.93</v>
      </c>
      <c r="F48" s="8">
        <v>1912.5</v>
      </c>
      <c r="G48" s="8">
        <v>54.74</v>
      </c>
      <c r="H48" s="8">
        <v>0</v>
      </c>
      <c r="I48" s="8">
        <v>0</v>
      </c>
      <c r="J48" s="8">
        <v>0</v>
      </c>
      <c r="K48" s="8">
        <f t="shared" si="2"/>
        <v>67957.53</v>
      </c>
    </row>
    <row r="49" spans="1:11">
      <c r="A49">
        <f t="shared" si="1"/>
        <v>48</v>
      </c>
      <c r="B49" s="8">
        <f>52984+10962.23+3957.04+302.08+2718.72+289.03+1311.65+2919.52+196.35+3322.88</f>
        <v>78963.5</v>
      </c>
      <c r="C49" s="8">
        <f>8335.62+3735.47+16768.84+10296.43</f>
        <v>39136.36</v>
      </c>
      <c r="D49" s="8">
        <v>0</v>
      </c>
      <c r="E49" s="8">
        <v>218.93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f t="shared" si="2"/>
        <v>118318.79</v>
      </c>
    </row>
    <row r="50" spans="1:11">
      <c r="A50">
        <f t="shared" si="1"/>
        <v>49</v>
      </c>
      <c r="B50" s="8">
        <f>126589.57+6785.89+553.5+3248.25+553.5</f>
        <v>137730.71000000002</v>
      </c>
      <c r="C50" s="8">
        <v>0</v>
      </c>
      <c r="D50" s="8">
        <v>5535.04</v>
      </c>
      <c r="E50" s="8">
        <v>845.73</v>
      </c>
      <c r="F50" s="8">
        <v>5535.04</v>
      </c>
      <c r="G50" s="8">
        <v>0</v>
      </c>
      <c r="H50" s="8">
        <v>0</v>
      </c>
      <c r="I50" s="8">
        <v>0</v>
      </c>
      <c r="J50" s="8">
        <v>3289.05</v>
      </c>
      <c r="K50" s="8">
        <f t="shared" si="2"/>
        <v>152935.57000000004</v>
      </c>
    </row>
    <row r="51" spans="1:11">
      <c r="A51">
        <f t="shared" si="1"/>
        <v>50</v>
      </c>
      <c r="B51" s="8">
        <f>45162.17+6309.57+3516.8+256.8+824.4+2524.26+5213.29+2907.76+1284</f>
        <v>67999.05</v>
      </c>
      <c r="C51" s="8">
        <f>16849.42+3953.98+11730.53+4793.26</f>
        <v>37327.19</v>
      </c>
      <c r="D51" s="8">
        <v>0</v>
      </c>
      <c r="E51" s="8">
        <v>218.94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f t="shared" si="2"/>
        <v>105545.18000000001</v>
      </c>
    </row>
    <row r="52" spans="1:11">
      <c r="A52">
        <f t="shared" si="1"/>
        <v>51</v>
      </c>
      <c r="B52" s="8">
        <f>49926.7+6714.98+5177.36+302.08+944+3270.14+3229.61+3004.55+2582.68</f>
        <v>75152.099999999991</v>
      </c>
      <c r="C52" s="8">
        <f>21506.87+8182.15+16130.53+9448.3+314.18+165.16+644.13</f>
        <v>56391.319999999992</v>
      </c>
      <c r="D52" s="8">
        <v>0</v>
      </c>
      <c r="E52" s="8">
        <v>219.14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f t="shared" si="2"/>
        <v>131762.56</v>
      </c>
    </row>
    <row r="53" spans="1:11">
      <c r="A53">
        <f t="shared" si="1"/>
        <v>52</v>
      </c>
      <c r="B53" s="8">
        <f>133910.64+8016.19+594.23+2376.92+2971.15+13738.7+635.83+635.83</f>
        <v>162879.49000000002</v>
      </c>
      <c r="C53" s="8">
        <v>0</v>
      </c>
      <c r="D53" s="8">
        <v>3179.16</v>
      </c>
      <c r="E53" s="8">
        <v>845.72</v>
      </c>
      <c r="F53" s="8">
        <v>7629.98</v>
      </c>
      <c r="G53" s="8">
        <v>0</v>
      </c>
      <c r="H53" s="8">
        <v>0</v>
      </c>
      <c r="I53" s="8">
        <v>0</v>
      </c>
      <c r="J53" s="8">
        <v>4917.8100000000004</v>
      </c>
      <c r="K53" s="8">
        <f t="shared" si="2"/>
        <v>179452.16000000003</v>
      </c>
    </row>
    <row r="54" spans="1:11">
      <c r="A54">
        <f t="shared" si="1"/>
        <v>53</v>
      </c>
      <c r="B54" s="8">
        <f>39488.51+2348.4+183.12+915.6+2088.68+2511.03+183.12</f>
        <v>47718.460000000006</v>
      </c>
      <c r="C54" s="8">
        <v>323.7</v>
      </c>
      <c r="D54" s="8">
        <v>0</v>
      </c>
      <c r="E54" s="8">
        <v>218.94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f t="shared" si="2"/>
        <v>48261.100000000006</v>
      </c>
    </row>
    <row r="55" spans="1:11">
      <c r="A55">
        <f t="shared" si="1"/>
        <v>54</v>
      </c>
      <c r="B55" s="8">
        <f>60151.26+3125.28+234.72+1011.78+45.99</f>
        <v>64569.03</v>
      </c>
      <c r="C55" s="8">
        <v>9439.11</v>
      </c>
      <c r="D55" s="8">
        <v>1195.74</v>
      </c>
      <c r="E55" s="8">
        <v>218.94</v>
      </c>
      <c r="F55" s="8">
        <v>2652.09</v>
      </c>
      <c r="G55" s="8">
        <v>0</v>
      </c>
      <c r="H55" s="8">
        <v>0</v>
      </c>
      <c r="I55" s="8">
        <v>0</v>
      </c>
      <c r="J55" s="8">
        <v>0</v>
      </c>
      <c r="K55" s="8">
        <f t="shared" si="2"/>
        <v>78074.91</v>
      </c>
    </row>
    <row r="56" spans="1:11">
      <c r="A56">
        <f t="shared" si="1"/>
        <v>55</v>
      </c>
      <c r="B56" s="8">
        <f>245748.39+15115.14+1188.83+5661.11+33740.23+4755.32+1188.83</f>
        <v>307397.85000000003</v>
      </c>
      <c r="C56" s="8">
        <v>0</v>
      </c>
      <c r="D56" s="8">
        <v>0</v>
      </c>
      <c r="E56" s="8">
        <v>853.6</v>
      </c>
      <c r="F56" s="8">
        <v>20210.14</v>
      </c>
      <c r="G56" s="8">
        <v>0</v>
      </c>
      <c r="H56" s="8">
        <v>0</v>
      </c>
      <c r="I56" s="8">
        <v>0</v>
      </c>
      <c r="J56" s="8">
        <v>0</v>
      </c>
      <c r="K56" s="8">
        <f t="shared" si="2"/>
        <v>328461.59000000003</v>
      </c>
    </row>
    <row r="57" spans="1:11">
      <c r="A57">
        <f t="shared" si="1"/>
        <v>56</v>
      </c>
      <c r="B57" s="8">
        <f>54043.16+2953.65+224.78+2472.62+229.28+229.28</f>
        <v>60152.770000000004</v>
      </c>
      <c r="C57" s="8">
        <v>632.20000000000005</v>
      </c>
      <c r="D57" s="8">
        <v>0</v>
      </c>
      <c r="E57" s="8">
        <v>218.93</v>
      </c>
      <c r="F57" s="8">
        <v>1146.4000000000001</v>
      </c>
      <c r="G57" s="8">
        <v>0</v>
      </c>
      <c r="H57" s="8">
        <v>0</v>
      </c>
      <c r="I57" s="8">
        <v>0</v>
      </c>
      <c r="J57" s="8">
        <v>0</v>
      </c>
      <c r="K57" s="8">
        <f t="shared" si="2"/>
        <v>62150.3</v>
      </c>
    </row>
    <row r="58" spans="1:11">
      <c r="A58">
        <f t="shared" si="1"/>
        <v>57</v>
      </c>
      <c r="B58" s="8">
        <f>70484.61+3952.77+291.5+1457.52+3777.88+314.82</f>
        <v>80279.10000000002</v>
      </c>
      <c r="C58" s="8">
        <v>0</v>
      </c>
      <c r="D58" s="8">
        <v>0</v>
      </c>
      <c r="E58" s="8">
        <v>2574.7199999999998</v>
      </c>
      <c r="F58" s="8">
        <v>3148.24</v>
      </c>
      <c r="G58" s="8">
        <v>0</v>
      </c>
      <c r="H58" s="8">
        <v>0</v>
      </c>
      <c r="I58" s="8">
        <v>0</v>
      </c>
      <c r="J58" s="8">
        <v>0</v>
      </c>
      <c r="K58" s="8">
        <f t="shared" si="2"/>
        <v>86002.060000000027</v>
      </c>
    </row>
    <row r="59" spans="1:11">
      <c r="A59">
        <f t="shared" si="1"/>
        <v>58</v>
      </c>
      <c r="B59" s="8">
        <f>58986.87+3168.72+252.38+2100.79+175.26+252.38</f>
        <v>64936.4</v>
      </c>
      <c r="C59" s="8">
        <v>4818.8500000000004</v>
      </c>
      <c r="D59" s="8">
        <v>0</v>
      </c>
      <c r="E59" s="8">
        <v>574.72</v>
      </c>
      <c r="F59" s="8">
        <v>473.21</v>
      </c>
      <c r="G59" s="8">
        <v>0</v>
      </c>
      <c r="H59" s="8">
        <v>0</v>
      </c>
      <c r="I59" s="8">
        <v>0</v>
      </c>
      <c r="J59" s="8">
        <v>0</v>
      </c>
      <c r="K59" s="8">
        <f t="shared" si="2"/>
        <v>70803.180000000008</v>
      </c>
    </row>
    <row r="60" spans="1:11">
      <c r="A60">
        <f t="shared" si="1"/>
        <v>59</v>
      </c>
      <c r="B60" s="8">
        <f>104544.77+5807.14+473.54+2076.96+3314.81+1420.62</f>
        <v>117637.84</v>
      </c>
      <c r="C60" s="8">
        <v>0</v>
      </c>
      <c r="D60" s="8">
        <v>0</v>
      </c>
      <c r="E60" s="8">
        <v>903.13</v>
      </c>
      <c r="F60" s="8">
        <v>0</v>
      </c>
      <c r="G60" s="8">
        <v>0</v>
      </c>
      <c r="H60" s="8">
        <v>0</v>
      </c>
      <c r="I60" s="8">
        <v>0</v>
      </c>
      <c r="J60" s="8">
        <v>7127.21</v>
      </c>
      <c r="K60" s="8">
        <f t="shared" si="2"/>
        <v>125668.18000000001</v>
      </c>
    </row>
    <row r="61" spans="1:11">
      <c r="A61">
        <f t="shared" si="1"/>
        <v>60</v>
      </c>
      <c r="B61" s="8">
        <f>65948.59+3596.49+1387.41+1643.34+282.87+282.87</f>
        <v>73141.569999999992</v>
      </c>
      <c r="C61" s="8">
        <v>0</v>
      </c>
      <c r="D61" s="8">
        <v>1414.35</v>
      </c>
      <c r="E61" s="8">
        <v>574.72</v>
      </c>
      <c r="F61" s="8">
        <v>2828.72</v>
      </c>
      <c r="G61" s="8">
        <v>0</v>
      </c>
      <c r="H61" s="8">
        <v>0</v>
      </c>
      <c r="I61" s="8">
        <v>0</v>
      </c>
      <c r="J61" s="8">
        <v>0</v>
      </c>
      <c r="K61" s="8">
        <f t="shared" si="2"/>
        <v>77959.360000000001</v>
      </c>
    </row>
    <row r="62" spans="1:11">
      <c r="A62">
        <f t="shared" si="1"/>
        <v>61</v>
      </c>
      <c r="B62" s="8">
        <f>27612.89+1922.16+462.96+1675.78+2550.18</f>
        <v>34223.969999999994</v>
      </c>
      <c r="C62" s="8">
        <v>257.86</v>
      </c>
      <c r="D62" s="8">
        <v>0</v>
      </c>
      <c r="E62" s="8">
        <v>218.93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f t="shared" si="2"/>
        <v>34700.759999999995</v>
      </c>
    </row>
    <row r="63" spans="1:11">
      <c r="A63">
        <f t="shared" si="1"/>
        <v>62</v>
      </c>
      <c r="B63" s="8">
        <f>52304.12+2831.44+1996.24+1077.44</f>
        <v>58209.240000000005</v>
      </c>
      <c r="C63" s="8">
        <v>3026.43</v>
      </c>
      <c r="D63" s="8">
        <v>0</v>
      </c>
      <c r="E63" s="8">
        <v>218.94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f t="shared" si="2"/>
        <v>61454.610000000008</v>
      </c>
    </row>
    <row r="64" spans="1:11">
      <c r="A64">
        <f t="shared" si="1"/>
        <v>63</v>
      </c>
      <c r="B64" s="8">
        <f>41534.28+2202.72+1425.72+591.36</f>
        <v>45754.080000000002</v>
      </c>
      <c r="C64" s="8">
        <v>0</v>
      </c>
      <c r="D64" s="8">
        <v>0</v>
      </c>
      <c r="E64" s="8">
        <v>218.93</v>
      </c>
      <c r="F64" s="8">
        <v>1538.16</v>
      </c>
      <c r="G64" s="8">
        <v>0</v>
      </c>
      <c r="H64" s="8">
        <v>0</v>
      </c>
      <c r="I64" s="8">
        <v>0</v>
      </c>
      <c r="J64" s="8">
        <v>0</v>
      </c>
      <c r="K64" s="8">
        <f t="shared" si="2"/>
        <v>47511.170000000006</v>
      </c>
    </row>
    <row r="65" spans="1:12">
      <c r="A65">
        <f t="shared" si="1"/>
        <v>64</v>
      </c>
      <c r="B65" s="8">
        <f>45934.27+3105.84+241.6+226.56+2218.78+794.72+1661.12</f>
        <v>54182.89</v>
      </c>
      <c r="C65" s="8">
        <f>39694.66+5703.37</f>
        <v>45398.030000000006</v>
      </c>
      <c r="D65" s="8">
        <v>0</v>
      </c>
      <c r="E65" s="8">
        <v>221.36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f t="shared" si="2"/>
        <v>99802.280000000013</v>
      </c>
    </row>
    <row r="66" spans="1:12">
      <c r="A66">
        <f t="shared" si="1"/>
        <v>65</v>
      </c>
      <c r="B66" s="8">
        <f>52145.85+10111.72+4174.4+302.08+349.83+315.2+1480.16+3790.96+1848.48</f>
        <v>74518.680000000008</v>
      </c>
      <c r="C66" s="8">
        <f>29059.54+8196.82+16343.38+4788.79</f>
        <v>58388.53</v>
      </c>
      <c r="D66" s="8">
        <v>0</v>
      </c>
      <c r="E66" s="8">
        <v>218.94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f t="shared" si="2"/>
        <v>133126.15000000002</v>
      </c>
    </row>
    <row r="67" spans="1:12">
      <c r="A67">
        <f t="shared" si="1"/>
        <v>66</v>
      </c>
      <c r="B67" s="8">
        <f>48539.62+2915.32+2867.76+274.8+2433.22+2370.72+3493.88+1449.6</f>
        <v>64344.920000000006</v>
      </c>
      <c r="C67" s="8">
        <f>30338.2+5045.76+5363.75+3370.85</f>
        <v>44118.559999999998</v>
      </c>
      <c r="D67" s="8">
        <v>0</v>
      </c>
      <c r="E67" s="8">
        <v>218.96</v>
      </c>
      <c r="F67" s="8">
        <v>1752</v>
      </c>
      <c r="G67" s="8">
        <v>0</v>
      </c>
      <c r="H67" s="8">
        <v>0</v>
      </c>
      <c r="I67" s="8">
        <v>0</v>
      </c>
      <c r="J67" s="8">
        <v>0</v>
      </c>
      <c r="K67" s="8">
        <f t="shared" ref="K67:K74" si="3">+SUM(B67:J67)</f>
        <v>110434.44000000002</v>
      </c>
    </row>
    <row r="68" spans="1:12">
      <c r="A68">
        <f t="shared" ref="A68:A74" si="4">+A67+1</f>
        <v>67</v>
      </c>
      <c r="B68" s="8">
        <f>63719.57+2739.76+339.08+1695.4+3729.88+1763.2</f>
        <v>73986.89</v>
      </c>
      <c r="C68" s="8">
        <v>0</v>
      </c>
      <c r="D68" s="8">
        <v>1057.92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f t="shared" si="3"/>
        <v>75044.81</v>
      </c>
    </row>
    <row r="69" spans="1:12">
      <c r="A69">
        <f t="shared" si="4"/>
        <v>68</v>
      </c>
      <c r="B69" s="8">
        <f>43666.36+3240.48+274.44+1790.88+823.32</f>
        <v>49795.48</v>
      </c>
      <c r="C69" s="8">
        <v>8745.73</v>
      </c>
      <c r="D69" s="8">
        <v>365.92</v>
      </c>
      <c r="E69" s="8">
        <v>218.95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f t="shared" si="3"/>
        <v>59126.080000000002</v>
      </c>
    </row>
    <row r="70" spans="1:12">
      <c r="A70">
        <f t="shared" si="4"/>
        <v>69</v>
      </c>
      <c r="B70" s="8">
        <f>46417.2+2496.64+2037.92+1932.64</f>
        <v>52884.399999999994</v>
      </c>
      <c r="C70" s="8">
        <v>13515.6</v>
      </c>
      <c r="D70" s="8">
        <v>0</v>
      </c>
      <c r="E70" s="8">
        <v>219.15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f t="shared" si="3"/>
        <v>66619.149999999994</v>
      </c>
    </row>
    <row r="71" spans="1:12">
      <c r="A71">
        <f t="shared" si="4"/>
        <v>70</v>
      </c>
      <c r="B71" s="8">
        <f>70538.49+3423.08+384.62+1903.84+1153.85</f>
        <v>77403.88</v>
      </c>
      <c r="C71" s="8">
        <v>0</v>
      </c>
      <c r="D71" s="8">
        <v>0</v>
      </c>
      <c r="E71" s="8">
        <v>2574.7199999999998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f t="shared" si="3"/>
        <v>79978.600000000006</v>
      </c>
      <c r="L71" s="7"/>
    </row>
    <row r="72" spans="1:12">
      <c r="A72">
        <f t="shared" si="4"/>
        <v>71</v>
      </c>
      <c r="B72" s="8">
        <f>40699.7+2276+733.68+994.62+261.92</f>
        <v>44965.919999999998</v>
      </c>
      <c r="C72" s="8">
        <f>35030.98+4247.74</f>
        <v>39278.720000000001</v>
      </c>
      <c r="D72" s="8">
        <v>0</v>
      </c>
      <c r="E72" s="8">
        <v>218.94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f t="shared" si="3"/>
        <v>84463.58</v>
      </c>
      <c r="L72" s="7"/>
    </row>
    <row r="73" spans="1:12">
      <c r="A73">
        <f t="shared" si="4"/>
        <v>72</v>
      </c>
      <c r="B73" s="8">
        <f>42191.89+2276+241.6+677.08+1286.55+765.44</f>
        <v>47438.560000000005</v>
      </c>
      <c r="C73" s="8">
        <f>19395.31+3197.76</f>
        <v>22593.07</v>
      </c>
      <c r="D73" s="8">
        <v>0</v>
      </c>
      <c r="E73" s="8">
        <v>218.94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f t="shared" si="3"/>
        <v>70250.570000000007</v>
      </c>
      <c r="L73" s="7"/>
    </row>
    <row r="74" spans="1:12">
      <c r="A74">
        <f t="shared" si="4"/>
        <v>73</v>
      </c>
      <c r="B74" s="8">
        <f>1346.15+538.46</f>
        <v>1884.6100000000001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f t="shared" si="3"/>
        <v>1884.6100000000001</v>
      </c>
    </row>
    <row r="75" spans="1:12" ht="15.75" thickBot="1">
      <c r="B75" s="13">
        <f>+SUM(B2:B74)</f>
        <v>5162805.709999999</v>
      </c>
      <c r="C75" s="13">
        <f t="shared" ref="C75:K75" si="5">+SUM(C2:C74)</f>
        <v>1252532.5</v>
      </c>
      <c r="D75" s="13">
        <f t="shared" si="5"/>
        <v>92664.87000000001</v>
      </c>
      <c r="E75" s="13">
        <f t="shared" si="5"/>
        <v>23297.56</v>
      </c>
      <c r="F75" s="13">
        <f t="shared" si="5"/>
        <v>126316.23000000001</v>
      </c>
      <c r="G75" s="13">
        <f t="shared" si="5"/>
        <v>3395.3399999999992</v>
      </c>
      <c r="H75" s="13">
        <f t="shared" si="5"/>
        <v>3125</v>
      </c>
      <c r="I75" s="13">
        <f t="shared" si="5"/>
        <v>13711.77</v>
      </c>
      <c r="J75" s="13">
        <f t="shared" si="5"/>
        <v>16015.029999999999</v>
      </c>
      <c r="K75" s="13">
        <f t="shared" si="5"/>
        <v>6693864.0099999998</v>
      </c>
    </row>
    <row r="76" spans="1:12" ht="15.75" thickTop="1"/>
    <row r="77" spans="1:12">
      <c r="A77" t="s">
        <v>11</v>
      </c>
      <c r="B77" s="14">
        <v>66</v>
      </c>
    </row>
  </sheetData>
  <autoFilter ref="A1:K74" xr:uid="{713D6F93-451C-4540-9664-6C65187BE982}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557C-7662-4BC8-971A-084ED44F3395}">
  <dimension ref="A1:L82"/>
  <sheetViews>
    <sheetView zoomScaleNormal="100" workbookViewId="0">
      <pane ySplit="1" topLeftCell="A65" activePane="bottomLeft" state="frozen"/>
      <selection pane="bottomLeft" activeCell="C86" sqref="C86"/>
    </sheetView>
  </sheetViews>
  <sheetFormatPr defaultRowHeight="15"/>
  <cols>
    <col min="1" max="1" width="28.5703125" bestFit="1" customWidth="1"/>
    <col min="2" max="2" width="14.28515625" style="8" customWidth="1"/>
    <col min="3" max="3" width="14.5703125" style="8" customWidth="1"/>
    <col min="4" max="4" width="14.7109375" style="8" customWidth="1"/>
    <col min="5" max="5" width="11.28515625" style="8" customWidth="1"/>
    <col min="6" max="6" width="15.140625" style="8" customWidth="1"/>
    <col min="7" max="7" width="10.140625" style="8" customWidth="1"/>
    <col min="8" max="10" width="16.140625" style="8" customWidth="1"/>
    <col min="11" max="11" width="14.7109375" style="8" customWidth="1"/>
  </cols>
  <sheetData>
    <row r="1" spans="1:12" s="2" customFormat="1" ht="48.75" customHeight="1">
      <c r="A1" s="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H1" s="9" t="s">
        <v>7</v>
      </c>
      <c r="I1" s="9" t="s">
        <v>8</v>
      </c>
      <c r="J1" s="9" t="s">
        <v>9</v>
      </c>
      <c r="K1" s="12" t="s">
        <v>10</v>
      </c>
    </row>
    <row r="2" spans="1:12">
      <c r="A2">
        <v>1</v>
      </c>
      <c r="B2" s="8">
        <f>95640.33+4490.19+449.02+2245.08+9429.37+4490.17</f>
        <v>116744.16</v>
      </c>
      <c r="C2" s="8">
        <v>0</v>
      </c>
      <c r="D2" s="8">
        <v>0</v>
      </c>
      <c r="E2" s="8">
        <v>4200.03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f>+SUM(B2:H2)</f>
        <v>120944.19</v>
      </c>
    </row>
    <row r="3" spans="1:12">
      <c r="A3">
        <f>+A2+1</f>
        <v>2</v>
      </c>
      <c r="B3" s="8">
        <f>54095.27+2640+261.92+130.96+1004.42+7644.02+2515.01</f>
        <v>68291.599999999991</v>
      </c>
      <c r="C3" s="8">
        <v>7599.31</v>
      </c>
      <c r="D3" s="8">
        <v>0</v>
      </c>
      <c r="E3" s="8">
        <v>310.8</v>
      </c>
      <c r="F3" s="8">
        <v>0</v>
      </c>
      <c r="G3" s="8">
        <v>0</v>
      </c>
      <c r="H3" s="8">
        <v>300</v>
      </c>
      <c r="I3" s="8">
        <v>0</v>
      </c>
      <c r="J3" s="8">
        <v>0</v>
      </c>
      <c r="K3" s="8">
        <f t="shared" ref="K3:K56" si="0">+SUM(B3:J3)</f>
        <v>76501.709999999992</v>
      </c>
    </row>
    <row r="4" spans="1:12">
      <c r="A4">
        <f t="shared" ref="A4:A65" si="1">+A3+1</f>
        <v>3</v>
      </c>
      <c r="B4" s="8">
        <f>66436.98+6608.17+3416+345.68+783.66+8221.52+338.88</f>
        <v>86150.89</v>
      </c>
      <c r="C4" s="8">
        <f>6671.7+2090.09+14248.86+5286.53+6928.52+2551.8</f>
        <v>37777.5</v>
      </c>
      <c r="D4" s="8">
        <v>7.35</v>
      </c>
      <c r="E4" s="8">
        <v>310.81</v>
      </c>
      <c r="F4" s="8">
        <v>4148.16</v>
      </c>
      <c r="G4" s="8">
        <v>0</v>
      </c>
      <c r="H4" s="8">
        <v>300</v>
      </c>
      <c r="I4" s="8">
        <v>0</v>
      </c>
      <c r="J4" s="8">
        <v>0</v>
      </c>
      <c r="K4" s="8">
        <f t="shared" si="0"/>
        <v>128694.71</v>
      </c>
    </row>
    <row r="5" spans="1:12">
      <c r="A5">
        <f t="shared" si="1"/>
        <v>4</v>
      </c>
      <c r="B5" s="8">
        <f>54906.62+2640+261.92+785.76+2654.54+5198.92+1843.84</f>
        <v>68291.600000000006</v>
      </c>
      <c r="C5" s="8">
        <v>11313.83</v>
      </c>
      <c r="D5" s="8">
        <v>1335.6</v>
      </c>
      <c r="E5" s="8">
        <v>310.8</v>
      </c>
      <c r="F5" s="8">
        <v>0</v>
      </c>
      <c r="G5" s="8">
        <v>0</v>
      </c>
      <c r="H5" s="8">
        <v>300</v>
      </c>
      <c r="I5" s="8">
        <v>0</v>
      </c>
      <c r="J5" s="8">
        <v>0</v>
      </c>
      <c r="K5" s="8">
        <f t="shared" si="0"/>
        <v>81551.830000000016</v>
      </c>
    </row>
    <row r="6" spans="1:12">
      <c r="A6">
        <f t="shared" si="1"/>
        <v>5</v>
      </c>
      <c r="B6" s="8">
        <f>62492.79+3182.78+312.65+1563.25+10789.55+4130.11</f>
        <v>82471.13</v>
      </c>
      <c r="C6" s="8">
        <v>0</v>
      </c>
      <c r="D6" s="8">
        <v>0</v>
      </c>
      <c r="E6" s="8">
        <v>310.54000000000002</v>
      </c>
      <c r="F6" s="8">
        <v>322.02999999999997</v>
      </c>
      <c r="G6" s="8">
        <v>465.84</v>
      </c>
      <c r="H6" s="8">
        <v>0</v>
      </c>
      <c r="I6" s="8">
        <v>0</v>
      </c>
      <c r="J6" s="8">
        <v>0</v>
      </c>
      <c r="K6" s="8">
        <f t="shared" si="0"/>
        <v>83569.539999999994</v>
      </c>
    </row>
    <row r="7" spans="1:12">
      <c r="A7">
        <f t="shared" si="1"/>
        <v>6</v>
      </c>
      <c r="B7" s="8">
        <f>55766.37+7524.61+4093.76+338.88+3293.95+8526.4+3748.08</f>
        <v>83292.05</v>
      </c>
      <c r="C7" s="8">
        <f>18183.38+1016.64+13733.64+4490.35+3439.45+7973.1</f>
        <v>48836.56</v>
      </c>
      <c r="D7" s="8">
        <v>0</v>
      </c>
      <c r="E7" s="8">
        <v>310.8</v>
      </c>
      <c r="F7" s="8">
        <v>0</v>
      </c>
      <c r="G7" s="8">
        <v>466.2</v>
      </c>
      <c r="H7" s="8">
        <v>300</v>
      </c>
      <c r="I7" s="8">
        <v>0</v>
      </c>
      <c r="J7" s="8">
        <v>0</v>
      </c>
      <c r="K7" s="8">
        <f t="shared" si="0"/>
        <v>133205.60999999999</v>
      </c>
    </row>
    <row r="8" spans="1:12">
      <c r="A8">
        <f t="shared" si="1"/>
        <v>7</v>
      </c>
      <c r="B8" s="8">
        <f>61957.8+8846.25+4107.36+3222.76+5483.28+3049.92</f>
        <v>86667.37</v>
      </c>
      <c r="C8" s="8">
        <f>4388.72+2983.05+18015.83+6982.76+3091.89+1111.95</f>
        <v>36574.199999999997</v>
      </c>
      <c r="D8" s="8">
        <v>3283.96</v>
      </c>
      <c r="E8" s="8">
        <v>310.77</v>
      </c>
      <c r="F8" s="8">
        <v>1037.04</v>
      </c>
      <c r="G8" s="8">
        <v>0</v>
      </c>
      <c r="H8" s="8">
        <v>0</v>
      </c>
      <c r="I8" s="8">
        <v>0</v>
      </c>
      <c r="J8" s="8">
        <v>0</v>
      </c>
      <c r="K8" s="8">
        <f t="shared" si="0"/>
        <v>127873.34</v>
      </c>
    </row>
    <row r="9" spans="1:12">
      <c r="A9">
        <f t="shared" si="1"/>
        <v>8</v>
      </c>
      <c r="B9" s="8">
        <f>24607.9+1848.48+308.08+1405.62+4834.6+10055.97+3696.96+1906.25</f>
        <v>48663.86</v>
      </c>
      <c r="C9" s="8">
        <f>3292.6+2869.23+25659.42+7159.41+635.42+2310.6+378.36+1008.96</f>
        <v>43314</v>
      </c>
      <c r="D9" s="8">
        <v>8895.81</v>
      </c>
      <c r="E9" s="8">
        <v>0</v>
      </c>
      <c r="F9" s="8">
        <v>9569.74</v>
      </c>
      <c r="G9" s="8">
        <v>854.04</v>
      </c>
      <c r="H9" s="8">
        <v>200</v>
      </c>
      <c r="I9" s="8">
        <v>0</v>
      </c>
      <c r="J9" s="8">
        <v>0</v>
      </c>
      <c r="K9" s="8">
        <f t="shared" si="0"/>
        <v>111497.45</v>
      </c>
    </row>
    <row r="10" spans="1:12">
      <c r="A10">
        <f t="shared" si="1"/>
        <v>9</v>
      </c>
      <c r="B10" s="8">
        <f>62400.03+7128.26+3070.32+338.88+508.32+3800.57+7330.12+4066.56</f>
        <v>88643.060000000012</v>
      </c>
      <c r="C10" s="8">
        <f>8072.77+1275.9+7204.09+3548.67+2414.52+1016.64</f>
        <v>23532.59</v>
      </c>
      <c r="D10" s="8">
        <v>0</v>
      </c>
      <c r="E10" s="8">
        <v>311.22000000000003</v>
      </c>
      <c r="F10" s="8">
        <v>0</v>
      </c>
      <c r="G10" s="8">
        <v>0</v>
      </c>
      <c r="H10" s="8">
        <v>300</v>
      </c>
      <c r="I10" s="8">
        <v>0</v>
      </c>
      <c r="J10" s="8">
        <v>0</v>
      </c>
      <c r="K10" s="8">
        <f t="shared" si="0"/>
        <v>112786.87000000001</v>
      </c>
    </row>
    <row r="11" spans="1:12">
      <c r="A11">
        <f t="shared" si="1"/>
        <v>10</v>
      </c>
      <c r="B11" s="8">
        <f>46787.26+2151.65+211.36+5663.43+1363.54</f>
        <v>56177.240000000005</v>
      </c>
      <c r="C11" s="8">
        <v>2592.25</v>
      </c>
      <c r="D11" s="8">
        <v>0</v>
      </c>
      <c r="E11" s="8">
        <v>310.77999999999997</v>
      </c>
      <c r="F11" s="8">
        <v>1319.83</v>
      </c>
      <c r="G11" s="8">
        <v>0</v>
      </c>
      <c r="H11" s="8">
        <v>0</v>
      </c>
      <c r="I11" s="8">
        <v>0</v>
      </c>
      <c r="J11" s="8">
        <v>0</v>
      </c>
      <c r="K11" s="8">
        <f t="shared" si="0"/>
        <v>60400.100000000006</v>
      </c>
    </row>
    <row r="12" spans="1:12">
      <c r="A12">
        <f t="shared" si="1"/>
        <v>11</v>
      </c>
      <c r="B12" s="8">
        <f>62832.91+7084.08+4093.76+345.68+4035.25+7869.04+1016.64</f>
        <v>87277.359999999986</v>
      </c>
      <c r="C12" s="8">
        <f>4225.41+4018.39+14123.44+6911.13+5502.59+508.32</f>
        <v>35289.279999999999</v>
      </c>
      <c r="D12" s="8">
        <v>0</v>
      </c>
      <c r="E12" s="8">
        <v>310.77999999999997</v>
      </c>
      <c r="F12" s="8">
        <v>3111.12</v>
      </c>
      <c r="G12" s="8">
        <v>388.51</v>
      </c>
      <c r="H12" s="8">
        <v>300</v>
      </c>
      <c r="I12" s="8">
        <v>0</v>
      </c>
      <c r="J12" s="8">
        <v>0</v>
      </c>
      <c r="K12" s="8">
        <f t="shared" si="0"/>
        <v>126677.04999999997</v>
      </c>
    </row>
    <row r="13" spans="1:12">
      <c r="A13">
        <f t="shared" si="1"/>
        <v>12</v>
      </c>
      <c r="B13" s="8">
        <f>53163.03+3105.44+3459.74+1576.5+7877.89+8040.88+930.4</f>
        <v>78153.88</v>
      </c>
      <c r="C13" s="8">
        <f>6393.44+2397.63+504.48+336.32+22790.17+3934.95+1732.95+1857.72+536.01</f>
        <v>40483.67</v>
      </c>
      <c r="D13" s="8">
        <v>0</v>
      </c>
      <c r="E13" s="8">
        <v>310.55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f t="shared" si="0"/>
        <v>118948.1</v>
      </c>
    </row>
    <row r="14" spans="1:12">
      <c r="A14">
        <f t="shared" si="1"/>
        <v>13</v>
      </c>
      <c r="B14" s="8">
        <f>56525.61+2619.2+261.92+5925.94+2799.27</f>
        <v>68131.94</v>
      </c>
      <c r="C14" s="8">
        <v>1571.56</v>
      </c>
      <c r="D14" s="8">
        <v>622.05999999999995</v>
      </c>
      <c r="E14" s="8">
        <v>1864.81</v>
      </c>
      <c r="F14" s="8">
        <v>605.69000000000005</v>
      </c>
      <c r="G14" s="8">
        <v>0</v>
      </c>
      <c r="H14" s="8">
        <v>300</v>
      </c>
      <c r="I14" s="8">
        <v>0</v>
      </c>
      <c r="J14" s="8">
        <v>0</v>
      </c>
      <c r="K14" s="8">
        <f t="shared" si="0"/>
        <v>73096.06</v>
      </c>
      <c r="L14" s="7"/>
    </row>
    <row r="15" spans="1:12">
      <c r="A15">
        <f t="shared" si="1"/>
        <v>14</v>
      </c>
      <c r="B15" s="8">
        <f>64186.52+9295.63+3761.68+338.88+4274.61+5252.64+677.76</f>
        <v>87787.719999999987</v>
      </c>
      <c r="C15" s="8">
        <f>6530.07+1319.11+14900.7+5037.71+6838.95+1535.16</f>
        <v>36161.700000000004</v>
      </c>
      <c r="D15" s="8">
        <v>0</v>
      </c>
      <c r="E15" s="8">
        <v>310.8</v>
      </c>
      <c r="F15" s="8">
        <v>3456.8</v>
      </c>
      <c r="G15" s="8">
        <v>0</v>
      </c>
      <c r="H15" s="8">
        <v>300</v>
      </c>
      <c r="I15" s="8">
        <v>0</v>
      </c>
      <c r="J15" s="8">
        <v>0</v>
      </c>
      <c r="K15" s="8">
        <f t="shared" si="0"/>
        <v>128017.01999999999</v>
      </c>
    </row>
    <row r="16" spans="1:12">
      <c r="A16">
        <f t="shared" si="1"/>
        <v>15</v>
      </c>
      <c r="B16" s="8">
        <f>44186.59+1979.26+384.32+3148.42+1593.73</f>
        <v>51292.32</v>
      </c>
      <c r="C16" s="8">
        <v>1235.83</v>
      </c>
      <c r="D16" s="8">
        <v>1924.63</v>
      </c>
      <c r="E16" s="8">
        <v>310.8</v>
      </c>
      <c r="F16" s="8">
        <v>781.85</v>
      </c>
      <c r="G16" s="8">
        <v>0</v>
      </c>
      <c r="H16" s="8">
        <v>0</v>
      </c>
      <c r="I16" s="8">
        <v>0</v>
      </c>
      <c r="J16" s="8">
        <v>0</v>
      </c>
      <c r="K16" s="8">
        <f t="shared" si="0"/>
        <v>55545.43</v>
      </c>
    </row>
    <row r="17" spans="1:12">
      <c r="A17">
        <f t="shared" si="1"/>
        <v>16</v>
      </c>
      <c r="B17" s="8">
        <f>48178.31+3413.52+616.16+311.16+636.96+8691.04+5246.59+9658.28+616.16+308.08</f>
        <v>77676.260000000009</v>
      </c>
      <c r="C17" s="8">
        <f>4477.39+2171.19+1072.6+336.32+23957.38+5777.5+3234.87+924.24+892.08+1008.96</f>
        <v>43852.530000000006</v>
      </c>
      <c r="D17" s="8">
        <v>0</v>
      </c>
      <c r="E17" s="8">
        <v>310.81</v>
      </c>
      <c r="F17" s="8">
        <v>1571.2</v>
      </c>
      <c r="G17" s="8">
        <v>0</v>
      </c>
      <c r="H17" s="8">
        <v>0</v>
      </c>
      <c r="I17" s="8">
        <v>0</v>
      </c>
      <c r="J17" s="8">
        <v>0</v>
      </c>
      <c r="K17" s="8">
        <f t="shared" si="0"/>
        <v>123410.8</v>
      </c>
    </row>
    <row r="18" spans="1:12">
      <c r="A18">
        <f t="shared" si="1"/>
        <v>17</v>
      </c>
      <c r="B18" s="8">
        <f>53841.57+3418.79+2091.1+1106.4</f>
        <v>60457.86</v>
      </c>
      <c r="C18" s="8">
        <v>16186.4</v>
      </c>
      <c r="D18" s="8">
        <v>2323.44</v>
      </c>
      <c r="E18" s="8">
        <v>310.8</v>
      </c>
      <c r="F18" s="8">
        <v>2323.44</v>
      </c>
      <c r="G18" s="8">
        <v>0</v>
      </c>
      <c r="H18" s="8">
        <v>0</v>
      </c>
      <c r="I18" s="8">
        <v>0</v>
      </c>
      <c r="J18" s="8">
        <v>0</v>
      </c>
      <c r="K18" s="8">
        <f t="shared" si="0"/>
        <v>81601.94</v>
      </c>
    </row>
    <row r="19" spans="1:12">
      <c r="A19">
        <f t="shared" si="1"/>
        <v>18</v>
      </c>
      <c r="B19" s="8">
        <f>66468.5+9691.97+3416+338.88+1491.1+338.88+6140.64+677.76</f>
        <v>88563.73000000001</v>
      </c>
      <c r="C19" s="8">
        <f>4701.96+1617.33+14703.17+6167.61+5289.12+508.32</f>
        <v>32987.51</v>
      </c>
      <c r="D19" s="8">
        <v>216.05</v>
      </c>
      <c r="E19" s="8">
        <v>311.23</v>
      </c>
      <c r="F19" s="8">
        <v>3456.8</v>
      </c>
      <c r="G19" s="8">
        <v>0</v>
      </c>
      <c r="H19" s="8">
        <v>0</v>
      </c>
      <c r="I19" s="8">
        <v>0</v>
      </c>
      <c r="J19" s="8">
        <v>0</v>
      </c>
      <c r="K19" s="8">
        <f t="shared" si="0"/>
        <v>125535.32000000002</v>
      </c>
    </row>
    <row r="20" spans="1:12">
      <c r="A20">
        <f t="shared" si="1"/>
        <v>19</v>
      </c>
      <c r="B20" s="8">
        <f>47761.63+4838.08+3413.52+308.08+3338.05+6067.16+8047.04+5089.48</f>
        <v>78863.039999999994</v>
      </c>
      <c r="C20" s="8">
        <f>3379.28+1771.46+15199.94+6082.66+819.79+1618.57+756.72</f>
        <v>29628.420000000002</v>
      </c>
      <c r="D20" s="8">
        <v>0</v>
      </c>
      <c r="E20" s="8">
        <v>310.82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f t="shared" si="0"/>
        <v>108802.28</v>
      </c>
    </row>
    <row r="21" spans="1:12">
      <c r="A21">
        <f t="shared" si="1"/>
        <v>20</v>
      </c>
      <c r="B21" s="8">
        <f>37178.32+1700.7+172.73+3248.6+1236.07+664.32</f>
        <v>44200.74</v>
      </c>
      <c r="C21" s="8">
        <v>650.23</v>
      </c>
      <c r="D21" s="8">
        <v>6.69</v>
      </c>
      <c r="E21" s="8">
        <v>310.81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f t="shared" si="0"/>
        <v>45168.47</v>
      </c>
    </row>
    <row r="22" spans="1:12">
      <c r="A22">
        <f t="shared" si="1"/>
        <v>21</v>
      </c>
      <c r="B22" s="8">
        <f>58769.53+2535.84+1302+3983.56</f>
        <v>66590.929999999993</v>
      </c>
      <c r="C22" s="8">
        <v>14451.04</v>
      </c>
      <c r="D22" s="8">
        <v>2262.23</v>
      </c>
      <c r="E22" s="8">
        <v>310.81</v>
      </c>
      <c r="F22" s="8">
        <v>3124.8</v>
      </c>
      <c r="G22" s="8">
        <v>0</v>
      </c>
      <c r="H22" s="8">
        <v>0</v>
      </c>
      <c r="I22" s="8">
        <v>0</v>
      </c>
      <c r="J22" s="8">
        <v>0</v>
      </c>
      <c r="K22" s="8">
        <f t="shared" si="0"/>
        <v>86739.81</v>
      </c>
    </row>
    <row r="23" spans="1:12">
      <c r="A23">
        <f t="shared" si="1"/>
        <v>22</v>
      </c>
      <c r="B23" s="8">
        <f>105388.54+4484.61+423.08+2284.61+2750</f>
        <v>115330.84</v>
      </c>
      <c r="C23" s="8">
        <v>0</v>
      </c>
      <c r="D23" s="8">
        <v>4658.49</v>
      </c>
      <c r="E23" s="8">
        <v>310.77</v>
      </c>
      <c r="F23" s="8">
        <v>3325.17</v>
      </c>
      <c r="G23" s="8">
        <v>0</v>
      </c>
      <c r="H23" s="8">
        <v>0</v>
      </c>
      <c r="I23" s="8">
        <v>0</v>
      </c>
      <c r="J23" s="8">
        <v>0</v>
      </c>
      <c r="K23" s="8">
        <f t="shared" si="0"/>
        <v>123625.27</v>
      </c>
      <c r="L23" s="7"/>
    </row>
    <row r="24" spans="1:12">
      <c r="A24">
        <f t="shared" si="1"/>
        <v>23</v>
      </c>
      <c r="B24" s="8">
        <f>58549.02+3105.44+4531.86+7666.57+924.24</f>
        <v>74777.12999999999</v>
      </c>
      <c r="C24" s="8">
        <f>8023.01+308.08+1395.6</f>
        <v>9726.69</v>
      </c>
      <c r="D24" s="8">
        <v>0</v>
      </c>
      <c r="E24" s="8">
        <v>310.77999999999997</v>
      </c>
      <c r="F24" s="8">
        <v>0</v>
      </c>
      <c r="G24" s="8">
        <v>0</v>
      </c>
      <c r="H24" s="8">
        <v>300</v>
      </c>
      <c r="I24" s="8">
        <v>0</v>
      </c>
      <c r="J24" s="8">
        <v>0</v>
      </c>
      <c r="K24" s="8">
        <f t="shared" si="0"/>
        <v>85114.599999999991</v>
      </c>
    </row>
    <row r="25" spans="1:12">
      <c r="A25">
        <f t="shared" si="1"/>
        <v>24</v>
      </c>
      <c r="B25" s="8">
        <f>48483.97+2000.64+390.72+1813.12+1654.76</f>
        <v>54343.210000000006</v>
      </c>
      <c r="C25" s="8">
        <v>13585.48</v>
      </c>
      <c r="D25" s="8">
        <v>2032</v>
      </c>
      <c r="E25" s="8">
        <v>310.77999999999997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f t="shared" si="0"/>
        <v>70271.47</v>
      </c>
    </row>
    <row r="26" spans="1:12">
      <c r="A26">
        <f t="shared" si="1"/>
        <v>25</v>
      </c>
      <c r="B26" s="8">
        <f>33375.49+1619.58+164.49+148.28+4430.49+2271.99</f>
        <v>42010.319999999992</v>
      </c>
      <c r="C26" s="8">
        <v>368.32</v>
      </c>
      <c r="D26" s="8">
        <v>2.4700000000000002</v>
      </c>
      <c r="E26" s="8">
        <v>310.8</v>
      </c>
      <c r="F26" s="8">
        <v>0</v>
      </c>
      <c r="G26" s="8">
        <v>233.11</v>
      </c>
      <c r="H26" s="8">
        <v>0</v>
      </c>
      <c r="I26" s="8">
        <v>0</v>
      </c>
      <c r="J26" s="8">
        <v>0</v>
      </c>
      <c r="K26" s="8">
        <f t="shared" si="0"/>
        <v>42925.02</v>
      </c>
    </row>
    <row r="27" spans="1:12">
      <c r="A27">
        <f t="shared" si="1"/>
        <v>26</v>
      </c>
      <c r="B27" s="8">
        <f>61377.95+6432.09+3105.44+314.24+1316.27+437.22+5255.84+1540.4</f>
        <v>79779.45</v>
      </c>
      <c r="C27" s="8">
        <f>3032.67+9048.94+4211.29+168.16+3095.07+924.24+378.36</f>
        <v>20858.730000000003</v>
      </c>
      <c r="D27" s="8">
        <v>0</v>
      </c>
      <c r="E27" s="8">
        <v>311.20999999999998</v>
      </c>
      <c r="F27" s="8">
        <v>2199.6799999999998</v>
      </c>
      <c r="G27" s="8">
        <v>233.41</v>
      </c>
      <c r="H27" s="8">
        <v>0</v>
      </c>
      <c r="I27" s="8">
        <v>0</v>
      </c>
      <c r="J27" s="8">
        <v>0</v>
      </c>
      <c r="K27" s="8">
        <f t="shared" si="0"/>
        <v>103382.48</v>
      </c>
    </row>
    <row r="28" spans="1:12">
      <c r="A28">
        <f t="shared" si="1"/>
        <v>27</v>
      </c>
      <c r="B28" s="8">
        <f>55197.14+2640+261.92+1833.44+6165.52+2193.58</f>
        <v>68291.600000000006</v>
      </c>
      <c r="C28" s="8">
        <v>663.99</v>
      </c>
      <c r="D28" s="8">
        <v>404.02</v>
      </c>
      <c r="E28" s="8">
        <v>310.81</v>
      </c>
      <c r="F28" s="8">
        <v>968.31</v>
      </c>
      <c r="G28" s="8">
        <v>0</v>
      </c>
      <c r="H28" s="8">
        <v>0</v>
      </c>
      <c r="I28" s="8">
        <v>0</v>
      </c>
      <c r="J28" s="8">
        <v>0</v>
      </c>
      <c r="K28" s="8">
        <f t="shared" si="0"/>
        <v>70638.73000000001</v>
      </c>
    </row>
    <row r="29" spans="1:12">
      <c r="A29">
        <f t="shared" si="1"/>
        <v>28</v>
      </c>
      <c r="B29" s="8">
        <f>69401.4+7084.08+3754.88+338.88+550.68+5124+345.68+338.88</f>
        <v>86938.48</v>
      </c>
      <c r="C29" s="8">
        <f>14207.56+2179.06+13115.79+4810.81+4280.14+2033.28</f>
        <v>40626.639999999999</v>
      </c>
      <c r="D29" s="8">
        <v>1382.72</v>
      </c>
      <c r="E29" s="8">
        <v>310.8</v>
      </c>
      <c r="F29" s="8">
        <v>4148.16</v>
      </c>
      <c r="G29" s="8">
        <v>0</v>
      </c>
      <c r="H29" s="8">
        <v>0</v>
      </c>
      <c r="I29" s="8">
        <v>0</v>
      </c>
      <c r="J29" s="8">
        <v>0</v>
      </c>
      <c r="K29" s="8">
        <f t="shared" si="0"/>
        <v>133406.79999999999</v>
      </c>
    </row>
    <row r="30" spans="1:12">
      <c r="A30">
        <f t="shared" si="1"/>
        <v>29</v>
      </c>
      <c r="B30" s="8">
        <f>42059.94+2032.88+592.08+4527.63+2612.63</f>
        <v>51825.159999999996</v>
      </c>
      <c r="C30" s="8">
        <v>651.32000000000005</v>
      </c>
      <c r="D30" s="8">
        <v>9.58</v>
      </c>
      <c r="E30" s="8">
        <v>310.8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f t="shared" si="0"/>
        <v>52796.86</v>
      </c>
    </row>
    <row r="31" spans="1:12">
      <c r="A31">
        <f t="shared" si="1"/>
        <v>30</v>
      </c>
      <c r="B31" s="8">
        <f>55570.5+3551.88+2663.91</f>
        <v>61786.289999999994</v>
      </c>
      <c r="C31" s="8">
        <v>11807.67</v>
      </c>
      <c r="D31" s="8">
        <v>2180.52</v>
      </c>
      <c r="E31" s="8">
        <v>310.81</v>
      </c>
      <c r="F31" s="8">
        <v>2665.08</v>
      </c>
      <c r="G31" s="8">
        <v>0</v>
      </c>
      <c r="H31" s="8">
        <v>0</v>
      </c>
      <c r="I31" s="8">
        <v>0</v>
      </c>
      <c r="J31" s="8">
        <v>0</v>
      </c>
      <c r="K31" s="8">
        <f t="shared" si="0"/>
        <v>78750.37</v>
      </c>
    </row>
    <row r="32" spans="1:12">
      <c r="A32">
        <f t="shared" si="1"/>
        <v>31</v>
      </c>
      <c r="B32" s="8">
        <f>47282.56+6223.82+3733.92+308.08+924.24+2899.03+5273.48+2420.71+5493.06+2785.04</f>
        <v>77343.939999999988</v>
      </c>
      <c r="C32" s="8">
        <f>9832.19+1818.44+14690.06+5697.15+3162.82+667.84+4064.93+5582.4+1969.3</f>
        <v>47485.130000000005</v>
      </c>
      <c r="D32" s="8">
        <v>0</v>
      </c>
      <c r="E32" s="8">
        <v>310.81</v>
      </c>
      <c r="F32" s="8">
        <v>746.32</v>
      </c>
      <c r="G32" s="8">
        <v>0</v>
      </c>
      <c r="H32" s="8">
        <v>0</v>
      </c>
      <c r="I32" s="8">
        <v>0</v>
      </c>
      <c r="J32" s="8">
        <v>0</v>
      </c>
      <c r="K32" s="8">
        <f t="shared" si="0"/>
        <v>125886.2</v>
      </c>
    </row>
    <row r="33" spans="1:11">
      <c r="A33">
        <f t="shared" si="1"/>
        <v>32</v>
      </c>
      <c r="B33" s="8">
        <f>48931.42+2059.68+201.12+183.05+104.6+1659.98+156.91+201.12</f>
        <v>53497.880000000012</v>
      </c>
      <c r="C33" s="8">
        <v>886.19</v>
      </c>
      <c r="D33" s="8">
        <v>2011.2</v>
      </c>
      <c r="E33" s="8">
        <v>310.8</v>
      </c>
      <c r="F33" s="8">
        <v>2092</v>
      </c>
      <c r="G33" s="8">
        <v>0</v>
      </c>
      <c r="H33" s="8">
        <v>0</v>
      </c>
      <c r="I33" s="8">
        <v>0</v>
      </c>
      <c r="J33" s="8">
        <v>0</v>
      </c>
      <c r="K33" s="8">
        <f t="shared" si="0"/>
        <v>58798.070000000014</v>
      </c>
    </row>
    <row r="34" spans="1:11">
      <c r="A34">
        <f t="shared" si="1"/>
        <v>33</v>
      </c>
      <c r="B34" s="8">
        <f>34651.57+1580.64+154.8+90.14+154.8+2546.41+1670.42+154.8</f>
        <v>41003.58</v>
      </c>
      <c r="C34" s="8">
        <v>375.06</v>
      </c>
      <c r="D34" s="8">
        <v>260.39</v>
      </c>
      <c r="E34" s="8">
        <v>310.81</v>
      </c>
      <c r="F34" s="8">
        <v>410.62</v>
      </c>
      <c r="G34" s="8">
        <v>0</v>
      </c>
      <c r="H34" s="8">
        <v>0</v>
      </c>
      <c r="I34" s="8">
        <v>0</v>
      </c>
      <c r="J34" s="8">
        <v>0</v>
      </c>
      <c r="K34" s="8">
        <f t="shared" si="0"/>
        <v>42360.46</v>
      </c>
    </row>
    <row r="35" spans="1:11">
      <c r="A35">
        <f t="shared" si="1"/>
        <v>34</v>
      </c>
      <c r="B35" s="8">
        <f>73018.08+3408.1+340.81+639.02+5452.94+6134.55</f>
        <v>88993.500000000015</v>
      </c>
      <c r="C35" s="8">
        <v>734.85</v>
      </c>
      <c r="D35" s="8">
        <v>0</v>
      </c>
      <c r="E35" s="8">
        <v>310.81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f t="shared" si="0"/>
        <v>90039.160000000018</v>
      </c>
    </row>
    <row r="36" spans="1:11">
      <c r="A36">
        <f t="shared" si="1"/>
        <v>35</v>
      </c>
      <c r="B36" s="8">
        <f>50846.23+2180.7+1777.3+1454.22</f>
        <v>56258.450000000004</v>
      </c>
      <c r="C36" s="8">
        <v>0</v>
      </c>
      <c r="D36" s="8">
        <v>1539.51</v>
      </c>
      <c r="E36" s="8">
        <v>310.81</v>
      </c>
      <c r="F36" s="8">
        <v>643.79</v>
      </c>
      <c r="G36" s="8">
        <v>0</v>
      </c>
      <c r="H36" s="8">
        <v>0</v>
      </c>
      <c r="I36" s="8">
        <v>0</v>
      </c>
      <c r="J36" s="8">
        <v>0</v>
      </c>
      <c r="K36" s="8">
        <f t="shared" si="0"/>
        <v>58752.560000000005</v>
      </c>
    </row>
    <row r="37" spans="1:11">
      <c r="A37">
        <f>+A36+1</f>
        <v>36</v>
      </c>
      <c r="B37" s="8">
        <f>70364.19+3285.38+348.81+348.81+1490.64+5422.95+2638.44</f>
        <v>83899.22</v>
      </c>
      <c r="C37" s="8">
        <v>0</v>
      </c>
      <c r="D37" s="8">
        <v>3.49</v>
      </c>
      <c r="E37" s="8">
        <v>310.77999999999997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f t="shared" si="0"/>
        <v>84213.49</v>
      </c>
    </row>
    <row r="38" spans="1:11">
      <c r="A38">
        <f t="shared" si="1"/>
        <v>37</v>
      </c>
      <c r="B38" s="8">
        <f>39932.55+5206.55+4029.68+308.08+1659.78+13294.5+1748.87+8028.56+4627.36</f>
        <v>78835.930000000008</v>
      </c>
      <c r="C38" s="8">
        <f>4596.38+924.24+9386.89+3904.92+1806.45+756.72+696.82+4128.48+732.7</f>
        <v>26933.600000000002</v>
      </c>
      <c r="D38" s="8">
        <v>0</v>
      </c>
      <c r="E38" s="8">
        <v>310.8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f t="shared" si="0"/>
        <v>106080.33000000002</v>
      </c>
    </row>
    <row r="39" spans="1:11">
      <c r="A39">
        <f t="shared" si="1"/>
        <v>38</v>
      </c>
      <c r="B39" s="8">
        <f>52895.76+10445.15+3721.6+308.08+770.2+4166.78+3244.08+3163.98</f>
        <v>78715.63</v>
      </c>
      <c r="C39" s="8">
        <f>4899.62+1424.87+22359.52+5083.39+1858.3+462.12</f>
        <v>36087.820000000007</v>
      </c>
      <c r="D39" s="8">
        <v>0</v>
      </c>
      <c r="E39" s="8">
        <v>310.77999999999997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f t="shared" si="0"/>
        <v>115114.23000000001</v>
      </c>
    </row>
    <row r="40" spans="1:11">
      <c r="A40">
        <f t="shared" si="1"/>
        <v>39</v>
      </c>
      <c r="B40" s="8">
        <f>52170.25+9291.67+3105.44+308.08+3003.79+2288.64+874.43+4485.64+2772.72</f>
        <v>78300.659999999989</v>
      </c>
      <c r="C40" s="8">
        <f>12602.05+3059.23+15690.31+4745.96+1522.68+256.86+1311.66+5340.39+4216.85+1261.2</f>
        <v>50007.189999999995</v>
      </c>
      <c r="D40" s="8">
        <v>73.06</v>
      </c>
      <c r="E40" s="8">
        <v>310.8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f t="shared" si="0"/>
        <v>128691.70999999998</v>
      </c>
    </row>
    <row r="41" spans="1:11">
      <c r="A41">
        <f t="shared" si="1"/>
        <v>40</v>
      </c>
      <c r="B41" s="8">
        <f>35791.92+1640.06+160.16+3490.31+1542.34</f>
        <v>42624.789999999994</v>
      </c>
      <c r="C41" s="8">
        <v>568.20000000000005</v>
      </c>
      <c r="D41" s="8">
        <v>437.87</v>
      </c>
      <c r="E41" s="8">
        <v>310.81</v>
      </c>
      <c r="F41" s="8">
        <v>394.97</v>
      </c>
      <c r="G41" s="8">
        <v>0</v>
      </c>
      <c r="H41" s="8">
        <v>0</v>
      </c>
      <c r="I41" s="8">
        <v>0</v>
      </c>
      <c r="J41" s="8">
        <v>0</v>
      </c>
      <c r="K41" s="8">
        <f t="shared" si="0"/>
        <v>44336.639999999992</v>
      </c>
    </row>
    <row r="42" spans="1:11">
      <c r="A42">
        <f t="shared" si="1"/>
        <v>41</v>
      </c>
      <c r="B42" s="8">
        <f>38769.25+1752.96+2947.52+2175.96</f>
        <v>45645.689999999995</v>
      </c>
      <c r="C42" s="8">
        <v>4410.8500000000004</v>
      </c>
      <c r="D42" s="8">
        <v>0</v>
      </c>
      <c r="E42" s="8">
        <v>310.77999999999997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f t="shared" si="0"/>
        <v>50367.319999999992</v>
      </c>
    </row>
    <row r="43" spans="1:11">
      <c r="A43">
        <f t="shared" si="1"/>
        <v>42</v>
      </c>
      <c r="I43" s="8">
        <v>13499.79</v>
      </c>
      <c r="K43" s="8">
        <f t="shared" si="0"/>
        <v>13499.79</v>
      </c>
    </row>
    <row r="44" spans="1:11">
      <c r="A44">
        <f>+A43+1</f>
        <v>43</v>
      </c>
      <c r="B44" s="8">
        <f>49922.88+3133.44+2045.1+675.75</f>
        <v>55777.17</v>
      </c>
      <c r="C44" s="8">
        <v>9474.5300000000007</v>
      </c>
      <c r="D44" s="8">
        <v>1326</v>
      </c>
      <c r="E44" s="8">
        <v>310.81</v>
      </c>
      <c r="F44" s="8">
        <v>1445.34</v>
      </c>
      <c r="G44" s="8">
        <v>0</v>
      </c>
      <c r="H44" s="8">
        <v>0</v>
      </c>
      <c r="I44" s="8">
        <v>0</v>
      </c>
      <c r="J44" s="8">
        <v>0</v>
      </c>
      <c r="K44" s="8">
        <f t="shared" si="0"/>
        <v>68333.849999999991</v>
      </c>
    </row>
    <row r="45" spans="1:11">
      <c r="A45">
        <f t="shared" si="1"/>
        <v>44</v>
      </c>
      <c r="B45" s="8">
        <f>19890.43+1602.02+924.24+308.08+2811.24+2098.8+3080.81</f>
        <v>30715.620000000003</v>
      </c>
      <c r="C45" s="8">
        <f>750.95+2327.95+1151.45</f>
        <v>4230.3499999999995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f t="shared" si="0"/>
        <v>34945.97</v>
      </c>
    </row>
    <row r="46" spans="1:11">
      <c r="A46">
        <f t="shared" si="1"/>
        <v>45</v>
      </c>
      <c r="B46" s="8">
        <f>130987.31+5628.68+553.5+2767.52+3874.52+1153.84</f>
        <v>144965.36999999997</v>
      </c>
      <c r="C46" s="8">
        <v>0</v>
      </c>
      <c r="D46" s="8">
        <v>5192.28</v>
      </c>
      <c r="E46" s="8">
        <v>310.81</v>
      </c>
      <c r="F46" s="8">
        <v>5769.2</v>
      </c>
      <c r="G46" s="8">
        <v>77.7</v>
      </c>
      <c r="H46" s="8">
        <v>0</v>
      </c>
      <c r="I46" s="8">
        <v>0</v>
      </c>
      <c r="J46" s="8">
        <v>0</v>
      </c>
      <c r="K46" s="8">
        <f t="shared" si="0"/>
        <v>156315.35999999999</v>
      </c>
    </row>
    <row r="47" spans="1:11">
      <c r="A47">
        <f t="shared" si="1"/>
        <v>46</v>
      </c>
      <c r="B47" s="8">
        <f>50380.42+6476.72+2966.24+292.72+4137.63+556.53+4847.4+2941.8</f>
        <v>72599.459999999992</v>
      </c>
      <c r="C47" s="8">
        <f>5945.21+622.03+14912.37+3139.42+3410.56+2222.84</f>
        <v>30252.43</v>
      </c>
      <c r="D47" s="8">
        <v>0</v>
      </c>
      <c r="E47" s="8">
        <v>310.8</v>
      </c>
      <c r="F47" s="8">
        <v>0</v>
      </c>
      <c r="G47" s="8">
        <v>77.72</v>
      </c>
      <c r="H47" s="8">
        <v>0</v>
      </c>
      <c r="I47" s="8">
        <v>0</v>
      </c>
      <c r="J47" s="8">
        <v>0</v>
      </c>
      <c r="K47" s="8">
        <f>+SUM(B47:J47)</f>
        <v>103240.40999999999</v>
      </c>
    </row>
    <row r="48" spans="1:11">
      <c r="A48">
        <f t="shared" si="1"/>
        <v>47</v>
      </c>
      <c r="B48" s="8">
        <f>50355.66+6840.61+3105.44+616.16+924.24+1759.14+6327.56+4029.69+3851</f>
        <v>77809.500000000015</v>
      </c>
      <c r="C48" s="8">
        <f>8734.67+1463.38+19941.45+8367.51+472.95+4640.85+1848.48</f>
        <v>45469.29</v>
      </c>
      <c r="D48" s="8">
        <v>0</v>
      </c>
      <c r="E48" s="8">
        <v>311.2</v>
      </c>
      <c r="F48" s="8">
        <v>0</v>
      </c>
      <c r="G48" s="8">
        <v>77.81</v>
      </c>
      <c r="H48" s="8">
        <v>0</v>
      </c>
      <c r="I48" s="8">
        <v>0</v>
      </c>
      <c r="J48" s="8">
        <v>0</v>
      </c>
      <c r="K48" s="8">
        <f>+SUM(B48:J48)</f>
        <v>123667.8</v>
      </c>
    </row>
    <row r="49" spans="1:11">
      <c r="A49">
        <f t="shared" si="1"/>
        <v>48</v>
      </c>
      <c r="B49" s="8">
        <f>66762.17+2543.32+635.83+3179.15+1271.66+1271.66</f>
        <v>75663.790000000008</v>
      </c>
      <c r="C49" s="8">
        <v>0</v>
      </c>
      <c r="D49" s="8">
        <v>16531.63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3078.19</v>
      </c>
      <c r="K49" s="8">
        <f t="shared" si="0"/>
        <v>95273.610000000015</v>
      </c>
    </row>
    <row r="50" spans="1:11">
      <c r="A50">
        <f t="shared" si="1"/>
        <v>49</v>
      </c>
      <c r="B50" s="8">
        <f>36421.76+1298.4+183.12+188.64+1831.21+2605.5</f>
        <v>42528.630000000005</v>
      </c>
      <c r="C50" s="8">
        <v>727.28</v>
      </c>
      <c r="D50" s="8">
        <v>4.4800000000000004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f t="shared" si="0"/>
        <v>43260.390000000007</v>
      </c>
    </row>
    <row r="51" spans="1:11">
      <c r="A51">
        <f t="shared" si="1"/>
        <v>50</v>
      </c>
      <c r="B51" s="8">
        <f>61614.66+2556+245.28+393.72+1768.56+245.28</f>
        <v>66823.5</v>
      </c>
      <c r="C51" s="8">
        <v>6781.11</v>
      </c>
      <c r="D51" s="8">
        <v>787.44</v>
      </c>
      <c r="E51" s="8">
        <v>310.81</v>
      </c>
      <c r="F51" s="8">
        <v>2887.28</v>
      </c>
      <c r="G51" s="8">
        <v>0</v>
      </c>
      <c r="H51" s="8">
        <v>0</v>
      </c>
      <c r="I51" s="8">
        <v>0</v>
      </c>
      <c r="J51" s="8">
        <v>0</v>
      </c>
      <c r="K51" s="8">
        <f>+SUM(B51:J51)</f>
        <v>77590.14</v>
      </c>
    </row>
    <row r="52" spans="1:11">
      <c r="A52">
        <f t="shared" si="1"/>
        <v>51</v>
      </c>
      <c r="B52" s="8">
        <f>256858.86+12316.28+1188.83+5944.15+36806.2+4969.31</f>
        <v>318083.63000000006</v>
      </c>
      <c r="C52" s="8">
        <v>0</v>
      </c>
      <c r="D52" s="8">
        <v>0</v>
      </c>
      <c r="E52" s="8">
        <v>287.16000000000003</v>
      </c>
      <c r="F52" s="8">
        <v>7560.96</v>
      </c>
      <c r="G52" s="8">
        <v>0</v>
      </c>
      <c r="H52" s="8">
        <v>0</v>
      </c>
      <c r="I52" s="8">
        <v>0</v>
      </c>
      <c r="J52" s="8">
        <v>0</v>
      </c>
      <c r="K52" s="8">
        <f t="shared" si="0"/>
        <v>325931.75000000006</v>
      </c>
    </row>
    <row r="53" spans="1:11">
      <c r="A53">
        <f t="shared" si="1"/>
        <v>52</v>
      </c>
      <c r="B53" s="8">
        <f>56467.43+2320.29+233.86+1169.32</f>
        <v>60190.9</v>
      </c>
      <c r="C53" s="8">
        <v>172.82</v>
      </c>
      <c r="D53" s="8">
        <v>0</v>
      </c>
      <c r="E53" s="8">
        <v>310.81</v>
      </c>
      <c r="F53" s="8">
        <v>1973.23</v>
      </c>
      <c r="G53" s="8">
        <v>0</v>
      </c>
      <c r="H53" s="8">
        <v>0</v>
      </c>
      <c r="I53" s="8">
        <v>0</v>
      </c>
      <c r="J53" s="8">
        <v>0</v>
      </c>
      <c r="K53" s="8">
        <f>+SUM(B53:J53)</f>
        <v>62647.76</v>
      </c>
    </row>
    <row r="54" spans="1:11">
      <c r="A54">
        <f t="shared" si="1"/>
        <v>53</v>
      </c>
      <c r="B54" s="8">
        <f>78409.1+3469.31+314.82+1574.12+4199.74+629.65</f>
        <v>88596.74</v>
      </c>
      <c r="C54" s="8">
        <v>0</v>
      </c>
      <c r="D54" s="8">
        <v>0</v>
      </c>
      <c r="E54" s="8">
        <v>310.8</v>
      </c>
      <c r="F54" s="8">
        <v>1841.68</v>
      </c>
      <c r="G54" s="8">
        <v>0</v>
      </c>
      <c r="H54" s="8">
        <v>0</v>
      </c>
      <c r="I54" s="8">
        <v>0</v>
      </c>
      <c r="J54" s="8">
        <v>0</v>
      </c>
      <c r="K54" s="8">
        <f t="shared" si="0"/>
        <v>90749.22</v>
      </c>
    </row>
    <row r="55" spans="1:11">
      <c r="A55">
        <f t="shared" si="1"/>
        <v>54</v>
      </c>
      <c r="B55" s="8">
        <f>61378.51+2614.77+267.54+519.92+2851.98+837.63</f>
        <v>68470.350000000006</v>
      </c>
      <c r="C55" s="8">
        <v>5181.9399999999996</v>
      </c>
      <c r="D55" s="8">
        <v>0</v>
      </c>
      <c r="E55" s="8">
        <v>310.81</v>
      </c>
      <c r="F55" s="8">
        <v>2357.73</v>
      </c>
      <c r="G55" s="8">
        <v>0</v>
      </c>
      <c r="H55" s="8">
        <v>0</v>
      </c>
      <c r="I55" s="8">
        <v>0</v>
      </c>
      <c r="J55" s="8">
        <v>0</v>
      </c>
      <c r="K55" s="8">
        <f>+SUM(B55:J55)</f>
        <v>76320.83</v>
      </c>
    </row>
    <row r="56" spans="1:11">
      <c r="A56">
        <f t="shared" si="1"/>
        <v>55</v>
      </c>
      <c r="B56" s="8">
        <f>115307.51+5161.63+473.54+2367.72+5777.25+2509.78+473.54</f>
        <v>132070.97</v>
      </c>
      <c r="C56" s="8">
        <v>0</v>
      </c>
      <c r="D56" s="8">
        <v>0</v>
      </c>
      <c r="E56" s="8">
        <v>310.81</v>
      </c>
      <c r="F56" s="8">
        <v>3812.03</v>
      </c>
      <c r="G56" s="8">
        <v>0</v>
      </c>
      <c r="H56" s="8">
        <v>0</v>
      </c>
      <c r="I56" s="8">
        <v>0</v>
      </c>
      <c r="J56" s="8">
        <v>7323.97</v>
      </c>
      <c r="K56" s="8">
        <f t="shared" si="0"/>
        <v>143517.78</v>
      </c>
    </row>
    <row r="57" spans="1:11">
      <c r="A57">
        <f t="shared" si="1"/>
        <v>56</v>
      </c>
      <c r="B57" s="8">
        <f>70139.93+2930.52+882.55+1731.17</f>
        <v>75684.17</v>
      </c>
      <c r="C57" s="8">
        <v>0</v>
      </c>
      <c r="D57" s="8">
        <v>1499.2</v>
      </c>
      <c r="E57" s="8">
        <v>310.81</v>
      </c>
      <c r="F57" s="8">
        <v>3598.08</v>
      </c>
      <c r="G57" s="8">
        <v>0</v>
      </c>
      <c r="H57" s="8">
        <v>0</v>
      </c>
      <c r="I57" s="8">
        <v>0</v>
      </c>
      <c r="J57" s="8">
        <v>0</v>
      </c>
      <c r="K57" s="8">
        <f t="shared" ref="K57:K64" si="2">+SUM(B57:J57)</f>
        <v>81092.259999999995</v>
      </c>
    </row>
    <row r="58" spans="1:11">
      <c r="A58">
        <f t="shared" si="1"/>
        <v>57</v>
      </c>
      <c r="B58" s="8">
        <f>29635.31+1647.24+2189.44+2735.84+154.32</f>
        <v>36362.15</v>
      </c>
      <c r="C58" s="8">
        <v>166.75</v>
      </c>
      <c r="D58" s="8">
        <v>8.16</v>
      </c>
      <c r="E58" s="8">
        <v>310.81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f t="shared" si="2"/>
        <v>36847.870000000003</v>
      </c>
    </row>
    <row r="59" spans="1:11">
      <c r="A59">
        <f t="shared" si="1"/>
        <v>58</v>
      </c>
      <c r="B59" s="8">
        <f>52860.22+2322.88+236.8+2740.08+2430</f>
        <v>60589.98</v>
      </c>
      <c r="C59" s="8">
        <v>929.24</v>
      </c>
      <c r="D59" s="8">
        <v>0</v>
      </c>
      <c r="E59" s="8">
        <v>310.81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f t="shared" si="2"/>
        <v>61830.03</v>
      </c>
    </row>
    <row r="60" spans="1:11">
      <c r="A60">
        <f t="shared" si="1"/>
        <v>59</v>
      </c>
      <c r="B60" s="8">
        <f>43813.27+1874.88+2421.95+310.38</f>
        <v>48420.479999999989</v>
      </c>
      <c r="C60" s="8">
        <v>0</v>
      </c>
      <c r="D60" s="8">
        <v>0</v>
      </c>
      <c r="E60" s="8">
        <v>310.81</v>
      </c>
      <c r="F60" s="8">
        <v>1990.34</v>
      </c>
      <c r="G60" s="8">
        <v>0</v>
      </c>
      <c r="H60" s="8">
        <v>0</v>
      </c>
      <c r="I60" s="8">
        <v>0</v>
      </c>
      <c r="J60" s="8">
        <v>0</v>
      </c>
      <c r="K60" s="8">
        <f t="shared" si="2"/>
        <v>50721.629999999983</v>
      </c>
    </row>
    <row r="61" spans="1:11">
      <c r="A61">
        <f t="shared" si="1"/>
        <v>60</v>
      </c>
      <c r="B61" s="8">
        <f>50277.31+2915.33+2764.64+261.92+859.2+2802.69+2192.96+2204.16</f>
        <v>64278.209999999992</v>
      </c>
      <c r="C61" s="8">
        <f>18320.82+2644.66+11763.33+3051.99+9030.77+7500.24</f>
        <v>52311.80999999999</v>
      </c>
      <c r="D61" s="8">
        <v>0</v>
      </c>
      <c r="E61" s="8">
        <v>315.74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f t="shared" si="2"/>
        <v>116905.76</v>
      </c>
    </row>
    <row r="62" spans="1:11">
      <c r="A62">
        <f t="shared" si="1"/>
        <v>61</v>
      </c>
      <c r="B62" s="8">
        <f>54190.85+9219.6+3105.44+314.24+4270.37+336.32+2711.1+2464.64</f>
        <v>76612.560000000012</v>
      </c>
      <c r="C62" s="8">
        <f>10941.32+1742.96+23627.9+7209.08+7962.93+3262.56+1087.61</f>
        <v>55834.36</v>
      </c>
      <c r="D62" s="8">
        <v>0</v>
      </c>
      <c r="E62" s="8">
        <v>310.8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f t="shared" si="2"/>
        <v>132757.72</v>
      </c>
    </row>
    <row r="63" spans="1:11">
      <c r="A63">
        <f t="shared" si="1"/>
        <v>62</v>
      </c>
      <c r="B63" s="8">
        <f>56638.12+5467.28+3576.88+292.72+3534.19+252.24+15.36+3102.56+3022.32</f>
        <v>75901.670000000013</v>
      </c>
      <c r="C63" s="8">
        <f>11067.45+1710.04+16302.32+4911.45+476.42+3052.19+462.12</f>
        <v>37981.990000000005</v>
      </c>
      <c r="D63" s="8">
        <v>0</v>
      </c>
      <c r="E63" s="8">
        <v>310.8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f t="shared" si="2"/>
        <v>114194.46000000002</v>
      </c>
    </row>
    <row r="64" spans="1:11">
      <c r="A64">
        <f t="shared" si="1"/>
        <v>63</v>
      </c>
      <c r="B64" s="8">
        <v>2464.64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f t="shared" si="2"/>
        <v>2464.64</v>
      </c>
    </row>
    <row r="65" spans="1:12">
      <c r="A65">
        <f t="shared" si="1"/>
        <v>64</v>
      </c>
      <c r="B65" s="8">
        <f>39608.38+2876.16+2855.59+6428.83</f>
        <v>51768.959999999992</v>
      </c>
      <c r="C65" s="8">
        <v>10830.88</v>
      </c>
      <c r="D65" s="8">
        <v>0</v>
      </c>
      <c r="E65" s="8">
        <v>310.82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f t="shared" ref="K65" si="3">+SUM(B65:J65)</f>
        <v>62910.659999999989</v>
      </c>
    </row>
    <row r="66" spans="1:12">
      <c r="A66">
        <f t="shared" ref="A66:A75" si="4">+A65+1</f>
        <v>65</v>
      </c>
      <c r="B66" s="8">
        <f>45488.05+1978.72+99.72+2007.57+2764.72+195.52</f>
        <v>52534.3</v>
      </c>
      <c r="C66" s="8">
        <v>4876.32</v>
      </c>
      <c r="D66" s="8">
        <v>0</v>
      </c>
      <c r="E66" s="8">
        <v>311.19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f t="shared" ref="K66:K71" si="5">+SUM(B66:J66)</f>
        <v>57721.810000000005</v>
      </c>
    </row>
    <row r="67" spans="1:12">
      <c r="A67">
        <f t="shared" si="4"/>
        <v>66</v>
      </c>
      <c r="B67" s="8">
        <f>98073.17+4395.03+384.62+1923.08+4491.16+2195.41</f>
        <v>111462.47</v>
      </c>
      <c r="C67" s="8">
        <v>0</v>
      </c>
      <c r="D67" s="8">
        <v>0</v>
      </c>
      <c r="E67" s="8">
        <v>310.81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f t="shared" si="5"/>
        <v>111773.28</v>
      </c>
      <c r="L67" s="7"/>
    </row>
    <row r="68" spans="1:12">
      <c r="A68">
        <f t="shared" si="4"/>
        <v>67</v>
      </c>
      <c r="B68" s="8">
        <f>37264.73+4491.55+2502.88+261.92+560.64+1429.91+3118.56+3441.36+1047.68</f>
        <v>54119.23</v>
      </c>
      <c r="C68" s="8">
        <f>19089.06+369.14+9348.78+2826.1+6191+8443.2</f>
        <v>46267.28</v>
      </c>
      <c r="D68" s="8">
        <v>0</v>
      </c>
      <c r="E68" s="8">
        <v>310.8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f t="shared" si="5"/>
        <v>100697.31000000001</v>
      </c>
      <c r="L68" s="7"/>
    </row>
    <row r="69" spans="1:12">
      <c r="A69">
        <f t="shared" si="4"/>
        <v>68</v>
      </c>
      <c r="B69" s="8">
        <f>54457.12+3374.59+2839.36+140.16+2318.32+2428.24+3595.36</f>
        <v>69153.150000000009</v>
      </c>
      <c r="C69" s="8">
        <f>11452.85+3221.34+11791.37+2012.09+6147.48+3857.64</f>
        <v>38482.770000000004</v>
      </c>
      <c r="D69" s="8">
        <v>0</v>
      </c>
      <c r="E69" s="8">
        <v>310.8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f t="shared" si="5"/>
        <v>107946.72000000002</v>
      </c>
      <c r="L69" s="7"/>
    </row>
    <row r="70" spans="1:12">
      <c r="A70">
        <f t="shared" si="4"/>
        <v>69</v>
      </c>
      <c r="B70" s="8">
        <f>64736.49+2837.69+269.23+1418.85+586.92+3203.86</f>
        <v>73053.039999999994</v>
      </c>
      <c r="C70" s="8">
        <v>0</v>
      </c>
      <c r="D70" s="8">
        <v>0</v>
      </c>
      <c r="E70" s="8">
        <v>311.10000000000002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f t="shared" si="5"/>
        <v>73364.14</v>
      </c>
    </row>
    <row r="71" spans="1:12">
      <c r="A71">
        <f t="shared" si="4"/>
        <v>70</v>
      </c>
      <c r="B71" s="8">
        <f>78404+3201.94+355.77+211.54+1778.84+2019.24</f>
        <v>85971.33</v>
      </c>
      <c r="C71" s="8">
        <v>0</v>
      </c>
      <c r="D71" s="8">
        <v>1692.32</v>
      </c>
      <c r="E71" s="8">
        <v>5310.81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f t="shared" si="5"/>
        <v>92974.46</v>
      </c>
    </row>
    <row r="72" spans="1:12">
      <c r="A72">
        <f t="shared" si="4"/>
        <v>71</v>
      </c>
      <c r="B72" s="8">
        <f>38451.93+1778.85+250+259.62</f>
        <v>40740.400000000001</v>
      </c>
      <c r="C72" s="8">
        <v>0</v>
      </c>
      <c r="D72" s="8">
        <v>0</v>
      </c>
      <c r="E72" s="8">
        <v>311.11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f t="shared" ref="K72:K76" si="6">+SUM(B72:J72)</f>
        <v>41051.51</v>
      </c>
    </row>
    <row r="73" spans="1:12">
      <c r="A73">
        <f t="shared" si="4"/>
        <v>72</v>
      </c>
      <c r="B73" s="8">
        <f>21298.8+1095.28+219.92+1253.2+431.2</f>
        <v>24298.399999999998</v>
      </c>
      <c r="C73" s="8">
        <f>5796.59+82.47+1791.26+2600.16</f>
        <v>10270.48</v>
      </c>
      <c r="D73" s="8">
        <v>0</v>
      </c>
      <c r="E73" s="8">
        <v>311.20999999999998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f t="shared" si="6"/>
        <v>34880.089999999997</v>
      </c>
    </row>
    <row r="74" spans="1:12">
      <c r="A74">
        <f t="shared" si="4"/>
        <v>73</v>
      </c>
      <c r="B74" s="8">
        <f>18478.81+1251.92+641.67</f>
        <v>20372.400000000001</v>
      </c>
      <c r="C74" s="8">
        <f>10319.93+1127.46+730.52+5205.36</f>
        <v>17383.27</v>
      </c>
      <c r="D74" s="8">
        <v>0</v>
      </c>
      <c r="E74" s="8">
        <v>310.8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f t="shared" si="6"/>
        <v>38066.47</v>
      </c>
    </row>
    <row r="75" spans="1:12">
      <c r="A75">
        <f t="shared" si="4"/>
        <v>74</v>
      </c>
      <c r="B75" s="8">
        <f>17411.55+1230.17</f>
        <v>18641.72</v>
      </c>
      <c r="C75" s="8">
        <v>1064.57</v>
      </c>
      <c r="D75" s="8">
        <v>0</v>
      </c>
      <c r="E75" s="8">
        <v>310.81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f t="shared" si="6"/>
        <v>20017.100000000002</v>
      </c>
    </row>
    <row r="76" spans="1:12">
      <c r="A76">
        <f>+A75+1</f>
        <v>75</v>
      </c>
      <c r="B76" s="8">
        <f>13807.6+938.72+92.4+621.12+373.28</f>
        <v>15833.12</v>
      </c>
      <c r="C76" s="8">
        <f>6160.69+329.84+528.38+3065.76</f>
        <v>10084.67</v>
      </c>
      <c r="D76" s="8">
        <v>0</v>
      </c>
      <c r="E76" s="8">
        <v>310.8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f t="shared" si="6"/>
        <v>26228.59</v>
      </c>
    </row>
    <row r="77" spans="1:12" ht="15.75" thickBot="1">
      <c r="B77" s="13">
        <f>+SUM(B2:B76)</f>
        <v>5227148.5000000028</v>
      </c>
      <c r="C77" s="13">
        <f t="shared" ref="C77:K77" si="7">+SUM(C2:C76)</f>
        <v>1118590.2799999996</v>
      </c>
      <c r="D77" s="13">
        <f t="shared" si="7"/>
        <v>62914.650000000009</v>
      </c>
      <c r="E77" s="13">
        <f t="shared" si="7"/>
        <v>31872.38</v>
      </c>
      <c r="F77" s="13">
        <f t="shared" si="7"/>
        <v>85658.469999999972</v>
      </c>
      <c r="G77" s="13">
        <f t="shared" si="7"/>
        <v>2874.3399999999997</v>
      </c>
      <c r="H77" s="13">
        <f t="shared" si="7"/>
        <v>2900</v>
      </c>
      <c r="I77" s="13">
        <f t="shared" si="7"/>
        <v>13499.79</v>
      </c>
      <c r="J77" s="13">
        <f t="shared" si="7"/>
        <v>10402.16</v>
      </c>
      <c r="K77" s="13">
        <f t="shared" si="7"/>
        <v>6555860.5699999975</v>
      </c>
    </row>
    <row r="78" spans="1:12" ht="15.75" thickTop="1"/>
    <row r="79" spans="1:12">
      <c r="A79" t="s">
        <v>11</v>
      </c>
      <c r="B79" s="14">
        <v>68</v>
      </c>
    </row>
    <row r="82" spans="1:12" s="8" customFormat="1">
      <c r="A82"/>
      <c r="L82"/>
    </row>
  </sheetData>
  <autoFilter ref="A1:K76" xr:uid="{713D6F93-451C-4540-9664-6C65187BE982}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CBA8-38C2-4DC6-9895-AA7529EFC731}">
  <dimension ref="A1:L77"/>
  <sheetViews>
    <sheetView zoomScaleNormal="100" workbookViewId="0">
      <pane ySplit="1" topLeftCell="A54" activePane="bottomLeft" state="frozen"/>
      <selection pane="bottomLeft" activeCell="C1" sqref="B1:C1048576"/>
    </sheetView>
  </sheetViews>
  <sheetFormatPr defaultRowHeight="15"/>
  <cols>
    <col min="1" max="1" width="28.5703125" bestFit="1" customWidth="1"/>
    <col min="2" max="2" width="14.28515625" style="6" customWidth="1"/>
    <col min="3" max="3" width="14.5703125" style="6" customWidth="1"/>
    <col min="4" max="4" width="14.7109375" style="6" customWidth="1"/>
    <col min="5" max="5" width="11.28515625" style="6" customWidth="1"/>
    <col min="6" max="6" width="15.140625" style="6" customWidth="1"/>
    <col min="7" max="7" width="10.140625" style="6" customWidth="1"/>
    <col min="8" max="10" width="16.140625" style="6" customWidth="1"/>
    <col min="11" max="11" width="14.7109375" style="6" customWidth="1"/>
  </cols>
  <sheetData>
    <row r="1" spans="1:12" s="2" customFormat="1" ht="48.75" customHeight="1">
      <c r="A1" s="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4" t="s">
        <v>10</v>
      </c>
    </row>
    <row r="2" spans="1:12">
      <c r="A2">
        <v>1</v>
      </c>
      <c r="B2" s="6">
        <f>88456.1+4490.19+449.02+2245.08+13021.49+8082.28</f>
        <v>116744.16000000002</v>
      </c>
      <c r="C2" s="6">
        <v>0</v>
      </c>
      <c r="D2" s="6">
        <v>0</v>
      </c>
      <c r="E2" s="6">
        <v>2117.58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f>+SUM(B2:H2)</f>
        <v>118861.74000000002</v>
      </c>
    </row>
    <row r="3" spans="1:12">
      <c r="A3">
        <f>+A2+1</f>
        <v>2</v>
      </c>
      <c r="B3" s="6">
        <f>21386.3+1335.6+267.12+267.12+1602.72+3556.05</f>
        <v>28414.909999999996</v>
      </c>
      <c r="C3" s="6">
        <f>1953.32+801.36</f>
        <v>2754.68</v>
      </c>
      <c r="D3" s="6">
        <v>7445.97</v>
      </c>
      <c r="E3" s="6">
        <v>0</v>
      </c>
      <c r="F3" s="6">
        <v>0</v>
      </c>
      <c r="G3" s="6">
        <v>0</v>
      </c>
      <c r="H3" s="6">
        <v>150</v>
      </c>
      <c r="I3" s="6">
        <v>0</v>
      </c>
      <c r="J3" s="6">
        <v>0</v>
      </c>
      <c r="K3" s="6">
        <f t="shared" ref="K3:K11" si="0">+SUM(B3:J3)</f>
        <v>38765.56</v>
      </c>
    </row>
    <row r="4" spans="1:12">
      <c r="A4">
        <f t="shared" ref="A4:A63" si="1">+A3+1</f>
        <v>3</v>
      </c>
      <c r="B4" s="6">
        <f>57435.24+14020.36+3477.44+345.68+369.01+9070.24+1037.04</f>
        <v>85755.01</v>
      </c>
      <c r="C4" s="6">
        <f>5388.06+6006.19+26428.72+7877.66+10018.47+5703.72</f>
        <v>61422.820000000007</v>
      </c>
      <c r="D4" s="6">
        <v>0</v>
      </c>
      <c r="E4" s="6">
        <v>616.97</v>
      </c>
      <c r="F4" s="6">
        <v>3173.04</v>
      </c>
      <c r="G4" s="6">
        <v>0</v>
      </c>
      <c r="H4" s="6">
        <v>300</v>
      </c>
      <c r="I4" s="6">
        <v>0</v>
      </c>
      <c r="J4" s="6">
        <v>0</v>
      </c>
      <c r="K4" s="6">
        <f t="shared" si="0"/>
        <v>151267.84000000003</v>
      </c>
    </row>
    <row r="5" spans="1:12">
      <c r="A5">
        <f t="shared" si="1"/>
        <v>4</v>
      </c>
      <c r="B5" s="6">
        <f>57839.96+2687.28+267.12+539.6+1338.28+4557.12+2147.68</f>
        <v>69377.039999999994</v>
      </c>
      <c r="C5" s="6">
        <f>4712.1+2253.84</f>
        <v>6965.9400000000005</v>
      </c>
      <c r="D5" s="6">
        <v>2724.8</v>
      </c>
      <c r="E5" s="6">
        <v>616.96</v>
      </c>
      <c r="F5" s="6">
        <v>1362.4</v>
      </c>
      <c r="G5" s="6">
        <v>0</v>
      </c>
      <c r="H5" s="6">
        <v>300</v>
      </c>
      <c r="I5" s="6">
        <v>0</v>
      </c>
      <c r="J5" s="6">
        <v>0</v>
      </c>
      <c r="K5" s="6">
        <f t="shared" si="0"/>
        <v>81347.14</v>
      </c>
    </row>
    <row r="6" spans="1:12">
      <c r="A6">
        <f t="shared" si="1"/>
        <v>5</v>
      </c>
      <c r="B6" s="6">
        <f>19321.8+1288.12+1610.15+3220.3+322.03</f>
        <v>25762.399999999998</v>
      </c>
      <c r="C6" s="6">
        <v>0</v>
      </c>
      <c r="D6" s="6">
        <v>8050.8</v>
      </c>
      <c r="E6" s="6">
        <v>0</v>
      </c>
      <c r="F6" s="6">
        <v>9982.99</v>
      </c>
      <c r="G6" s="6">
        <v>1002.31</v>
      </c>
      <c r="H6" s="6">
        <v>0</v>
      </c>
      <c r="I6" s="6">
        <v>0</v>
      </c>
      <c r="J6" s="6">
        <v>0</v>
      </c>
      <c r="K6" s="6">
        <f t="shared" si="0"/>
        <v>44798.499999999993</v>
      </c>
    </row>
    <row r="7" spans="1:12">
      <c r="A7">
        <f t="shared" si="1"/>
        <v>6</v>
      </c>
      <c r="B7" s="6">
        <f>52396.11+13076.86+3477.44+345.68+698.24+1771.61+8053.84+3643.4</f>
        <v>83463.179999999993</v>
      </c>
      <c r="C7" s="6">
        <f>15564.51+3543.22+25461.61+11254.73+8231.52+9333.36</f>
        <v>73388.95</v>
      </c>
      <c r="D7" s="6">
        <v>0</v>
      </c>
      <c r="E7" s="6">
        <v>616.99</v>
      </c>
      <c r="F7" s="6">
        <v>528.84</v>
      </c>
      <c r="G7" s="6">
        <v>0</v>
      </c>
      <c r="H7" s="6">
        <v>300</v>
      </c>
      <c r="I7" s="6">
        <v>0</v>
      </c>
      <c r="J7" s="6">
        <v>0</v>
      </c>
      <c r="K7" s="6">
        <f t="shared" si="0"/>
        <v>158297.96</v>
      </c>
    </row>
    <row r="8" spans="1:12">
      <c r="A8">
        <f t="shared" si="1"/>
        <v>7</v>
      </c>
      <c r="B8" s="6">
        <f>66301.47+8405.56+3823.12+345.68+345.68+2484.58+4690.76+691.36</f>
        <v>87088.209999999977</v>
      </c>
      <c r="C8" s="6">
        <f>2506.36+7219.51+19766.31+9139.16+9602.97+2074.08</f>
        <v>50308.39</v>
      </c>
      <c r="D8" s="6">
        <v>5464.68</v>
      </c>
      <c r="E8" s="6">
        <v>616.97</v>
      </c>
      <c r="F8" s="6">
        <v>3525.6</v>
      </c>
      <c r="G8" s="6">
        <v>462.72</v>
      </c>
      <c r="H8" s="6">
        <v>0</v>
      </c>
      <c r="I8" s="6">
        <v>0</v>
      </c>
      <c r="J8" s="6">
        <v>0</v>
      </c>
      <c r="K8" s="6">
        <f t="shared" si="0"/>
        <v>147466.56999999998</v>
      </c>
    </row>
    <row r="9" spans="1:12">
      <c r="A9">
        <f t="shared" si="1"/>
        <v>8</v>
      </c>
      <c r="B9" s="6">
        <f>58053.73+10605.24+4175.68+345.68+2398.16+8683.28+4680.44+224.69</f>
        <v>89166.9</v>
      </c>
      <c r="C9" s="6">
        <f>1884.84+3759.27+17098.71+11113.05+6125.04+3111.12</f>
        <v>43092.03</v>
      </c>
      <c r="D9" s="6">
        <v>0</v>
      </c>
      <c r="E9" s="6">
        <v>617.78</v>
      </c>
      <c r="F9" s="6">
        <v>0</v>
      </c>
      <c r="G9" s="6">
        <v>0</v>
      </c>
      <c r="H9" s="6">
        <v>300</v>
      </c>
      <c r="I9" s="6">
        <v>0</v>
      </c>
      <c r="J9" s="6">
        <v>0</v>
      </c>
      <c r="K9" s="6">
        <f t="shared" si="0"/>
        <v>133176.71</v>
      </c>
    </row>
    <row r="10" spans="1:12">
      <c r="A10">
        <f t="shared" si="1"/>
        <v>9</v>
      </c>
      <c r="B10" s="6">
        <f>50442.77+2242.35+217.7+4840.38+1311.95</f>
        <v>59055.149999999987</v>
      </c>
      <c r="C10" s="6">
        <f>1744.25+142.87</f>
        <v>1887.12</v>
      </c>
      <c r="D10" s="6">
        <v>0</v>
      </c>
      <c r="E10" s="6">
        <v>616.82000000000005</v>
      </c>
      <c r="F10" s="6">
        <v>1197.1099999999999</v>
      </c>
      <c r="G10" s="6">
        <v>0</v>
      </c>
      <c r="H10" s="6">
        <v>0</v>
      </c>
      <c r="I10" s="6">
        <v>0</v>
      </c>
      <c r="J10" s="6">
        <v>0</v>
      </c>
      <c r="K10" s="6">
        <f t="shared" si="0"/>
        <v>62756.19999999999</v>
      </c>
    </row>
    <row r="11" spans="1:12">
      <c r="A11">
        <f t="shared" si="1"/>
        <v>10</v>
      </c>
      <c r="B11" s="6">
        <f>56074.88+10785.23+3477.44+352.56+172.84+3716.06+8758.96+345.68</f>
        <v>83683.649999999994</v>
      </c>
      <c r="C11" s="6">
        <f>2009.29+7086.44+23700.54+8931.51+11926.01+6740.76+3046.31</f>
        <v>63440.860000000008</v>
      </c>
      <c r="D11" s="6">
        <v>0</v>
      </c>
      <c r="E11" s="6">
        <v>616.96</v>
      </c>
      <c r="F11" s="6">
        <v>3878.16</v>
      </c>
      <c r="G11" s="6">
        <v>0</v>
      </c>
      <c r="H11" s="6">
        <v>300</v>
      </c>
      <c r="I11" s="6">
        <v>0</v>
      </c>
      <c r="J11" s="6">
        <v>0</v>
      </c>
      <c r="K11" s="6">
        <f t="shared" si="0"/>
        <v>151919.63</v>
      </c>
    </row>
    <row r="12" spans="1:12">
      <c r="A12">
        <f t="shared" si="1"/>
        <v>11</v>
      </c>
      <c r="B12" s="6">
        <f>55580.39+6560.84+3161.36+2731.54+300.46+7579.68+1263.28</f>
        <v>77177.549999999988</v>
      </c>
      <c r="C12" s="6">
        <f>3034.38+5070.28+19647.87+5428.19+2183.31+6805.26+4713.6+513.72</f>
        <v>47396.61</v>
      </c>
      <c r="D12" s="6">
        <v>0</v>
      </c>
      <c r="E12" s="6">
        <v>621.27</v>
      </c>
      <c r="F12" s="6">
        <v>0</v>
      </c>
      <c r="G12" s="6">
        <v>388.29</v>
      </c>
      <c r="H12" s="6">
        <v>0</v>
      </c>
      <c r="I12" s="6">
        <v>0</v>
      </c>
      <c r="J12" s="6">
        <v>0</v>
      </c>
      <c r="K12" s="6">
        <f t="shared" ref="K12:K52" si="2">+SUM(B12:J12)</f>
        <v>125583.71999999999</v>
      </c>
    </row>
    <row r="13" spans="1:12">
      <c r="A13">
        <f t="shared" si="1"/>
        <v>12</v>
      </c>
      <c r="B13" s="6">
        <f>54626.69+2619.2+261.92+130.96+6809.92+3683.25</f>
        <v>68131.94</v>
      </c>
      <c r="C13" s="6">
        <v>49.12</v>
      </c>
      <c r="D13" s="6">
        <v>0</v>
      </c>
      <c r="E13" s="6">
        <v>2116.81</v>
      </c>
      <c r="F13" s="6">
        <v>0</v>
      </c>
      <c r="G13" s="6">
        <v>0</v>
      </c>
      <c r="H13" s="6">
        <v>300</v>
      </c>
      <c r="I13" s="6">
        <v>0</v>
      </c>
      <c r="J13" s="6">
        <v>0</v>
      </c>
      <c r="K13" s="6">
        <f t="shared" ref="K13:K24" si="3">+SUM(B13:J13)</f>
        <v>70597.87</v>
      </c>
      <c r="L13" s="7"/>
    </row>
    <row r="14" spans="1:12">
      <c r="A14">
        <f t="shared" si="1"/>
        <v>13</v>
      </c>
      <c r="B14" s="6">
        <f>59436.46+12178.09+3477.44+172.84+2635.82+8531.08+691.36</f>
        <v>87123.090000000011</v>
      </c>
      <c r="C14" s="6">
        <f>5004.98+8136.38+19374.57+5519.48+9765+5412.05+3046.31</f>
        <v>56258.770000000004</v>
      </c>
      <c r="D14" s="6">
        <v>0</v>
      </c>
      <c r="E14" s="6">
        <v>616.97</v>
      </c>
      <c r="F14" s="6">
        <v>3525.6</v>
      </c>
      <c r="G14" s="6">
        <v>385.6</v>
      </c>
      <c r="H14" s="6">
        <v>300</v>
      </c>
      <c r="I14" s="6">
        <v>0</v>
      </c>
      <c r="J14" s="6">
        <v>0</v>
      </c>
      <c r="K14" s="6">
        <f t="shared" si="3"/>
        <v>148210.03000000003</v>
      </c>
    </row>
    <row r="15" spans="1:12">
      <c r="A15">
        <f t="shared" si="1"/>
        <v>14</v>
      </c>
      <c r="B15" s="6">
        <f>47829.2+2149.37+207.84+4294.66+2108.49</f>
        <v>56589.55999999999</v>
      </c>
      <c r="C15" s="6">
        <f>2691.49+38.97</f>
        <v>2730.4599999999996</v>
      </c>
      <c r="D15" s="6">
        <v>1039.2</v>
      </c>
      <c r="E15" s="6">
        <v>616.82000000000005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f t="shared" si="3"/>
        <v>60976.039999999986</v>
      </c>
    </row>
    <row r="16" spans="1:12">
      <c r="A16">
        <f t="shared" si="1"/>
        <v>15</v>
      </c>
      <c r="B16" s="6">
        <f>47729.26+7649.62+4116.72+314.24+1945.94+9297.52+1947.86+6335.36+2237.6</f>
        <v>81574.12000000001</v>
      </c>
      <c r="C16" s="6">
        <f>2419.87+6520.48+8183.67+2769.78+64.81+642.15+1961.78+1502.63+7571.22+3918.18+1412.74+1027.44</f>
        <v>37994.75</v>
      </c>
      <c r="D16" s="6">
        <v>641.12</v>
      </c>
      <c r="E16" s="6">
        <v>616.97</v>
      </c>
      <c r="F16" s="6">
        <v>1602.8</v>
      </c>
      <c r="G16" s="6">
        <v>0</v>
      </c>
      <c r="H16" s="6">
        <v>0</v>
      </c>
      <c r="I16" s="6">
        <v>0</v>
      </c>
      <c r="J16" s="6">
        <v>0</v>
      </c>
      <c r="K16" s="6">
        <f t="shared" si="3"/>
        <v>122429.76000000001</v>
      </c>
    </row>
    <row r="17" spans="1:12">
      <c r="A17">
        <f t="shared" si="1"/>
        <v>16</v>
      </c>
      <c r="B17" s="6">
        <f>55016.99+3554.9+58.09+3989.38</f>
        <v>62619.359999999993</v>
      </c>
      <c r="C17" s="6">
        <v>9415.32</v>
      </c>
      <c r="D17" s="6">
        <v>4832.8</v>
      </c>
      <c r="E17" s="6">
        <v>616.80999999999995</v>
      </c>
      <c r="F17" s="6">
        <v>2899.68</v>
      </c>
      <c r="G17" s="6">
        <v>0</v>
      </c>
      <c r="H17" s="6">
        <v>0</v>
      </c>
      <c r="I17" s="6">
        <v>0</v>
      </c>
      <c r="J17" s="6">
        <v>0</v>
      </c>
      <c r="K17" s="6">
        <f t="shared" si="3"/>
        <v>80383.969999999987</v>
      </c>
    </row>
    <row r="18" spans="1:12">
      <c r="A18">
        <f t="shared" si="1"/>
        <v>17</v>
      </c>
      <c r="B18" s="6">
        <f>61306.62+8088.91+3477.44+352.56+2076.66+9049.6+3836.88</f>
        <v>88188.670000000013</v>
      </c>
      <c r="C18" s="6">
        <f>875.02+4407.42+20992.48+3595.08+5930.6+2074.08</f>
        <v>37874.68</v>
      </c>
      <c r="D18" s="6">
        <v>0</v>
      </c>
      <c r="E18" s="6">
        <v>617.80999999999995</v>
      </c>
      <c r="F18" s="6">
        <v>352.56</v>
      </c>
      <c r="G18" s="6">
        <v>308.89999999999998</v>
      </c>
      <c r="H18" s="6">
        <v>0</v>
      </c>
      <c r="I18" s="6">
        <v>0</v>
      </c>
      <c r="J18" s="6">
        <v>0</v>
      </c>
      <c r="K18" s="6">
        <f t="shared" si="3"/>
        <v>127342.62</v>
      </c>
    </row>
    <row r="19" spans="1:12">
      <c r="A19">
        <f t="shared" si="1"/>
        <v>18</v>
      </c>
      <c r="B19" s="6">
        <f>49573.49+2876.02+3161.36+320.56+471.36+2317.52+10466.82+1335.67+6919.6+2997.92</f>
        <v>80440.319999999992</v>
      </c>
      <c r="C19" s="6">
        <f>913.26+2710.32+5366.33+3133.4+32.11+1498.35+467.62+3859.26+1649.76+6228.86+513.72+802.69</f>
        <v>27175.68</v>
      </c>
      <c r="D19" s="6">
        <v>0</v>
      </c>
      <c r="E19" s="6">
        <v>616.97</v>
      </c>
      <c r="F19" s="6">
        <v>0</v>
      </c>
      <c r="G19" s="6">
        <v>308.45999999999998</v>
      </c>
      <c r="H19" s="6">
        <v>0</v>
      </c>
      <c r="I19" s="6">
        <v>0</v>
      </c>
      <c r="J19" s="6">
        <v>0</v>
      </c>
      <c r="K19" s="6">
        <f t="shared" si="3"/>
        <v>108541.43000000001</v>
      </c>
    </row>
    <row r="20" spans="1:12">
      <c r="A20">
        <f t="shared" si="1"/>
        <v>19</v>
      </c>
      <c r="B20" s="6">
        <f>32630.83+1770.5+172.73+4651.31+3719.64</f>
        <v>42945.01</v>
      </c>
      <c r="C20" s="6">
        <f>2063.05+161.94</f>
        <v>2224.9900000000002</v>
      </c>
      <c r="D20" s="6">
        <v>0</v>
      </c>
      <c r="E20" s="6">
        <v>616.82000000000005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f t="shared" si="3"/>
        <v>45786.82</v>
      </c>
    </row>
    <row r="21" spans="1:12">
      <c r="A21">
        <f t="shared" si="1"/>
        <v>20</v>
      </c>
      <c r="B21" s="6">
        <f>60896.52+2682.11+138.01+6550.69+520.8</f>
        <v>70788.13</v>
      </c>
      <c r="C21" s="6">
        <v>6159.34</v>
      </c>
      <c r="D21" s="6">
        <v>0</v>
      </c>
      <c r="E21" s="6">
        <v>616.83000000000004</v>
      </c>
      <c r="F21" s="6">
        <v>2760.24</v>
      </c>
      <c r="G21" s="6">
        <v>0</v>
      </c>
      <c r="H21" s="6">
        <v>0</v>
      </c>
      <c r="I21" s="6">
        <v>0</v>
      </c>
      <c r="J21" s="6">
        <v>0</v>
      </c>
      <c r="K21" s="6">
        <f t="shared" si="3"/>
        <v>80324.540000000008</v>
      </c>
    </row>
    <row r="22" spans="1:12">
      <c r="A22">
        <f t="shared" si="1"/>
        <v>21</v>
      </c>
      <c r="B22" s="6">
        <f>110026.27+4816.7+465.38+497.96+2326.92+6938.86</f>
        <v>125072.09000000001</v>
      </c>
      <c r="C22" s="6">
        <v>0</v>
      </c>
      <c r="D22" s="6">
        <v>4653.84</v>
      </c>
      <c r="E22" s="6">
        <v>616.97</v>
      </c>
      <c r="F22" s="6">
        <v>5975.52</v>
      </c>
      <c r="G22" s="6">
        <v>0</v>
      </c>
      <c r="H22" s="6">
        <v>0</v>
      </c>
      <c r="I22" s="6">
        <v>0</v>
      </c>
      <c r="J22" s="6">
        <v>0</v>
      </c>
      <c r="K22" s="6">
        <f t="shared" si="3"/>
        <v>136318.42000000001</v>
      </c>
      <c r="L22" s="7"/>
    </row>
    <row r="23" spans="1:12">
      <c r="A23">
        <f t="shared" si="1"/>
        <v>22</v>
      </c>
      <c r="B23" s="6">
        <f>68524.16+3161.36+7665.24+1315.88</f>
        <v>80666.640000000014</v>
      </c>
      <c r="C23" s="6">
        <f>7594.34+2003.28+5550.33+1894.92</f>
        <v>17042.870000000003</v>
      </c>
      <c r="D23" s="6">
        <v>3205.6</v>
      </c>
      <c r="E23" s="6">
        <v>616.96</v>
      </c>
      <c r="F23" s="6">
        <v>0</v>
      </c>
      <c r="G23" s="6">
        <v>0</v>
      </c>
      <c r="H23" s="6">
        <v>300</v>
      </c>
      <c r="I23" s="6">
        <v>0</v>
      </c>
      <c r="J23" s="6">
        <v>0</v>
      </c>
      <c r="K23" s="6">
        <f t="shared" si="3"/>
        <v>101832.07000000002</v>
      </c>
    </row>
    <row r="24" spans="1:12">
      <c r="A24">
        <f t="shared" si="1"/>
        <v>23</v>
      </c>
      <c r="B24" s="6">
        <f>51254.15+2113.29+3295.91+861.57+109.73</f>
        <v>57634.650000000009</v>
      </c>
      <c r="C24" s="6">
        <f>18558.52+342.9</f>
        <v>18901.420000000002</v>
      </c>
      <c r="D24" s="6">
        <v>1591.06</v>
      </c>
      <c r="E24" s="6">
        <v>616.97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f t="shared" si="3"/>
        <v>78744.100000000006</v>
      </c>
    </row>
    <row r="25" spans="1:12">
      <c r="A25">
        <f t="shared" si="1"/>
        <v>24</v>
      </c>
      <c r="B25" s="6">
        <f>37973+1727.14+164.49+3487.14+1906.03</f>
        <v>45257.799999999996</v>
      </c>
      <c r="C25" s="6">
        <f>1531.31+77.11</f>
        <v>1608.4199999999998</v>
      </c>
      <c r="D25" s="6">
        <v>0</v>
      </c>
      <c r="E25" s="6">
        <v>616.80999999999995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2"/>
        <v>47483.029999999992</v>
      </c>
    </row>
    <row r="26" spans="1:12">
      <c r="A26">
        <f t="shared" si="1"/>
        <v>25</v>
      </c>
      <c r="B26" s="6">
        <f>61064.91+4085.12+3161.36+320.56+157.12+2280.61+5348.4+2997.92+408.51</f>
        <v>79824.50999999998</v>
      </c>
      <c r="C26" s="6">
        <f>1974.41+3535.2+6089.38+3931.93+513.72+8346.66+3299.52+1123.77</f>
        <v>28814.59</v>
      </c>
      <c r="D26" s="6">
        <v>0</v>
      </c>
      <c r="E26" s="6">
        <v>617.78</v>
      </c>
      <c r="F26" s="6">
        <v>160.28</v>
      </c>
      <c r="G26" s="6">
        <v>0</v>
      </c>
      <c r="H26" s="6">
        <v>0</v>
      </c>
      <c r="I26" s="6">
        <v>0</v>
      </c>
      <c r="J26" s="6">
        <v>0</v>
      </c>
      <c r="K26" s="6">
        <f>+SUM(B26:J26)</f>
        <v>109417.15999999997</v>
      </c>
    </row>
    <row r="27" spans="1:12">
      <c r="A27">
        <f t="shared" si="1"/>
        <v>26</v>
      </c>
      <c r="B27" s="6">
        <f>59374+2687.28+267.12+4175.76+3140</f>
        <v>69644.160000000003</v>
      </c>
      <c r="C27" s="6">
        <f>676.15+467.46+1026.75</f>
        <v>2170.3599999999997</v>
      </c>
      <c r="D27" s="6">
        <v>1362.4</v>
      </c>
      <c r="E27" s="6">
        <v>616.80999999999995</v>
      </c>
      <c r="F27" s="6">
        <v>0</v>
      </c>
      <c r="G27" s="6">
        <v>231.29</v>
      </c>
      <c r="H27" s="6">
        <v>0</v>
      </c>
      <c r="I27" s="6">
        <v>0</v>
      </c>
      <c r="J27" s="6">
        <v>0</v>
      </c>
      <c r="K27" s="6">
        <f>+SUM(B27:J27)</f>
        <v>74025.01999999999</v>
      </c>
    </row>
    <row r="28" spans="1:12">
      <c r="A28">
        <f t="shared" si="1"/>
        <v>27</v>
      </c>
      <c r="B28" s="6">
        <f>63946.52+10829.94+4182.56+172.84+5185.2+1386.16</f>
        <v>85703.219999999987</v>
      </c>
      <c r="C28" s="6">
        <f>8385.69+7518.54+26149.11+6417.15+9499.96+3639.96</f>
        <v>61610.409999999996</v>
      </c>
      <c r="D28" s="6">
        <v>1762.8</v>
      </c>
      <c r="E28" s="6">
        <v>616.99</v>
      </c>
      <c r="F28" s="6">
        <v>2467.92</v>
      </c>
      <c r="G28" s="6">
        <v>231.37</v>
      </c>
      <c r="H28" s="6">
        <v>0</v>
      </c>
      <c r="I28" s="6">
        <v>0</v>
      </c>
      <c r="J28" s="6">
        <v>0</v>
      </c>
      <c r="K28" s="6">
        <f>+SUM(B28:J28)</f>
        <v>152392.70999999996</v>
      </c>
    </row>
    <row r="29" spans="1:12">
      <c r="A29">
        <f t="shared" si="1"/>
        <v>28</v>
      </c>
      <c r="B29" s="6">
        <f>48607.26+2165.65+225.89+3747.39+2244.4</f>
        <v>56990.590000000004</v>
      </c>
      <c r="C29" s="6">
        <f>3763.58+257.82</f>
        <v>4021.4</v>
      </c>
      <c r="D29" s="6">
        <v>0</v>
      </c>
      <c r="E29" s="6">
        <v>616.83000000000004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2"/>
        <v>61628.820000000007</v>
      </c>
    </row>
    <row r="30" spans="1:12">
      <c r="A30">
        <f t="shared" si="1"/>
        <v>29</v>
      </c>
      <c r="B30" s="6">
        <f>56192.36+2758.36+1211.4+3424.18+1595.59</f>
        <v>65181.89</v>
      </c>
      <c r="C30" s="6">
        <f>2869.26+1761.25</f>
        <v>4630.51</v>
      </c>
      <c r="D30" s="6">
        <v>2592.4</v>
      </c>
      <c r="E30" s="6">
        <v>616.80999999999995</v>
      </c>
      <c r="F30" s="6">
        <v>1506.83</v>
      </c>
      <c r="G30" s="6">
        <v>0</v>
      </c>
      <c r="H30" s="6">
        <v>0</v>
      </c>
      <c r="I30" s="6">
        <v>0</v>
      </c>
      <c r="J30" s="6">
        <v>0</v>
      </c>
      <c r="K30" s="6">
        <f t="shared" ref="K30:K35" si="4">+SUM(B30:J30)</f>
        <v>74528.439999999988</v>
      </c>
    </row>
    <row r="31" spans="1:12">
      <c r="A31">
        <f t="shared" si="1"/>
        <v>30</v>
      </c>
      <c r="B31" s="6">
        <f>44928.75+4289.38+3161.36+314.24+3044.2+13927.96+111.31+6519.12+1112.48</f>
        <v>77408.799999999974</v>
      </c>
      <c r="C31" s="6">
        <f>3936.55+5813.44+12868.13+2144.68+4228.03+1369.92+626.1+9670+4723.08+3146.55+1541.16</f>
        <v>50067.640000000007</v>
      </c>
      <c r="D31" s="6">
        <v>0</v>
      </c>
      <c r="E31" s="6">
        <v>616.96</v>
      </c>
      <c r="F31" s="6">
        <v>2724.76</v>
      </c>
      <c r="G31" s="6">
        <v>0</v>
      </c>
      <c r="H31" s="6">
        <v>0</v>
      </c>
      <c r="I31" s="6">
        <v>0</v>
      </c>
      <c r="J31" s="6">
        <v>0</v>
      </c>
      <c r="K31" s="6">
        <f t="shared" si="4"/>
        <v>130818.15999999997</v>
      </c>
    </row>
    <row r="32" spans="1:12">
      <c r="A32">
        <f t="shared" si="1"/>
        <v>31</v>
      </c>
      <c r="B32" s="6">
        <f>40522.98+1485.32+219.66+117.68+1759.25+329.49</f>
        <v>44434.380000000005</v>
      </c>
      <c r="C32" s="6">
        <v>431.48</v>
      </c>
      <c r="D32" s="6">
        <v>3670.84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f t="shared" si="4"/>
        <v>48536.700000000012</v>
      </c>
    </row>
    <row r="33" spans="1:11">
      <c r="A33">
        <f t="shared" si="1"/>
        <v>32</v>
      </c>
      <c r="B33" s="6">
        <f>37772.52+1642.49+168.26+2177.27+1296.47</f>
        <v>43057.009999999995</v>
      </c>
      <c r="C33" s="6">
        <f>2124.21+210.32</f>
        <v>2334.5300000000002</v>
      </c>
      <c r="D33" s="6">
        <v>925.41</v>
      </c>
      <c r="E33" s="6">
        <v>616.80999999999995</v>
      </c>
      <c r="F33" s="6">
        <v>504.77</v>
      </c>
      <c r="G33" s="6">
        <v>0</v>
      </c>
      <c r="H33" s="6">
        <v>0</v>
      </c>
      <c r="I33" s="6">
        <v>0</v>
      </c>
      <c r="J33" s="6">
        <v>0</v>
      </c>
      <c r="K33" s="6">
        <f t="shared" si="4"/>
        <v>47438.529999999992</v>
      </c>
    </row>
    <row r="34" spans="1:11">
      <c r="A34">
        <f t="shared" si="1"/>
        <v>33</v>
      </c>
      <c r="B34" s="6">
        <f>76362.27+3408.1+340.81+298.21+6134.55+3195.08</f>
        <v>89739.020000000019</v>
      </c>
      <c r="C34" s="6">
        <v>3738.24</v>
      </c>
      <c r="D34" s="6">
        <v>0</v>
      </c>
      <c r="E34" s="6">
        <v>2116.81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f t="shared" si="4"/>
        <v>95594.070000000022</v>
      </c>
    </row>
    <row r="35" spans="1:11">
      <c r="A35">
        <f t="shared" si="1"/>
        <v>34</v>
      </c>
      <c r="B35" s="6">
        <f>56061.68+2351.25+1174.23+1433.14</f>
        <v>61020.3</v>
      </c>
      <c r="C35" s="6">
        <v>264.52</v>
      </c>
      <c r="D35" s="6">
        <v>2955.84</v>
      </c>
      <c r="E35" s="6">
        <v>616.80999999999995</v>
      </c>
      <c r="F35" s="6">
        <v>1231.5999999999999</v>
      </c>
      <c r="G35" s="6">
        <v>0</v>
      </c>
      <c r="H35" s="6">
        <v>0</v>
      </c>
      <c r="I35" s="6">
        <v>0</v>
      </c>
      <c r="J35" s="6">
        <v>0</v>
      </c>
      <c r="K35" s="6">
        <f t="shared" si="4"/>
        <v>66089.070000000007</v>
      </c>
    </row>
    <row r="36" spans="1:11">
      <c r="A36">
        <f>+A35+1</f>
        <v>35</v>
      </c>
      <c r="B36" s="6">
        <f>77477.66+3592.74+348.81+1764.97+7945.84+2176.58</f>
        <v>93306.6</v>
      </c>
      <c r="C36" s="6">
        <v>0</v>
      </c>
      <c r="D36" s="6">
        <v>0</v>
      </c>
      <c r="E36" s="6">
        <v>616.80999999999995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f t="shared" si="2"/>
        <v>93923.41</v>
      </c>
    </row>
    <row r="37" spans="1:11">
      <c r="A37">
        <f t="shared" si="1"/>
        <v>36</v>
      </c>
      <c r="B37" s="6">
        <f>47801.72+4034.05+3161.36+314.24+1256.96+12819.57+946.09+5040.48+1577.52</f>
        <v>76951.989999999991</v>
      </c>
      <c r="C37" s="6">
        <f>5644.04+5150.42+18311.08+5157.46+359.11+2226.12+667.84+7993.74+3309+1412.73+2054.88</f>
        <v>52286.42</v>
      </c>
      <c r="D37" s="6">
        <v>0</v>
      </c>
      <c r="E37" s="6">
        <v>616.99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f>+SUM(B37:J37)</f>
        <v>129855.4</v>
      </c>
    </row>
    <row r="38" spans="1:11">
      <c r="A38">
        <f t="shared" si="1"/>
        <v>37</v>
      </c>
      <c r="B38" s="6">
        <f>57959.42+5310.66+3161.36+314.24+157.12+2243.7+171.24+5656.32+4726.24</f>
        <v>79700.3</v>
      </c>
      <c r="C38" s="6">
        <f>1539.63+4006.56+7008.54+2757.45+1298.52+8219.34+3318.48</f>
        <v>28148.52</v>
      </c>
      <c r="D38" s="6">
        <v>0</v>
      </c>
      <c r="E38" s="6">
        <v>616.97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f t="shared" si="2"/>
        <v>108465.79000000001</v>
      </c>
    </row>
    <row r="39" spans="1:11">
      <c r="A39">
        <f t="shared" si="1"/>
        <v>38</v>
      </c>
      <c r="B39" s="6">
        <f>42277+3676.61+3475.6+314.24+157.12+392.8+19440.33+1780.9+4713.6+2382.08</f>
        <v>78610.280000000013</v>
      </c>
      <c r="C39" s="6">
        <f>7918.98+6291.91+6264.15+4697.88+5917.28+342.48+9486.12+5656.32+1885.44+963.23+1036.92</f>
        <v>50460.710000000006</v>
      </c>
      <c r="D39" s="6">
        <v>0</v>
      </c>
      <c r="E39" s="6">
        <v>616.96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f>+SUM(B39:J39)</f>
        <v>129687.95000000003</v>
      </c>
    </row>
    <row r="40" spans="1:11">
      <c r="A40">
        <f t="shared" si="1"/>
        <v>39</v>
      </c>
      <c r="B40" s="6">
        <f>39697.01+1740.65+166.57+2543.5+1575.33</f>
        <v>45723.060000000005</v>
      </c>
      <c r="C40" s="6">
        <f>1856.58+129.14</f>
        <v>1985.7199999999998</v>
      </c>
      <c r="D40" s="6">
        <v>0</v>
      </c>
      <c r="E40" s="6">
        <v>616.83000000000004</v>
      </c>
      <c r="F40" s="6">
        <v>545.36</v>
      </c>
      <c r="G40" s="6">
        <v>0</v>
      </c>
      <c r="H40" s="6">
        <v>0</v>
      </c>
      <c r="I40" s="6">
        <v>0</v>
      </c>
      <c r="J40" s="6">
        <v>0</v>
      </c>
      <c r="K40" s="6">
        <f>+SUM(B40:J40)</f>
        <v>48870.970000000008</v>
      </c>
    </row>
    <row r="41" spans="1:11">
      <c r="A41">
        <f t="shared" si="1"/>
        <v>40</v>
      </c>
      <c r="B41" s="6">
        <f>35459.59+1315.56+2406.33+1813.02+2500</f>
        <v>43494.499999999993</v>
      </c>
      <c r="C41" s="6">
        <f>7022.95+484.9</f>
        <v>7507.8499999999995</v>
      </c>
      <c r="D41" s="6">
        <v>1308.74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f t="shared" si="2"/>
        <v>52311.089999999989</v>
      </c>
    </row>
    <row r="42" spans="1:11">
      <c r="A42">
        <f t="shared" si="1"/>
        <v>41</v>
      </c>
      <c r="B42" s="8"/>
      <c r="C42" s="8"/>
      <c r="D42" s="8"/>
      <c r="E42" s="8"/>
      <c r="F42" s="8"/>
      <c r="G42" s="8"/>
      <c r="H42" s="8"/>
      <c r="I42" s="8">
        <v>13816.81</v>
      </c>
      <c r="J42" s="8"/>
      <c r="K42" s="8">
        <f t="shared" si="2"/>
        <v>13816.81</v>
      </c>
    </row>
    <row r="43" spans="1:11">
      <c r="A43">
        <f>+A42+1</f>
        <v>42</v>
      </c>
      <c r="B43" s="6">
        <f>52050.82+3261.95+2109.67+652.39</f>
        <v>58074.829999999994</v>
      </c>
      <c r="C43" s="6">
        <v>6876.97</v>
      </c>
      <c r="D43" s="6">
        <v>1489.76</v>
      </c>
      <c r="E43" s="6">
        <v>616.82000000000005</v>
      </c>
      <c r="F43" s="6">
        <v>1977.07</v>
      </c>
      <c r="G43" s="6">
        <v>0</v>
      </c>
      <c r="H43" s="6">
        <v>0</v>
      </c>
      <c r="I43" s="6">
        <v>0</v>
      </c>
      <c r="J43" s="6">
        <v>0</v>
      </c>
      <c r="K43" s="6">
        <f>+SUM(B43:J43)</f>
        <v>69035.450000000012</v>
      </c>
    </row>
    <row r="44" spans="1:11">
      <c r="A44">
        <f>+A43+1</f>
        <v>43</v>
      </c>
      <c r="B44" s="6">
        <f>134423.21+5907.67+611.54+1834.61+2953.84+173.08+5399.98+3023.07</f>
        <v>154327</v>
      </c>
      <c r="C44" s="6">
        <v>0</v>
      </c>
      <c r="D44" s="6">
        <v>6115.36</v>
      </c>
      <c r="E44" s="6">
        <v>616.80999999999995</v>
      </c>
      <c r="F44" s="6">
        <v>3057.68</v>
      </c>
      <c r="G44" s="6">
        <v>0</v>
      </c>
      <c r="H44" s="6">
        <v>0</v>
      </c>
      <c r="I44" s="6">
        <v>0</v>
      </c>
      <c r="J44" s="6">
        <v>0</v>
      </c>
      <c r="K44" s="6">
        <f t="shared" si="2"/>
        <v>164116.84999999998</v>
      </c>
    </row>
    <row r="45" spans="1:11">
      <c r="A45">
        <f t="shared" si="1"/>
        <v>44</v>
      </c>
      <c r="B45" s="6">
        <f>60865.92+4542.93+3161.36+314.24+2396.08+342.48+3508.56+5046.8</f>
        <v>80178.37</v>
      </c>
      <c r="C45" s="6">
        <f>4498.06+3495.92+7964.67+5337.36+256.86+7394.46+2356.8</f>
        <v>31304.13</v>
      </c>
      <c r="D45" s="6">
        <v>641.12</v>
      </c>
      <c r="E45" s="6">
        <v>616.96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f>+SUM(B45:J45)</f>
        <v>112740.58</v>
      </c>
    </row>
    <row r="46" spans="1:11">
      <c r="A46">
        <f t="shared" si="1"/>
        <v>45</v>
      </c>
      <c r="B46" s="6">
        <f>46556.72+6066.64+3475.6+2867.44+12826.9+3469.28+3378.08</f>
        <v>78640.66</v>
      </c>
      <c r="C46" s="6">
        <f>4232.34+5852.72+10451.71+6498.48+1575.65+7808.09+4988.22+3531.83+1027.44</f>
        <v>45966.48000000001</v>
      </c>
      <c r="D46" s="6">
        <v>0</v>
      </c>
      <c r="E46" s="6">
        <v>617.79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f>+SUM(B46:J46)</f>
        <v>125224.93000000001</v>
      </c>
    </row>
    <row r="47" spans="1:11">
      <c r="A47">
        <f t="shared" si="1"/>
        <v>46</v>
      </c>
      <c r="B47" s="6">
        <f>65276.76+2716.69+262.48+140.43+2138.9+964.62</f>
        <v>71499.879999999976</v>
      </c>
      <c r="C47" s="6">
        <v>3409.89</v>
      </c>
      <c r="D47" s="6">
        <v>2246.85</v>
      </c>
      <c r="E47" s="6">
        <v>616.80999999999995</v>
      </c>
      <c r="F47" s="6">
        <v>1825.56</v>
      </c>
      <c r="G47" s="6">
        <v>77.09</v>
      </c>
      <c r="H47" s="6">
        <v>0</v>
      </c>
      <c r="I47" s="6">
        <v>0</v>
      </c>
      <c r="J47" s="6">
        <v>0</v>
      </c>
      <c r="K47" s="6">
        <f>+SUM(B47:J47)</f>
        <v>79676.079999999973</v>
      </c>
    </row>
    <row r="48" spans="1:11">
      <c r="A48">
        <f t="shared" si="1"/>
        <v>47</v>
      </c>
      <c r="B48" s="6">
        <f>261812.91+12898.65+1260.16+6300.8+43855.39+8939.94</f>
        <v>335067.84999999998</v>
      </c>
      <c r="C48" s="6">
        <v>0</v>
      </c>
      <c r="D48" s="6">
        <v>0</v>
      </c>
      <c r="E48" s="6">
        <v>570.21</v>
      </c>
      <c r="F48" s="6">
        <v>6597.84</v>
      </c>
      <c r="G48" s="6">
        <v>71.27</v>
      </c>
      <c r="H48" s="6">
        <v>0</v>
      </c>
      <c r="I48" s="6">
        <v>0</v>
      </c>
      <c r="J48" s="6">
        <v>0</v>
      </c>
      <c r="K48" s="6">
        <f t="shared" si="2"/>
        <v>342307.17000000004</v>
      </c>
    </row>
    <row r="49" spans="1:12">
      <c r="A49">
        <f t="shared" si="1"/>
        <v>48</v>
      </c>
      <c r="B49" s="6">
        <f>56024.89+2385.41+233.86+701.59+2628.66</f>
        <v>61974.41</v>
      </c>
      <c r="C49" s="6">
        <v>271</v>
      </c>
      <c r="D49" s="6">
        <v>0</v>
      </c>
      <c r="E49" s="6">
        <v>616.83000000000004</v>
      </c>
      <c r="F49" s="6">
        <v>2918.69</v>
      </c>
      <c r="G49" s="6">
        <v>0</v>
      </c>
      <c r="H49" s="6">
        <v>0</v>
      </c>
      <c r="I49" s="6">
        <v>0</v>
      </c>
      <c r="J49" s="6">
        <v>0</v>
      </c>
      <c r="K49" s="6">
        <f>+SUM(B49:J49)</f>
        <v>65780.930000000008</v>
      </c>
    </row>
    <row r="50" spans="1:12">
      <c r="A50">
        <f t="shared" si="1"/>
        <v>49</v>
      </c>
      <c r="B50" s="6">
        <f>89948.62+3867.59+368.34+736.67+1878.52+2836.24+736.67</f>
        <v>100372.65</v>
      </c>
      <c r="C50" s="6">
        <v>0</v>
      </c>
      <c r="D50" s="6">
        <v>0</v>
      </c>
      <c r="E50" s="6">
        <v>616.83000000000004</v>
      </c>
      <c r="F50" s="6">
        <v>3241.41</v>
      </c>
      <c r="G50" s="6">
        <v>0</v>
      </c>
      <c r="H50" s="6">
        <v>0</v>
      </c>
      <c r="I50" s="6">
        <v>0</v>
      </c>
      <c r="J50" s="6">
        <v>0</v>
      </c>
      <c r="K50" s="6">
        <f>+SUM(B50:J50)</f>
        <v>104230.89</v>
      </c>
    </row>
    <row r="51" spans="1:12">
      <c r="A51">
        <f t="shared" si="1"/>
        <v>50</v>
      </c>
      <c r="B51" s="6">
        <f>61885.99+2755.7+283.6+2086.86+5021.81</f>
        <v>72033.959999999992</v>
      </c>
      <c r="C51" s="6">
        <v>3755.42</v>
      </c>
      <c r="D51" s="6">
        <v>0</v>
      </c>
      <c r="E51" s="6">
        <v>616.82000000000005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f>+SUM(B51:J51)</f>
        <v>76406.2</v>
      </c>
    </row>
    <row r="52" spans="1:12">
      <c r="A52">
        <f t="shared" si="1"/>
        <v>51</v>
      </c>
      <c r="B52" s="6">
        <f>128891.08+5710.21+597.46+2722.9+2389.85+7343.92</f>
        <v>147655.42000000001</v>
      </c>
      <c r="C52" s="6">
        <v>0</v>
      </c>
      <c r="D52" s="6">
        <v>2934.44</v>
      </c>
      <c r="E52" s="6">
        <v>616.82000000000005</v>
      </c>
      <c r="F52" s="6">
        <v>3584.78</v>
      </c>
      <c r="G52" s="6">
        <v>0</v>
      </c>
      <c r="H52" s="6">
        <v>0</v>
      </c>
      <c r="I52" s="6">
        <v>0</v>
      </c>
      <c r="J52" s="6">
        <v>7280.22</v>
      </c>
      <c r="K52" s="6">
        <f t="shared" si="2"/>
        <v>162071.68000000002</v>
      </c>
    </row>
    <row r="53" spans="1:12">
      <c r="A53">
        <f t="shared" si="1"/>
        <v>52</v>
      </c>
      <c r="B53" s="6">
        <f>74756.06+3163.31+2230.81+1265.33+665.64</f>
        <v>82081.149999999994</v>
      </c>
      <c r="C53" s="6">
        <v>0</v>
      </c>
      <c r="D53" s="6">
        <v>1664.12</v>
      </c>
      <c r="E53" s="6">
        <v>616.80999999999995</v>
      </c>
      <c r="F53" s="6">
        <v>3661.06</v>
      </c>
      <c r="G53" s="6">
        <v>0</v>
      </c>
      <c r="H53" s="6">
        <v>0</v>
      </c>
      <c r="I53" s="6">
        <v>0</v>
      </c>
      <c r="J53" s="6">
        <v>0</v>
      </c>
      <c r="K53" s="6">
        <f t="shared" ref="K53:K73" si="5">+SUM(B53:J53)</f>
        <v>88023.139999999985</v>
      </c>
    </row>
    <row r="54" spans="1:12">
      <c r="A54">
        <f t="shared" si="1"/>
        <v>53</v>
      </c>
      <c r="B54" s="6">
        <f>43012.65+1858.11+371.62+1404.92+2125.5</f>
        <v>48772.800000000003</v>
      </c>
      <c r="C54" s="6">
        <f>3278.38+564.24</f>
        <v>3842.62</v>
      </c>
      <c r="D54" s="6">
        <v>0</v>
      </c>
      <c r="E54" s="6">
        <v>616.80999999999995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f t="shared" si="5"/>
        <v>53232.23</v>
      </c>
    </row>
    <row r="55" spans="1:12">
      <c r="A55">
        <f t="shared" si="1"/>
        <v>54</v>
      </c>
      <c r="B55" s="6">
        <f>11645.93+961.68+157.91</f>
        <v>12765.52</v>
      </c>
      <c r="C55" s="6">
        <f>6360.47+360.63+210.37+2404.2</f>
        <v>9335.67</v>
      </c>
      <c r="D55" s="6">
        <v>0</v>
      </c>
      <c r="E55" s="6">
        <v>617.80999999999995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f t="shared" si="5"/>
        <v>22719.000000000004</v>
      </c>
    </row>
    <row r="56" spans="1:12">
      <c r="A56">
        <f>+A54+1</f>
        <v>54</v>
      </c>
      <c r="B56" s="6">
        <f>55275.32+2450.89+236.8+2687.68+3084.33</f>
        <v>63735.020000000004</v>
      </c>
      <c r="C56" s="6">
        <f>965.47+222</f>
        <v>1187.47</v>
      </c>
      <c r="D56" s="6">
        <v>0</v>
      </c>
      <c r="E56" s="6">
        <v>616.82000000000005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f t="shared" si="5"/>
        <v>65539.310000000012</v>
      </c>
    </row>
    <row r="57" spans="1:12">
      <c r="A57">
        <f t="shared" si="1"/>
        <v>55</v>
      </c>
      <c r="B57" s="6">
        <f>46337.36+1985.55+205.27+1660.4+1163.54+205.27</f>
        <v>51557.39</v>
      </c>
      <c r="C57" s="6">
        <v>143.88</v>
      </c>
      <c r="D57" s="6">
        <v>205.79</v>
      </c>
      <c r="E57" s="6">
        <v>616.82000000000005</v>
      </c>
      <c r="F57" s="6">
        <v>1873.11</v>
      </c>
      <c r="G57" s="6">
        <v>0</v>
      </c>
      <c r="H57" s="6">
        <v>0</v>
      </c>
      <c r="I57" s="6">
        <v>0</v>
      </c>
      <c r="J57" s="6">
        <v>0</v>
      </c>
      <c r="K57" s="6">
        <f t="shared" si="5"/>
        <v>54396.99</v>
      </c>
    </row>
    <row r="58" spans="1:12">
      <c r="A58">
        <f t="shared" si="1"/>
        <v>56</v>
      </c>
      <c r="B58" s="6">
        <f>51979.57+5923.84+3082.96+314.24+3937.77+558.11+3428.56+4706.08</f>
        <v>73931.12999999999</v>
      </c>
      <c r="C58" s="6">
        <f>5139.5+7631.83+17912.47+6743.41+980.41+1615.4+13890.51+6076.08+736.5</f>
        <v>60726.110000000015</v>
      </c>
      <c r="D58" s="6">
        <v>0</v>
      </c>
      <c r="E58" s="6">
        <v>616.96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f t="shared" si="5"/>
        <v>135274.19999999998</v>
      </c>
    </row>
    <row r="59" spans="1:12">
      <c r="A59">
        <f t="shared" si="1"/>
        <v>57</v>
      </c>
      <c r="B59" s="6">
        <f>52763.75+2859.58+3161.36+314.24+157.12+1925.51+9609.68+2520.24+1885.44</f>
        <v>75196.920000000013</v>
      </c>
      <c r="C59" s="6">
        <f>9331.28+4085.12+15855.38+4187.25+3465.13+2482.98+10196.72+5656.32+1207.86+995.34+2578.08</f>
        <v>60041.46</v>
      </c>
      <c r="D59" s="6">
        <v>0</v>
      </c>
      <c r="E59" s="6">
        <v>616.97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f t="shared" si="5"/>
        <v>135855.35</v>
      </c>
    </row>
    <row r="60" spans="1:12">
      <c r="A60">
        <f t="shared" si="1"/>
        <v>58</v>
      </c>
      <c r="B60" s="6">
        <f>54924.48+6577.27+3161.3631424+942.72+3734.76+171.24+5819.76+3155.04+314.24</f>
        <v>78800.873142399985</v>
      </c>
      <c r="C60" s="6">
        <f>4939.37+4320.8+14732.62+2150.86+321.08+7433.4+3780.36+883.8</f>
        <v>38562.290000000008</v>
      </c>
      <c r="D60" s="6">
        <v>0</v>
      </c>
      <c r="E60" s="6">
        <v>616.97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f t="shared" si="5"/>
        <v>117980.13314239999</v>
      </c>
    </row>
    <row r="61" spans="1:12">
      <c r="A61">
        <f t="shared" si="1"/>
        <v>59</v>
      </c>
      <c r="B61" s="6">
        <f>48604.66+3112.2+1958.71+1230.06</f>
        <v>54905.63</v>
      </c>
      <c r="C61" s="6">
        <f>13501.03+296.4</f>
        <v>13797.43</v>
      </c>
      <c r="D61" s="6">
        <v>0</v>
      </c>
      <c r="E61" s="6">
        <v>616.82000000000005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f t="shared" si="5"/>
        <v>69319.88</v>
      </c>
    </row>
    <row r="62" spans="1:12">
      <c r="A62">
        <f t="shared" si="1"/>
        <v>60</v>
      </c>
      <c r="B62" s="6">
        <f>14733.64+797.76+99.72+772.83+872.55</f>
        <v>17276.5</v>
      </c>
      <c r="C62" s="6">
        <f>878.79+149.58</f>
        <v>1028.3699999999999</v>
      </c>
      <c r="D62" s="6">
        <v>2094.12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f t="shared" si="5"/>
        <v>20398.989999999998</v>
      </c>
    </row>
    <row r="63" spans="1:12">
      <c r="A63">
        <f t="shared" si="1"/>
        <v>61</v>
      </c>
      <c r="B63" s="6">
        <f>110788.52+5072.14+480.77+2456.74+11745.21+1067.32</f>
        <v>131610.70000000001</v>
      </c>
      <c r="C63" s="6">
        <v>0</v>
      </c>
      <c r="D63" s="6">
        <v>0</v>
      </c>
      <c r="E63" s="6">
        <v>616.80999999999995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f t="shared" si="5"/>
        <v>132227.51</v>
      </c>
      <c r="L63" s="7"/>
    </row>
    <row r="64" spans="1:12">
      <c r="A64">
        <f t="shared" ref="A64:A71" si="6">+A63+1</f>
        <v>62</v>
      </c>
      <c r="B64" s="6">
        <f>53255.31+5160.06+3702.08+314.24+1256.96+822.77+2457.52+2718.4</f>
        <v>69687.339999999982</v>
      </c>
      <c r="C64" s="6">
        <f>23613.29+4668.6+7392.33+4856.21+1935.93+12761.19+15857.04</f>
        <v>71084.59</v>
      </c>
      <c r="D64" s="6">
        <v>0</v>
      </c>
      <c r="E64" s="6">
        <v>616.96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f t="shared" si="5"/>
        <v>141388.88999999998</v>
      </c>
      <c r="L64" s="7"/>
    </row>
    <row r="65" spans="1:12">
      <c r="A65">
        <f t="shared" si="6"/>
        <v>63</v>
      </c>
      <c r="B65" s="6">
        <f>58848.62+3676.61+3428.56+320.56+1247.6+157.12+1820.3+3362.56+1571.2</f>
        <v>74433.13</v>
      </c>
      <c r="C65" s="6">
        <f>8256.44+7614.68+11795.79+3063.83+261.6+11003.67+7759.86+883.8</f>
        <v>50639.670000000006</v>
      </c>
      <c r="D65" s="6">
        <v>0</v>
      </c>
      <c r="E65" s="6">
        <v>616.97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f t="shared" si="5"/>
        <v>125689.77000000002</v>
      </c>
      <c r="L65" s="7"/>
    </row>
    <row r="66" spans="1:12">
      <c r="A66">
        <f t="shared" si="6"/>
        <v>64</v>
      </c>
      <c r="B66" s="6">
        <f>79088.09+3308.14+312.7+1563.48+2139.61+625.4</f>
        <v>87037.419999999984</v>
      </c>
      <c r="C66" s="6">
        <v>0</v>
      </c>
      <c r="D66" s="6">
        <v>45.67</v>
      </c>
      <c r="E66" s="6">
        <v>617.59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f t="shared" si="5"/>
        <v>87700.679999999978</v>
      </c>
    </row>
    <row r="67" spans="1:12">
      <c r="A67">
        <f t="shared" si="6"/>
        <v>65</v>
      </c>
      <c r="B67" s="6">
        <f>115740.41+4899.07+480.77+961.54+2615.41+5226+533.66</f>
        <v>130456.86000000002</v>
      </c>
      <c r="C67" s="6">
        <v>0</v>
      </c>
      <c r="D67" s="6">
        <v>0</v>
      </c>
      <c r="E67" s="6">
        <v>616.83000000000004</v>
      </c>
      <c r="F67" s="6">
        <v>0</v>
      </c>
      <c r="G67" s="6">
        <v>0</v>
      </c>
      <c r="H67" s="6">
        <v>0</v>
      </c>
      <c r="I67" s="6">
        <v>0</v>
      </c>
      <c r="J67" s="6">
        <v>5929.74</v>
      </c>
      <c r="K67" s="6">
        <f t="shared" si="5"/>
        <v>137003.43</v>
      </c>
    </row>
    <row r="68" spans="1:12">
      <c r="A68">
        <f t="shared" si="6"/>
        <v>66</v>
      </c>
      <c r="B68" s="6">
        <f>64142.83+2750.29+2457.96+1557.7+584.6</f>
        <v>71493.38</v>
      </c>
      <c r="C68" s="6">
        <v>0</v>
      </c>
      <c r="D68" s="6">
        <v>0</v>
      </c>
      <c r="E68" s="6">
        <v>617.58000000000004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f t="shared" si="5"/>
        <v>72110.960000000006</v>
      </c>
    </row>
    <row r="69" spans="1:12">
      <c r="A69">
        <f t="shared" si="6"/>
        <v>67</v>
      </c>
      <c r="B69" s="6">
        <f>47681.55+2403.12+251.36+117.84+2009.31+3131.7+1686.51</f>
        <v>57281.39</v>
      </c>
      <c r="C69" s="6">
        <f>9009.68+4866.64+8881.9+5600.16</f>
        <v>28358.38</v>
      </c>
      <c r="D69" s="6">
        <v>0</v>
      </c>
      <c r="E69" s="6">
        <v>625.41999999999996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f t="shared" si="5"/>
        <v>86265.19</v>
      </c>
    </row>
    <row r="70" spans="1:12">
      <c r="A70">
        <f t="shared" si="6"/>
        <v>68</v>
      </c>
      <c r="B70" s="6">
        <f>49984.78+4182.87+2716.4+285.92+2730.18+920.33+2161.52</f>
        <v>62982</v>
      </c>
      <c r="C70" s="6">
        <f>19056.61+8109.39+6526.69+3602.94+11260.27+11306.4</f>
        <v>59862.30000000001</v>
      </c>
      <c r="D70" s="6">
        <v>0</v>
      </c>
      <c r="E70" s="6">
        <v>616.99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f t="shared" si="5"/>
        <v>123461.29000000002</v>
      </c>
    </row>
    <row r="71" spans="1:12">
      <c r="A71">
        <f t="shared" si="6"/>
        <v>69</v>
      </c>
      <c r="B71" s="6">
        <f>46695.71+2829.33+980.33+1053.19</f>
        <v>51558.560000000005</v>
      </c>
      <c r="C71" s="6">
        <f>7168.76+70.97</f>
        <v>7239.7300000000005</v>
      </c>
      <c r="D71" s="6">
        <v>0</v>
      </c>
      <c r="E71" s="6">
        <v>616.80999999999995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f t="shared" si="5"/>
        <v>59415.100000000006</v>
      </c>
    </row>
    <row r="72" spans="1:12">
      <c r="A72">
        <f>+A71+1</f>
        <v>70</v>
      </c>
      <c r="B72" s="6">
        <f>42192.4+2071.04+439.84+1846.39+685.29+1445.36</f>
        <v>48680.32</v>
      </c>
      <c r="C72" s="6">
        <f>10542.19+4777.89+6585.88+7971.36</f>
        <v>29877.320000000003</v>
      </c>
      <c r="D72" s="6">
        <v>0</v>
      </c>
      <c r="E72" s="6">
        <v>616.97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f t="shared" si="5"/>
        <v>79174.61</v>
      </c>
    </row>
    <row r="73" spans="1:12">
      <c r="A73">
        <f>+A72+1</f>
        <v>71</v>
      </c>
      <c r="B73" s="6">
        <f>17109.52+865.39+36.06+1153.85</f>
        <v>19164.82</v>
      </c>
      <c r="C73" s="6">
        <v>3948.36</v>
      </c>
      <c r="D73" s="6">
        <v>0</v>
      </c>
      <c r="E73" s="6">
        <v>2116.9699999999998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f t="shared" si="5"/>
        <v>25230.15</v>
      </c>
    </row>
    <row r="74" spans="1:12" ht="15.75" thickBot="1">
      <c r="B74" s="10">
        <f>SUM(B2:B73)</f>
        <v>5366744.0331423972</v>
      </c>
      <c r="C74" s="10">
        <f t="shared" ref="C74:K74" si="7">SUM(C2:C73)</f>
        <v>1397825.6600000004</v>
      </c>
      <c r="D74" s="10">
        <f t="shared" si="7"/>
        <v>71665.529999999984</v>
      </c>
      <c r="E74" s="10">
        <f t="shared" si="7"/>
        <v>46687.38</v>
      </c>
      <c r="F74" s="10">
        <f t="shared" si="7"/>
        <v>78643.259999999995</v>
      </c>
      <c r="G74" s="10">
        <f t="shared" si="7"/>
        <v>3467.3</v>
      </c>
      <c r="H74" s="10">
        <f t="shared" si="7"/>
        <v>2550</v>
      </c>
      <c r="I74" s="10">
        <f t="shared" si="7"/>
        <v>13816.81</v>
      </c>
      <c r="J74" s="10">
        <f t="shared" si="7"/>
        <v>13209.96</v>
      </c>
      <c r="K74" s="10">
        <f t="shared" si="7"/>
        <v>6994609.9331423976</v>
      </c>
    </row>
    <row r="75" spans="1:12" ht="15.75" thickTop="1"/>
    <row r="76" spans="1:12">
      <c r="A76" t="s">
        <v>11</v>
      </c>
      <c r="B76">
        <v>67</v>
      </c>
    </row>
    <row r="77" spans="1:12" s="6" customFormat="1">
      <c r="A77"/>
      <c r="L77"/>
    </row>
  </sheetData>
  <autoFilter ref="A1:K72" xr:uid="{713D6F93-451C-4540-9664-6C65187BE982}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E7D53F-0BDB-4993-B792-DDA4858E81BB}"/>
</file>

<file path=customXml/itemProps2.xml><?xml version="1.0" encoding="utf-8"?>
<ds:datastoreItem xmlns:ds="http://schemas.openxmlformats.org/officeDocument/2006/customXml" ds:itemID="{B68E4268-341A-497E-968B-2681D434CB51}"/>
</file>

<file path=customXml/itemProps3.xml><?xml version="1.0" encoding="utf-8"?>
<ds:datastoreItem xmlns:ds="http://schemas.openxmlformats.org/officeDocument/2006/customXml" ds:itemID="{AC438094-3387-4E66-9B42-178DC8D3A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 Kendall</dc:creator>
  <cp:keywords/>
  <dc:description/>
  <cp:lastModifiedBy>Meredith Kendall</cp:lastModifiedBy>
  <cp:revision/>
  <dcterms:created xsi:type="dcterms:W3CDTF">2024-04-25T19:24:27Z</dcterms:created>
  <dcterms:modified xsi:type="dcterms:W3CDTF">2024-06-11T20:54:14Z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