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JPEC/Rate Case 2024-00085/COS and Rates/"/>
    </mc:Choice>
  </mc:AlternateContent>
  <xr:revisionPtr revIDLastSave="73" documentId="8_{26FEC419-FC67-4CED-9460-8F6F116DDCB2}" xr6:coauthVersionLast="47" xr6:coauthVersionMax="47" xr10:uidLastSave="{B58204DA-65CE-44A1-BBF4-19383A771EAE}"/>
  <bookViews>
    <workbookView xWindow="-108" yWindow="-108" windowWidth="23256" windowHeight="12456" tabRatio="768" xr2:uid="{00000000-000D-0000-FFFF-FFFF00000000}"/>
  </bookViews>
  <sheets>
    <sheet name="RevReq" sheetId="1" r:id="rId1"/>
    <sheet name="Adj List" sheetId="2" r:id="rId2"/>
    <sheet name="Adj BS" sheetId="17" r:id="rId3"/>
    <sheet name="Adj IS" sheetId="18" r:id="rId4"/>
    <sheet name="1.01 FAC" sheetId="22" r:id="rId5"/>
    <sheet name="1.02 ES" sheetId="24" r:id="rId6"/>
    <sheet name="1.03 MRSM" sheetId="25" r:id="rId7"/>
    <sheet name="1.04 NonFACPPA" sheetId="23" r:id="rId8"/>
    <sheet name="1.05 DonaAdsDues" sheetId="37" r:id="rId9"/>
    <sheet name="1.06 401k" sheetId="38" r:id="rId10"/>
    <sheet name="1.07 LifeInsur" sheetId="39" r:id="rId11"/>
    <sheet name="1.08 RC" sheetId="40" r:id="rId12"/>
    <sheet name="1.09 Int Exp" sheetId="41" r:id="rId13"/>
    <sheet name="1.10 YearEndCust" sheetId="10" r:id="rId14"/>
    <sheet name="1.11 Wages and Salaries" sheetId="42" r:id="rId15"/>
    <sheet name="1.12 Depr" sheetId="43" r:id="rId16"/>
    <sheet name="1.13 Dir" sheetId="44" r:id="rId17"/>
    <sheet name="1.14 Right of Way" sheetId="45" r:id="rId18"/>
    <sheet name="1.15 Healthcare" sheetId="46" r:id="rId19"/>
    <sheet name="1.16 Retirement" sheetId="47" r:id="rId20"/>
    <sheet name="1.xx Wages" sheetId="12" state="hidden" r:id="rId21"/>
    <sheet name="1.xx Health" sheetId="27" state="hidden" r:id="rId22"/>
  </sheets>
  <definedNames>
    <definedName name="_xlnm.Print_Area" localSheetId="4">'1.01 FAC'!$A$1:$F$36</definedName>
    <definedName name="_xlnm.Print_Area" localSheetId="5">'1.02 ES'!$A$1:$F$36</definedName>
    <definedName name="_xlnm.Print_Area" localSheetId="6">'1.03 MRSM'!$A$1:$F$36</definedName>
    <definedName name="_xlnm.Print_Area" localSheetId="7">'1.04 NonFACPPA'!$A$1:$F$36</definedName>
    <definedName name="_xlnm.Print_Area" localSheetId="8">'1.05 DonaAdsDues'!$A$1:$D$32</definedName>
    <definedName name="_xlnm.Print_Area" localSheetId="9">'1.06 401k'!$A$1:$E$30</definedName>
    <definedName name="_xlnm.Print_Area" localSheetId="10">'1.07 LifeInsur'!$A$1:$H$98</definedName>
    <definedName name="_xlnm.Print_Area" localSheetId="11">'1.08 RC'!$A$1:$D$35</definedName>
    <definedName name="_xlnm.Print_Area" localSheetId="12">'1.09 Int Exp'!$A$1:$F$65</definedName>
    <definedName name="_xlnm.Print_Area" localSheetId="13">'1.10 YearEndCust'!$A$1:$J$61</definedName>
    <definedName name="_xlnm.Print_Area" localSheetId="14">'1.11 Wages and Salaries'!$A$1:$J$40</definedName>
    <definedName name="_xlnm.Print_Area" localSheetId="15">'1.12 Depr'!$A$1:$J$54</definedName>
    <definedName name="_xlnm.Print_Area" localSheetId="16">'1.13 Dir'!$A$1:$K$32</definedName>
    <definedName name="_xlnm.Print_Area" localSheetId="17">'1.14 Right of Way'!$A$1:$C$16</definedName>
    <definedName name="_xlnm.Print_Area" localSheetId="18">'1.15 Healthcare'!$A$1:$G$36</definedName>
    <definedName name="_xlnm.Print_Area" localSheetId="19">'1.16 Retirement'!$A$1:$C$16</definedName>
    <definedName name="_xlnm.Print_Area" localSheetId="21">'1.xx Health'!$B$1:$H$26</definedName>
    <definedName name="_xlnm.Print_Area" localSheetId="20">'1.xx Wages'!$A$1:$X$129</definedName>
    <definedName name="_xlnm.Print_Area" localSheetId="2">'Adj BS'!$A$1:$F$65</definedName>
    <definedName name="_xlnm.Print_Area" localSheetId="3">'Adj IS'!$A$1:$S$40</definedName>
    <definedName name="_xlnm.Print_Area" localSheetId="1">'Adj List'!$A$1:$G$24</definedName>
    <definedName name="_xlnm.Print_Area" localSheetId="0">RevReq!$A$1:$F$51</definedName>
    <definedName name="_xlnm.Print_Titles" localSheetId="10">'1.07 LifeInsur'!$9:$11</definedName>
    <definedName name="_xlnm.Print_Titles" localSheetId="13">'1.10 YearEndCust'!$1:$11</definedName>
    <definedName name="_xlnm.Print_Titles" localSheetId="20">'1.xx Wages'!$1:$7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I38" i="10" l="1"/>
  <c r="I37" i="10"/>
  <c r="E15" i="2" l="1"/>
  <c r="R5" i="18" l="1"/>
  <c r="Q5" i="18"/>
  <c r="R4" i="18"/>
  <c r="Q4" i="18"/>
  <c r="Q38" i="18"/>
  <c r="Q11" i="18"/>
  <c r="C14" i="47"/>
  <c r="E23" i="2" s="1"/>
  <c r="G23" i="2" s="1"/>
  <c r="A13" i="47"/>
  <c r="A14" i="47" s="1"/>
  <c r="A5" i="47"/>
  <c r="F24" i="2"/>
  <c r="D20" i="40"/>
  <c r="R22" i="18" l="1"/>
  <c r="E12" i="2"/>
  <c r="A15" i="37" l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14" i="37"/>
  <c r="C13" i="45" l="1"/>
  <c r="C12" i="45"/>
  <c r="C14" i="45" l="1"/>
  <c r="B23" i="23" l="1"/>
  <c r="B24" i="23" s="1"/>
  <c r="B25" i="23" s="1"/>
  <c r="B17" i="23"/>
  <c r="B18" i="23" s="1"/>
  <c r="B19" i="23" s="1"/>
  <c r="B20" i="23" s="1"/>
  <c r="B21" i="23" s="1"/>
  <c r="A14" i="23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B23" i="25"/>
  <c r="B24" i="25" s="1"/>
  <c r="B25" i="25" s="1"/>
  <c r="B17" i="25"/>
  <c r="B18" i="25" s="1"/>
  <c r="B19" i="25" s="1"/>
  <c r="B20" i="25" s="1"/>
  <c r="B21" i="25" s="1"/>
  <c r="A14" i="25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15" i="24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14" i="24"/>
  <c r="A15" i="22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14" i="22"/>
  <c r="F34" i="22"/>
  <c r="D27" i="22" l="1"/>
  <c r="D29" i="22" s="1"/>
  <c r="D27" i="23" l="1"/>
  <c r="D27" i="24" l="1"/>
  <c r="D27" i="25"/>
  <c r="D22" i="40" l="1"/>
  <c r="D24" i="40" s="1"/>
  <c r="D28" i="40" s="1"/>
  <c r="D30" i="40" s="1"/>
  <c r="D26" i="1"/>
  <c r="D25" i="1"/>
  <c r="K28" i="18"/>
  <c r="K27" i="18"/>
  <c r="E22" i="2"/>
  <c r="Q22" i="18" s="1"/>
  <c r="Q23" i="18" s="1"/>
  <c r="Q30" i="18" s="1"/>
  <c r="Q32" i="18" s="1"/>
  <c r="Q40" i="18" s="1"/>
  <c r="E21" i="2"/>
  <c r="D16" i="1" s="1"/>
  <c r="E20" i="2"/>
  <c r="E19" i="2"/>
  <c r="D23" i="1" s="1"/>
  <c r="E14" i="2"/>
  <c r="I22" i="18" s="1"/>
  <c r="E13" i="2"/>
  <c r="A5" i="46"/>
  <c r="A5" i="45"/>
  <c r="A5" i="44"/>
  <c r="A4" i="43"/>
  <c r="A5" i="42"/>
  <c r="A5" i="10"/>
  <c r="B5" i="41"/>
  <c r="A5" i="40"/>
  <c r="A5" i="39"/>
  <c r="A5" i="38"/>
  <c r="A5" i="37"/>
  <c r="A5" i="23"/>
  <c r="A5" i="25"/>
  <c r="A5" i="24"/>
  <c r="A5" i="22"/>
  <c r="D34" i="46"/>
  <c r="C34" i="46"/>
  <c r="D13" i="46" s="1"/>
  <c r="A14" i="46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C13" i="46"/>
  <c r="A13" i="46"/>
  <c r="A14" i="45"/>
  <c r="A13" i="45"/>
  <c r="C27" i="44"/>
  <c r="C23" i="44"/>
  <c r="J19" i="44"/>
  <c r="I19" i="44"/>
  <c r="H19" i="44"/>
  <c r="G19" i="44"/>
  <c r="F19" i="44"/>
  <c r="E19" i="44"/>
  <c r="D19" i="44"/>
  <c r="C19" i="44"/>
  <c r="K19" i="44" s="1"/>
  <c r="K18" i="44"/>
  <c r="C26" i="44" s="1"/>
  <c r="K17" i="44"/>
  <c r="C25" i="44" s="1"/>
  <c r="K16" i="44"/>
  <c r="K15" i="44"/>
  <c r="C24" i="44" s="1"/>
  <c r="C28" i="44" s="1"/>
  <c r="K14" i="44"/>
  <c r="K13" i="44"/>
  <c r="K12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K11" i="44"/>
  <c r="A11" i="44"/>
  <c r="K10" i="44"/>
  <c r="I46" i="43"/>
  <c r="I45" i="43"/>
  <c r="F45" i="43"/>
  <c r="E45" i="43"/>
  <c r="H44" i="43"/>
  <c r="J44" i="43" s="1"/>
  <c r="H43" i="43"/>
  <c r="J43" i="43" s="1"/>
  <c r="H42" i="43"/>
  <c r="J42" i="43" s="1"/>
  <c r="H41" i="43"/>
  <c r="J41" i="43" s="1"/>
  <c r="J40" i="43"/>
  <c r="H40" i="43"/>
  <c r="J39" i="43"/>
  <c r="H39" i="43"/>
  <c r="J38" i="43"/>
  <c r="H38" i="43"/>
  <c r="H37" i="43"/>
  <c r="J37" i="43" s="1"/>
  <c r="H36" i="43"/>
  <c r="J36" i="43" s="1"/>
  <c r="H35" i="43"/>
  <c r="J35" i="43" s="1"/>
  <c r="H34" i="43"/>
  <c r="J34" i="43" s="1"/>
  <c r="H33" i="43"/>
  <c r="J33" i="43" s="1"/>
  <c r="I29" i="43"/>
  <c r="F29" i="43"/>
  <c r="F46" i="43" s="1"/>
  <c r="E29" i="43"/>
  <c r="E46" i="43" s="1"/>
  <c r="H28" i="43"/>
  <c r="J28" i="43" s="1"/>
  <c r="H27" i="43"/>
  <c r="J27" i="43" s="1"/>
  <c r="H26" i="43"/>
  <c r="J26" i="43" s="1"/>
  <c r="H25" i="43"/>
  <c r="H24" i="43"/>
  <c r="J23" i="43"/>
  <c r="H23" i="43"/>
  <c r="H22" i="43"/>
  <c r="J22" i="43" s="1"/>
  <c r="H21" i="43"/>
  <c r="J21" i="43" s="1"/>
  <c r="H20" i="43"/>
  <c r="J20" i="43" s="1"/>
  <c r="H19" i="43"/>
  <c r="J19" i="43" s="1"/>
  <c r="H18" i="43"/>
  <c r="J18" i="43" s="1"/>
  <c r="J17" i="43"/>
  <c r="H17" i="43"/>
  <c r="J16" i="43"/>
  <c r="H16" i="43"/>
  <c r="J15" i="43"/>
  <c r="H15" i="43"/>
  <c r="H14" i="43"/>
  <c r="J14" i="43" s="1"/>
  <c r="H13" i="43"/>
  <c r="J13" i="43" s="1"/>
  <c r="A13" i="43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12" i="43"/>
  <c r="D27" i="42"/>
  <c r="E26" i="42"/>
  <c r="E25" i="42"/>
  <c r="E24" i="42"/>
  <c r="G21" i="42"/>
  <c r="E21" i="42"/>
  <c r="C21" i="42"/>
  <c r="G19" i="42"/>
  <c r="D19" i="42"/>
  <c r="G16" i="42"/>
  <c r="D16" i="42"/>
  <c r="I13" i="42"/>
  <c r="J13" i="42" s="1"/>
  <c r="G13" i="42"/>
  <c r="D13" i="42"/>
  <c r="H16" i="42" s="1"/>
  <c r="F58" i="41"/>
  <c r="F62" i="41" s="1"/>
  <c r="F49" i="41"/>
  <c r="C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E19" i="41"/>
  <c r="F18" i="41"/>
  <c r="F17" i="41"/>
  <c r="F16" i="41"/>
  <c r="F15" i="41"/>
  <c r="F14" i="41"/>
  <c r="F13" i="41"/>
  <c r="F12" i="41"/>
  <c r="F47" i="41" s="1"/>
  <c r="F51" i="41" s="1"/>
  <c r="F53" i="41" s="1"/>
  <c r="F11" i="41"/>
  <c r="A11" i="4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54" i="41" s="1"/>
  <c r="A55" i="41" s="1"/>
  <c r="A56" i="41" s="1"/>
  <c r="A57" i="41" s="1"/>
  <c r="A58" i="41" s="1"/>
  <c r="A59" i="41" s="1"/>
  <c r="A60" i="41" s="1"/>
  <c r="A61" i="41" s="1"/>
  <c r="A62" i="41" s="1"/>
  <c r="F10" i="41"/>
  <c r="D15" i="40"/>
  <c r="A13" i="40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B93" i="39"/>
  <c r="B85" i="39"/>
  <c r="B79" i="39"/>
  <c r="G78" i="39"/>
  <c r="H78" i="39" s="1"/>
  <c r="E78" i="39"/>
  <c r="F78" i="39" s="1"/>
  <c r="E77" i="39"/>
  <c r="G77" i="39" s="1"/>
  <c r="E76" i="39"/>
  <c r="G76" i="39" s="1"/>
  <c r="G75" i="39"/>
  <c r="H75" i="39" s="1"/>
  <c r="F75" i="39"/>
  <c r="E75" i="39"/>
  <c r="G74" i="39"/>
  <c r="H74" i="39" s="1"/>
  <c r="F74" i="39"/>
  <c r="E74" i="39"/>
  <c r="F73" i="39"/>
  <c r="E73" i="39"/>
  <c r="G73" i="39" s="1"/>
  <c r="H73" i="39" s="1"/>
  <c r="E72" i="39"/>
  <c r="G72" i="39" s="1"/>
  <c r="F71" i="39"/>
  <c r="E71" i="39"/>
  <c r="G71" i="39" s="1"/>
  <c r="H71" i="39" s="1"/>
  <c r="G70" i="39"/>
  <c r="E70" i="39"/>
  <c r="F70" i="39" s="1"/>
  <c r="E69" i="39"/>
  <c r="G69" i="39" s="1"/>
  <c r="E68" i="39"/>
  <c r="F68" i="39" s="1"/>
  <c r="G67" i="39"/>
  <c r="H67" i="39" s="1"/>
  <c r="F67" i="39"/>
  <c r="E67" i="39"/>
  <c r="G66" i="39"/>
  <c r="H66" i="39" s="1"/>
  <c r="F66" i="39"/>
  <c r="E66" i="39"/>
  <c r="H65" i="39"/>
  <c r="G65" i="39"/>
  <c r="F65" i="39"/>
  <c r="E65" i="39"/>
  <c r="E64" i="39"/>
  <c r="G64" i="39" s="1"/>
  <c r="F63" i="39"/>
  <c r="E63" i="39"/>
  <c r="G63" i="39" s="1"/>
  <c r="H63" i="39" s="1"/>
  <c r="G62" i="39"/>
  <c r="H62" i="39" s="1"/>
  <c r="E62" i="39"/>
  <c r="F62" i="39" s="1"/>
  <c r="E61" i="39"/>
  <c r="G61" i="39" s="1"/>
  <c r="E60" i="39"/>
  <c r="F60" i="39" s="1"/>
  <c r="G59" i="39"/>
  <c r="H59" i="39" s="1"/>
  <c r="F59" i="39"/>
  <c r="E59" i="39"/>
  <c r="G58" i="39"/>
  <c r="H58" i="39" s="1"/>
  <c r="F58" i="39"/>
  <c r="E58" i="39"/>
  <c r="H57" i="39"/>
  <c r="G57" i="39"/>
  <c r="F57" i="39"/>
  <c r="E57" i="39"/>
  <c r="E56" i="39"/>
  <c r="G56" i="39" s="1"/>
  <c r="F55" i="39"/>
  <c r="E55" i="39"/>
  <c r="G55" i="39" s="1"/>
  <c r="H55" i="39" s="1"/>
  <c r="G54" i="39"/>
  <c r="H54" i="39" s="1"/>
  <c r="E54" i="39"/>
  <c r="F54" i="39" s="1"/>
  <c r="E53" i="39"/>
  <c r="G53" i="39" s="1"/>
  <c r="E52" i="39"/>
  <c r="F52" i="39" s="1"/>
  <c r="G51" i="39"/>
  <c r="H51" i="39" s="1"/>
  <c r="F51" i="39"/>
  <c r="E51" i="39"/>
  <c r="G50" i="39"/>
  <c r="H50" i="39" s="1"/>
  <c r="F50" i="39"/>
  <c r="E50" i="39"/>
  <c r="F49" i="39"/>
  <c r="E49" i="39"/>
  <c r="G49" i="39" s="1"/>
  <c r="H49" i="39" s="1"/>
  <c r="E48" i="39"/>
  <c r="G48" i="39" s="1"/>
  <c r="F47" i="39"/>
  <c r="E47" i="39"/>
  <c r="G47" i="39" s="1"/>
  <c r="H47" i="39" s="1"/>
  <c r="G46" i="39"/>
  <c r="H46" i="39" s="1"/>
  <c r="E46" i="39"/>
  <c r="F46" i="39" s="1"/>
  <c r="E45" i="39"/>
  <c r="G45" i="39" s="1"/>
  <c r="E44" i="39"/>
  <c r="F44" i="39" s="1"/>
  <c r="G43" i="39"/>
  <c r="H43" i="39" s="1"/>
  <c r="F43" i="39"/>
  <c r="E43" i="39"/>
  <c r="G42" i="39"/>
  <c r="H42" i="39" s="1"/>
  <c r="F42" i="39"/>
  <c r="E42" i="39"/>
  <c r="F41" i="39"/>
  <c r="E41" i="39"/>
  <c r="G41" i="39" s="1"/>
  <c r="H41" i="39" s="1"/>
  <c r="E40" i="39"/>
  <c r="G40" i="39" s="1"/>
  <c r="F39" i="39"/>
  <c r="E39" i="39"/>
  <c r="G39" i="39" s="1"/>
  <c r="H39" i="39" s="1"/>
  <c r="G38" i="39"/>
  <c r="E38" i="39"/>
  <c r="F38" i="39" s="1"/>
  <c r="E37" i="39"/>
  <c r="G37" i="39" s="1"/>
  <c r="E36" i="39"/>
  <c r="F36" i="39" s="1"/>
  <c r="G35" i="39"/>
  <c r="H35" i="39" s="1"/>
  <c r="F35" i="39"/>
  <c r="E35" i="39"/>
  <c r="G34" i="39"/>
  <c r="H34" i="39" s="1"/>
  <c r="F34" i="39"/>
  <c r="E34" i="39"/>
  <c r="F33" i="39"/>
  <c r="E33" i="39"/>
  <c r="G33" i="39" s="1"/>
  <c r="H33" i="39" s="1"/>
  <c r="B95" i="39" s="1"/>
  <c r="E32" i="39"/>
  <c r="G32" i="39" s="1"/>
  <c r="F31" i="39"/>
  <c r="E31" i="39"/>
  <c r="G31" i="39" s="1"/>
  <c r="H31" i="39" s="1"/>
  <c r="G30" i="39"/>
  <c r="E30" i="39"/>
  <c r="F30" i="39" s="1"/>
  <c r="E29" i="39"/>
  <c r="G29" i="39" s="1"/>
  <c r="E28" i="39"/>
  <c r="F28" i="39" s="1"/>
  <c r="G27" i="39"/>
  <c r="H27" i="39" s="1"/>
  <c r="F27" i="39"/>
  <c r="E27" i="39"/>
  <c r="G26" i="39"/>
  <c r="H26" i="39" s="1"/>
  <c r="F26" i="39"/>
  <c r="E26" i="39"/>
  <c r="F25" i="39"/>
  <c r="E25" i="39"/>
  <c r="G25" i="39" s="1"/>
  <c r="H25" i="39" s="1"/>
  <c r="E24" i="39"/>
  <c r="F24" i="39" s="1"/>
  <c r="F23" i="39"/>
  <c r="E23" i="39"/>
  <c r="G23" i="39" s="1"/>
  <c r="H23" i="39" s="1"/>
  <c r="G22" i="39"/>
  <c r="E22" i="39"/>
  <c r="F22" i="39" s="1"/>
  <c r="E21" i="39"/>
  <c r="G21" i="39" s="1"/>
  <c r="E20" i="39"/>
  <c r="G20" i="39" s="1"/>
  <c r="G19" i="39"/>
  <c r="H19" i="39" s="1"/>
  <c r="F19" i="39"/>
  <c r="E19" i="39"/>
  <c r="G18" i="39"/>
  <c r="H18" i="39" s="1"/>
  <c r="F18" i="39"/>
  <c r="E18" i="39"/>
  <c r="F17" i="39"/>
  <c r="E17" i="39"/>
  <c r="G17" i="39" s="1"/>
  <c r="H17" i="39" s="1"/>
  <c r="E16" i="39"/>
  <c r="G16" i="39" s="1"/>
  <c r="F15" i="39"/>
  <c r="E15" i="39"/>
  <c r="G15" i="39" s="1"/>
  <c r="H15" i="39" s="1"/>
  <c r="G14" i="39"/>
  <c r="H14" i="39" s="1"/>
  <c r="E14" i="39"/>
  <c r="F14" i="39" s="1"/>
  <c r="E13" i="39"/>
  <c r="G13" i="39" s="1"/>
  <c r="A13" i="39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E12" i="39"/>
  <c r="G12" i="39" s="1"/>
  <c r="C29" i="38"/>
  <c r="C27" i="38"/>
  <c r="C26" i="38"/>
  <c r="C25" i="38"/>
  <c r="A13" i="38"/>
  <c r="A14" i="38" s="1"/>
  <c r="A15" i="38" s="1"/>
  <c r="A16" i="38" s="1"/>
  <c r="A17" i="38" s="1"/>
  <c r="A18" i="38" s="1"/>
  <c r="A12" i="38"/>
  <c r="D11" i="38"/>
  <c r="D18" i="38" s="1"/>
  <c r="D30" i="37"/>
  <c r="G22" i="18" s="1"/>
  <c r="B27" i="37"/>
  <c r="B18" i="37"/>
  <c r="B19" i="37" s="1"/>
  <c r="H22" i="18" l="1"/>
  <c r="J29" i="43"/>
  <c r="H30" i="39"/>
  <c r="H56" i="39"/>
  <c r="J48" i="43"/>
  <c r="J53" i="43" s="1"/>
  <c r="H22" i="39"/>
  <c r="B90" i="39" s="1"/>
  <c r="H38" i="39"/>
  <c r="H70" i="39"/>
  <c r="H72" i="39"/>
  <c r="I16" i="42"/>
  <c r="J16" i="42" s="1"/>
  <c r="K22" i="44"/>
  <c r="K25" i="44"/>
  <c r="K28" i="44" s="1"/>
  <c r="H32" i="39"/>
  <c r="E13" i="46"/>
  <c r="F13" i="46" s="1"/>
  <c r="G13" i="46" s="1"/>
  <c r="G15" i="46"/>
  <c r="G17" i="46" s="1"/>
  <c r="G19" i="46" s="1"/>
  <c r="H20" i="39"/>
  <c r="H16" i="39"/>
  <c r="B96" i="39" s="1"/>
  <c r="B92" i="39"/>
  <c r="G28" i="39"/>
  <c r="H28" i="39" s="1"/>
  <c r="G36" i="39"/>
  <c r="H36" i="39" s="1"/>
  <c r="G44" i="39"/>
  <c r="H44" i="39" s="1"/>
  <c r="G52" i="39"/>
  <c r="H52" i="39" s="1"/>
  <c r="G60" i="39"/>
  <c r="H60" i="39" s="1"/>
  <c r="B91" i="39" s="1"/>
  <c r="G68" i="39"/>
  <c r="H68" i="39" s="1"/>
  <c r="B84" i="39" s="1"/>
  <c r="H45" i="43"/>
  <c r="J45" i="43" s="1"/>
  <c r="F32" i="39"/>
  <c r="F56" i="39"/>
  <c r="F16" i="39"/>
  <c r="F40" i="39"/>
  <c r="H40" i="39" s="1"/>
  <c r="F48" i="39"/>
  <c r="H48" i="39" s="1"/>
  <c r="F64" i="39"/>
  <c r="H64" i="39" s="1"/>
  <c r="F72" i="39"/>
  <c r="F13" i="39"/>
  <c r="H13" i="39" s="1"/>
  <c r="F21" i="39"/>
  <c r="H21" i="39" s="1"/>
  <c r="G24" i="39"/>
  <c r="H24" i="39" s="1"/>
  <c r="F29" i="39"/>
  <c r="H29" i="39" s="1"/>
  <c r="F37" i="39"/>
  <c r="H37" i="39" s="1"/>
  <c r="F45" i="39"/>
  <c r="H45" i="39" s="1"/>
  <c r="F53" i="39"/>
  <c r="H53" i="39" s="1"/>
  <c r="B87" i="39" s="1"/>
  <c r="F61" i="39"/>
  <c r="H61" i="39" s="1"/>
  <c r="F69" i="39"/>
  <c r="H69" i="39" s="1"/>
  <c r="F77" i="39"/>
  <c r="H77" i="39" s="1"/>
  <c r="H19" i="42"/>
  <c r="I19" i="42" s="1"/>
  <c r="H29" i="43"/>
  <c r="H46" i="43" s="1"/>
  <c r="C24" i="38"/>
  <c r="C28" i="38" s="1"/>
  <c r="C30" i="38" s="1"/>
  <c r="F12" i="39"/>
  <c r="H12" i="39" s="1"/>
  <c r="F20" i="39"/>
  <c r="F76" i="39"/>
  <c r="H76" i="39" s="1"/>
  <c r="B83" i="39" s="1"/>
  <c r="G82" i="39" s="1"/>
  <c r="B86" i="39" l="1"/>
  <c r="J19" i="42"/>
  <c r="I21" i="42"/>
  <c r="J21" i="42" s="1"/>
  <c r="H79" i="39"/>
  <c r="B94" i="39"/>
  <c r="B88" i="39"/>
  <c r="B89" i="39"/>
  <c r="J46" i="43"/>
  <c r="J52" i="43" s="1"/>
  <c r="J54" i="43" s="1"/>
  <c r="J25" i="42" l="1"/>
  <c r="J24" i="42"/>
  <c r="E18" i="2" s="1"/>
  <c r="J26" i="42"/>
  <c r="G81" i="39"/>
  <c r="G83" i="39" s="1"/>
  <c r="M22" i="18" l="1"/>
  <c r="D20" i="1"/>
  <c r="D34" i="42"/>
  <c r="D33" i="42"/>
  <c r="D32" i="42"/>
  <c r="D31" i="42"/>
  <c r="J27" i="42"/>
  <c r="D35" i="42"/>
  <c r="D36" i="42" l="1"/>
  <c r="B23" i="24" l="1"/>
  <c r="B24" i="24" s="1"/>
  <c r="B25" i="24" s="1"/>
  <c r="B18" i="24"/>
  <c r="B19" i="24" s="1"/>
  <c r="B20" i="24" s="1"/>
  <c r="B21" i="24" s="1"/>
  <c r="B17" i="24"/>
  <c r="B23" i="22"/>
  <c r="B24" i="22" s="1"/>
  <c r="C11" i="1" l="1"/>
  <c r="S10" i="18" l="1"/>
  <c r="S12" i="18"/>
  <c r="S13" i="18"/>
  <c r="S14" i="18"/>
  <c r="S24" i="18"/>
  <c r="S26" i="18"/>
  <c r="S28" i="18"/>
  <c r="S29" i="18"/>
  <c r="S31" i="18"/>
  <c r="S33" i="18"/>
  <c r="S34" i="18"/>
  <c r="S36" i="18"/>
  <c r="S37" i="18"/>
  <c r="S39" i="18"/>
  <c r="R23" i="18"/>
  <c r="R30" i="18" s="1"/>
  <c r="R32" i="18" s="1"/>
  <c r="R11" i="18"/>
  <c r="R38" i="18"/>
  <c r="R40" i="18" l="1"/>
  <c r="P4" i="18" l="1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E46" i="1"/>
  <c r="M21" i="18" l="1"/>
  <c r="S21" i="18" s="1"/>
  <c r="P5" i="18"/>
  <c r="P38" i="18"/>
  <c r="P22" i="18"/>
  <c r="S20" i="18"/>
  <c r="S19" i="18"/>
  <c r="P11" i="18"/>
  <c r="G22" i="2" l="1"/>
  <c r="G21" i="2" l="1"/>
  <c r="P18" i="18"/>
  <c r="P23" i="18" s="1"/>
  <c r="P30" i="18" s="1"/>
  <c r="P32" i="18" s="1"/>
  <c r="P40" i="18" s="1"/>
  <c r="S35" i="18" l="1"/>
  <c r="S27" i="18" l="1"/>
  <c r="A15" i="27" l="1"/>
  <c r="A16" i="27" s="1"/>
  <c r="A17" i="27" s="1"/>
  <c r="A18" i="27" s="1"/>
  <c r="A19" i="27" s="1"/>
  <c r="A20" i="27" s="1"/>
  <c r="A21" i="27" s="1"/>
  <c r="D16" i="27"/>
  <c r="C16" i="27"/>
  <c r="E15" i="27"/>
  <c r="G15" i="27" s="1"/>
  <c r="H15" i="27" s="1"/>
  <c r="E14" i="27"/>
  <c r="E16" i="27" s="1"/>
  <c r="G14" i="27" l="1"/>
  <c r="E34" i="1"/>
  <c r="E10" i="1"/>
  <c r="H14" i="27" l="1"/>
  <c r="H16" i="27" s="1"/>
  <c r="G16" i="27"/>
  <c r="D104" i="12" l="1"/>
  <c r="F104" i="12" s="1"/>
  <c r="H104" i="12" s="1"/>
  <c r="I104" i="12" s="1"/>
  <c r="J104" i="12" s="1"/>
  <c r="L104" i="12" s="1"/>
  <c r="M104" i="12" s="1"/>
  <c r="N104" i="12" s="1"/>
  <c r="O104" i="12" s="1"/>
  <c r="Q104" i="12" s="1"/>
  <c r="S104" i="12" s="1"/>
  <c r="T104" i="12" s="1"/>
  <c r="U104" i="12" s="1"/>
  <c r="V104" i="12" s="1"/>
  <c r="X104" i="12" s="1"/>
  <c r="B17" i="22" l="1"/>
  <c r="B18" i="22" s="1"/>
  <c r="B19" i="22" s="1"/>
  <c r="B20" i="22" s="1"/>
  <c r="B21" i="22" s="1"/>
  <c r="B25" i="22" s="1"/>
  <c r="F27" i="25"/>
  <c r="F29" i="25" s="1"/>
  <c r="F33" i="25" s="1"/>
  <c r="E10" i="2" s="1"/>
  <c r="D29" i="25"/>
  <c r="D33" i="25" s="1"/>
  <c r="F27" i="24"/>
  <c r="F29" i="24" s="1"/>
  <c r="F33" i="24" s="1"/>
  <c r="E9" i="2" s="1"/>
  <c r="D29" i="24"/>
  <c r="D33" i="24" s="1"/>
  <c r="F27" i="23"/>
  <c r="F29" i="23" s="1"/>
  <c r="F33" i="23" s="1"/>
  <c r="E11" i="2" s="1"/>
  <c r="D29" i="23"/>
  <c r="D33" i="23" s="1"/>
  <c r="F27" i="22"/>
  <c r="F29" i="22" s="1"/>
  <c r="F33" i="22" s="1"/>
  <c r="E8" i="2" s="1"/>
  <c r="D33" i="22"/>
  <c r="D11" i="2" l="1"/>
  <c r="F34" i="23"/>
  <c r="D10" i="2"/>
  <c r="F34" i="25"/>
  <c r="D9" i="2"/>
  <c r="G9" i="2" s="1"/>
  <c r="F34" i="24"/>
  <c r="D8" i="2"/>
  <c r="G8" i="2" s="1"/>
  <c r="G10" i="2"/>
  <c r="G11" i="2"/>
  <c r="G14" i="2" l="1"/>
  <c r="F58" i="17" l="1"/>
  <c r="F49" i="17"/>
  <c r="Q17" i="12" l="1"/>
  <c r="F16" i="18" l="1"/>
  <c r="F9" i="18"/>
  <c r="E16" i="18"/>
  <c r="E9" i="18"/>
  <c r="D16" i="18"/>
  <c r="D9" i="18"/>
  <c r="C16" i="18"/>
  <c r="C9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S9" i="18" l="1"/>
  <c r="S16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D37" i="1"/>
  <c r="E37" i="1" s="1"/>
  <c r="E27" i="1"/>
  <c r="N23" i="18"/>
  <c r="K23" i="18"/>
  <c r="F23" i="18"/>
  <c r="F30" i="18" s="1"/>
  <c r="I23" i="18"/>
  <c r="I30" i="18" s="1"/>
  <c r="E23" i="18"/>
  <c r="E30" i="18" s="1"/>
  <c r="O11" i="18"/>
  <c r="N11" i="18"/>
  <c r="M11" i="18"/>
  <c r="K11" i="18"/>
  <c r="J11" i="18"/>
  <c r="I11" i="18"/>
  <c r="H11" i="18"/>
  <c r="G11" i="18"/>
  <c r="F11" i="18"/>
  <c r="E11" i="18"/>
  <c r="D11" i="18"/>
  <c r="C11" i="18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F63" i="17"/>
  <c r="F62" i="17"/>
  <c r="E60" i="17"/>
  <c r="D60" i="17"/>
  <c r="F59" i="17"/>
  <c r="F57" i="17"/>
  <c r="F56" i="17"/>
  <c r="F55" i="17"/>
  <c r="F53" i="17"/>
  <c r="E51" i="17"/>
  <c r="F50" i="17"/>
  <c r="F48" i="17"/>
  <c r="F47" i="17"/>
  <c r="F46" i="17"/>
  <c r="F45" i="17"/>
  <c r="E43" i="17"/>
  <c r="D43" i="17"/>
  <c r="F42" i="17"/>
  <c r="F41" i="17"/>
  <c r="F40" i="17"/>
  <c r="F39" i="17"/>
  <c r="F38" i="17"/>
  <c r="F33" i="17"/>
  <c r="F32" i="17"/>
  <c r="E30" i="17"/>
  <c r="F29" i="17"/>
  <c r="F28" i="17"/>
  <c r="F27" i="17"/>
  <c r="F26" i="17"/>
  <c r="F25" i="17"/>
  <c r="F24" i="17"/>
  <c r="F23" i="17"/>
  <c r="F22" i="17"/>
  <c r="F21" i="17"/>
  <c r="F20" i="17"/>
  <c r="E18" i="17"/>
  <c r="D18" i="17"/>
  <c r="F17" i="17"/>
  <c r="F16" i="17"/>
  <c r="F15" i="17"/>
  <c r="F14" i="17"/>
  <c r="E12" i="17"/>
  <c r="F11" i="17"/>
  <c r="D10" i="17"/>
  <c r="F9" i="17"/>
  <c r="F8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D6" i="17"/>
  <c r="E6" i="17" s="1"/>
  <c r="F43" i="17" l="1"/>
  <c r="S38" i="18"/>
  <c r="E64" i="17"/>
  <c r="F18" i="17"/>
  <c r="C23" i="18"/>
  <c r="C30" i="18" s="1"/>
  <c r="D23" i="18"/>
  <c r="D30" i="18" s="1"/>
  <c r="D12" i="17"/>
  <c r="D35" i="17" s="1"/>
  <c r="F10" i="17"/>
  <c r="F12" i="17" s="1"/>
  <c r="E32" i="18"/>
  <c r="E40" i="18" s="1"/>
  <c r="E36" i="1"/>
  <c r="F60" i="17"/>
  <c r="E24" i="1"/>
  <c r="F32" i="18"/>
  <c r="F40" i="18" s="1"/>
  <c r="I32" i="18"/>
  <c r="I40" i="18" s="1"/>
  <c r="F30" i="17"/>
  <c r="E35" i="17"/>
  <c r="F51" i="17"/>
  <c r="D64" i="17"/>
  <c r="F64" i="17" l="1"/>
  <c r="F35" i="17"/>
  <c r="C32" i="18"/>
  <c r="C40" i="18" s="1"/>
  <c r="D32" i="18"/>
  <c r="D40" i="18" s="1"/>
  <c r="C99" i="12" l="1"/>
  <c r="K181" i="12"/>
  <c r="M179" i="12" s="1"/>
  <c r="M176" i="12"/>
  <c r="M173" i="12"/>
  <c r="M120" i="12" s="1"/>
  <c r="M172" i="12"/>
  <c r="M171" i="12"/>
  <c r="M170" i="12"/>
  <c r="M169" i="12"/>
  <c r="M166" i="12"/>
  <c r="M165" i="12"/>
  <c r="M164" i="12"/>
  <c r="M163" i="12"/>
  <c r="O162" i="12"/>
  <c r="M162" i="12"/>
  <c r="O160" i="12"/>
  <c r="M160" i="12"/>
  <c r="M159" i="12"/>
  <c r="O158" i="12"/>
  <c r="O165" i="12" s="1"/>
  <c r="O167" i="12" s="1"/>
  <c r="M158" i="12"/>
  <c r="M157" i="12"/>
  <c r="M156" i="12"/>
  <c r="M154" i="12"/>
  <c r="M153" i="12"/>
  <c r="M152" i="12"/>
  <c r="M151" i="12"/>
  <c r="M150" i="12"/>
  <c r="M149" i="12"/>
  <c r="M148" i="12"/>
  <c r="M146" i="12"/>
  <c r="M145" i="12"/>
  <c r="M144" i="12"/>
  <c r="M143" i="12"/>
  <c r="M142" i="12"/>
  <c r="M141" i="12"/>
  <c r="M140" i="12"/>
  <c r="L124" i="12"/>
  <c r="K126" i="12" s="1"/>
  <c r="L121" i="12"/>
  <c r="L120" i="12"/>
  <c r="L119" i="12"/>
  <c r="L118" i="12"/>
  <c r="L117" i="12"/>
  <c r="N99" i="12"/>
  <c r="M99" i="12"/>
  <c r="L99" i="12"/>
  <c r="J99" i="12"/>
  <c r="I99" i="12"/>
  <c r="H99" i="12"/>
  <c r="Z98" i="12"/>
  <c r="AA98" i="12" s="1"/>
  <c r="AB98" i="12" s="1"/>
  <c r="AC98" i="12" s="1"/>
  <c r="T98" i="12" s="1"/>
  <c r="U98" i="12"/>
  <c r="S98" i="12"/>
  <c r="O98" i="12"/>
  <c r="Z97" i="12"/>
  <c r="AA97" i="12" s="1"/>
  <c r="AB97" i="12" s="1"/>
  <c r="AC97" i="12" s="1"/>
  <c r="T97" i="12" s="1"/>
  <c r="U97" i="12"/>
  <c r="S97" i="12"/>
  <c r="O97" i="12"/>
  <c r="Z96" i="12"/>
  <c r="AA96" i="12" s="1"/>
  <c r="AB96" i="12" s="1"/>
  <c r="AC96" i="12" s="1"/>
  <c r="T96" i="12" s="1"/>
  <c r="U96" i="12"/>
  <c r="S96" i="12"/>
  <c r="O96" i="12"/>
  <c r="Z95" i="12"/>
  <c r="AA95" i="12" s="1"/>
  <c r="AB95" i="12" s="1"/>
  <c r="AC95" i="12" s="1"/>
  <c r="T95" i="12" s="1"/>
  <c r="U95" i="12"/>
  <c r="S95" i="12"/>
  <c r="O95" i="12"/>
  <c r="Z94" i="12"/>
  <c r="AA94" i="12" s="1"/>
  <c r="AB94" i="12" s="1"/>
  <c r="AC94" i="12" s="1"/>
  <c r="T94" i="12" s="1"/>
  <c r="U94" i="12"/>
  <c r="S94" i="12"/>
  <c r="O94" i="12"/>
  <c r="Z93" i="12"/>
  <c r="AA93" i="12" s="1"/>
  <c r="AB93" i="12" s="1"/>
  <c r="AC93" i="12" s="1"/>
  <c r="T93" i="12" s="1"/>
  <c r="U93" i="12"/>
  <c r="S93" i="12"/>
  <c r="O93" i="12"/>
  <c r="Z92" i="12"/>
  <c r="AA92" i="12" s="1"/>
  <c r="AB92" i="12" s="1"/>
  <c r="AC92" i="12" s="1"/>
  <c r="T92" i="12" s="1"/>
  <c r="U92" i="12"/>
  <c r="S92" i="12"/>
  <c r="O92" i="12"/>
  <c r="Z91" i="12"/>
  <c r="AA91" i="12" s="1"/>
  <c r="AB91" i="12" s="1"/>
  <c r="AC91" i="12" s="1"/>
  <c r="T91" i="12" s="1"/>
  <c r="U91" i="12"/>
  <c r="S91" i="12"/>
  <c r="O91" i="12"/>
  <c r="Z90" i="12"/>
  <c r="AA90" i="12" s="1"/>
  <c r="AB90" i="12" s="1"/>
  <c r="AC90" i="12" s="1"/>
  <c r="T90" i="12" s="1"/>
  <c r="U90" i="12"/>
  <c r="S90" i="12"/>
  <c r="O90" i="12"/>
  <c r="Z89" i="12"/>
  <c r="AA89" i="12" s="1"/>
  <c r="AB89" i="12" s="1"/>
  <c r="AC89" i="12" s="1"/>
  <c r="T89" i="12" s="1"/>
  <c r="U89" i="12"/>
  <c r="S89" i="12"/>
  <c r="O89" i="12"/>
  <c r="Z88" i="12"/>
  <c r="AA88" i="12" s="1"/>
  <c r="AB88" i="12" s="1"/>
  <c r="AC88" i="12" s="1"/>
  <c r="T88" i="12" s="1"/>
  <c r="U88" i="12"/>
  <c r="S88" i="12"/>
  <c r="O88" i="12"/>
  <c r="Z87" i="12"/>
  <c r="AA87" i="12" s="1"/>
  <c r="AB87" i="12" s="1"/>
  <c r="AC87" i="12" s="1"/>
  <c r="T87" i="12" s="1"/>
  <c r="U87" i="12"/>
  <c r="S87" i="12"/>
  <c r="O87" i="12"/>
  <c r="Z86" i="12"/>
  <c r="AA86" i="12" s="1"/>
  <c r="AB86" i="12" s="1"/>
  <c r="AC86" i="12" s="1"/>
  <c r="T86" i="12" s="1"/>
  <c r="U86" i="12"/>
  <c r="S86" i="12"/>
  <c r="O86" i="12"/>
  <c r="Z85" i="12"/>
  <c r="AA85" i="12" s="1"/>
  <c r="AB85" i="12" s="1"/>
  <c r="AC85" i="12" s="1"/>
  <c r="T85" i="12" s="1"/>
  <c r="U85" i="12"/>
  <c r="S85" i="12"/>
  <c r="O85" i="12"/>
  <c r="Z84" i="12"/>
  <c r="AA84" i="12" s="1"/>
  <c r="AB84" i="12" s="1"/>
  <c r="AC84" i="12" s="1"/>
  <c r="T84" i="12" s="1"/>
  <c r="U84" i="12"/>
  <c r="S84" i="12"/>
  <c r="O84" i="12"/>
  <c r="Z83" i="12"/>
  <c r="AA83" i="12" s="1"/>
  <c r="AB83" i="12" s="1"/>
  <c r="AC83" i="12" s="1"/>
  <c r="T83" i="12" s="1"/>
  <c r="U83" i="12"/>
  <c r="S83" i="12"/>
  <c r="O83" i="12"/>
  <c r="Z82" i="12"/>
  <c r="AA82" i="12" s="1"/>
  <c r="AB82" i="12" s="1"/>
  <c r="AC82" i="12" s="1"/>
  <c r="U82" i="12"/>
  <c r="S82" i="12"/>
  <c r="O82" i="12"/>
  <c r="Z81" i="12"/>
  <c r="AA81" i="12" s="1"/>
  <c r="AB81" i="12" s="1"/>
  <c r="AC81" i="12" s="1"/>
  <c r="T81" i="12" s="1"/>
  <c r="U81" i="12"/>
  <c r="S81" i="12"/>
  <c r="O81" i="12"/>
  <c r="Z80" i="12"/>
  <c r="AA80" i="12" s="1"/>
  <c r="AB80" i="12" s="1"/>
  <c r="AC80" i="12" s="1"/>
  <c r="T80" i="12" s="1"/>
  <c r="U80" i="12"/>
  <c r="S80" i="12"/>
  <c r="O80" i="12"/>
  <c r="Z79" i="12"/>
  <c r="AA79" i="12" s="1"/>
  <c r="AB79" i="12" s="1"/>
  <c r="AC79" i="12" s="1"/>
  <c r="T79" i="12" s="1"/>
  <c r="U79" i="12"/>
  <c r="S79" i="12"/>
  <c r="O79" i="12"/>
  <c r="Z78" i="12"/>
  <c r="AA78" i="12" s="1"/>
  <c r="AB78" i="12" s="1"/>
  <c r="AC78" i="12" s="1"/>
  <c r="T78" i="12" s="1"/>
  <c r="U78" i="12"/>
  <c r="S78" i="12"/>
  <c r="O78" i="12"/>
  <c r="Z77" i="12"/>
  <c r="AA77" i="12" s="1"/>
  <c r="AB77" i="12" s="1"/>
  <c r="AC77" i="12" s="1"/>
  <c r="T77" i="12" s="1"/>
  <c r="U77" i="12"/>
  <c r="S77" i="12"/>
  <c r="O77" i="12"/>
  <c r="Z76" i="12"/>
  <c r="AA76" i="12" s="1"/>
  <c r="AB76" i="12" s="1"/>
  <c r="AC76" i="12" s="1"/>
  <c r="T76" i="12" s="1"/>
  <c r="U76" i="12"/>
  <c r="S76" i="12"/>
  <c r="O76" i="12"/>
  <c r="Z75" i="12"/>
  <c r="AA75" i="12" s="1"/>
  <c r="AB75" i="12" s="1"/>
  <c r="AC75" i="12" s="1"/>
  <c r="T75" i="12" s="1"/>
  <c r="U75" i="12"/>
  <c r="S75" i="12"/>
  <c r="O75" i="12"/>
  <c r="Z74" i="12"/>
  <c r="AA74" i="12" s="1"/>
  <c r="AB74" i="12" s="1"/>
  <c r="AC74" i="12" s="1"/>
  <c r="T74" i="12" s="1"/>
  <c r="U74" i="12"/>
  <c r="S74" i="12"/>
  <c r="O74" i="12"/>
  <c r="Z73" i="12"/>
  <c r="AA73" i="12" s="1"/>
  <c r="AB73" i="12" s="1"/>
  <c r="AC73" i="12" s="1"/>
  <c r="T73" i="12" s="1"/>
  <c r="U73" i="12"/>
  <c r="S73" i="12"/>
  <c r="O73" i="12"/>
  <c r="Z72" i="12"/>
  <c r="AA72" i="12" s="1"/>
  <c r="AB72" i="12" s="1"/>
  <c r="AC72" i="12" s="1"/>
  <c r="T72" i="12" s="1"/>
  <c r="U72" i="12"/>
  <c r="S72" i="12"/>
  <c r="O72" i="12"/>
  <c r="Z71" i="12"/>
  <c r="AA71" i="12" s="1"/>
  <c r="AB71" i="12" s="1"/>
  <c r="AC71" i="12" s="1"/>
  <c r="T71" i="12" s="1"/>
  <c r="U71" i="12"/>
  <c r="S71" i="12"/>
  <c r="O71" i="12"/>
  <c r="Z70" i="12"/>
  <c r="AA70" i="12" s="1"/>
  <c r="AB70" i="12" s="1"/>
  <c r="AC70" i="12" s="1"/>
  <c r="T70" i="12" s="1"/>
  <c r="U70" i="12"/>
  <c r="S70" i="12"/>
  <c r="O70" i="12"/>
  <c r="Z69" i="12"/>
  <c r="AA69" i="12" s="1"/>
  <c r="AB69" i="12" s="1"/>
  <c r="AC69" i="12" s="1"/>
  <c r="T69" i="12" s="1"/>
  <c r="U69" i="12"/>
  <c r="S69" i="12"/>
  <c r="O69" i="12"/>
  <c r="Z68" i="12"/>
  <c r="AA68" i="12" s="1"/>
  <c r="AB68" i="12" s="1"/>
  <c r="AC68" i="12" s="1"/>
  <c r="T68" i="12" s="1"/>
  <c r="U68" i="12"/>
  <c r="S68" i="12"/>
  <c r="O68" i="12"/>
  <c r="Z67" i="12"/>
  <c r="AA67" i="12" s="1"/>
  <c r="AB67" i="12" s="1"/>
  <c r="AC67" i="12" s="1"/>
  <c r="U67" i="12"/>
  <c r="S67" i="12"/>
  <c r="O67" i="12"/>
  <c r="Z66" i="12"/>
  <c r="AA66" i="12" s="1"/>
  <c r="AB66" i="12" s="1"/>
  <c r="AC66" i="12" s="1"/>
  <c r="T66" i="12" s="1"/>
  <c r="U66" i="12"/>
  <c r="S66" i="12"/>
  <c r="O66" i="12"/>
  <c r="Z65" i="12"/>
  <c r="AA65" i="12" s="1"/>
  <c r="AB65" i="12" s="1"/>
  <c r="AC65" i="12" s="1"/>
  <c r="T65" i="12" s="1"/>
  <c r="U65" i="12"/>
  <c r="S65" i="12"/>
  <c r="O65" i="12"/>
  <c r="U64" i="12"/>
  <c r="Q64" i="12"/>
  <c r="S64" i="12" s="1"/>
  <c r="U63" i="12"/>
  <c r="Q63" i="12"/>
  <c r="T63" i="12" s="1"/>
  <c r="U62" i="12"/>
  <c r="Q62" i="12"/>
  <c r="S62" i="12" s="1"/>
  <c r="O62" i="12"/>
  <c r="U61" i="12"/>
  <c r="T61" i="12"/>
  <c r="S61" i="12"/>
  <c r="U60" i="12"/>
  <c r="Q60" i="12"/>
  <c r="T60" i="12" s="1"/>
  <c r="O60" i="12"/>
  <c r="U59" i="12"/>
  <c r="T59" i="12"/>
  <c r="S59" i="12"/>
  <c r="O59" i="12"/>
  <c r="U58" i="12"/>
  <c r="T58" i="12"/>
  <c r="S58" i="12"/>
  <c r="O58" i="12"/>
  <c r="D57" i="12"/>
  <c r="F57" i="12" s="1"/>
  <c r="H57" i="12" s="1"/>
  <c r="I57" i="12" s="1"/>
  <c r="J57" i="12" s="1"/>
  <c r="L57" i="12" s="1"/>
  <c r="M57" i="12" s="1"/>
  <c r="N57" i="12" s="1"/>
  <c r="O57" i="12" s="1"/>
  <c r="Q57" i="12" s="1"/>
  <c r="S57" i="12" s="1"/>
  <c r="T57" i="12" s="1"/>
  <c r="U57" i="12" s="1"/>
  <c r="V57" i="12" s="1"/>
  <c r="X57" i="12" s="1"/>
  <c r="U53" i="12"/>
  <c r="T53" i="12"/>
  <c r="S53" i="12"/>
  <c r="O53" i="12"/>
  <c r="U52" i="12"/>
  <c r="T52" i="12"/>
  <c r="S52" i="12"/>
  <c r="O52" i="12"/>
  <c r="U51" i="12"/>
  <c r="T51" i="12"/>
  <c r="S51" i="12"/>
  <c r="O51" i="12"/>
  <c r="U50" i="12"/>
  <c r="T50" i="12"/>
  <c r="S50" i="12"/>
  <c r="O50" i="12"/>
  <c r="U49" i="12"/>
  <c r="T49" i="12"/>
  <c r="S49" i="12"/>
  <c r="O49" i="12"/>
  <c r="U48" i="12"/>
  <c r="T48" i="12"/>
  <c r="S48" i="12"/>
  <c r="O48" i="12"/>
  <c r="U47" i="12"/>
  <c r="T47" i="12"/>
  <c r="S47" i="12"/>
  <c r="O47" i="12"/>
  <c r="U46" i="12"/>
  <c r="T46" i="12"/>
  <c r="S46" i="12"/>
  <c r="O46" i="12"/>
  <c r="U45" i="12"/>
  <c r="T45" i="12"/>
  <c r="S45" i="12"/>
  <c r="O45" i="12"/>
  <c r="U44" i="12"/>
  <c r="T44" i="12"/>
  <c r="S44" i="12"/>
  <c r="O44" i="12"/>
  <c r="U43" i="12"/>
  <c r="T43" i="12"/>
  <c r="S43" i="12"/>
  <c r="O43" i="12"/>
  <c r="U42" i="12"/>
  <c r="T42" i="12"/>
  <c r="S42" i="12"/>
  <c r="O42" i="12"/>
  <c r="U41" i="12"/>
  <c r="T41" i="12"/>
  <c r="S41" i="12"/>
  <c r="O41" i="12"/>
  <c r="U40" i="12"/>
  <c r="T40" i="12"/>
  <c r="S40" i="12"/>
  <c r="O40" i="12"/>
  <c r="U39" i="12"/>
  <c r="T39" i="12"/>
  <c r="S39" i="12"/>
  <c r="O39" i="12"/>
  <c r="U38" i="12"/>
  <c r="T38" i="12"/>
  <c r="S38" i="12"/>
  <c r="O38" i="12"/>
  <c r="U37" i="12"/>
  <c r="T37" i="12"/>
  <c r="S37" i="12"/>
  <c r="O37" i="12"/>
  <c r="U36" i="12"/>
  <c r="T36" i="12"/>
  <c r="S36" i="12"/>
  <c r="O36" i="12"/>
  <c r="U35" i="12"/>
  <c r="T35" i="12"/>
  <c r="S35" i="12"/>
  <c r="O35" i="12"/>
  <c r="U34" i="12"/>
  <c r="T34" i="12"/>
  <c r="S34" i="12"/>
  <c r="O34" i="12"/>
  <c r="U33" i="12"/>
  <c r="T33" i="12"/>
  <c r="S33" i="12"/>
  <c r="O33" i="12"/>
  <c r="U32" i="12"/>
  <c r="T32" i="12"/>
  <c r="S32" i="12"/>
  <c r="O32" i="12"/>
  <c r="T29" i="12"/>
  <c r="N29" i="12"/>
  <c r="M29" i="12"/>
  <c r="L29" i="12"/>
  <c r="J29" i="12"/>
  <c r="I29" i="12"/>
  <c r="H29" i="12"/>
  <c r="C29" i="12"/>
  <c r="U28" i="12"/>
  <c r="S28" i="12"/>
  <c r="O28" i="12"/>
  <c r="U27" i="12"/>
  <c r="S27" i="12"/>
  <c r="Q27" i="12"/>
  <c r="O27" i="12"/>
  <c r="U26" i="12"/>
  <c r="S26" i="12"/>
  <c r="O26" i="12"/>
  <c r="U25" i="12"/>
  <c r="S25" i="12"/>
  <c r="O25" i="12"/>
  <c r="U24" i="12"/>
  <c r="S24" i="12"/>
  <c r="O24" i="12"/>
  <c r="U23" i="12"/>
  <c r="S23" i="12"/>
  <c r="O23" i="12"/>
  <c r="U22" i="12"/>
  <c r="S22" i="12"/>
  <c r="V22" i="12" s="1"/>
  <c r="O22" i="12"/>
  <c r="U21" i="12"/>
  <c r="S21" i="12"/>
  <c r="O21" i="12"/>
  <c r="U20" i="12"/>
  <c r="S20" i="12"/>
  <c r="O20" i="12"/>
  <c r="U19" i="12"/>
  <c r="S19" i="12"/>
  <c r="O19" i="12"/>
  <c r="U18" i="12"/>
  <c r="S18" i="12"/>
  <c r="O18" i="12"/>
  <c r="U17" i="12"/>
  <c r="S17" i="12"/>
  <c r="O17" i="12"/>
  <c r="U16" i="12"/>
  <c r="S16" i="12"/>
  <c r="O16" i="12"/>
  <c r="A16" i="12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5" i="12" s="1"/>
  <c r="A106" i="12" s="1"/>
  <c r="A107" i="12" s="1"/>
  <c r="A108" i="12" s="1"/>
  <c r="A109" i="12" s="1"/>
  <c r="A117" i="12" s="1"/>
  <c r="A118" i="12" s="1"/>
  <c r="A119" i="12" s="1"/>
  <c r="A120" i="12" s="1"/>
  <c r="A121" i="12" s="1"/>
  <c r="A122" i="12" s="1"/>
  <c r="A124" i="12" s="1"/>
  <c r="A125" i="12" s="1"/>
  <c r="A126" i="12" s="1"/>
  <c r="A127" i="12" s="1"/>
  <c r="A128" i="12" s="1"/>
  <c r="D10" i="12"/>
  <c r="F10" i="12" s="1"/>
  <c r="H10" i="12" s="1"/>
  <c r="I10" i="12" s="1"/>
  <c r="J10" i="12" s="1"/>
  <c r="L10" i="12" s="1"/>
  <c r="M10" i="12" s="1"/>
  <c r="N10" i="12" s="1"/>
  <c r="O10" i="12" s="1"/>
  <c r="Q10" i="12" s="1"/>
  <c r="S10" i="12" s="1"/>
  <c r="T10" i="12" s="1"/>
  <c r="U10" i="12" s="1"/>
  <c r="V10" i="12" s="1"/>
  <c r="X10" i="12" s="1"/>
  <c r="O169" i="12" l="1"/>
  <c r="M177" i="12"/>
  <c r="M178" i="12"/>
  <c r="M180" i="12"/>
  <c r="V67" i="12"/>
  <c r="X67" i="12" s="1"/>
  <c r="M167" i="12"/>
  <c r="M174" i="12"/>
  <c r="M139" i="12"/>
  <c r="M124" i="12" s="1"/>
  <c r="F19" i="27" s="1"/>
  <c r="H19" i="27" s="1"/>
  <c r="M147" i="12"/>
  <c r="M155" i="12"/>
  <c r="M161" i="12"/>
  <c r="M168" i="12"/>
  <c r="M175" i="12"/>
  <c r="V35" i="12"/>
  <c r="V90" i="12"/>
  <c r="X90" i="12" s="1"/>
  <c r="V45" i="12"/>
  <c r="X45" i="12" s="1"/>
  <c r="V51" i="12"/>
  <c r="X51" i="12" s="1"/>
  <c r="V65" i="12"/>
  <c r="X65" i="12" s="1"/>
  <c r="V69" i="12"/>
  <c r="X69" i="12" s="1"/>
  <c r="V75" i="12"/>
  <c r="X75" i="12" s="1"/>
  <c r="V53" i="12"/>
  <c r="X53" i="12" s="1"/>
  <c r="V59" i="12"/>
  <c r="X59" i="12" s="1"/>
  <c r="V77" i="12"/>
  <c r="X77" i="12" s="1"/>
  <c r="V81" i="12"/>
  <c r="X81" i="12" s="1"/>
  <c r="L107" i="12"/>
  <c r="V71" i="12"/>
  <c r="X71" i="12" s="1"/>
  <c r="V73" i="12"/>
  <c r="X73" i="12" s="1"/>
  <c r="H107" i="12"/>
  <c r="M107" i="12"/>
  <c r="V27" i="12"/>
  <c r="S60" i="12"/>
  <c r="V60" i="12" s="1"/>
  <c r="X60" i="12" s="1"/>
  <c r="T64" i="12"/>
  <c r="V64" i="12" s="1"/>
  <c r="X64" i="12" s="1"/>
  <c r="V76" i="12"/>
  <c r="X76" i="12" s="1"/>
  <c r="V34" i="12"/>
  <c r="V43" i="12"/>
  <c r="X43" i="12" s="1"/>
  <c r="V47" i="12"/>
  <c r="V50" i="12"/>
  <c r="V66" i="12"/>
  <c r="X66" i="12" s="1"/>
  <c r="V88" i="12"/>
  <c r="X88" i="12" s="1"/>
  <c r="V92" i="12"/>
  <c r="X92" i="12" s="1"/>
  <c r="V98" i="12"/>
  <c r="X98" i="12" s="1"/>
  <c r="V70" i="12"/>
  <c r="X70" i="12" s="1"/>
  <c r="O99" i="12"/>
  <c r="V79" i="12"/>
  <c r="X79" i="12" s="1"/>
  <c r="V21" i="12"/>
  <c r="X21" i="12" s="1"/>
  <c r="V38" i="12"/>
  <c r="X38" i="12" s="1"/>
  <c r="V48" i="12"/>
  <c r="X48" i="12" s="1"/>
  <c r="O29" i="12"/>
  <c r="V18" i="12"/>
  <c r="X18" i="12" s="1"/>
  <c r="V19" i="12"/>
  <c r="X19" i="12" s="1"/>
  <c r="V23" i="12"/>
  <c r="X23" i="12" s="1"/>
  <c r="V28" i="12"/>
  <c r="V82" i="12"/>
  <c r="X82" i="12" s="1"/>
  <c r="V94" i="12"/>
  <c r="X94" i="12" s="1"/>
  <c r="V96" i="12"/>
  <c r="X96" i="12" s="1"/>
  <c r="K122" i="12"/>
  <c r="K128" i="12" s="1"/>
  <c r="X35" i="12"/>
  <c r="X28" i="12"/>
  <c r="V37" i="12"/>
  <c r="V46" i="12"/>
  <c r="V68" i="12"/>
  <c r="X68" i="12" s="1"/>
  <c r="V84" i="12"/>
  <c r="X84" i="12" s="1"/>
  <c r="X22" i="12"/>
  <c r="V26" i="12"/>
  <c r="V39" i="12"/>
  <c r="V41" i="12"/>
  <c r="V49" i="12"/>
  <c r="V52" i="12"/>
  <c r="V58" i="12"/>
  <c r="X58" i="12" s="1"/>
  <c r="V61" i="12"/>
  <c r="X61" i="12" s="1"/>
  <c r="V86" i="12"/>
  <c r="X86" i="12" s="1"/>
  <c r="X27" i="12"/>
  <c r="V33" i="12"/>
  <c r="V36" i="12"/>
  <c r="V42" i="12"/>
  <c r="X50" i="12"/>
  <c r="V91" i="12"/>
  <c r="X91" i="12" s="1"/>
  <c r="V17" i="12"/>
  <c r="X17" i="12" s="1"/>
  <c r="V25" i="12"/>
  <c r="U29" i="12"/>
  <c r="C107" i="12"/>
  <c r="V32" i="12"/>
  <c r="V83" i="12"/>
  <c r="X83" i="12" s="1"/>
  <c r="J107" i="12"/>
  <c r="V95" i="12"/>
  <c r="X95" i="12" s="1"/>
  <c r="V72" i="12"/>
  <c r="X72" i="12" s="1"/>
  <c r="V85" i="12"/>
  <c r="X85" i="12" s="1"/>
  <c r="U99" i="12"/>
  <c r="V40" i="12"/>
  <c r="V78" i="12"/>
  <c r="X78" i="12" s="1"/>
  <c r="V87" i="12"/>
  <c r="X87" i="12" s="1"/>
  <c r="S29" i="12"/>
  <c r="V16" i="12"/>
  <c r="V20" i="12"/>
  <c r="V24" i="12"/>
  <c r="V44" i="12"/>
  <c r="T62" i="12"/>
  <c r="V62" i="12" s="1"/>
  <c r="X62" i="12" s="1"/>
  <c r="S63" i="12"/>
  <c r="V63" i="12" s="1"/>
  <c r="X63" i="12" s="1"/>
  <c r="V80" i="12"/>
  <c r="X80" i="12" s="1"/>
  <c r="V93" i="12"/>
  <c r="X93" i="12" s="1"/>
  <c r="O170" i="12"/>
  <c r="M119" i="12"/>
  <c r="M121" i="12"/>
  <c r="V74" i="12"/>
  <c r="X74" i="12" s="1"/>
  <c r="V89" i="12"/>
  <c r="X89" i="12" s="1"/>
  <c r="V97" i="12"/>
  <c r="X97" i="12" s="1"/>
  <c r="I107" i="12"/>
  <c r="N107" i="12"/>
  <c r="M117" i="12"/>
  <c r="M118" i="12"/>
  <c r="M181" i="12" l="1"/>
  <c r="M126" i="12"/>
  <c r="E35" i="1"/>
  <c r="O107" i="12"/>
  <c r="X34" i="12"/>
  <c r="X47" i="12"/>
  <c r="X33" i="12"/>
  <c r="X52" i="12"/>
  <c r="X46" i="12"/>
  <c r="X20" i="12"/>
  <c r="X49" i="12"/>
  <c r="X24" i="12"/>
  <c r="X40" i="12"/>
  <c r="X42" i="12"/>
  <c r="X41" i="12"/>
  <c r="X37" i="12"/>
  <c r="X44" i="12"/>
  <c r="X26" i="12"/>
  <c r="X36" i="12"/>
  <c r="X39" i="12"/>
  <c r="U107" i="12"/>
  <c r="X25" i="12"/>
  <c r="X32" i="12"/>
  <c r="V99" i="12"/>
  <c r="M122" i="12"/>
  <c r="T99" i="12"/>
  <c r="T107" i="12" s="1"/>
  <c r="S99" i="12"/>
  <c r="S107" i="12" s="1"/>
  <c r="V29" i="12"/>
  <c r="X16" i="12"/>
  <c r="M128" i="12" l="1"/>
  <c r="F18" i="27"/>
  <c r="X99" i="12"/>
  <c r="X29" i="12"/>
  <c r="V107" i="12"/>
  <c r="X107" i="12" s="1"/>
  <c r="X109" i="12" s="1"/>
  <c r="F20" i="27" l="1"/>
  <c r="H18" i="27"/>
  <c r="H21" i="27" s="1"/>
  <c r="G19" i="2"/>
  <c r="N25" i="18"/>
  <c r="S25" i="18" s="1"/>
  <c r="O124" i="12"/>
  <c r="O126" i="12" s="1"/>
  <c r="O121" i="12"/>
  <c r="O119" i="12"/>
  <c r="O120" i="12"/>
  <c r="O118" i="12"/>
  <c r="O117" i="12"/>
  <c r="E17" i="1" l="1"/>
  <c r="E23" i="1"/>
  <c r="N30" i="18"/>
  <c r="N32" i="18" s="1"/>
  <c r="N40" i="18" s="1"/>
  <c r="E19" i="1"/>
  <c r="O122" i="12"/>
  <c r="O128" i="12" l="1"/>
  <c r="G18" i="2"/>
  <c r="M23" i="18" l="1"/>
  <c r="M30" i="18" l="1"/>
  <c r="G58" i="10"/>
  <c r="F41" i="10" s="1"/>
  <c r="I46" i="10"/>
  <c r="I36" i="10"/>
  <c r="H36" i="10"/>
  <c r="G36" i="10"/>
  <c r="F36" i="10"/>
  <c r="I25" i="10"/>
  <c r="I30" i="10" s="1"/>
  <c r="H25" i="10"/>
  <c r="H30" i="10" s="1"/>
  <c r="G25" i="10"/>
  <c r="G27" i="10" s="1"/>
  <c r="F25" i="10"/>
  <c r="F27" i="10" s="1"/>
  <c r="F30" i="10" l="1"/>
  <c r="F31" i="10" s="1"/>
  <c r="G12" i="2"/>
  <c r="G30" i="10"/>
  <c r="G31" i="10" s="1"/>
  <c r="G38" i="10" s="1"/>
  <c r="M32" i="18"/>
  <c r="G41" i="10"/>
  <c r="H27" i="10"/>
  <c r="H31" i="10" s="1"/>
  <c r="H38" i="10" s="1"/>
  <c r="I27" i="10"/>
  <c r="I31" i="10" s="1"/>
  <c r="M40" i="18" l="1"/>
  <c r="G42" i="10"/>
  <c r="H41" i="10"/>
  <c r="J31" i="10"/>
  <c r="F38" i="10"/>
  <c r="J38" i="10" s="1"/>
  <c r="F48" i="10" s="1"/>
  <c r="F42" i="10"/>
  <c r="F50" i="10" l="1"/>
  <c r="D17" i="2" s="1"/>
  <c r="H42" i="10"/>
  <c r="I41" i="10"/>
  <c r="S17" i="18"/>
  <c r="D9" i="1" l="1"/>
  <c r="D24" i="2"/>
  <c r="E18" i="1"/>
  <c r="L8" i="18"/>
  <c r="I42" i="10"/>
  <c r="G23" i="18" l="1"/>
  <c r="L11" i="18"/>
  <c r="J42" i="10"/>
  <c r="G48" i="10" s="1"/>
  <c r="I48" i="10" s="1"/>
  <c r="I50" i="10" s="1"/>
  <c r="E26" i="1" l="1"/>
  <c r="G50" i="10"/>
  <c r="G30" i="18"/>
  <c r="G16" i="2"/>
  <c r="E25" i="1"/>
  <c r="K30" i="18"/>
  <c r="K32" i="18" s="1"/>
  <c r="K40" i="18" s="1"/>
  <c r="G15" i="2"/>
  <c r="J22" i="18"/>
  <c r="E17" i="2" l="1"/>
  <c r="J23" i="18"/>
  <c r="G32" i="18"/>
  <c r="S18" i="18"/>
  <c r="G13" i="2"/>
  <c r="D14" i="1" l="1"/>
  <c r="E24" i="2"/>
  <c r="G17" i="2"/>
  <c r="L15" i="18"/>
  <c r="J30" i="18"/>
  <c r="E16" i="1"/>
  <c r="G40" i="18"/>
  <c r="S15" i="18" l="1"/>
  <c r="L23" i="18"/>
  <c r="J32" i="18"/>
  <c r="H23" i="18"/>
  <c r="E15" i="1"/>
  <c r="L30" i="18" l="1"/>
  <c r="J40" i="18"/>
  <c r="H30" i="18"/>
  <c r="D6" i="2"/>
  <c r="E6" i="2" s="1"/>
  <c r="F6" i="2" s="1"/>
  <c r="G6" i="2" s="1"/>
  <c r="L32" i="18" l="1"/>
  <c r="H32" i="18"/>
  <c r="H40" i="18" s="1"/>
  <c r="S8" i="18"/>
  <c r="L40" i="18" l="1"/>
  <c r="E33" i="1"/>
  <c r="F33" i="1" s="1"/>
  <c r="S11" i="18"/>
  <c r="E9" i="1"/>
  <c r="E11" i="1" s="1"/>
  <c r="C47" i="1"/>
  <c r="F41" i="1"/>
  <c r="E41" i="1"/>
  <c r="F37" i="1"/>
  <c r="F36" i="1"/>
  <c r="F34" i="1"/>
  <c r="C21" i="1"/>
  <c r="C29" i="1" s="1"/>
  <c r="C30" i="1" s="1"/>
  <c r="F10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C7" i="1"/>
  <c r="D7" i="1" s="1"/>
  <c r="C48" i="1" l="1"/>
  <c r="D11" i="1"/>
  <c r="F25" i="1"/>
  <c r="F35" i="1"/>
  <c r="F27" i="1"/>
  <c r="F24" i="1"/>
  <c r="F26" i="1"/>
  <c r="F23" i="1"/>
  <c r="F17" i="1"/>
  <c r="F18" i="1"/>
  <c r="F16" i="1"/>
  <c r="F19" i="1"/>
  <c r="C31" i="1"/>
  <c r="E47" i="1" l="1"/>
  <c r="F15" i="1"/>
  <c r="F47" i="1"/>
  <c r="C39" i="1"/>
  <c r="C42" i="1"/>
  <c r="C43" i="1" l="1"/>
  <c r="C49" i="1"/>
  <c r="C44" i="1"/>
  <c r="E29" i="2" l="1"/>
  <c r="O22" i="18"/>
  <c r="S22" i="18" s="1"/>
  <c r="G20" i="2"/>
  <c r="G24" i="2" s="1"/>
  <c r="O23" i="18" l="1"/>
  <c r="S23" i="18" s="1"/>
  <c r="E20" i="1"/>
  <c r="F20" i="1" s="1"/>
  <c r="E14" i="1"/>
  <c r="E21" i="1" l="1"/>
  <c r="E29" i="1" s="1"/>
  <c r="E30" i="1" s="1"/>
  <c r="O30" i="18"/>
  <c r="S30" i="18" s="1"/>
  <c r="D21" i="1"/>
  <c r="E31" i="1" l="1"/>
  <c r="E39" i="1" s="1"/>
  <c r="O32" i="18"/>
  <c r="S32" i="18" s="1"/>
  <c r="D29" i="1"/>
  <c r="D30" i="1" s="1"/>
  <c r="F14" i="1"/>
  <c r="F21" i="1" s="1"/>
  <c r="F29" i="1" s="1"/>
  <c r="F48" i="1" l="1"/>
  <c r="D31" i="1"/>
  <c r="D39" i="1" s="1"/>
  <c r="O40" i="18"/>
  <c r="S40" i="18" s="1"/>
  <c r="E48" i="1"/>
  <c r="E42" i="1" l="1"/>
  <c r="E44" i="1" l="1"/>
  <c r="E43" i="1"/>
  <c r="E49" i="1"/>
  <c r="E50" i="1" l="1"/>
  <c r="F9" i="1" s="1"/>
  <c r="F11" i="1" s="1"/>
  <c r="F31" i="1" l="1"/>
  <c r="F39" i="1" s="1"/>
  <c r="F51" i="1" l="1"/>
  <c r="F42" i="1"/>
  <c r="F49" i="1"/>
  <c r="F43" i="1"/>
  <c r="F44" i="1"/>
  <c r="I51" i="1" l="1"/>
  <c r="L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Meredith Kendall</author>
  </authors>
  <commentList>
    <comment ref="B11" authorId="0" shapeId="0" xr:uid="{CAB449E9-06EC-4543-8A6E-9A41F01F6EFE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Annualized, rate as of 8/31/23</t>
        </r>
      </text>
    </comment>
    <comment ref="D11" authorId="0" shapeId="0" xr:uid="{E83135E5-276A-4E67-9A54-6C8EA827DA86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As of 11/1/22 - life insurance is based on salary as of 11/1/XX each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Meredith Kendall</author>
  </authors>
  <commentList>
    <comment ref="J24" authorId="0" shapeId="0" xr:uid="{69010374-D481-4297-B94A-62350FBE8045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Fully depreciated</t>
        </r>
      </text>
    </comment>
    <comment ref="J25" authorId="0" shapeId="0" xr:uid="{141575E1-50AB-43D7-8A3E-5CA88EEFFECB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Fully depreciated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Frasure</author>
  </authors>
  <commentList>
    <comment ref="E18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21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REHIRED 2017</t>
        </r>
      </text>
    </comment>
    <comment ref="E65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67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</commentList>
</comments>
</file>

<file path=xl/sharedStrings.xml><?xml version="1.0" encoding="utf-8"?>
<sst xmlns="http://schemas.openxmlformats.org/spreadsheetml/2006/main" count="1136" uniqueCount="703">
  <si>
    <t>JACKSON PURCHASE ENERGY CORPORATION</t>
  </si>
  <si>
    <t>Statement of Operations &amp; Revenue Requirement</t>
  </si>
  <si>
    <t>For the 12 Months Ended December 31, 2017</t>
  </si>
  <si>
    <t>Actual Rates</t>
  </si>
  <si>
    <t>Present Rates</t>
  </si>
  <si>
    <t>Pro Forma</t>
  </si>
  <si>
    <t>Proposed Rates</t>
  </si>
  <si>
    <t>Line</t>
  </si>
  <si>
    <t>Description</t>
  </si>
  <si>
    <t>Actual Test Yr</t>
  </si>
  <si>
    <t>Adjustment</t>
  </si>
  <si>
    <t>#</t>
  </si>
  <si>
    <t>(4)</t>
  </si>
  <si>
    <t>(5)</t>
  </si>
  <si>
    <t>(6)</t>
  </si>
  <si>
    <t>Operating Revenues</t>
  </si>
  <si>
    <t>Total Sales of Electric Energy</t>
  </si>
  <si>
    <t>Other Electric Revenue</t>
  </si>
  <si>
    <t>Total Operating Revenue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</si>
  <si>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</si>
  <si>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</si>
  <si>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</si>
  <si>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</si>
  <si>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</si>
  <si>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</si>
  <si>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</si>
  <si>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</si>
  <si>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</si>
  <si>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</si>
  <si>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</si>
  <si>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on LTD</t>
  </si>
  <si>
    <t>Interest - Other</t>
  </si>
  <si>
    <t>Other Deductions</t>
  </si>
  <si>
    <t>Total Cost of Electric Service</t>
  </si>
  <si>
    <t>Utility Operating Margins</t>
  </si>
  <si>
    <t>Non-Operating Margins - Interest</t>
  </si>
  <si>
    <t>26a</t>
  </si>
  <si>
    <t>Income(Loss) from Equity Investments</t>
  </si>
  <si>
    <t>Non-Operating Margins - Other</t>
  </si>
  <si>
    <t>G&amp;T Capital Credits</t>
  </si>
  <si>
    <t>Other Capital Credits</t>
  </si>
  <si>
    <t>Net Margins</t>
  </si>
  <si>
    <t>Cash Receipts from Lenders</t>
  </si>
  <si>
    <t>OTIER</t>
  </si>
  <si>
    <t>TIER</t>
  </si>
  <si>
    <t>TIER excluding GTCC</t>
  </si>
  <si>
    <t>Target TIER</t>
  </si>
  <si>
    <t>Margins at Target TIER</t>
  </si>
  <si>
    <t>Revenue Requirement</t>
  </si>
  <si>
    <t>Revenue Deficiency</t>
  </si>
  <si>
    <t>Summary of Pro Forma Adjustments</t>
  </si>
  <si>
    <t>Reference Schedule</t>
  </si>
  <si>
    <t>Item</t>
  </si>
  <si>
    <t>Revenue</t>
  </si>
  <si>
    <t>Expense</t>
  </si>
  <si>
    <t>Non-Operating Income</t>
  </si>
  <si>
    <t>Net Margin</t>
  </si>
  <si>
    <t>Total</t>
  </si>
  <si>
    <t>Wages &amp; Salaries</t>
  </si>
  <si>
    <t>Depreciation</t>
  </si>
  <si>
    <t>Interest on Long Term Debt</t>
  </si>
  <si>
    <t>Year-End Customers</t>
  </si>
  <si>
    <t>D</t>
  </si>
  <si>
    <t>May</t>
  </si>
  <si>
    <t>FAC</t>
  </si>
  <si>
    <t>ES</t>
  </si>
  <si>
    <t>MRSM</t>
  </si>
  <si>
    <t>Non-FAC PPA</t>
  </si>
  <si>
    <t>Donations</t>
  </si>
  <si>
    <t>NRECA dues</t>
  </si>
  <si>
    <t>Month</t>
  </si>
  <si>
    <t>TOTAL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</si>
  <si>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</si>
  <si>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</si>
  <si>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</si>
  <si>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</si>
  <si>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</si>
  <si>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</si>
  <si>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</si>
  <si>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</si>
  <si>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</si>
  <si>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</si>
  <si>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</si>
  <si>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BY ACCOUNT</t>
  </si>
  <si>
    <t>Account</t>
  </si>
  <si>
    <t>Legal - Goss Samford PLLC</t>
  </si>
  <si>
    <t>A</t>
  </si>
  <si>
    <t>B</t>
  </si>
  <si>
    <t>C</t>
  </si>
  <si>
    <t>Test Year Amount</t>
  </si>
  <si>
    <t>E</t>
  </si>
  <si>
    <t>Interest Expense</t>
  </si>
  <si>
    <t>RUS/FFB</t>
  </si>
  <si>
    <t>CFC</t>
  </si>
  <si>
    <t>CoBank</t>
  </si>
  <si>
    <t>401k Contributions</t>
  </si>
  <si>
    <t>Life Insurance</t>
  </si>
  <si>
    <t>Rate Case Costs</t>
  </si>
  <si>
    <t>Interest</t>
  </si>
  <si>
    <t>Year End Customers</t>
  </si>
  <si>
    <t>Subtotal</t>
  </si>
  <si>
    <t>Year</t>
  </si>
  <si>
    <t>(1)</t>
  </si>
  <si>
    <t>(2)</t>
  </si>
  <si>
    <t>(3)</t>
  </si>
  <si>
    <t>(7)</t>
  </si>
  <si>
    <t>(8)</t>
  </si>
  <si>
    <t>Average</t>
  </si>
  <si>
    <t>End of Period Increase over Avg</t>
  </si>
  <si>
    <t>Total kWh</t>
  </si>
  <si>
    <t>Average kWh</t>
  </si>
  <si>
    <t>Year-End kWh Adjustment</t>
  </si>
  <si>
    <t>Revenue Adjustment</t>
  </si>
  <si>
    <t>Current Base Rate Revenue</t>
  </si>
  <si>
    <t>Average Revenue per kWh</t>
  </si>
  <si>
    <t>Year End Revenue Adj</t>
  </si>
  <si>
    <t>Expense Adjustment</t>
  </si>
  <si>
    <t>Avg Adj Purchase Exp per kWh</t>
  </si>
  <si>
    <t>Year End Expense Adj</t>
  </si>
  <si>
    <t xml:space="preserve">Revenue </t>
  </si>
  <si>
    <t>Net Rev</t>
  </si>
  <si>
    <t>Pro Forma Year Amount</t>
  </si>
  <si>
    <t>For Expense Adjustment:</t>
  </si>
  <si>
    <t>Test Period Total</t>
  </si>
  <si>
    <t>Total Purchased Power Expense</t>
  </si>
  <si>
    <t>Less Fuel Adjustment Clause</t>
  </si>
  <si>
    <t>Less Environmental Surcharge</t>
  </si>
  <si>
    <t>Adjusted Purchased Power Expense</t>
  </si>
  <si>
    <t>Total Purchased Power kWh</t>
  </si>
  <si>
    <t>This adjustment adjusts the test year expenses and revenues to reflect the number of customers at the end of the test year.</t>
  </si>
  <si>
    <t>Com - C1</t>
  </si>
  <si>
    <t>Res - R</t>
  </si>
  <si>
    <t>Com - C3</t>
  </si>
  <si>
    <t>C&amp;I - D</t>
  </si>
  <si>
    <t>Less MRSM &amp; NonFAC PPA</t>
  </si>
  <si>
    <t>Acct #</t>
  </si>
  <si>
    <t>Fully Depr Items</t>
  </si>
  <si>
    <t>Rate</t>
  </si>
  <si>
    <t>Normalized Expense</t>
  </si>
  <si>
    <t>Test Year Expense</t>
  </si>
  <si>
    <t>Pro Forma Adj</t>
  </si>
  <si>
    <t>Distribution Plant</t>
  </si>
  <si>
    <t>Station equipment</t>
  </si>
  <si>
    <t>Poles, towers &amp; fixtures</t>
  </si>
  <si>
    <t>Overhead conductors &amp; devices</t>
  </si>
  <si>
    <t>Underground conduit</t>
  </si>
  <si>
    <t>Underground conductor &amp; devices</t>
  </si>
  <si>
    <t>Line transformers</t>
  </si>
  <si>
    <t>Services</t>
  </si>
  <si>
    <t>Meters</t>
  </si>
  <si>
    <t>371</t>
  </si>
  <si>
    <t>Installations on customer premises</t>
  </si>
  <si>
    <t>General Plant</t>
  </si>
  <si>
    <t>Land</t>
  </si>
  <si>
    <t>Structures and improvements</t>
  </si>
  <si>
    <t>Stores</t>
  </si>
  <si>
    <t>Tools, shop and garage</t>
  </si>
  <si>
    <t>Laboratory</t>
  </si>
  <si>
    <t>Power operated</t>
  </si>
  <si>
    <t>Communications</t>
  </si>
  <si>
    <t>Miscellaneous</t>
  </si>
  <si>
    <t>This adjustment normalizes depreciation expenses by replacing test year actual expenses with test year end balances (less any fully depreciated items) at approved depreciation rates.</t>
  </si>
  <si>
    <t>Alloc</t>
  </si>
  <si>
    <t>Operations</t>
  </si>
  <si>
    <t>Maintenance</t>
  </si>
  <si>
    <t>Consumer Accounts</t>
  </si>
  <si>
    <t>Administrative &amp; General</t>
  </si>
  <si>
    <t>Jackson Purchase Energy Corporation</t>
  </si>
  <si>
    <t>For the 12 Months Ended December 2017</t>
  </si>
  <si>
    <t>Employee</t>
  </si>
  <si>
    <t>Hours Worked</t>
  </si>
  <si>
    <t>Actual Test Year Wages</t>
  </si>
  <si>
    <t>2018 Wage Rate</t>
  </si>
  <si>
    <t>Pro Forma Wages at 2,080 Hours</t>
  </si>
  <si>
    <t>Pro Forma Adjustment</t>
  </si>
  <si>
    <t>Count</t>
  </si>
  <si>
    <t>ID</t>
  </si>
  <si>
    <t>Actual ID</t>
  </si>
  <si>
    <t>Note</t>
  </si>
  <si>
    <t>Regular</t>
  </si>
  <si>
    <t>Overtime</t>
  </si>
  <si>
    <t>Other/Vac. P. Out</t>
  </si>
  <si>
    <t>&lt; Hide &gt;</t>
  </si>
  <si>
    <t>Wage</t>
  </si>
  <si>
    <t>Normalized Wages</t>
  </si>
  <si>
    <t>@ 2,080 Hours</t>
  </si>
  <si>
    <t>Employee ID</t>
  </si>
  <si>
    <t>Reg Hrs</t>
  </si>
  <si>
    <t>OT Hrs</t>
  </si>
  <si>
    <t>Vacation Payout</t>
  </si>
  <si>
    <t>Current</t>
  </si>
  <si>
    <t>Salary Employees</t>
  </si>
  <si>
    <t>S01</t>
  </si>
  <si>
    <t>S02</t>
  </si>
  <si>
    <t>S03</t>
  </si>
  <si>
    <t>OC</t>
  </si>
  <si>
    <t>S04</t>
  </si>
  <si>
    <t>S05</t>
  </si>
  <si>
    <t>OC2</t>
  </si>
  <si>
    <t>S06</t>
  </si>
  <si>
    <t>S07</t>
  </si>
  <si>
    <t>S08</t>
  </si>
  <si>
    <t>S09</t>
  </si>
  <si>
    <t>S10</t>
  </si>
  <si>
    <t>S11</t>
  </si>
  <si>
    <t>S12</t>
  </si>
  <si>
    <t>O</t>
  </si>
  <si>
    <t>R</t>
  </si>
  <si>
    <t>Hourly Employees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</si>
  <si>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</si>
  <si>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</si>
  <si>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</si>
  <si>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</si>
  <si>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</si>
  <si>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</si>
  <si>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</si>
  <si>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</si>
  <si>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</si>
  <si>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</si>
  <si>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</si>
  <si>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</si>
  <si>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</si>
  <si>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</si>
  <si>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</si>
  <si>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</si>
  <si>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</si>
  <si>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</si>
  <si>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</si>
  <si>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</si>
  <si>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</si>
  <si>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</si>
  <si>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</si>
  <si>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</si>
  <si>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</si>
  <si>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</si>
  <si>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Premium Overtime:</t>
  </si>
  <si>
    <t>H27</t>
  </si>
  <si>
    <t>H28</t>
  </si>
  <si>
    <t>2017</t>
  </si>
  <si>
    <t>OT at</t>
  </si>
  <si>
    <t>OT</t>
  </si>
  <si>
    <t>H29</t>
  </si>
  <si>
    <t>Reg Rate</t>
  </si>
  <si>
    <t>OT Rate</t>
  </si>
  <si>
    <t>1.5 * RR</t>
  </si>
  <si>
    <t>PREMIUM</t>
  </si>
  <si>
    <t>H30</t>
  </si>
  <si>
    <t>BU</t>
  </si>
  <si>
    <t>H31</t>
  </si>
  <si>
    <t>H32</t>
  </si>
  <si>
    <t>BU/R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</si>
  <si>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</si>
  <si>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</si>
  <si>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</si>
  <si>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</si>
  <si>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</si>
  <si>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</si>
  <si>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</si>
  <si>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</si>
  <si>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</si>
  <si>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</si>
  <si>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</si>
  <si>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</si>
  <si>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</si>
  <si>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</si>
  <si>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</si>
  <si>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</si>
  <si>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</si>
  <si>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</si>
  <si>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</si>
  <si>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</si>
  <si>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</si>
  <si>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</si>
  <si>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</si>
  <si>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</si>
  <si>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</si>
  <si>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</si>
  <si>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</si>
  <si>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</si>
  <si>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</si>
  <si>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</si>
  <si>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</si>
  <si>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NOTES:</t>
  </si>
  <si>
    <t>Labor Expense Summary</t>
  </si>
  <si>
    <t>Labor $</t>
  </si>
  <si>
    <t>580-589</t>
  </si>
  <si>
    <t>590-598</t>
  </si>
  <si>
    <t>901-905</t>
  </si>
  <si>
    <t>907-910</t>
  </si>
  <si>
    <t>920-935</t>
  </si>
  <si>
    <t>Non-Expense Accounts (Balance Sheet)</t>
  </si>
  <si>
    <t>Labor Expense Detail by Account</t>
  </si>
  <si>
    <t>No.</t>
  </si>
  <si>
    <t>Acct</t>
  </si>
  <si>
    <t>Labor Amt</t>
  </si>
  <si>
    <t>Share</t>
  </si>
  <si>
    <t>Non-Expense Accounts</t>
  </si>
  <si>
    <t>580.0</t>
  </si>
  <si>
    <t>OPERATION SUPERVISION &amp; ENGINEERING</t>
  </si>
  <si>
    <t>582.0</t>
  </si>
  <si>
    <t>SUBSTATION EXPENSES</t>
  </si>
  <si>
    <t>582.3</t>
  </si>
  <si>
    <t>STATION EXP - SCADA COMMUNICATION</t>
  </si>
  <si>
    <t>583.0</t>
  </si>
  <si>
    <t>Overhead Line Expense</t>
  </si>
  <si>
    <t>583.2</t>
  </si>
  <si>
    <t>OVERHEAD LINE EXPENSE-LINE PATROL</t>
  </si>
  <si>
    <t>583.3</t>
  </si>
  <si>
    <t>OH LINE EXP-OIL SP CLEANUP/100 REG</t>
  </si>
  <si>
    <t>584.0</t>
  </si>
  <si>
    <t>UNDERGROUND LINE EXPENSES</t>
  </si>
  <si>
    <t>586.0</t>
  </si>
  <si>
    <t>METER EXPENSES</t>
  </si>
  <si>
    <t>586.1</t>
  </si>
  <si>
    <t>METER EXP.-ROUTINE CONN. &amp; DISCON</t>
  </si>
  <si>
    <t>588.0</t>
  </si>
  <si>
    <t>MISC DIST EXPENSES-LABOR &amp; O/H</t>
  </si>
  <si>
    <t>588.2</t>
  </si>
  <si>
    <t>OTHER MISCELLANEOUS DISTRIBUT EXP</t>
  </si>
  <si>
    <t>588.4</t>
  </si>
  <si>
    <t>MISCELLANEOUS DIST. EXP. - STORM</t>
  </si>
  <si>
    <t>588.45</t>
  </si>
  <si>
    <t>MISC. DIST. EXP. - STORM REGULAR HR</t>
  </si>
  <si>
    <t>590.0</t>
  </si>
  <si>
    <t>MAINTENANCE SUPERVISION &amp; ENGINEER</t>
  </si>
  <si>
    <t>592.0</t>
  </si>
  <si>
    <t>MAINTENANCE OF STATION EQUIPMENT</t>
  </si>
  <si>
    <t>593.0</t>
  </si>
  <si>
    <t>MAINTENANCE OF OVERHEAD LINES</t>
  </si>
  <si>
    <t>593.1</t>
  </si>
  <si>
    <t>MAINT OF OVERHEAD LINES - STORMS</t>
  </si>
  <si>
    <t>Group Life (off W-2 Totals)</t>
  </si>
  <si>
    <t>593.3</t>
  </si>
  <si>
    <t>MAINT OF OH LINES - TREE TRIMMING</t>
  </si>
  <si>
    <t>Fringe Benefitis (off W-2 Totals)</t>
  </si>
  <si>
    <t>594.0</t>
  </si>
  <si>
    <t>MAINTENANCE OF UNDERGROUND LINES</t>
  </si>
  <si>
    <t>Wages - ties to above total</t>
  </si>
  <si>
    <t>596.0</t>
  </si>
  <si>
    <t>MAINTENANCE OF OUTDOOR LIGHTING</t>
  </si>
  <si>
    <t>597.0</t>
  </si>
  <si>
    <t>MAINTENANCE OF METERS</t>
  </si>
  <si>
    <t>Gross Payroll</t>
  </si>
  <si>
    <t>597.1</t>
  </si>
  <si>
    <t>MAINTENANCE OF AMI METERS</t>
  </si>
  <si>
    <t>Less Kelly Nuchols (above)</t>
  </si>
  <si>
    <t>598.0</t>
  </si>
  <si>
    <t>MAINT. OF MSC. DISTRIBUTION PLANT</t>
  </si>
  <si>
    <t>Medicare Wages (ties to W-2 Totals)</t>
  </si>
  <si>
    <t>901.0</t>
  </si>
  <si>
    <t>SUPERVISION OF CUSTOMER ACCOUNTS</t>
  </si>
  <si>
    <t>902.0</t>
  </si>
  <si>
    <t>METER READING EXPENSES</t>
  </si>
  <si>
    <t>903.0</t>
  </si>
  <si>
    <t>CUSTOMER RECORDS &amp; COLLECTION EXP.</t>
  </si>
  <si>
    <t>903.2</t>
  </si>
  <si>
    <t>CUST.RCDS &amp; COLL. - COMPLAINTS, ADJ</t>
  </si>
  <si>
    <t>Less Kelly Nuchols</t>
  </si>
  <si>
    <t>903.3</t>
  </si>
  <si>
    <t>CUST RCDS &amp; COLL - CONNECTS &amp; DISC</t>
  </si>
  <si>
    <t>903.4</t>
  </si>
  <si>
    <t>CUST RCDS &amp; COLL - DELINQUENT ACCTS</t>
  </si>
  <si>
    <t>903.41</t>
  </si>
  <si>
    <t>DELINQUENT ACCTS OVER 30 DAYS</t>
  </si>
  <si>
    <t>less Distribution report total below</t>
  </si>
  <si>
    <t>903.5</t>
  </si>
  <si>
    <t>CUST RECORDS - DOCUMENT SCANNING</t>
  </si>
  <si>
    <t>Variance for Distribution (misc adjustment)</t>
  </si>
  <si>
    <t>903.7</t>
  </si>
  <si>
    <t>CUSTOMER RECORDS - AMI</t>
  </si>
  <si>
    <t>903.8</t>
  </si>
  <si>
    <t>CUSTOMER RECORDS - NISC TRAINING</t>
  </si>
  <si>
    <t>910.0</t>
  </si>
  <si>
    <t>MSC CUSTOMER SVC &amp; INFORMATION EXP</t>
  </si>
  <si>
    <t>920.0</t>
  </si>
  <si>
    <t>ADMINISTRATIVE &amp; GENERAL SALARIES</t>
  </si>
  <si>
    <t>920.1</t>
  </si>
  <si>
    <t>ADMIN. &amp; GEN. SALARIES - MANAGER</t>
  </si>
  <si>
    <t>920.5</t>
  </si>
  <si>
    <t>ADMIN. &amp; GEN. SALARIES - SCANNING</t>
  </si>
  <si>
    <t>925.0</t>
  </si>
  <si>
    <t>INJURIES AND DAMAGES</t>
  </si>
  <si>
    <t>926.2</t>
  </si>
  <si>
    <t>OTHER EMPLOYEE PENSIONS &amp; BENEFIT</t>
  </si>
  <si>
    <t>930.22</t>
  </si>
  <si>
    <t>ANNUAL MEETING - OTHER EXPENSES</t>
  </si>
  <si>
    <t>935.0</t>
  </si>
  <si>
    <t>MAINTENANCE OF GENERAL PLANT</t>
  </si>
  <si>
    <t>S13</t>
  </si>
  <si>
    <t>Station hardware</t>
  </si>
  <si>
    <t>Station software</t>
  </si>
  <si>
    <t>AMI meters</t>
  </si>
  <si>
    <t>AMI hardware</t>
  </si>
  <si>
    <t>AMI software</t>
  </si>
  <si>
    <t>AMI substation equipment</t>
  </si>
  <si>
    <t>Street Lights &amp; Signs</t>
  </si>
  <si>
    <t>Office furniture and equipment</t>
  </si>
  <si>
    <t>Computer hardware/software</t>
  </si>
  <si>
    <t>Transportation equipment</t>
  </si>
  <si>
    <t>Light duty transportation equipment</t>
  </si>
  <si>
    <t>Distribution &amp; General Total</t>
  </si>
  <si>
    <t>Depreciation Normalization</t>
  </si>
  <si>
    <t>Bearden</t>
  </si>
  <si>
    <t>Elliott</t>
  </si>
  <si>
    <t>Harris</t>
  </si>
  <si>
    <t>Marshall</t>
  </si>
  <si>
    <t>Directors Expenses</t>
  </si>
  <si>
    <t>Adj Test Yr</t>
  </si>
  <si>
    <t>Summary of Adjustments to Test Year Balance Sheet</t>
  </si>
  <si>
    <t>Pro Forma Adjs</t>
  </si>
  <si>
    <t>Pro Forma Test Yr</t>
  </si>
  <si>
    <t>Assets and Other Debits</t>
  </si>
  <si>
    <t>Total Utility Plant in Service</t>
  </si>
  <si>
    <t>Construction Work in Progress</t>
  </si>
  <si>
    <t>Total Utility Plant</t>
  </si>
  <si>
    <t>Accum Provision for Depr and Amort</t>
  </si>
  <si>
    <t>Net Utility Plant</t>
  </si>
  <si>
    <t>Investment in Assoc Org - Patr Capital</t>
  </si>
  <si>
    <t>Investment in Assoc Org - Other Gen Fnd</t>
  </si>
  <si>
    <t>Investment in Assoc Org - Non Gen Fnd</t>
  </si>
  <si>
    <t>Other Investment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</si>
  <si>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</si>
  <si>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</si>
  <si>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</si>
  <si>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</si>
  <si>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</si>
  <si>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Sales Energy (Net)</t>
  </si>
  <si>
    <t>Accts Receivable - Other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</si>
  <si>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</si>
  <si>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</si>
  <si>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</si>
  <si>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</si>
  <si>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</si>
  <si>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</si>
  <si>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</si>
  <si>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</si>
  <si>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</si>
  <si>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</si>
  <si>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</si>
  <si>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Current Year</t>
  </si>
  <si>
    <t>Non-Operating Margins</t>
  </si>
  <si>
    <t>Other Margins &amp; Equities</t>
  </si>
  <si>
    <t>Total Margins &amp; Equities</t>
  </si>
  <si>
    <t>Long Term Debt - RUS (Net)</t>
  </si>
  <si>
    <t>Long Term Debt - FFB - RUS GUAR</t>
  </si>
  <si>
    <t>Long Term Debt - Other - RUS GUAR</t>
  </si>
  <si>
    <t>Long Term Debt - Other (Net)</t>
  </si>
  <si>
    <t>Long Term Debt - RUS -Econ Dev - Net</t>
  </si>
  <si>
    <t>Total Long Term Debt</t>
  </si>
  <si>
    <t>Accum Operating Provisions</t>
  </si>
  <si>
    <t>Notes Payable</t>
  </si>
  <si>
    <t>Accounts Payable</t>
  </si>
  <si>
    <t>Consumer Deposits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</si>
  <si>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</si>
  <si>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</si>
  <si>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</si>
  <si>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</si>
  <si>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</si>
  <si>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Summary of Adjustments to Test Year Statement of Operations</t>
  </si>
  <si>
    <t>Operating Revenues:</t>
  </si>
  <si>
    <t>Base Rates</t>
  </si>
  <si>
    <t>Total Revenues</t>
  </si>
  <si>
    <t xml:space="preserve">        Base Rates</t>
  </si>
  <si>
    <t>Distribution - Operations</t>
  </si>
  <si>
    <t>Distribution - Maintenance</t>
  </si>
  <si>
    <t>Sales</t>
  </si>
  <si>
    <t>Administrative and General</t>
  </si>
  <si>
    <t xml:space="preserve">    Total Operating Expenses</t>
  </si>
  <si>
    <t>Interest Expense - Other</t>
  </si>
  <si>
    <t>Total Non-Operating Margins</t>
  </si>
  <si>
    <t>Donations, Promo Ads &amp; Dues</t>
  </si>
  <si>
    <t>Riders</t>
  </si>
  <si>
    <t xml:space="preserve">        Riders</t>
  </si>
  <si>
    <t>This adjustment normalizes wages and salaries to account for changes due to wage increases, departures, or new hires for standard year of 2,080 hours.</t>
  </si>
  <si>
    <t xml:space="preserve">Acct </t>
  </si>
  <si>
    <t>Lesser of $50k or Salary</t>
  </si>
  <si>
    <t>Amount to Exclude</t>
  </si>
  <si>
    <t>Pro Forma Amount</t>
  </si>
  <si>
    <t xml:space="preserve">Reference Schedule  &gt;     </t>
  </si>
  <si>
    <t xml:space="preserve">Adjustment Item   &gt;     </t>
  </si>
  <si>
    <t>Payments - Unapplied</t>
  </si>
  <si>
    <t>Currrent Maturities - Long Term Debt</t>
  </si>
  <si>
    <t>F</t>
  </si>
  <si>
    <t>G</t>
  </si>
  <si>
    <t>H</t>
  </si>
  <si>
    <t>(E * 2)</t>
  </si>
  <si>
    <t>((G-F)/G)*B</t>
  </si>
  <si>
    <t>Coverage - 2x Salary</t>
  </si>
  <si>
    <t>Items to be removed:</t>
  </si>
  <si>
    <t>Amount</t>
  </si>
  <si>
    <t>Total to be removed:</t>
  </si>
  <si>
    <t>BU is Bargaining Unit Employees, O is Open Position in 2017, but filled since, R is no longer employed at beginning of 2018 and pro-forma adjusted out.  OC is on-call pay 13 weeks per year @ $325 per week, OC2 is on-call pay 52 weeks per year @ $125 per week - both are added to Other column.</t>
  </si>
  <si>
    <t>This adjustment removes the FAC revenues and expenses from the test period.</t>
  </si>
  <si>
    <t>Reference Schedule:  1.01</t>
  </si>
  <si>
    <t>Reference Schedule:  1.02</t>
  </si>
  <si>
    <t>Reference Schedule:  1.03</t>
  </si>
  <si>
    <t>Reference Schedule:  1.04</t>
  </si>
  <si>
    <t>Environmental Surcharge</t>
  </si>
  <si>
    <t>This adjustment removes the ES revenues and expenses from the test period.</t>
  </si>
  <si>
    <t>Non-FAC Purchased Power Adjustment</t>
  </si>
  <si>
    <t>This adjustment removes the Non-FAC PPA revenues and expenses from the test period.</t>
  </si>
  <si>
    <t>This adjustment removes the MRSM revenues and expenses from the test period.</t>
  </si>
  <si>
    <t>Member Rate Stability Mechanism</t>
  </si>
  <si>
    <t>Reference Schedule:  1.05</t>
  </si>
  <si>
    <t>Reference Schedule:  1.06</t>
  </si>
  <si>
    <t>Donations, Promotional Advertising &amp; Dues</t>
  </si>
  <si>
    <t>This adjustment removes charitable donations, promotional advertising expenses, and dues from the revenue requirement consistent with standard Commission practices.</t>
  </si>
  <si>
    <t>Reference Schedule:  1.07</t>
  </si>
  <si>
    <t>401(k) Contribution Match Expense</t>
  </si>
  <si>
    <t>This adjustment removes the contribution for the least generous plans for employer retirement contributions for employees participating in multiple benefit packages.</t>
  </si>
  <si>
    <t>Specifically, for Non-Union employees under R&amp;S Pension Plan and 401k match, removes the 401k match for non-union (non-contractual) employees.</t>
  </si>
  <si>
    <t>Reference Schedule:  1.08</t>
  </si>
  <si>
    <t>Empl #</t>
  </si>
  <si>
    <t>Total Premium</t>
  </si>
  <si>
    <t>This adjustment removes Life insurance premiums for coverage above the lesser of an employee's annual salary or $50,000 from the test period.</t>
  </si>
  <si>
    <t>Reference Schedule:  1.09</t>
  </si>
  <si>
    <t>Annual Amortization Amount</t>
  </si>
  <si>
    <t>Consulting - Catalyst Consulting LLC</t>
  </si>
  <si>
    <t>Rate Case Expenses</t>
  </si>
  <si>
    <t>Total Amount</t>
  </si>
  <si>
    <t>This adjustment estimates the rate case costs amortized over a 3 year period, consistent with standard Commission practice.</t>
  </si>
  <si>
    <t>Reference Schedule:  1.11</t>
  </si>
  <si>
    <t>Reference Schedule:  1.12</t>
  </si>
  <si>
    <t>Total (Expensed and Capitalized)</t>
  </si>
  <si>
    <t>Total Expense Adj</t>
  </si>
  <si>
    <t>Reference Schedule:  1.14</t>
  </si>
  <si>
    <t>This adjustment removes certain Director expenses consistent with recent Commission orders and standard Commission practices.</t>
  </si>
  <si>
    <t>Depreciation Expense Normalization</t>
  </si>
  <si>
    <t>Test Yr End Bal</t>
  </si>
  <si>
    <t>Advertising / Notices</t>
  </si>
  <si>
    <t>(continued)</t>
  </si>
  <si>
    <t>Health Insurance Premiums</t>
  </si>
  <si>
    <t>(A)</t>
  </si>
  <si>
    <t>(B)</t>
  </si>
  <si>
    <t>(C )</t>
  </si>
  <si>
    <t>(D)</t>
  </si>
  <si>
    <t>(E )</t>
  </si>
  <si>
    <t>(F)</t>
  </si>
  <si>
    <t>Employee Premiums</t>
  </si>
  <si>
    <t>Employer Premiums</t>
  </si>
  <si>
    <t>Total Premiums</t>
  </si>
  <si>
    <t>Share %</t>
  </si>
  <si>
    <t>Share $</t>
  </si>
  <si>
    <t>Health, Dental, Vision* (Non-Bargaining Unit Employees)</t>
  </si>
  <si>
    <t>Health, Dental, Vision* (Bargaining Unit Employees)</t>
  </si>
  <si>
    <t>This adjustment removes a certain portion of health care premium costs from the revenue requirement.</t>
  </si>
  <si>
    <t>Employees</t>
  </si>
  <si>
    <t>Expense Portion (from Labor Adj. Ref Schedule 1.12)</t>
  </si>
  <si>
    <t>Capitalized Portion (from Labor Adj. Ref Schedule 1.12)</t>
  </si>
  <si>
    <t>Total Expense Adjustment</t>
  </si>
  <si>
    <t>= (E) - (A)</t>
  </si>
  <si>
    <t>Both Bargaining and Non-Bargaining Unit Employees of Jackson Purchase are covered by the National Electrical Contractors Association/Internal Brotherhood of Electrical Workers ("NECA/IBEW") Welfare Trust Plan, which utilizes the Anthem BlueCross/BlueShield PPO network.  Under this Plan, one premium is paid by Jackson Purchase to NECA/IBEW for medical, dental, and vision coverage for its 68 employee workforce.  Bargaining Unit Employees in turn contribute/reimburse 10% and Non-Bargaining Unit Employees contribute/reimburse 5% of the premium paid by Jackson Purchase.  The contribution/reimbursement rates are the same within these two classes of employees regardless of whether they elect individual or family coverage.</t>
  </si>
  <si>
    <t>Scholarships</t>
  </si>
  <si>
    <t>Youth Tour</t>
  </si>
  <si>
    <t>Excluded</t>
  </si>
  <si>
    <t>Employee #</t>
  </si>
  <si>
    <t>Note #</t>
  </si>
  <si>
    <t>Lender</t>
  </si>
  <si>
    <t>1-1</t>
  </si>
  <si>
    <t>1-2</t>
  </si>
  <si>
    <t>2-1</t>
  </si>
  <si>
    <t>2-2</t>
  </si>
  <si>
    <t>2-3</t>
  </si>
  <si>
    <t>3-1</t>
  </si>
  <si>
    <t>3-2</t>
  </si>
  <si>
    <t>LTD per Form 7</t>
  </si>
  <si>
    <t>Adjustment - Account 427</t>
  </si>
  <si>
    <t>This adjustment normalizes the interest on Interest Expense from test year to recent amounts.</t>
  </si>
  <si>
    <t>Cost</t>
  </si>
  <si>
    <t>Clearing Accounts * 55% Expense</t>
  </si>
  <si>
    <t>.</t>
  </si>
  <si>
    <t>Total Adjustment to Expense</t>
  </si>
  <si>
    <t xml:space="preserve">Clearing  Accounts </t>
  </si>
  <si>
    <t>(lines 26,27,28,31)</t>
  </si>
  <si>
    <t>NRECA Regional Meeting</t>
  </si>
  <si>
    <t>Big Rivers Annual Meeting</t>
  </si>
  <si>
    <t>Barnes</t>
  </si>
  <si>
    <t>Bell</t>
  </si>
  <si>
    <t>Teitloff</t>
  </si>
  <si>
    <t xml:space="preserve">TOTAL   </t>
  </si>
  <si>
    <t>Addition to Expense</t>
  </si>
  <si>
    <t xml:space="preserve">Right of Way </t>
  </si>
  <si>
    <t>Line #</t>
  </si>
  <si>
    <t>Test Year</t>
  </si>
  <si>
    <t>Pro Forma Year*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</si>
  <si>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</si>
  <si>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</si>
  <si>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</si>
  <si>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</si>
  <si>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</si>
  <si>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</si>
  <si>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</si>
  <si>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</si>
  <si>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</si>
  <si>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</si>
  <si>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Hours</t>
  </si>
  <si>
    <t>Avg. Wage</t>
  </si>
  <si>
    <t>Dollars</t>
  </si>
  <si>
    <t>Regular time</t>
  </si>
  <si>
    <t xml:space="preserve">Overtime </t>
  </si>
  <si>
    <t>Other Hours</t>
  </si>
  <si>
    <t>Payroll Expensed</t>
  </si>
  <si>
    <t>Payroll Capitalized</t>
  </si>
  <si>
    <t>Payroll Other</t>
  </si>
  <si>
    <t>Reduction to Expense</t>
  </si>
  <si>
    <t>Reduction to Balance Sheet accounts</t>
  </si>
  <si>
    <t>Total Check</t>
  </si>
  <si>
    <t>Reference Schedule:  1.13</t>
  </si>
  <si>
    <t>Reference Schedule:  1.xx</t>
  </si>
  <si>
    <t>Right of Way</t>
  </si>
  <si>
    <t>This adjustment adds to expense for new contract miles for 1/5 overhead line on system</t>
  </si>
  <si>
    <t>Fuel Adjustment Clause</t>
  </si>
  <si>
    <t>3-3</t>
  </si>
  <si>
    <t>Health Care Costs</t>
  </si>
  <si>
    <t>(C)</t>
  </si>
  <si>
    <t>(E)</t>
  </si>
  <si>
    <t>Health Insurance</t>
  </si>
  <si>
    <t>(D - A)</t>
  </si>
  <si>
    <t>12%</t>
  </si>
  <si>
    <t>ProForma Adj</t>
  </si>
  <si>
    <t>Health, Dental, Vision</t>
  </si>
  <si>
    <t>Actual Test Year Expense</t>
  </si>
  <si>
    <t>Pro Forma Test Year Expense</t>
  </si>
  <si>
    <t>Short Term Interest</t>
  </si>
  <si>
    <t>431.00</t>
  </si>
  <si>
    <t>431.01</t>
  </si>
  <si>
    <t>STD</t>
  </si>
  <si>
    <t>Adjustment - Account 431</t>
  </si>
  <si>
    <t>The adjustment also removes interest on short term borrowings repaid post-test-year.</t>
  </si>
  <si>
    <t>Increase ($) &gt;</t>
  </si>
  <si>
    <t>Target ($) &gt;</t>
  </si>
  <si>
    <t>For the 12 Months Ended August 31, 2023</t>
  </si>
  <si>
    <t>Hourly Rate</t>
  </si>
  <si>
    <t>Salary</t>
  </si>
  <si>
    <t>Oustanding Principal 12/31/2023</t>
  </si>
  <si>
    <t>3-4</t>
  </si>
  <si>
    <t>3-5</t>
  </si>
  <si>
    <t>3-6</t>
  </si>
  <si>
    <t>3-7</t>
  </si>
  <si>
    <t>3-8</t>
  </si>
  <si>
    <t>14213340T02</t>
  </si>
  <si>
    <t>14213340T03</t>
  </si>
  <si>
    <t>14213340T07</t>
  </si>
  <si>
    <t>14213340T08</t>
  </si>
  <si>
    <t>14213340T09</t>
  </si>
  <si>
    <t>Per 2023 Form 7</t>
  </si>
  <si>
    <t>* Pro Forma Year based upon 70 employees at 2080 hours, same amount of OT hours and other hours as in Test Year</t>
  </si>
  <si>
    <t>Communications - Fiber</t>
  </si>
  <si>
    <t>(line 36 - line 38)</t>
  </si>
  <si>
    <t>(line 38 * 0.55)</t>
  </si>
  <si>
    <t>(line 42 + line 43)</t>
  </si>
  <si>
    <t>Brown</t>
  </si>
  <si>
    <t>NRECA Annual Meeting Fees &amp; Expenses</t>
  </si>
  <si>
    <t>NRECA School Fees &amp; Expenses</t>
  </si>
  <si>
    <t>NRECA Director Conference</t>
  </si>
  <si>
    <t>KAEC Annual Meeting fees &amp; expenses</t>
  </si>
  <si>
    <t>KAEC Director Meeting fees &amp; expenses</t>
  </si>
  <si>
    <t>NRECA Legislative Conference</t>
  </si>
  <si>
    <t>KAEC Legislative</t>
  </si>
  <si>
    <t>KAEC Annual Meeting fees &amp; expenses (Brown, Teitloff)</t>
  </si>
  <si>
    <t>NRECA School Fees (Marshall, Barnes, Bell, Teitloff)</t>
  </si>
  <si>
    <t>Account 593.3</t>
  </si>
  <si>
    <t>Test Year Right of Way + Chemical Spraying expense</t>
  </si>
  <si>
    <t>GL Accounts:</t>
  </si>
  <si>
    <t>Employer Portion</t>
  </si>
  <si>
    <t>Employee Portion</t>
  </si>
  <si>
    <t>Balance Sheet</t>
  </si>
  <si>
    <t>Subtotal Instant Case</t>
  </si>
  <si>
    <t>Per Month Amount</t>
  </si>
  <si>
    <t>Subtotal Last Case</t>
  </si>
  <si>
    <t>Last Case</t>
  </si>
  <si>
    <t>Amortization Years</t>
  </si>
  <si>
    <t>Months Remaining when Rates Take Effect</t>
  </si>
  <si>
    <t>Test year included expense from last rate case, $5,888.08 per month through and including March 2025; "months remaining" is from proposed effective date of revised rates.</t>
  </si>
  <si>
    <t>Beginning Unbilled</t>
  </si>
  <si>
    <t>Ending Unbilled</t>
  </si>
  <si>
    <t>net &gt;</t>
  </si>
  <si>
    <t>Pro Forma Cost at 358 miles ($12,427.01/mile) + budgeted chemical spraying</t>
  </si>
  <si>
    <t>Annual Meeting - Ads, Prizes, Printing</t>
  </si>
  <si>
    <t>Donations/Employee Events/Misc</t>
  </si>
  <si>
    <t>Subscriptions/Event</t>
  </si>
  <si>
    <t>Other dues</t>
  </si>
  <si>
    <t>580/588.2</t>
  </si>
  <si>
    <t xml:space="preserve">Rodeo </t>
  </si>
  <si>
    <t>Cooperative Information</t>
  </si>
  <si>
    <t>912.7/8</t>
  </si>
  <si>
    <t>Donations/Due</t>
  </si>
  <si>
    <t>Outside Services</t>
  </si>
  <si>
    <t>Coop Sponsorships/Dues</t>
  </si>
  <si>
    <t>Reference Schedule:  1.10</t>
  </si>
  <si>
    <t>Reference Schedule:  1.15</t>
  </si>
  <si>
    <t>Filed Amt</t>
  </si>
  <si>
    <t>Incr(Decr)</t>
  </si>
  <si>
    <t>Rebuttal</t>
  </si>
  <si>
    <t>Reference Schedule:  1.16</t>
  </si>
  <si>
    <t>Retirement Plans</t>
  </si>
  <si>
    <t>Multiple Retirement Plan Contributons</t>
  </si>
  <si>
    <t>Multiple Retirement Plans to be included in rates</t>
  </si>
  <si>
    <t>This adjustment removes the contributions for multiple retirement plans</t>
  </si>
  <si>
    <t>Termination Notice Minimum Bill</t>
  </si>
  <si>
    <t>23a</t>
  </si>
  <si>
    <t>Revised Dec9</t>
  </si>
  <si>
    <t xml:space="preserve">Rebuttal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</si>
</sst>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_(&quot;$&quot;* #,##0.00000_);_(&quot;$&quot;* \(#,##0.00000\);_(&quot;$&quot;* &quot;-&quot;??_);_(@_)"/>
    <numFmt numFmtId="169" formatCode="_(* #,##0.00000_);_(* \(#,##0.00000\);_(* &quot;-&quot;??_);_(@_)"/>
    <numFmt numFmtId="170" formatCode="0.0%"/>
    <numFmt numFmtId="171" formatCode="m/d/yy;@"/>
    <numFmt numFmtId="172" formatCode="0.000%"/>
    <numFmt numFmtId="173" formatCode="0.000"/>
    <numFmt numFmtId="174" formatCode="0.000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Arial"/>
      <family val="2"/>
    </font>
    <font>
      <sz val="12"/>
      <name val="P-TIMES"/>
    </font>
    <font>
      <sz val="10"/>
      <name val="MS Sans Serif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i/>
      <sz val="10"/>
      <color theme="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33CC"/>
      <name val="Arial"/>
      <family val="2"/>
    </font>
    <font>
      <i/>
      <sz val="10"/>
      <color theme="1"/>
      <name val="Arial"/>
      <family val="2"/>
    </font>
    <font>
      <b/>
      <sz val="10"/>
      <color indexed="8"/>
      <name val="Arial"/>
      <family val="2"/>
    </font>
    <font>
      <b/>
      <u/>
      <sz val="10"/>
      <color theme="1"/>
      <name val="Arial"/>
      <family val="2"/>
    </font>
    <font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4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quotePrefix="1" applyNumberFormat="1" applyFont="1" applyBorder="1" applyAlignment="1">
      <alignment horizontal="center"/>
    </xf>
    <xf numFmtId="165" fontId="3" fillId="0" borderId="0" xfId="1" applyNumberFormat="1" applyFont="1" applyFill="1"/>
    <xf numFmtId="165" fontId="7" fillId="0" borderId="0" xfId="1" applyNumberFormat="1" applyFont="1" applyFill="1"/>
    <xf numFmtId="0" fontId="3" fillId="0" borderId="2" xfId="0" applyFont="1" applyBorder="1"/>
    <xf numFmtId="165" fontId="7" fillId="0" borderId="2" xfId="1" applyNumberFormat="1" applyFont="1" applyFill="1" applyBorder="1"/>
    <xf numFmtId="10" fontId="7" fillId="0" borderId="0" xfId="3" applyNumberFormat="1" applyFont="1" applyFill="1" applyBorder="1"/>
    <xf numFmtId="166" fontId="3" fillId="0" borderId="0" xfId="2" applyNumberFormat="1" applyFont="1" applyFill="1"/>
    <xf numFmtId="0" fontId="3" fillId="0" borderId="4" xfId="0" applyFont="1" applyBorder="1"/>
    <xf numFmtId="165" fontId="7" fillId="0" borderId="5" xfId="1" applyNumberFormat="1" applyFont="1" applyFill="1" applyBorder="1"/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7" fillId="0" borderId="1" xfId="0" quotePrefix="1" applyNumberFormat="1" applyFont="1" applyBorder="1" applyAlignment="1">
      <alignment horizontal="center"/>
    </xf>
    <xf numFmtId="164" fontId="7" fillId="0" borderId="0" xfId="0" quotePrefix="1" applyNumberFormat="1" applyFont="1" applyAlignment="1">
      <alignment horizontal="center"/>
    </xf>
    <xf numFmtId="165" fontId="3" fillId="0" borderId="0" xfId="1" applyNumberFormat="1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1" applyNumberFormat="1" applyFont="1" applyBorder="1"/>
    <xf numFmtId="10" fontId="7" fillId="0" borderId="0" xfId="3" applyNumberFormat="1" applyFont="1" applyFill="1"/>
    <xf numFmtId="0" fontId="2" fillId="0" borderId="0" xfId="6" applyFont="1" applyAlignment="1">
      <alignment horizontal="right"/>
    </xf>
    <xf numFmtId="0" fontId="3" fillId="0" borderId="0" xfId="6" applyFont="1"/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3" fillId="0" borderId="0" xfId="2" applyNumberFormat="1" applyFont="1"/>
    <xf numFmtId="0" fontId="7" fillId="0" borderId="2" xfId="0" applyFont="1" applyBorder="1" applyAlignment="1">
      <alignment horizontal="center"/>
    </xf>
    <xf numFmtId="166" fontId="3" fillId="0" borderId="0" xfId="2" applyNumberFormat="1" applyFont="1" applyBorder="1"/>
    <xf numFmtId="0" fontId="7" fillId="0" borderId="0" xfId="0" applyFont="1" applyAlignment="1">
      <alignment horizontal="left" vertical="center"/>
    </xf>
    <xf numFmtId="165" fontId="3" fillId="0" borderId="0" xfId="0" applyNumberFormat="1" applyFont="1"/>
    <xf numFmtId="0" fontId="2" fillId="0" borderId="0" xfId="0" applyFont="1"/>
    <xf numFmtId="0" fontId="7" fillId="0" borderId="6" xfId="0" applyFont="1" applyBorder="1" applyAlignment="1">
      <alignment horizontal="center"/>
    </xf>
    <xf numFmtId="0" fontId="7" fillId="0" borderId="0" xfId="0" applyFont="1"/>
    <xf numFmtId="166" fontId="3" fillId="0" borderId="0" xfId="2" applyNumberFormat="1" applyFont="1" applyFill="1" applyBorder="1"/>
    <xf numFmtId="166" fontId="3" fillId="0" borderId="0" xfId="0" applyNumberFormat="1" applyFont="1"/>
    <xf numFmtId="0" fontId="7" fillId="0" borderId="4" xfId="0" applyFont="1" applyBorder="1"/>
    <xf numFmtId="166" fontId="3" fillId="0" borderId="4" xfId="2" applyNumberFormat="1" applyFont="1" applyBorder="1"/>
    <xf numFmtId="0" fontId="2" fillId="0" borderId="1" xfId="0" applyFont="1" applyBorder="1"/>
    <xf numFmtId="165" fontId="7" fillId="0" borderId="7" xfId="1" applyNumberFormat="1" applyFont="1" applyFill="1" applyBorder="1"/>
    <xf numFmtId="0" fontId="6" fillId="0" borderId="0" xfId="0" applyFont="1" applyAlignment="1">
      <alignment horizontal="left"/>
    </xf>
    <xf numFmtId="41" fontId="7" fillId="0" borderId="0" xfId="0" applyNumberFormat="1" applyFont="1"/>
    <xf numFmtId="0" fontId="3" fillId="0" borderId="2" xfId="0" applyFont="1" applyBorder="1" applyAlignment="1">
      <alignment horizontal="right"/>
    </xf>
    <xf numFmtId="41" fontId="3" fillId="0" borderId="2" xfId="0" applyNumberFormat="1" applyFont="1" applyBorder="1"/>
    <xf numFmtId="0" fontId="3" fillId="0" borderId="0" xfId="0" applyFont="1" applyAlignment="1">
      <alignment horizontal="right"/>
    </xf>
    <xf numFmtId="41" fontId="3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 wrapText="1"/>
    </xf>
    <xf numFmtId="166" fontId="7" fillId="0" borderId="0" xfId="2" applyNumberFormat="1" applyFont="1" applyBorder="1" applyProtection="1"/>
    <xf numFmtId="0" fontId="7" fillId="0" borderId="2" xfId="0" applyFont="1" applyBorder="1"/>
    <xf numFmtId="166" fontId="7" fillId="0" borderId="0" xfId="2" applyNumberFormat="1" applyFont="1" applyBorder="1" applyAlignment="1" applyProtection="1">
      <alignment horizontal="center"/>
    </xf>
    <xf numFmtId="170" fontId="7" fillId="0" borderId="0" xfId="3" applyNumberFormat="1" applyFont="1" applyBorder="1" applyProtection="1"/>
    <xf numFmtId="0" fontId="7" fillId="0" borderId="4" xfId="0" applyFont="1" applyBorder="1" applyAlignment="1">
      <alignment horizontal="center"/>
    </xf>
    <xf numFmtId="170" fontId="7" fillId="0" borderId="4" xfId="3" applyNumberFormat="1" applyFont="1" applyBorder="1" applyProtection="1"/>
    <xf numFmtId="0" fontId="5" fillId="0" borderId="0" xfId="6" applyFont="1" applyAlignment="1">
      <alignment horizontal="right"/>
    </xf>
    <xf numFmtId="166" fontId="7" fillId="0" borderId="0" xfId="2" applyNumberFormat="1" applyFont="1"/>
    <xf numFmtId="0" fontId="7" fillId="0" borderId="0" xfId="6" applyFont="1"/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wrapText="1"/>
    </xf>
    <xf numFmtId="0" fontId="7" fillId="4" borderId="0" xfId="6" applyFont="1" applyFill="1" applyAlignment="1">
      <alignment horizontal="center"/>
    </xf>
    <xf numFmtId="164" fontId="7" fillId="3" borderId="1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Continuous"/>
    </xf>
    <xf numFmtId="0" fontId="7" fillId="4" borderId="0" xfId="0" applyFont="1" applyFill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166" fontId="7" fillId="0" borderId="0" xfId="2" applyNumberFormat="1" applyFont="1" applyAlignment="1">
      <alignment horizontal="center" wrapText="1"/>
    </xf>
    <xf numFmtId="170" fontId="7" fillId="0" borderId="0" xfId="3" applyNumberFormat="1" applyFo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/>
    <xf numFmtId="0" fontId="7" fillId="0" borderId="17" xfId="0" applyFont="1" applyBorder="1"/>
    <xf numFmtId="0" fontId="7" fillId="0" borderId="18" xfId="0" applyFont="1" applyBorder="1"/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71" fontId="7" fillId="0" borderId="0" xfId="0" applyNumberFormat="1" applyFont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66" fontId="7" fillId="0" borderId="0" xfId="2" applyNumberFormat="1" applyFont="1" applyAlignment="1">
      <alignment horizontal="center"/>
    </xf>
    <xf numFmtId="171" fontId="7" fillId="0" borderId="0" xfId="0" applyNumberFormat="1" applyFont="1" applyAlignment="1">
      <alignment horizontal="center" wrapText="1"/>
    </xf>
    <xf numFmtId="1" fontId="7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43" fontId="7" fillId="0" borderId="0" xfId="1" applyFont="1"/>
    <xf numFmtId="43" fontId="7" fillId="4" borderId="0" xfId="1" applyFont="1" applyFill="1"/>
    <xf numFmtId="41" fontId="7" fillId="0" borderId="0" xfId="1" applyNumberFormat="1" applyFont="1"/>
    <xf numFmtId="0" fontId="7" fillId="0" borderId="0" xfId="0" applyFont="1" applyAlignment="1">
      <alignment horizontal="left"/>
    </xf>
    <xf numFmtId="2" fontId="7" fillId="0" borderId="0" xfId="0" applyNumberFormat="1" applyFont="1"/>
    <xf numFmtId="37" fontId="7" fillId="0" borderId="0" xfId="0" applyNumberFormat="1" applyFont="1"/>
    <xf numFmtId="166" fontId="7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3" fontId="5" fillId="0" borderId="2" xfId="1" applyFont="1" applyBorder="1"/>
    <xf numFmtId="41" fontId="5" fillId="0" borderId="2" xfId="1" applyNumberFormat="1" applyFont="1" applyBorder="1"/>
    <xf numFmtId="38" fontId="5" fillId="0" borderId="2" xfId="1" applyNumberFormat="1" applyFont="1" applyBorder="1"/>
    <xf numFmtId="166" fontId="7" fillId="0" borderId="2" xfId="2" applyNumberFormat="1" applyFont="1" applyBorder="1"/>
    <xf numFmtId="43" fontId="5" fillId="0" borderId="0" xfId="1" applyFont="1"/>
    <xf numFmtId="43" fontId="5" fillId="4" borderId="0" xfId="1" applyFont="1" applyFill="1"/>
    <xf numFmtId="41" fontId="5" fillId="0" borderId="0" xfId="1" applyNumberFormat="1" applyFont="1"/>
    <xf numFmtId="0" fontId="5" fillId="0" borderId="0" xfId="0" applyFont="1"/>
    <xf numFmtId="4" fontId="7" fillId="0" borderId="0" xfId="0" applyNumberFormat="1" applyFont="1" applyAlignment="1">
      <alignment vertical="top"/>
    </xf>
    <xf numFmtId="166" fontId="5" fillId="0" borderId="0" xfId="2" quotePrefix="1" applyNumberFormat="1" applyFont="1" applyBorder="1" applyAlignment="1">
      <alignment horizontal="center"/>
    </xf>
    <xf numFmtId="166" fontId="5" fillId="0" borderId="0" xfId="0" quotePrefix="1" applyNumberFormat="1" applyFont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44" fontId="7" fillId="0" borderId="0" xfId="2" applyFont="1"/>
    <xf numFmtId="44" fontId="7" fillId="0" borderId="0" xfId="0" applyNumberFormat="1" applyFont="1"/>
    <xf numFmtId="43" fontId="7" fillId="0" borderId="0" xfId="0" applyNumberFormat="1" applyFont="1"/>
    <xf numFmtId="165" fontId="7" fillId="4" borderId="0" xfId="1" applyNumberFormat="1" applyFont="1" applyFill="1"/>
    <xf numFmtId="165" fontId="7" fillId="4" borderId="0" xfId="1" applyNumberFormat="1" applyFont="1" applyFill="1" applyAlignment="1">
      <alignment horizontal="center" wrapText="1"/>
    </xf>
    <xf numFmtId="165" fontId="7" fillId="4" borderId="0" xfId="1" applyNumberFormat="1" applyFont="1" applyFill="1" applyAlignment="1">
      <alignment horizontal="center"/>
    </xf>
    <xf numFmtId="0" fontId="7" fillId="0" borderId="0" xfId="0" applyFont="1" applyAlignment="1">
      <alignment vertical="center"/>
    </xf>
    <xf numFmtId="43" fontId="7" fillId="4" borderId="0" xfId="1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6" applyFont="1" applyFill="1" applyAlignment="1">
      <alignment horizontal="center" vertical="center"/>
    </xf>
    <xf numFmtId="43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166" fontId="7" fillId="0" borderId="0" xfId="2" applyNumberFormat="1" applyFont="1" applyAlignment="1">
      <alignment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wrapText="1"/>
    </xf>
    <xf numFmtId="170" fontId="7" fillId="0" borderId="2" xfId="3" applyNumberFormat="1" applyFont="1" applyBorder="1" applyProtection="1"/>
    <xf numFmtId="166" fontId="7" fillId="0" borderId="2" xfId="0" applyNumberFormat="1" applyFont="1" applyBorder="1"/>
    <xf numFmtId="166" fontId="7" fillId="0" borderId="4" xfId="2" applyNumberFormat="1" applyFont="1" applyBorder="1" applyAlignment="1" applyProtection="1"/>
    <xf numFmtId="0" fontId="13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166" fontId="7" fillId="0" borderId="0" xfId="2" applyNumberFormat="1" applyFont="1" applyProtection="1"/>
    <xf numFmtId="166" fontId="7" fillId="0" borderId="0" xfId="1" applyNumberFormat="1" applyFont="1"/>
    <xf numFmtId="166" fontId="7" fillId="0" borderId="1" xfId="1" applyNumberFormat="1" applyFont="1" applyBorder="1"/>
    <xf numFmtId="166" fontId="7" fillId="0" borderId="1" xfId="0" applyNumberFormat="1" applyFont="1" applyBorder="1"/>
    <xf numFmtId="2" fontId="7" fillId="0" borderId="0" xfId="0" quotePrefix="1" applyNumberFormat="1" applyFont="1" applyAlignment="1">
      <alignment horizontal="center"/>
    </xf>
    <xf numFmtId="170" fontId="7" fillId="0" borderId="2" xfId="3" applyNumberFormat="1" applyFont="1" applyBorder="1"/>
    <xf numFmtId="9" fontId="7" fillId="0" borderId="0" xfId="3" applyFont="1"/>
    <xf numFmtId="166" fontId="3" fillId="0" borderId="2" xfId="2" applyNumberFormat="1" applyFont="1" applyBorder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6" fontId="7" fillId="0" borderId="0" xfId="2" applyNumberFormat="1" applyFont="1" applyAlignment="1">
      <alignment horizontal="left" vertical="top"/>
    </xf>
    <xf numFmtId="165" fontId="2" fillId="0" borderId="0" xfId="1" applyNumberFormat="1" applyFont="1" applyFill="1" applyAlignment="1"/>
    <xf numFmtId="165" fontId="2" fillId="0" borderId="0" xfId="1" applyNumberFormat="1" applyFont="1" applyFill="1" applyAlignment="1">
      <alignment horizontal="center"/>
    </xf>
    <xf numFmtId="0" fontId="17" fillId="0" borderId="0" xfId="0" applyFont="1"/>
    <xf numFmtId="165" fontId="7" fillId="0" borderId="0" xfId="1" applyNumberFormat="1" applyFont="1" applyProtection="1"/>
    <xf numFmtId="165" fontId="7" fillId="0" borderId="2" xfId="1" applyNumberFormat="1" applyFont="1" applyBorder="1" applyProtection="1"/>
    <xf numFmtId="165" fontId="7" fillId="0" borderId="0" xfId="1" applyNumberFormat="1" applyFont="1" applyFill="1" applyProtection="1"/>
    <xf numFmtId="165" fontId="7" fillId="0" borderId="4" xfId="1" applyNumberFormat="1" applyFont="1" applyBorder="1" applyProtection="1"/>
    <xf numFmtId="165" fontId="7" fillId="0" borderId="0" xfId="1" applyNumberFormat="1" applyFont="1" applyBorder="1" applyProtection="1"/>
    <xf numFmtId="0" fontId="17" fillId="0" borderId="0" xfId="0" applyFont="1" applyAlignment="1">
      <alignment horizontal="left"/>
    </xf>
    <xf numFmtId="165" fontId="18" fillId="0" borderId="0" xfId="1" applyNumberFormat="1" applyFont="1" applyFill="1"/>
    <xf numFmtId="0" fontId="16" fillId="0" borderId="0" xfId="7" applyFont="1"/>
    <xf numFmtId="0" fontId="2" fillId="0" borderId="0" xfId="0" applyFont="1" applyAlignment="1">
      <alignment horizontal="left"/>
    </xf>
    <xf numFmtId="166" fontId="5" fillId="0" borderId="0" xfId="2" applyNumberFormat="1" applyFont="1"/>
    <xf numFmtId="165" fontId="18" fillId="0" borderId="0" xfId="1" applyNumberFormat="1" applyFont="1" applyFill="1" applyProtection="1"/>
    <xf numFmtId="165" fontId="18" fillId="0" borderId="28" xfId="1" applyNumberFormat="1" applyFont="1" applyFill="1" applyBorder="1" applyProtection="1"/>
    <xf numFmtId="165" fontId="18" fillId="0" borderId="0" xfId="1" applyNumberFormat="1" applyFont="1" applyFill="1" applyAlignment="1" applyProtection="1">
      <alignment horizontal="right"/>
    </xf>
    <xf numFmtId="165" fontId="18" fillId="0" borderId="29" xfId="1" applyNumberFormat="1" applyFont="1" applyFill="1" applyBorder="1" applyProtection="1"/>
    <xf numFmtId="166" fontId="7" fillId="0" borderId="2" xfId="2" applyNumberFormat="1" applyFont="1" applyBorder="1" applyAlignment="1" applyProtection="1">
      <alignment horizontal="center"/>
    </xf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4" fontId="21" fillId="0" borderId="0" xfId="2" applyFont="1"/>
    <xf numFmtId="44" fontId="21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 wrapText="1"/>
    </xf>
    <xf numFmtId="40" fontId="21" fillId="0" borderId="0" xfId="0" applyNumberFormat="1" applyFont="1" applyProtection="1">
      <protection locked="0"/>
    </xf>
    <xf numFmtId="165" fontId="21" fillId="0" borderId="0" xfId="1" applyNumberFormat="1" applyFont="1"/>
    <xf numFmtId="43" fontId="21" fillId="0" borderId="0" xfId="1" applyFont="1" applyProtection="1">
      <protection locked="0"/>
    </xf>
    <xf numFmtId="43" fontId="21" fillId="0" borderId="0" xfId="1" quotePrefix="1" applyFont="1" applyProtection="1">
      <protection locked="0"/>
    </xf>
    <xf numFmtId="43" fontId="21" fillId="0" borderId="0" xfId="1" applyFont="1" applyBorder="1" applyProtection="1">
      <protection locked="0"/>
    </xf>
    <xf numFmtId="0" fontId="20" fillId="0" borderId="0" xfId="0" quotePrefix="1" applyFont="1" applyAlignment="1">
      <alignment horizontal="center"/>
    </xf>
    <xf numFmtId="40" fontId="21" fillId="0" borderId="0" xfId="1" applyNumberFormat="1" applyFont="1" applyBorder="1" applyProtection="1">
      <protection locked="0"/>
    </xf>
    <xf numFmtId="40" fontId="21" fillId="0" borderId="0" xfId="1" applyNumberFormat="1" applyFont="1" applyFill="1" applyBorder="1"/>
    <xf numFmtId="43" fontId="21" fillId="0" borderId="0" xfId="1" applyFont="1"/>
    <xf numFmtId="165" fontId="21" fillId="0" borderId="0" xfId="1" applyNumberFormat="1" applyFont="1" applyBorder="1"/>
    <xf numFmtId="0" fontId="18" fillId="0" borderId="0" xfId="0" applyFont="1"/>
    <xf numFmtId="165" fontId="21" fillId="0" borderId="0" xfId="1" applyNumberFormat="1" applyFont="1" applyFill="1"/>
    <xf numFmtId="0" fontId="21" fillId="0" borderId="0" xfId="0" applyFont="1" applyAlignment="1">
      <alignment horizontal="left"/>
    </xf>
    <xf numFmtId="0" fontId="2" fillId="0" borderId="0" xfId="6" applyFont="1"/>
    <xf numFmtId="166" fontId="21" fillId="0" borderId="0" xfId="2" applyNumberFormat="1" applyFont="1" applyProtection="1">
      <protection locked="0"/>
    </xf>
    <xf numFmtId="0" fontId="3" fillId="0" borderId="0" xfId="0" applyFont="1" applyAlignment="1">
      <alignment horizontal="left"/>
    </xf>
    <xf numFmtId="166" fontId="3" fillId="0" borderId="2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40" fontId="3" fillId="0" borderId="0" xfId="1" applyNumberFormat="1" applyFont="1" applyBorder="1" applyProtection="1">
      <protection locked="0"/>
    </xf>
    <xf numFmtId="40" fontId="3" fillId="0" borderId="0" xfId="0" applyNumberFormat="1" applyFont="1" applyProtection="1">
      <protection locked="0"/>
    </xf>
    <xf numFmtId="40" fontId="3" fillId="0" borderId="0" xfId="1" applyNumberFormat="1" applyFont="1" applyFill="1" applyBorder="1"/>
    <xf numFmtId="0" fontId="3" fillId="0" borderId="0" xfId="0" quotePrefix="1" applyFont="1"/>
    <xf numFmtId="166" fontId="5" fillId="0" borderId="5" xfId="0" applyNumberFormat="1" applyFont="1" applyBorder="1"/>
    <xf numFmtId="166" fontId="21" fillId="0" borderId="0" xfId="2" applyNumberFormat="1" applyFont="1"/>
    <xf numFmtId="43" fontId="5" fillId="0" borderId="0" xfId="1" applyFont="1" applyBorder="1"/>
    <xf numFmtId="165" fontId="5" fillId="0" borderId="0" xfId="1" applyNumberFormat="1" applyFont="1" applyBorder="1"/>
    <xf numFmtId="43" fontId="7" fillId="0" borderId="2" xfId="1" applyFont="1" applyBorder="1"/>
    <xf numFmtId="165" fontId="7" fillId="0" borderId="2" xfId="1" applyNumberFormat="1" applyFont="1" applyBorder="1"/>
    <xf numFmtId="43" fontId="7" fillId="0" borderId="0" xfId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166" fontId="7" fillId="0" borderId="4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165" fontId="7" fillId="0" borderId="3" xfId="1" applyNumberFormat="1" applyFont="1" applyFill="1" applyBorder="1"/>
    <xf numFmtId="165" fontId="7" fillId="0" borderId="4" xfId="1" applyNumberFormat="1" applyFont="1" applyFill="1" applyBorder="1"/>
    <xf numFmtId="167" fontId="7" fillId="0" borderId="0" xfId="1" applyNumberFormat="1" applyFont="1" applyFill="1"/>
    <xf numFmtId="43" fontId="7" fillId="0" borderId="0" xfId="1" applyFont="1" applyFill="1"/>
    <xf numFmtId="43" fontId="7" fillId="0" borderId="5" xfId="1" applyFont="1" applyFill="1" applyBorder="1"/>
    <xf numFmtId="43" fontId="7" fillId="0" borderId="0" xfId="1" applyFont="1" applyBorder="1"/>
    <xf numFmtId="165" fontId="7" fillId="0" borderId="0" xfId="1" applyNumberFormat="1" applyFont="1" applyBorder="1"/>
    <xf numFmtId="0" fontId="21" fillId="0" borderId="0" xfId="0" applyFont="1" applyAlignment="1">
      <alignment vertical="top" wrapText="1"/>
    </xf>
    <xf numFmtId="0" fontId="2" fillId="0" borderId="1" xfId="0" applyFont="1" applyBorder="1" applyAlignment="1">
      <alignment horizontal="center" wrapText="1"/>
    </xf>
    <xf numFmtId="166" fontId="2" fillId="0" borderId="1" xfId="2" applyNumberFormat="1" applyFont="1" applyBorder="1" applyAlignment="1">
      <alignment horizontal="center" wrapText="1"/>
    </xf>
    <xf numFmtId="10" fontId="23" fillId="5" borderId="0" xfId="3" applyNumberFormat="1" applyFont="1" applyFill="1" applyBorder="1"/>
    <xf numFmtId="44" fontId="3" fillId="0" borderId="0" xfId="0" applyNumberFormat="1" applyFont="1"/>
    <xf numFmtId="170" fontId="3" fillId="0" borderId="0" xfId="3" applyNumberFormat="1" applyFont="1"/>
    <xf numFmtId="170" fontId="3" fillId="0" borderId="2" xfId="3" applyNumberFormat="1" applyFont="1" applyBorder="1"/>
    <xf numFmtId="44" fontId="3" fillId="0" borderId="2" xfId="0" applyNumberFormat="1" applyFont="1" applyBorder="1"/>
    <xf numFmtId="166" fontId="3" fillId="0" borderId="0" xfId="2" applyNumberFormat="1" applyFont="1" applyBorder="1" applyAlignment="1">
      <alignment horizontal="center"/>
    </xf>
    <xf numFmtId="166" fontId="3" fillId="0" borderId="0" xfId="3" applyNumberFormat="1" applyFont="1" applyBorder="1"/>
    <xf numFmtId="166" fontId="3" fillId="0" borderId="0" xfId="1" applyNumberFormat="1" applyFont="1"/>
    <xf numFmtId="166" fontId="3" fillId="0" borderId="2" xfId="0" applyNumberFormat="1" applyFont="1" applyBorder="1"/>
    <xf numFmtId="166" fontId="3" fillId="0" borderId="0" xfId="1" applyNumberFormat="1" applyFont="1" applyBorder="1" applyProtection="1">
      <protection locked="0"/>
    </xf>
    <xf numFmtId="166" fontId="3" fillId="0" borderId="5" xfId="0" applyNumberFormat="1" applyFont="1" applyBorder="1"/>
    <xf numFmtId="0" fontId="2" fillId="0" borderId="0" xfId="6" applyFont="1" applyAlignment="1">
      <alignment horizontal="center"/>
    </xf>
    <xf numFmtId="0" fontId="7" fillId="0" borderId="0" xfId="0" applyFont="1" applyAlignment="1">
      <alignment horizontal="left" vertical="top" wrapText="1"/>
    </xf>
    <xf numFmtId="167" fontId="21" fillId="0" borderId="0" xfId="1" applyNumberFormat="1" applyFont="1"/>
    <xf numFmtId="167" fontId="21" fillId="0" borderId="0" xfId="1" applyNumberFormat="1" applyFont="1" applyAlignment="1"/>
    <xf numFmtId="0" fontId="21" fillId="0" borderId="0" xfId="0" applyFont="1" applyAlignment="1">
      <alignment horizontal="left" vertical="center"/>
    </xf>
    <xf numFmtId="166" fontId="21" fillId="0" borderId="2" xfId="1" applyNumberFormat="1" applyFont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166" fontId="21" fillId="0" borderId="2" xfId="2" applyNumberFormat="1" applyFont="1" applyBorder="1"/>
    <xf numFmtId="166" fontId="21" fillId="0" borderId="2" xfId="2" applyNumberFormat="1" applyFont="1" applyBorder="1" applyAlignment="1">
      <alignment horizontal="center"/>
    </xf>
    <xf numFmtId="44" fontId="21" fillId="0" borderId="0" xfId="2" applyFont="1" applyBorder="1"/>
    <xf numFmtId="43" fontId="21" fillId="0" borderId="0" xfId="1" applyFont="1" applyBorder="1"/>
    <xf numFmtId="0" fontId="7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center"/>
    </xf>
    <xf numFmtId="40" fontId="3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1" applyNumberFormat="1" applyFont="1" applyFill="1" applyBorder="1" applyAlignment="1">
      <alignment horizontal="center"/>
    </xf>
    <xf numFmtId="172" fontId="3" fillId="0" borderId="0" xfId="3" applyNumberFormat="1" applyFont="1" applyFill="1" applyBorder="1" applyAlignment="1">
      <alignment horizontal="center"/>
    </xf>
    <xf numFmtId="40" fontId="3" fillId="0" borderId="1" xfId="1" applyNumberFormat="1" applyFont="1" applyFill="1" applyBorder="1" applyAlignment="1">
      <alignment horizontal="center"/>
    </xf>
    <xf numFmtId="44" fontId="3" fillId="0" borderId="0" xfId="2" applyFont="1"/>
    <xf numFmtId="0" fontId="3" fillId="0" borderId="4" xfId="0" applyFont="1" applyBorder="1" applyAlignment="1">
      <alignment horizontal="center"/>
    </xf>
    <xf numFmtId="44" fontId="3" fillId="0" borderId="4" xfId="0" applyNumberFormat="1" applyFont="1" applyBorder="1"/>
    <xf numFmtId="0" fontId="3" fillId="0" borderId="1" xfId="0" applyFont="1" applyBorder="1"/>
    <xf numFmtId="166" fontId="7" fillId="0" borderId="0" xfId="2" applyNumberFormat="1" applyFont="1" applyBorder="1"/>
    <xf numFmtId="0" fontId="2" fillId="0" borderId="0" xfId="0" applyFont="1" applyAlignment="1">
      <alignment horizontal="right"/>
    </xf>
    <xf numFmtId="41" fontId="2" fillId="0" borderId="0" xfId="0" applyNumberFormat="1" applyFont="1"/>
    <xf numFmtId="166" fontId="2" fillId="0" borderId="0" xfId="2" applyNumberFormat="1" applyFont="1" applyBorder="1"/>
    <xf numFmtId="43" fontId="3" fillId="0" borderId="0" xfId="1" applyFont="1"/>
    <xf numFmtId="43" fontId="3" fillId="0" borderId="2" xfId="1" applyFont="1" applyBorder="1"/>
    <xf numFmtId="44" fontId="3" fillId="0" borderId="0" xfId="1" applyNumberFormat="1" applyFont="1" applyBorder="1"/>
    <xf numFmtId="44" fontId="3" fillId="0" borderId="4" xfId="1" applyNumberFormat="1" applyFont="1" applyBorder="1"/>
    <xf numFmtId="165" fontId="21" fillId="0" borderId="2" xfId="1" applyNumberFormat="1" applyFont="1" applyBorder="1"/>
    <xf numFmtId="165" fontId="3" fillId="0" borderId="0" xfId="0" applyNumberFormat="1" applyFont="1" applyAlignment="1">
      <alignment vertical="center"/>
    </xf>
    <xf numFmtId="165" fontId="21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43" fontId="21" fillId="0" borderId="0" xfId="1" applyFont="1" applyBorder="1" applyAlignment="1">
      <alignment horizontal="center"/>
    </xf>
    <xf numFmtId="44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4" fontId="3" fillId="0" borderId="0" xfId="2" applyFont="1" applyFill="1" applyBorder="1" applyProtection="1">
      <protection locked="0"/>
    </xf>
    <xf numFmtId="40" fontId="3" fillId="0" borderId="0" xfId="1" applyNumberFormat="1" applyFont="1" applyFill="1" applyBorder="1" applyProtection="1">
      <protection locked="0"/>
    </xf>
    <xf numFmtId="44" fontId="24" fillId="0" borderId="1" xfId="2" applyFont="1" applyFill="1" applyBorder="1" applyAlignment="1" applyProtection="1">
      <alignment horizontal="center"/>
      <protection locked="0"/>
    </xf>
    <xf numFmtId="40" fontId="24" fillId="0" borderId="1" xfId="1" applyNumberFormat="1" applyFont="1" applyFill="1" applyBorder="1" applyAlignment="1" applyProtection="1">
      <alignment horizontal="center"/>
      <protection locked="0"/>
    </xf>
    <xf numFmtId="40" fontId="24" fillId="0" borderId="1" xfId="1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  <protection locked="0"/>
    </xf>
    <xf numFmtId="44" fontId="3" fillId="0" borderId="0" xfId="2" applyFont="1" applyFill="1" applyBorder="1"/>
    <xf numFmtId="43" fontId="3" fillId="0" borderId="0" xfId="1" applyFont="1" applyFill="1" applyBorder="1"/>
    <xf numFmtId="43" fontId="3" fillId="0" borderId="0" xfId="1" applyFont="1" applyBorder="1" applyProtection="1">
      <protection locked="0"/>
    </xf>
    <xf numFmtId="0" fontId="24" fillId="0" borderId="0" xfId="0" applyFont="1"/>
    <xf numFmtId="43" fontId="3" fillId="0" borderId="0" xfId="1" applyFont="1" applyFill="1" applyBorder="1" applyProtection="1">
      <protection locked="0"/>
    </xf>
    <xf numFmtId="165" fontId="3" fillId="0" borderId="0" xfId="1" applyNumberFormat="1" applyFont="1" applyFill="1" applyBorder="1" applyProtection="1">
      <protection locked="0"/>
    </xf>
    <xf numFmtId="9" fontId="3" fillId="0" borderId="0" xfId="3" applyFont="1" applyFill="1" applyBorder="1"/>
    <xf numFmtId="44" fontId="2" fillId="0" borderId="0" xfId="2" applyFont="1" applyFill="1" applyBorder="1"/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43" fontId="3" fillId="0" borderId="1" xfId="1" applyFont="1" applyFill="1" applyBorder="1"/>
    <xf numFmtId="44" fontId="3" fillId="0" borderId="1" xfId="2" applyFont="1" applyFill="1" applyBorder="1"/>
    <xf numFmtId="168" fontId="3" fillId="0" borderId="0" xfId="2" applyNumberFormat="1" applyFont="1" applyFill="1" applyBorder="1"/>
    <xf numFmtId="0" fontId="24" fillId="0" borderId="0" xfId="0" applyFont="1" applyAlignment="1">
      <alignment horizontal="center"/>
    </xf>
    <xf numFmtId="0" fontId="2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2" fillId="0" borderId="2" xfId="0" quotePrefix="1" applyNumberFormat="1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0" borderId="1" xfId="0" applyFont="1" applyBorder="1" applyAlignment="1">
      <alignment horizontal="center"/>
    </xf>
    <xf numFmtId="173" fontId="21" fillId="0" borderId="0" xfId="1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44" fontId="3" fillId="0" borderId="0" xfId="2" applyFont="1" applyFill="1"/>
    <xf numFmtId="43" fontId="3" fillId="0" borderId="0" xfId="0" applyNumberFormat="1" applyFont="1"/>
    <xf numFmtId="44" fontId="2" fillId="0" borderId="5" xfId="0" applyNumberFormat="1" applyFont="1" applyBorder="1"/>
    <xf numFmtId="44" fontId="3" fillId="0" borderId="0" xfId="2" applyFont="1" applyBorder="1"/>
    <xf numFmtId="0" fontId="7" fillId="0" borderId="0" xfId="7" applyFont="1"/>
    <xf numFmtId="44" fontId="3" fillId="0" borderId="1" xfId="2" applyFont="1" applyBorder="1" applyAlignment="1" applyProtection="1">
      <alignment horizontal="center"/>
      <protection locked="0"/>
    </xf>
    <xf numFmtId="40" fontId="3" fillId="0" borderId="1" xfId="1" applyNumberFormat="1" applyFont="1" applyBorder="1" applyAlignment="1" applyProtection="1">
      <alignment horizontal="center" wrapText="1"/>
      <protection locked="0"/>
    </xf>
    <xf numFmtId="40" fontId="3" fillId="0" borderId="1" xfId="2" applyNumberFormat="1" applyFont="1" applyFill="1" applyBorder="1" applyAlignment="1">
      <alignment horizontal="center"/>
    </xf>
    <xf numFmtId="40" fontId="3" fillId="0" borderId="1" xfId="1" applyNumberFormat="1" applyFont="1" applyBorder="1" applyAlignment="1" applyProtection="1">
      <alignment horizontal="center"/>
      <protection locked="0"/>
    </xf>
    <xf numFmtId="40" fontId="3" fillId="0" borderId="1" xfId="1" applyNumberFormat="1" applyFont="1" applyBorder="1" applyAlignment="1" applyProtection="1">
      <alignment horizontal="right"/>
      <protection locked="0"/>
    </xf>
    <xf numFmtId="0" fontId="5" fillId="0" borderId="0" xfId="6" applyFont="1"/>
    <xf numFmtId="0" fontId="7" fillId="0" borderId="1" xfId="0" quotePrefix="1" applyFont="1" applyBorder="1" applyAlignment="1">
      <alignment horizontal="center"/>
    </xf>
    <xf numFmtId="165" fontId="7" fillId="2" borderId="0" xfId="0" applyNumberFormat="1" applyFont="1" applyFill="1"/>
    <xf numFmtId="0" fontId="7" fillId="2" borderId="0" xfId="0" applyFont="1" applyFill="1"/>
    <xf numFmtId="165" fontId="7" fillId="0" borderId="0" xfId="0" applyNumberFormat="1" applyFont="1"/>
    <xf numFmtId="168" fontId="7" fillId="0" borderId="0" xfId="2" applyNumberFormat="1" applyFont="1" applyBorder="1"/>
    <xf numFmtId="169" fontId="7" fillId="0" borderId="0" xfId="1" applyNumberFormat="1" applyFont="1" applyBorder="1"/>
    <xf numFmtId="0" fontId="7" fillId="0" borderId="6" xfId="0" applyFont="1" applyBorder="1"/>
    <xf numFmtId="166" fontId="7" fillId="0" borderId="6" xfId="2" applyNumberFormat="1" applyFont="1" applyBorder="1"/>
    <xf numFmtId="166" fontId="5" fillId="0" borderId="1" xfId="2" applyNumberFormat="1" applyFont="1" applyBorder="1" applyAlignment="1">
      <alignment horizontal="right"/>
    </xf>
    <xf numFmtId="166" fontId="7" fillId="0" borderId="0" xfId="2" applyNumberFormat="1" applyFont="1" applyFill="1" applyBorder="1"/>
    <xf numFmtId="166" fontId="7" fillId="0" borderId="4" xfId="0" applyNumberFormat="1" applyFont="1" applyBorder="1"/>
    <xf numFmtId="166" fontId="7" fillId="0" borderId="4" xfId="2" applyNumberFormat="1" applyFont="1" applyBorder="1"/>
    <xf numFmtId="0" fontId="5" fillId="0" borderId="1" xfId="0" applyFont="1" applyBorder="1"/>
    <xf numFmtId="44" fontId="3" fillId="0" borderId="1" xfId="2" applyFont="1" applyFill="1" applyBorder="1" applyAlignment="1" applyProtection="1">
      <alignment horizontal="center"/>
      <protection locked="0"/>
    </xf>
    <xf numFmtId="40" fontId="3" fillId="0" borderId="1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13" fillId="0" borderId="0" xfId="0" applyFont="1"/>
    <xf numFmtId="166" fontId="7" fillId="0" borderId="0" xfId="2" applyNumberFormat="1" applyFont="1" applyFill="1"/>
    <xf numFmtId="0" fontId="7" fillId="0" borderId="3" xfId="0" applyFont="1" applyBorder="1"/>
    <xf numFmtId="0" fontId="7" fillId="0" borderId="0" xfId="0" applyFont="1" applyAlignment="1">
      <alignment horizontal="right"/>
    </xf>
    <xf numFmtId="44" fontId="3" fillId="0" borderId="0" xfId="2" applyFont="1" applyBorder="1" applyAlignment="1">
      <alignment horizontal="center"/>
    </xf>
    <xf numFmtId="44" fontId="3" fillId="0" borderId="0" xfId="3" applyNumberFormat="1" applyFont="1" applyBorder="1"/>
    <xf numFmtId="43" fontId="3" fillId="0" borderId="0" xfId="1" applyFont="1" applyBorder="1"/>
    <xf numFmtId="166" fontId="3" fillId="0" borderId="1" xfId="2" applyNumberFormat="1" applyFont="1" applyBorder="1" applyAlignment="1">
      <alignment horizontal="center"/>
    </xf>
    <xf numFmtId="166" fontId="3" fillId="0" borderId="1" xfId="2" quotePrefix="1" applyNumberFormat="1" applyFont="1" applyBorder="1" applyAlignment="1">
      <alignment horizontal="center"/>
    </xf>
    <xf numFmtId="44" fontId="3" fillId="0" borderId="5" xfId="0" applyNumberFormat="1" applyFont="1" applyBorder="1"/>
    <xf numFmtId="165" fontId="7" fillId="0" borderId="0" xfId="1" applyNumberFormat="1" applyFont="1" applyFill="1" applyAlignment="1">
      <alignment horizontal="right"/>
    </xf>
    <xf numFmtId="0" fontId="21" fillId="0" borderId="0" xfId="1" applyNumberFormat="1" applyFont="1" applyFill="1" applyAlignment="1">
      <alignment horizontal="right"/>
    </xf>
    <xf numFmtId="165" fontId="21" fillId="0" borderId="4" xfId="1" applyNumberFormat="1" applyFont="1" applyBorder="1"/>
    <xf numFmtId="165" fontId="3" fillId="0" borderId="0" xfId="1" applyNumberFormat="1" applyFont="1" applyFill="1" applyProtection="1">
      <protection locked="0"/>
    </xf>
    <xf numFmtId="172" fontId="3" fillId="0" borderId="0" xfId="3" applyNumberFormat="1" applyFont="1" applyFill="1" applyBorder="1" applyAlignment="1" applyProtection="1">
      <alignment horizontal="center"/>
      <protection locked="0"/>
    </xf>
    <xf numFmtId="16" fontId="7" fillId="0" borderId="0" xfId="0" quotePrefix="1" applyNumberFormat="1" applyFont="1" applyAlignment="1">
      <alignment horizontal="center"/>
    </xf>
    <xf numFmtId="172" fontId="3" fillId="0" borderId="0" xfId="3" applyNumberFormat="1" applyFont="1" applyFill="1" applyAlignment="1" applyProtection="1">
      <alignment horizontal="center"/>
      <protection locked="0"/>
    </xf>
    <xf numFmtId="172" fontId="3" fillId="0" borderId="0" xfId="3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72" fontId="3" fillId="0" borderId="1" xfId="3" applyNumberFormat="1" applyFont="1" applyFill="1" applyBorder="1" applyAlignment="1">
      <alignment horizontal="center"/>
    </xf>
    <xf numFmtId="44" fontId="3" fillId="0" borderId="1" xfId="2" applyFont="1" applyFill="1" applyBorder="1" applyProtection="1">
      <protection locked="0"/>
    </xf>
    <xf numFmtId="174" fontId="3" fillId="0" borderId="0" xfId="3" applyNumberFormat="1" applyFont="1" applyFill="1" applyBorder="1"/>
    <xf numFmtId="49" fontId="27" fillId="0" borderId="0" xfId="0" applyNumberFormat="1" applyFont="1" applyAlignment="1">
      <alignment horizontal="left" vertical="top"/>
    </xf>
    <xf numFmtId="10" fontId="7" fillId="0" borderId="0" xfId="0" applyNumberFormat="1" applyFont="1"/>
    <xf numFmtId="170" fontId="7" fillId="0" borderId="0" xfId="0" applyNumberFormat="1" applyFont="1"/>
    <xf numFmtId="43" fontId="3" fillId="0" borderId="0" xfId="1" applyFont="1" applyFill="1"/>
    <xf numFmtId="44" fontId="3" fillId="0" borderId="2" xfId="2" applyFont="1" applyFill="1" applyBorder="1"/>
    <xf numFmtId="44" fontId="3" fillId="0" borderId="0" xfId="2" applyFont="1" applyFill="1" applyBorder="1" applyAlignment="1">
      <alignment horizontal="center"/>
    </xf>
    <xf numFmtId="0" fontId="3" fillId="3" borderId="0" xfId="0" applyFont="1" applyFill="1"/>
    <xf numFmtId="165" fontId="3" fillId="3" borderId="0" xfId="1" applyNumberFormat="1" applyFont="1" applyFill="1" applyBorder="1"/>
    <xf numFmtId="10" fontId="3" fillId="0" borderId="0" xfId="3" applyNumberFormat="1" applyFont="1"/>
    <xf numFmtId="43" fontId="3" fillId="0" borderId="4" xfId="1" applyFont="1" applyBorder="1"/>
    <xf numFmtId="2" fontId="3" fillId="0" borderId="0" xfId="0" applyNumberFormat="1" applyFont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centerContinuous"/>
    </xf>
    <xf numFmtId="0" fontId="18" fillId="0" borderId="0" xfId="7" applyFont="1" applyAlignment="1">
      <alignment horizontal="right"/>
    </xf>
    <xf numFmtId="0" fontId="18" fillId="0" borderId="0" xfId="7" applyFont="1"/>
    <xf numFmtId="0" fontId="18" fillId="0" borderId="3" xfId="7" applyFont="1" applyBorder="1" applyAlignment="1">
      <alignment horizontal="center"/>
    </xf>
    <xf numFmtId="2" fontId="18" fillId="0" borderId="3" xfId="7" applyNumberFormat="1" applyFont="1" applyBorder="1" applyAlignment="1">
      <alignment horizontal="center"/>
    </xf>
    <xf numFmtId="0" fontId="18" fillId="0" borderId="1" xfId="7" applyFont="1" applyBorder="1" applyAlignment="1">
      <alignment horizontal="center" wrapText="1"/>
    </xf>
    <xf numFmtId="0" fontId="18" fillId="0" borderId="3" xfId="7" applyFont="1" applyBorder="1" applyAlignment="1">
      <alignment horizontal="center" wrapText="1"/>
    </xf>
    <xf numFmtId="37" fontId="18" fillId="0" borderId="0" xfId="7" applyNumberFormat="1" applyFont="1"/>
    <xf numFmtId="0" fontId="19" fillId="0" borderId="0" xfId="7" applyFont="1"/>
    <xf numFmtId="0" fontId="18" fillId="0" borderId="28" xfId="7" applyFont="1" applyBorder="1"/>
    <xf numFmtId="0" fontId="18" fillId="0" borderId="29" xfId="7" applyFont="1" applyBorder="1"/>
    <xf numFmtId="0" fontId="26" fillId="0" borderId="0" xfId="0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0" applyFont="1" applyAlignment="1">
      <alignment vertical="top" wrapText="1"/>
    </xf>
    <xf numFmtId="166" fontId="3" fillId="0" borderId="0" xfId="2" quotePrefix="1" applyNumberFormat="1" applyFont="1" applyBorder="1" applyAlignment="1">
      <alignment horizontal="center"/>
    </xf>
    <xf numFmtId="166" fontId="3" fillId="0" borderId="0" xfId="2" quotePrefix="1" applyNumberFormat="1" applyFont="1" applyFill="1" applyBorder="1" applyAlignment="1">
      <alignment horizontal="center"/>
    </xf>
    <xf numFmtId="44" fontId="20" fillId="0" borderId="0" xfId="0" applyNumberFormat="1" applyFont="1" applyAlignment="1">
      <alignment horizontal="center" wrapText="1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166" fontId="18" fillId="0" borderId="0" xfId="2" applyNumberFormat="1" applyFont="1" applyFill="1"/>
    <xf numFmtId="44" fontId="18" fillId="0" borderId="0" xfId="2" applyFont="1"/>
    <xf numFmtId="44" fontId="18" fillId="0" borderId="2" xfId="1" applyNumberFormat="1" applyFont="1" applyFill="1" applyBorder="1" applyAlignment="1">
      <alignment vertical="center"/>
    </xf>
    <xf numFmtId="165" fontId="18" fillId="0" borderId="0" xfId="1" applyNumberFormat="1" applyFont="1"/>
    <xf numFmtId="0" fontId="25" fillId="0" borderId="0" xfId="0" applyFont="1" applyAlignment="1">
      <alignment horizontal="right"/>
    </xf>
    <xf numFmtId="165" fontId="7" fillId="0" borderId="0" xfId="1" applyNumberFormat="1" applyFont="1"/>
    <xf numFmtId="10" fontId="3" fillId="0" borderId="0" xfId="3" applyNumberFormat="1" applyFont="1" applyFill="1" applyBorder="1"/>
    <xf numFmtId="165" fontId="21" fillId="0" borderId="0" xfId="0" applyNumberFormat="1" applyFont="1"/>
    <xf numFmtId="165" fontId="7" fillId="6" borderId="0" xfId="1" applyNumberFormat="1" applyFont="1" applyFill="1"/>
    <xf numFmtId="0" fontId="3" fillId="6" borderId="0" xfId="0" applyFont="1" applyFill="1" applyAlignment="1">
      <alignment horizontal="right"/>
    </xf>
    <xf numFmtId="0" fontId="3" fillId="6" borderId="0" xfId="0" applyFont="1" applyFill="1"/>
    <xf numFmtId="0" fontId="7" fillId="6" borderId="0" xfId="0" applyFont="1" applyFill="1" applyAlignment="1">
      <alignment horizontal="right"/>
    </xf>
    <xf numFmtId="166" fontId="3" fillId="6" borderId="0" xfId="2" applyNumberFormat="1" applyFont="1" applyFill="1" applyBorder="1"/>
    <xf numFmtId="165" fontId="3" fillId="6" borderId="0" xfId="1" applyNumberFormat="1" applyFont="1" applyFill="1" applyBorder="1"/>
    <xf numFmtId="2" fontId="18" fillId="6" borderId="3" xfId="7" applyNumberFormat="1" applyFont="1" applyFill="1" applyBorder="1" applyAlignment="1">
      <alignment horizontal="center"/>
    </xf>
    <xf numFmtId="0" fontId="18" fillId="6" borderId="3" xfId="7" applyFont="1" applyFill="1" applyBorder="1" applyAlignment="1">
      <alignment horizontal="center" wrapText="1"/>
    </xf>
    <xf numFmtId="0" fontId="3" fillId="6" borderId="0" xfId="0" applyFont="1" applyFill="1" applyAlignment="1">
      <alignment horizontal="center"/>
    </xf>
    <xf numFmtId="165" fontId="3" fillId="6" borderId="0" xfId="1" applyNumberFormat="1" applyFont="1" applyFill="1"/>
    <xf numFmtId="166" fontId="3" fillId="6" borderId="2" xfId="2" applyNumberFormat="1" applyFont="1" applyFill="1" applyBorder="1"/>
    <xf numFmtId="0" fontId="18" fillId="6" borderId="0" xfId="7" applyFont="1" applyFill="1" applyAlignment="1">
      <alignment horizontal="centerContinuous"/>
    </xf>
    <xf numFmtId="166" fontId="3" fillId="6" borderId="0" xfId="2" quotePrefix="1" applyNumberFormat="1" applyFont="1" applyFill="1" applyBorder="1" applyAlignment="1">
      <alignment horizontal="center"/>
    </xf>
    <xf numFmtId="166" fontId="2" fillId="6" borderId="2" xfId="0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7" applyFont="1" applyAlignment="1">
      <alignment horizontal="center"/>
    </xf>
    <xf numFmtId="0" fontId="5" fillId="0" borderId="0" xfId="6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2" fillId="0" borderId="0" xfId="6" applyFont="1" applyAlignment="1">
      <alignment horizontal="center"/>
    </xf>
    <xf numFmtId="0" fontId="2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7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30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9" xfId="0" quotePrefix="1" applyFont="1" applyBorder="1" applyAlignment="1">
      <alignment horizontal="left" wrapText="1"/>
    </xf>
    <xf numFmtId="0" fontId="7" fillId="0" borderId="20" xfId="0" quotePrefix="1" applyFont="1" applyBorder="1" applyAlignment="1">
      <alignment horizontal="left" wrapText="1"/>
    </xf>
    <xf numFmtId="166" fontId="7" fillId="0" borderId="2" xfId="2" applyNumberFormat="1" applyFont="1" applyBorder="1" applyAlignment="1" applyProtection="1">
      <alignment horizontal="center"/>
    </xf>
    <xf numFmtId="166" fontId="7" fillId="0" borderId="4" xfId="2" applyNumberFormat="1" applyFont="1" applyBorder="1" applyAlignment="1" applyProtection="1">
      <alignment horizontal="center"/>
    </xf>
    <xf numFmtId="0" fontId="7" fillId="5" borderId="0" xfId="0" applyFont="1" applyFill="1" applyAlignment="1">
      <alignment horizontal="center"/>
    </xf>
    <xf numFmtId="0" fontId="7" fillId="5" borderId="0" xfId="0" applyFont="1" applyFill="1"/>
    <xf numFmtId="166" fontId="7" fillId="5" borderId="0" xfId="2" applyNumberFormat="1" applyFont="1" applyFill="1" applyBorder="1"/>
    <xf numFmtId="168" fontId="7" fillId="5" borderId="0" xfId="2" applyNumberFormat="1" applyFont="1" applyFill="1" applyBorder="1"/>
    <xf numFmtId="0" fontId="3" fillId="5" borderId="0" xfId="0" applyFont="1" applyFill="1"/>
    <xf numFmtId="0" fontId="7" fillId="5" borderId="0" xfId="6" applyFont="1" applyFill="1" applyAlignment="1">
      <alignment horizontal="right"/>
    </xf>
    <xf numFmtId="165" fontId="7" fillId="5" borderId="0" xfId="1" applyNumberFormat="1" applyFont="1" applyFill="1"/>
    <xf numFmtId="0" fontId="3" fillId="5" borderId="0" xfId="0" applyFont="1" applyFill="1" applyAlignment="1">
      <alignment horizontal="right"/>
    </xf>
    <xf numFmtId="44" fontId="3" fillId="5" borderId="0" xfId="2" applyFont="1" applyFill="1" applyBorder="1"/>
  </cellXfs>
  <cellStyles count="18">
    <cellStyle name="Comma" xfId="1" builtinId="3"/>
    <cellStyle name="Comma 2" xfId="4" xr:uid="{00000000-0005-0000-0000-000001000000}"/>
    <cellStyle name="Comma 2 2" xfId="14" xr:uid="{707445C0-4F51-49BC-90D4-08C184B67D82}"/>
    <cellStyle name="Comma 3" xfId="9" xr:uid="{00000000-0005-0000-0000-000002000000}"/>
    <cellStyle name="Comma 3 2" xfId="16" xr:uid="{588331BE-2361-44C2-93D2-DB102D663B19}"/>
    <cellStyle name="Currency" xfId="2" builtinId="4"/>
    <cellStyle name="Currency 2" xfId="5" xr:uid="{00000000-0005-0000-0000-000004000000}"/>
    <cellStyle name="Currency 3" xfId="10" xr:uid="{00000000-0005-0000-0000-000005000000}"/>
    <cellStyle name="Normal" xfId="0" builtinId="0"/>
    <cellStyle name="Normal 2" xfId="6" xr:uid="{00000000-0005-0000-0000-000007000000}"/>
    <cellStyle name="Normal 2 2" xfId="13" xr:uid="{6CACBE6C-F13C-4AF2-AB02-BC2F48BCA017}"/>
    <cellStyle name="Normal 3" xfId="7" xr:uid="{00000000-0005-0000-0000-000008000000}"/>
    <cellStyle name="Normal 3 2" xfId="15" xr:uid="{FC8F86F3-9F2D-4527-B323-9D16A0EFCD62}"/>
    <cellStyle name="Normal 4" xfId="8" xr:uid="{00000000-0005-0000-0000-000009000000}"/>
    <cellStyle name="Normal 5" xfId="11" xr:uid="{00000000-0005-0000-0000-00000A000000}"/>
    <cellStyle name="Percent" xfId="3" builtinId="5"/>
    <cellStyle name="Percent 2" xfId="12" xr:uid="{00000000-0005-0000-0000-00000C000000}"/>
    <cellStyle name="Percent 3" xfId="17" xr:uid="{E25761DC-DF68-4D45-8F5C-638AB1E41F27}"/>
  </cellStyles>
  <dxfs count="0"/>
  <tableStyles count="0" defaultTableStyle="TableStyleMedium2" defaultPivotStyle="PivotStyleLight16"/>
  <colors>
    <mruColors>
      <color rgb="FFFFFFCC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O55"/>
  <sheetViews>
    <sheetView tabSelected="1" view="pageBreakPreview" zoomScale="75" zoomScaleNormal="75" zoomScaleSheetLayoutView="75" workbookViewId="0">
      <selection activeCell="F51" sqref="F51"/>
    </sheetView>
  </sheetViews>
  <sheetFormatPr defaultColWidth="9.140625" defaultRowHeight="12.75"/>
  <cols>
    <col min="1" max="1" width="9.140625" style="31"/>
    <col min="2" max="2" width="25.85546875" style="39" customWidth="1"/>
    <col min="3" max="3" width="14.7109375" style="39" customWidth="1"/>
    <col min="4" max="4" width="14.28515625" style="39" customWidth="1"/>
    <col min="5" max="5" width="15.42578125" style="39" customWidth="1"/>
    <col min="6" max="6" width="17.140625" style="39" customWidth="1"/>
    <col min="7" max="7" width="4.5703125" style="39" customWidth="1"/>
    <col min="8" max="8" width="13.7109375" style="39" bestFit="1" customWidth="1"/>
    <col min="9" max="9" width="17.28515625" style="39" customWidth="1"/>
    <col min="10" max="10" width="16.5703125" style="39" customWidth="1"/>
    <col min="11" max="11" width="11.7109375" style="39" bestFit="1" customWidth="1"/>
    <col min="12" max="12" width="9.140625" style="39"/>
    <col min="13" max="13" width="14.42578125" style="39" bestFit="1" customWidth="1"/>
    <col min="14" max="14" width="9.140625" style="39"/>
    <col min="15" max="15" width="11.7109375" style="39" bestFit="1" customWidth="1"/>
    <col min="16" max="16384" width="9.140625" style="39"/>
  </cols>
  <sheetData>
    <row r="1" spans="1:15">
      <c r="A1" s="114" t="s">
        <v>0</v>
      </c>
      <c r="B1" s="114"/>
      <c r="C1" s="114"/>
      <c r="D1" s="114"/>
      <c r="E1" s="114"/>
      <c r="F1" s="394" t="s">
        <v>693</v>
      </c>
      <c r="G1" s="114"/>
      <c r="J1" s="114"/>
    </row>
    <row r="2" spans="1:15">
      <c r="A2" s="114" t="s">
        <v>1</v>
      </c>
      <c r="B2" s="114"/>
      <c r="C2" s="114"/>
      <c r="D2" s="114"/>
      <c r="E2" s="114"/>
      <c r="F2" s="114"/>
      <c r="G2" s="114"/>
      <c r="J2" s="114"/>
    </row>
    <row r="3" spans="1:15">
      <c r="A3" s="114" t="s">
        <v>631</v>
      </c>
      <c r="B3" s="114"/>
      <c r="C3" s="114"/>
      <c r="D3" s="114"/>
      <c r="E3" s="114"/>
      <c r="F3" s="114"/>
      <c r="G3" s="114"/>
      <c r="J3" s="114"/>
    </row>
    <row r="4" spans="1:15">
      <c r="A4" s="97"/>
      <c r="E4" s="329"/>
      <c r="F4" s="114"/>
      <c r="G4" s="329"/>
      <c r="J4" s="114"/>
    </row>
    <row r="5" spans="1:15">
      <c r="C5" s="97" t="s">
        <v>3</v>
      </c>
      <c r="D5" s="97" t="s">
        <v>5</v>
      </c>
      <c r="E5" s="97" t="s">
        <v>4</v>
      </c>
      <c r="F5" s="97" t="s">
        <v>6</v>
      </c>
      <c r="G5" s="329"/>
      <c r="J5" s="114"/>
    </row>
    <row r="6" spans="1:15">
      <c r="A6" s="97" t="s">
        <v>7</v>
      </c>
      <c r="B6" s="97" t="s">
        <v>8</v>
      </c>
      <c r="C6" s="97" t="s">
        <v>9</v>
      </c>
      <c r="D6" s="97" t="s">
        <v>10</v>
      </c>
      <c r="E6" s="97" t="s">
        <v>407</v>
      </c>
      <c r="F6" s="97" t="s">
        <v>407</v>
      </c>
      <c r="G6" s="329"/>
      <c r="J6" s="114"/>
    </row>
    <row r="7" spans="1:15" s="114" customFormat="1">
      <c r="A7" s="5" t="s">
        <v>11</v>
      </c>
      <c r="B7" s="6">
        <v>1</v>
      </c>
      <c r="C7" s="6">
        <f>B7+1</f>
        <v>2</v>
      </c>
      <c r="D7" s="6">
        <f>C7+1</f>
        <v>3</v>
      </c>
      <c r="E7" s="6" t="s">
        <v>12</v>
      </c>
      <c r="F7" s="6" t="s">
        <v>13</v>
      </c>
      <c r="K7" s="39"/>
      <c r="L7" s="39"/>
      <c r="M7" s="39"/>
      <c r="N7" s="39"/>
      <c r="O7" s="39"/>
    </row>
    <row r="8" spans="1:15">
      <c r="A8" s="31">
        <v>1</v>
      </c>
      <c r="B8" s="330" t="s">
        <v>15</v>
      </c>
      <c r="C8" s="317"/>
      <c r="J8" s="114"/>
    </row>
    <row r="9" spans="1:15">
      <c r="A9" s="31">
        <f>A8+1</f>
        <v>2</v>
      </c>
      <c r="B9" s="39" t="s">
        <v>16</v>
      </c>
      <c r="C9" s="8">
        <v>94026216.040000007</v>
      </c>
      <c r="D9" s="437">
        <f>'Adj List'!D17+'Adj List'!D8+'Adj List'!D9+'Adj List'!D10+'Adj List'!D11</f>
        <v>-13070195.699999997</v>
      </c>
      <c r="E9" s="8">
        <f>C9+D9</f>
        <v>80956020.340000004</v>
      </c>
      <c r="F9" s="8">
        <f>E9+E50</f>
        <v>85995811.601007268</v>
      </c>
      <c r="G9" s="8"/>
      <c r="H9" s="317"/>
      <c r="J9" s="114"/>
    </row>
    <row r="10" spans="1:15">
      <c r="A10" s="31">
        <f t="shared" ref="A10:A51" si="0">A9+1</f>
        <v>3</v>
      </c>
      <c r="B10" s="39" t="s">
        <v>17</v>
      </c>
      <c r="C10" s="8">
        <v>1355251.58</v>
      </c>
      <c r="D10" s="8">
        <v>0</v>
      </c>
      <c r="E10" s="8">
        <f>C10+D10</f>
        <v>1355251.58</v>
      </c>
      <c r="F10" s="8">
        <f>E10</f>
        <v>1355251.58</v>
      </c>
      <c r="G10" s="8"/>
      <c r="J10" s="114"/>
    </row>
    <row r="11" spans="1:15">
      <c r="A11" s="31">
        <f t="shared" si="0"/>
        <v>4</v>
      </c>
      <c r="B11" s="57" t="s">
        <v>18</v>
      </c>
      <c r="C11" s="10">
        <f>SUM(C9:C10)</f>
        <v>95381467.620000005</v>
      </c>
      <c r="D11" s="10">
        <f>SUM(D9:D10)</f>
        <v>-13070195.699999997</v>
      </c>
      <c r="E11" s="10">
        <f>SUM(E9:E10)</f>
        <v>82311271.920000002</v>
      </c>
      <c r="F11" s="10">
        <f>SUM(F9:F10)</f>
        <v>87351063.181007266</v>
      </c>
      <c r="G11" s="8"/>
      <c r="H11" s="11"/>
      <c r="J11" s="114"/>
    </row>
    <row r="12" spans="1:15">
      <c r="A12" s="31">
        <f t="shared" si="0"/>
        <v>5</v>
      </c>
      <c r="C12" s="8"/>
      <c r="D12" s="8"/>
      <c r="E12" s="8"/>
      <c r="F12" s="8"/>
      <c r="G12" s="331"/>
      <c r="J12" s="114"/>
    </row>
    <row r="13" spans="1:15">
      <c r="A13" s="31">
        <f t="shared" si="0"/>
        <v>6</v>
      </c>
      <c r="B13" s="330" t="s">
        <v>19</v>
      </c>
      <c r="C13" s="8"/>
      <c r="D13" s="8"/>
      <c r="E13" s="8"/>
      <c r="F13" s="8"/>
      <c r="G13" s="331"/>
      <c r="J13" s="114"/>
    </row>
    <row r="14" spans="1:15">
      <c r="A14" s="31">
        <f t="shared" si="0"/>
        <v>7</v>
      </c>
      <c r="B14" s="39" t="s">
        <v>20</v>
      </c>
      <c r="C14" s="8">
        <v>70722285.650000006</v>
      </c>
      <c r="D14" s="8">
        <f>'Adj List'!E17+'Adj List'!E8+'Adj List'!E9+'Adj List'!E10+'Adj List'!E11</f>
        <v>-12932602.74</v>
      </c>
      <c r="E14" s="8">
        <f>C14+D14</f>
        <v>57789682.910000004</v>
      </c>
      <c r="F14" s="8">
        <f>E14</f>
        <v>57789682.910000004</v>
      </c>
      <c r="G14" s="331"/>
      <c r="J14" s="114"/>
    </row>
    <row r="15" spans="1:15">
      <c r="A15" s="31">
        <f t="shared" si="0"/>
        <v>8</v>
      </c>
      <c r="B15" s="39" t="s">
        <v>21</v>
      </c>
      <c r="C15" s="8">
        <v>4126998.78</v>
      </c>
      <c r="D15" s="8">
        <v>0</v>
      </c>
      <c r="E15" s="8">
        <f t="shared" ref="E15:E20" si="1">C15+D15</f>
        <v>4126998.78</v>
      </c>
      <c r="F15" s="8">
        <f t="shared" ref="F15:F20" si="2">E15</f>
        <v>4126998.78</v>
      </c>
      <c r="G15" s="331"/>
      <c r="J15" s="114"/>
    </row>
    <row r="16" spans="1:15">
      <c r="A16" s="31">
        <f t="shared" si="0"/>
        <v>9</v>
      </c>
      <c r="B16" s="39" t="s">
        <v>22</v>
      </c>
      <c r="C16" s="8">
        <v>7186249.46</v>
      </c>
      <c r="D16" s="8">
        <f>'Adj List'!E21</f>
        <v>758989.28000000026</v>
      </c>
      <c r="E16" s="8">
        <f t="shared" si="1"/>
        <v>7945238.7400000002</v>
      </c>
      <c r="F16" s="8">
        <f t="shared" si="2"/>
        <v>7945238.7400000002</v>
      </c>
      <c r="G16" s="331"/>
      <c r="J16" s="114"/>
    </row>
    <row r="17" spans="1:10">
      <c r="A17" s="31">
        <f t="shared" si="0"/>
        <v>10</v>
      </c>
      <c r="B17" s="39" t="s">
        <v>23</v>
      </c>
      <c r="C17" s="8">
        <v>1134563.6399999999</v>
      </c>
      <c r="D17" s="8">
        <v>0</v>
      </c>
      <c r="E17" s="8">
        <f t="shared" si="1"/>
        <v>1134563.6399999999</v>
      </c>
      <c r="F17" s="8">
        <f t="shared" si="2"/>
        <v>1134563.6399999999</v>
      </c>
      <c r="G17" s="331"/>
      <c r="J17" s="114"/>
    </row>
    <row r="18" spans="1:10">
      <c r="A18" s="31">
        <f t="shared" si="0"/>
        <v>11</v>
      </c>
      <c r="B18" s="39" t="s">
        <v>24</v>
      </c>
      <c r="C18" s="8">
        <v>608.02</v>
      </c>
      <c r="D18" s="8">
        <v>0</v>
      </c>
      <c r="E18" s="8">
        <f t="shared" si="1"/>
        <v>608.02</v>
      </c>
      <c r="F18" s="8">
        <f t="shared" si="2"/>
        <v>608.02</v>
      </c>
      <c r="G18" s="215"/>
      <c r="J18" s="114"/>
    </row>
    <row r="19" spans="1:10">
      <c r="A19" s="31">
        <f t="shared" si="0"/>
        <v>12</v>
      </c>
      <c r="B19" s="39" t="s">
        <v>25</v>
      </c>
      <c r="C19" s="8">
        <v>4365.63</v>
      </c>
      <c r="D19" s="8">
        <v>0</v>
      </c>
      <c r="E19" s="8">
        <f t="shared" si="1"/>
        <v>4365.63</v>
      </c>
      <c r="F19" s="8">
        <f t="shared" si="2"/>
        <v>4365.63</v>
      </c>
      <c r="J19" s="114"/>
    </row>
    <row r="20" spans="1:10">
      <c r="A20" s="31">
        <f t="shared" si="0"/>
        <v>13</v>
      </c>
      <c r="B20" s="39" t="s">
        <v>26</v>
      </c>
      <c r="C20" s="8">
        <v>3957854.17</v>
      </c>
      <c r="D20" s="437">
        <f>('Adj List'!E12+'Adj List'!E13+'Adj List'!E14+'Adj List'!E15+'Adj List'!E18+'Adj List'!E20+'Adj List'!E22+'Adj List'!E23)</f>
        <v>-23524.475099743115</v>
      </c>
      <c r="E20" s="8">
        <f t="shared" si="1"/>
        <v>3934329.6949002566</v>
      </c>
      <c r="F20" s="8">
        <f t="shared" si="2"/>
        <v>3934329.6949002566</v>
      </c>
      <c r="J20" s="114"/>
    </row>
    <row r="21" spans="1:10">
      <c r="A21" s="31">
        <f t="shared" si="0"/>
        <v>14</v>
      </c>
      <c r="B21" s="57" t="s">
        <v>27</v>
      </c>
      <c r="C21" s="10">
        <f>SUM(C14:C20)</f>
        <v>87132925.349999994</v>
      </c>
      <c r="D21" s="10">
        <f t="shared" ref="D21:F21" si="3">SUM(D14:D20)</f>
        <v>-12197137.935099743</v>
      </c>
      <c r="E21" s="10">
        <f>SUM(E14:E20)</f>
        <v>74935787.414900258</v>
      </c>
      <c r="F21" s="10">
        <f t="shared" si="3"/>
        <v>74935787.414900258</v>
      </c>
      <c r="J21" s="114"/>
    </row>
    <row r="22" spans="1:10">
      <c r="A22" s="31">
        <f t="shared" si="0"/>
        <v>15</v>
      </c>
      <c r="C22" s="8"/>
      <c r="D22" s="8"/>
      <c r="E22" s="8"/>
      <c r="F22" s="8"/>
      <c r="J22" s="114"/>
    </row>
    <row r="23" spans="1:10">
      <c r="A23" s="31">
        <f t="shared" si="0"/>
        <v>16</v>
      </c>
      <c r="B23" s="39" t="s">
        <v>28</v>
      </c>
      <c r="C23" s="8">
        <v>7326399.9100000001</v>
      </c>
      <c r="D23" s="8">
        <f>'Adj List'!E19</f>
        <v>-16250.454999999783</v>
      </c>
      <c r="E23" s="8">
        <f>C23+D23</f>
        <v>7310149.4550000001</v>
      </c>
      <c r="F23" s="8">
        <f>E23</f>
        <v>7310149.4550000001</v>
      </c>
      <c r="J23" s="114"/>
    </row>
    <row r="24" spans="1:10">
      <c r="A24" s="31">
        <f t="shared" si="0"/>
        <v>17</v>
      </c>
      <c r="B24" s="39" t="s">
        <v>29</v>
      </c>
      <c r="C24" s="8">
        <v>67856</v>
      </c>
      <c r="D24" s="8">
        <v>0</v>
      </c>
      <c r="E24" s="8">
        <f>C24+D24</f>
        <v>67856</v>
      </c>
      <c r="F24" s="8">
        <f t="shared" ref="F24:F27" si="4">E24</f>
        <v>67856</v>
      </c>
      <c r="J24" s="114"/>
    </row>
    <row r="25" spans="1:10">
      <c r="A25" s="31">
        <f t="shared" si="0"/>
        <v>18</v>
      </c>
      <c r="B25" s="39" t="s">
        <v>30</v>
      </c>
      <c r="C25" s="8">
        <v>2368869.5</v>
      </c>
      <c r="D25" s="8">
        <f>'1.09 Int Exp'!F53</f>
        <v>288997.69555349974</v>
      </c>
      <c r="E25" s="8">
        <f>C25+D25</f>
        <v>2657867.1955534997</v>
      </c>
      <c r="F25" s="8">
        <f t="shared" si="4"/>
        <v>2657867.1955534997</v>
      </c>
      <c r="J25" s="114"/>
    </row>
    <row r="26" spans="1:10">
      <c r="A26" s="31">
        <f t="shared" si="0"/>
        <v>19</v>
      </c>
      <c r="B26" s="39" t="s">
        <v>31</v>
      </c>
      <c r="C26" s="8">
        <v>153310.46</v>
      </c>
      <c r="D26" s="8">
        <f>'1.09 Int Exp'!F62</f>
        <v>-3575.34</v>
      </c>
      <c r="E26" s="8">
        <f>C26+D26</f>
        <v>149735.12</v>
      </c>
      <c r="F26" s="8">
        <f t="shared" si="4"/>
        <v>149735.12</v>
      </c>
      <c r="J26" s="114"/>
    </row>
    <row r="27" spans="1:10">
      <c r="A27" s="31">
        <f t="shared" si="0"/>
        <v>20</v>
      </c>
      <c r="B27" s="39" t="s">
        <v>32</v>
      </c>
      <c r="C27" s="8">
        <v>1413.4</v>
      </c>
      <c r="D27" s="8">
        <v>0</v>
      </c>
      <c r="E27" s="8">
        <f>C27+D27</f>
        <v>1413.4</v>
      </c>
      <c r="F27" s="8">
        <f t="shared" si="4"/>
        <v>1413.4</v>
      </c>
      <c r="J27" s="114"/>
    </row>
    <row r="28" spans="1:10">
      <c r="A28" s="31">
        <f t="shared" si="0"/>
        <v>21</v>
      </c>
      <c r="C28" s="8"/>
      <c r="D28" s="8"/>
      <c r="E28" s="8"/>
      <c r="F28" s="8"/>
      <c r="J28" s="114"/>
    </row>
    <row r="29" spans="1:10">
      <c r="A29" s="31">
        <f t="shared" si="0"/>
        <v>22</v>
      </c>
      <c r="B29" s="332" t="s">
        <v>33</v>
      </c>
      <c r="C29" s="212">
        <f t="shared" ref="C29:F29" si="5">SUM(C21:C27)</f>
        <v>97050774.61999999</v>
      </c>
      <c r="D29" s="212">
        <f t="shared" si="5"/>
        <v>-11927966.034546243</v>
      </c>
      <c r="E29" s="212">
        <f t="shared" si="5"/>
        <v>85122808.585453764</v>
      </c>
      <c r="F29" s="212">
        <f t="shared" si="5"/>
        <v>85122808.585453764</v>
      </c>
      <c r="J29" s="114"/>
    </row>
    <row r="30" spans="1:10">
      <c r="A30" s="31">
        <f t="shared" si="0"/>
        <v>23</v>
      </c>
      <c r="C30" s="8">
        <f>C29-C25-C26-C27</f>
        <v>94527181.25999999</v>
      </c>
      <c r="D30" s="8">
        <f t="shared" ref="D30:E30" si="6">D29-D25-D26-D27</f>
        <v>-12213388.390099743</v>
      </c>
      <c r="E30" s="8">
        <f t="shared" si="6"/>
        <v>82313792.869900256</v>
      </c>
      <c r="F30" s="8"/>
      <c r="H30" s="317"/>
      <c r="J30" s="114"/>
    </row>
    <row r="31" spans="1:10" ht="13.5" thickBot="1">
      <c r="A31" s="31">
        <f t="shared" si="0"/>
        <v>24</v>
      </c>
      <c r="B31" s="42" t="s">
        <v>34</v>
      </c>
      <c r="C31" s="213">
        <f t="shared" ref="C31:F31" si="7">C11-C29</f>
        <v>-1669306.9999999851</v>
      </c>
      <c r="D31" s="213">
        <f t="shared" si="7"/>
        <v>-1142229.6654537544</v>
      </c>
      <c r="E31" s="213">
        <f t="shared" si="7"/>
        <v>-2811536.6654537618</v>
      </c>
      <c r="F31" s="213">
        <f t="shared" si="7"/>
        <v>2228254.5955535024</v>
      </c>
      <c r="J31" s="114"/>
    </row>
    <row r="32" spans="1:10" ht="13.5" thickTop="1">
      <c r="A32" s="31">
        <f t="shared" si="0"/>
        <v>25</v>
      </c>
      <c r="C32" s="8"/>
      <c r="D32" s="8"/>
      <c r="E32" s="8"/>
      <c r="F32" s="8"/>
      <c r="J32" s="114"/>
    </row>
    <row r="33" spans="1:10">
      <c r="A33" s="31">
        <f t="shared" si="0"/>
        <v>26</v>
      </c>
      <c r="B33" s="39" t="s">
        <v>35</v>
      </c>
      <c r="C33" s="8">
        <v>308201.2</v>
      </c>
      <c r="D33" s="8">
        <v>0</v>
      </c>
      <c r="E33" s="8">
        <f>C33+D33</f>
        <v>308201.2</v>
      </c>
      <c r="F33" s="8">
        <f>E33</f>
        <v>308201.2</v>
      </c>
      <c r="J33" s="114"/>
    </row>
    <row r="34" spans="1:10">
      <c r="A34" s="31" t="s">
        <v>36</v>
      </c>
      <c r="B34" s="39" t="s">
        <v>37</v>
      </c>
      <c r="C34" s="8">
        <v>0</v>
      </c>
      <c r="D34" s="8">
        <v>0</v>
      </c>
      <c r="E34" s="8">
        <f>C34+D34</f>
        <v>0</v>
      </c>
      <c r="F34" s="8">
        <f>E34</f>
        <v>0</v>
      </c>
      <c r="J34" s="114"/>
    </row>
    <row r="35" spans="1:10">
      <c r="A35" s="31">
        <f>A33+1</f>
        <v>27</v>
      </c>
      <c r="B35" s="39" t="s">
        <v>38</v>
      </c>
      <c r="C35" s="8">
        <v>1498.7</v>
      </c>
      <c r="D35" s="8">
        <v>0</v>
      </c>
      <c r="E35" s="8">
        <f>C35+D35</f>
        <v>1498.7</v>
      </c>
      <c r="F35" s="8">
        <f>E35</f>
        <v>1498.7</v>
      </c>
      <c r="J35" s="114"/>
    </row>
    <row r="36" spans="1:10">
      <c r="A36" s="31">
        <f t="shared" si="0"/>
        <v>28</v>
      </c>
      <c r="B36" s="39" t="s">
        <v>39</v>
      </c>
      <c r="C36" s="8">
        <v>0</v>
      </c>
      <c r="D36" s="8">
        <v>0</v>
      </c>
      <c r="E36" s="8">
        <f>C36+D36</f>
        <v>0</v>
      </c>
      <c r="F36" s="214">
        <f>E36</f>
        <v>0</v>
      </c>
      <c r="J36" s="114"/>
    </row>
    <row r="37" spans="1:10">
      <c r="A37" s="31">
        <f t="shared" si="0"/>
        <v>29</v>
      </c>
      <c r="B37" s="39" t="s">
        <v>40</v>
      </c>
      <c r="C37" s="8">
        <v>119912.7</v>
      </c>
      <c r="D37" s="8">
        <f>'Adj IS'!S37</f>
        <v>0</v>
      </c>
      <c r="E37" s="8">
        <f>C37+D37</f>
        <v>119912.7</v>
      </c>
      <c r="F37" s="8">
        <f>E37</f>
        <v>119912.7</v>
      </c>
      <c r="J37" s="114"/>
    </row>
    <row r="38" spans="1:10">
      <c r="A38" s="31">
        <f t="shared" si="0"/>
        <v>30</v>
      </c>
      <c r="C38" s="8"/>
      <c r="D38" s="8"/>
      <c r="E38" s="8"/>
      <c r="F38" s="8"/>
      <c r="J38" s="114"/>
    </row>
    <row r="39" spans="1:10" ht="13.5" thickBot="1">
      <c r="A39" s="31">
        <f t="shared" si="0"/>
        <v>31</v>
      </c>
      <c r="B39" s="42" t="s">
        <v>41</v>
      </c>
      <c r="C39" s="213">
        <f t="shared" ref="C39:F39" si="8">C31+SUM(C33:C37)</f>
        <v>-1239694.399999985</v>
      </c>
      <c r="D39" s="213">
        <f t="shared" si="8"/>
        <v>-1142229.6654537544</v>
      </c>
      <c r="E39" s="213">
        <f t="shared" si="8"/>
        <v>-2381924.0654537617</v>
      </c>
      <c r="F39" s="213">
        <f t="shared" si="8"/>
        <v>2657867.1955535025</v>
      </c>
      <c r="J39" s="114"/>
    </row>
    <row r="40" spans="1:10" ht="13.5" thickTop="1">
      <c r="A40" s="31">
        <f t="shared" si="0"/>
        <v>32</v>
      </c>
      <c r="C40" s="8"/>
      <c r="D40" s="8"/>
      <c r="E40" s="8"/>
      <c r="F40" s="8"/>
      <c r="J40" s="114"/>
    </row>
    <row r="41" spans="1:10">
      <c r="A41" s="31">
        <f t="shared" si="0"/>
        <v>33</v>
      </c>
      <c r="B41" s="39" t="s">
        <v>42</v>
      </c>
      <c r="C41" s="8">
        <v>72253.88</v>
      </c>
      <c r="D41" s="8"/>
      <c r="E41" s="8">
        <f>C41</f>
        <v>72253.88</v>
      </c>
      <c r="F41" s="8">
        <f>C41</f>
        <v>72253.88</v>
      </c>
      <c r="J41" s="114"/>
    </row>
    <row r="42" spans="1:10">
      <c r="A42" s="31">
        <f t="shared" si="0"/>
        <v>34</v>
      </c>
      <c r="B42" s="39" t="s">
        <v>43</v>
      </c>
      <c r="C42" s="215">
        <f>(C31+C41+C25)/C25</f>
        <v>0.32581633559806261</v>
      </c>
      <c r="D42" s="8"/>
      <c r="E42" s="215">
        <f>(E31+E41+E25)/E25</f>
        <v>-3.0631925491411704E-2</v>
      </c>
      <c r="F42" s="215">
        <f>(F31+F41+F25)/F25</f>
        <v>1.865546811143219</v>
      </c>
      <c r="J42" s="114"/>
    </row>
    <row r="43" spans="1:10">
      <c r="A43" s="31">
        <f t="shared" si="0"/>
        <v>35</v>
      </c>
      <c r="B43" s="39" t="s">
        <v>44</v>
      </c>
      <c r="C43" s="215">
        <f>(C39+C25)/C25</f>
        <v>0.47667256469806168</v>
      </c>
      <c r="D43" s="8"/>
      <c r="E43" s="215">
        <f>(E39+E25)/E25</f>
        <v>0.10382126336537029</v>
      </c>
      <c r="F43" s="216">
        <f>(F39+F25)/F25</f>
        <v>2.0000000000000009</v>
      </c>
      <c r="J43" s="114"/>
    </row>
    <row r="44" spans="1:10">
      <c r="A44" s="31">
        <f t="shared" si="0"/>
        <v>36</v>
      </c>
      <c r="B44" s="39" t="s">
        <v>45</v>
      </c>
      <c r="C44" s="215">
        <f>(C25+C39-C36)/C25</f>
        <v>0.47667256469806168</v>
      </c>
      <c r="D44" s="8"/>
      <c r="E44" s="215">
        <f>(E25+E39-E36)/E25</f>
        <v>0.10382126336537029</v>
      </c>
      <c r="F44" s="215">
        <f>(F25+F39-F36)/F25</f>
        <v>2.0000000000000009</v>
      </c>
      <c r="J44" s="114"/>
    </row>
    <row r="45" spans="1:10">
      <c r="A45" s="31">
        <f t="shared" si="0"/>
        <v>37</v>
      </c>
      <c r="D45" s="8"/>
      <c r="J45" s="114"/>
    </row>
    <row r="46" spans="1:10">
      <c r="A46" s="31">
        <f t="shared" si="0"/>
        <v>38</v>
      </c>
      <c r="B46" s="39" t="s">
        <v>46</v>
      </c>
      <c r="C46" s="215">
        <v>2</v>
      </c>
      <c r="D46" s="8"/>
      <c r="E46" s="215">
        <f>C46</f>
        <v>2</v>
      </c>
      <c r="F46" s="215">
        <v>2</v>
      </c>
      <c r="J46" s="114"/>
    </row>
    <row r="47" spans="1:10">
      <c r="A47" s="31">
        <f t="shared" si="0"/>
        <v>39</v>
      </c>
      <c r="B47" s="39" t="s">
        <v>47</v>
      </c>
      <c r="C47" s="8">
        <f>C46*C25-C25</f>
        <v>2368869.5</v>
      </c>
      <c r="D47" s="8"/>
      <c r="E47" s="8">
        <f>E46*E25-E25</f>
        <v>2657867.1955534997</v>
      </c>
      <c r="F47" s="8">
        <f>F46*F25-F25</f>
        <v>2657867.1955534997</v>
      </c>
      <c r="J47" s="114"/>
    </row>
    <row r="48" spans="1:10">
      <c r="A48" s="31">
        <f t="shared" si="0"/>
        <v>40</v>
      </c>
      <c r="B48" s="39" t="s">
        <v>48</v>
      </c>
      <c r="C48" s="8">
        <f>C29+C47</f>
        <v>99419644.11999999</v>
      </c>
      <c r="D48" s="8"/>
      <c r="E48" s="8">
        <f>E29+E47</f>
        <v>87780675.78100726</v>
      </c>
      <c r="F48" s="8">
        <f>F29+F47</f>
        <v>87780675.78100726</v>
      </c>
      <c r="J48" s="114"/>
    </row>
    <row r="49" spans="1:12">
      <c r="A49" s="31">
        <f t="shared" si="0"/>
        <v>41</v>
      </c>
      <c r="B49" s="39" t="s">
        <v>49</v>
      </c>
      <c r="C49" s="8">
        <f>C47-C39</f>
        <v>3608563.899999985</v>
      </c>
      <c r="D49" s="8"/>
      <c r="E49" s="14">
        <f>E47-E39</f>
        <v>5039791.2610072615</v>
      </c>
      <c r="F49" s="8">
        <f>F47-F39</f>
        <v>0</v>
      </c>
      <c r="J49" s="114"/>
    </row>
    <row r="50" spans="1:12">
      <c r="A50" s="31">
        <f t="shared" si="0"/>
        <v>42</v>
      </c>
      <c r="C50" s="8"/>
      <c r="D50" s="340" t="s">
        <v>630</v>
      </c>
      <c r="E50" s="8">
        <f>E49</f>
        <v>5039791.2610072615</v>
      </c>
      <c r="F50" s="8"/>
      <c r="H50" s="333" t="s">
        <v>691</v>
      </c>
      <c r="I50" s="333" t="s">
        <v>692</v>
      </c>
      <c r="J50" s="333" t="s">
        <v>702</v>
      </c>
      <c r="L50" s="333" t="s">
        <v>692</v>
      </c>
    </row>
    <row r="51" spans="1:12">
      <c r="A51" s="31">
        <f t="shared" si="0"/>
        <v>43</v>
      </c>
      <c r="C51" s="317"/>
      <c r="D51" s="333" t="s">
        <v>629</v>
      </c>
      <c r="E51" s="26"/>
      <c r="F51" s="45">
        <f>F39-E39</f>
        <v>5039791.2610072643</v>
      </c>
      <c r="H51" s="388">
        <v>5586197.2118120641</v>
      </c>
      <c r="I51" s="317">
        <f>F51-H51</f>
        <v>-546405.9508047998</v>
      </c>
      <c r="J51" s="39">
        <v>4641646.7118120641</v>
      </c>
      <c r="L51" s="317">
        <f>F51-J51</f>
        <v>398144.5491952002</v>
      </c>
    </row>
    <row r="52" spans="1:12">
      <c r="E52" s="317"/>
      <c r="J52" s="114"/>
    </row>
    <row r="53" spans="1:12">
      <c r="J53" s="114"/>
    </row>
    <row r="54" spans="1:12">
      <c r="J54" s="114"/>
    </row>
    <row r="55" spans="1:12">
      <c r="J55" s="114"/>
    </row>
  </sheetData>
  <pageMargins left="0.7" right="0.7" top="0.75" bottom="0.75" header="0.3" footer="0.3"/>
  <pageSetup scale="94" orientation="portrait" r:id="rId1"/>
  <headerFooter>
    <oddFooter>&amp;RExhibit  JW-2
Page &amp;P of &amp;N</oddFooter>
  </headerFooter>
  <ignoredErrors>
    <ignoredError sqref="E7:F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0C3-B0F7-4D5F-A5C7-1EB2179421DB}">
  <sheetPr>
    <pageSetUpPr fitToPage="1"/>
  </sheetPr>
  <dimension ref="A1:G34"/>
  <sheetViews>
    <sheetView view="pageBreakPreview" zoomScale="75" zoomScaleNormal="75" zoomScaleSheetLayoutView="75" workbookViewId="0">
      <selection activeCell="K15" sqref="K15"/>
    </sheetView>
  </sheetViews>
  <sheetFormatPr defaultColWidth="9.140625" defaultRowHeight="14.25"/>
  <cols>
    <col min="1" max="1" width="8.140625" style="170" customWidth="1"/>
    <col min="2" max="2" width="15" style="170" customWidth="1"/>
    <col min="3" max="3" width="13.42578125" style="170" customWidth="1"/>
    <col min="4" max="4" width="20.7109375" style="170" customWidth="1"/>
    <col min="5" max="5" width="11.42578125" style="172" customWidth="1"/>
    <col min="6" max="6" width="2.28515625" style="170" customWidth="1"/>
    <col min="7" max="16384" width="9.140625" style="170"/>
  </cols>
  <sheetData>
    <row r="1" spans="1:7" s="2" customFormat="1" ht="15" customHeight="1">
      <c r="E1" s="27" t="s">
        <v>504</v>
      </c>
    </row>
    <row r="2" spans="1:7" s="2" customFormat="1" ht="20.25" customHeight="1">
      <c r="E2" s="4"/>
    </row>
    <row r="3" spans="1:7" s="2" customFormat="1" ht="12.75">
      <c r="E3" s="4"/>
    </row>
    <row r="4" spans="1:7" s="2" customFormat="1" ht="12.75">
      <c r="A4" s="410" t="s">
        <v>0</v>
      </c>
      <c r="B4" s="410"/>
      <c r="C4" s="410"/>
      <c r="D4" s="410"/>
      <c r="E4" s="410"/>
    </row>
    <row r="5" spans="1:7" s="2" customFormat="1" ht="12.75">
      <c r="A5" s="410" t="str">
        <f>RevReq!A3</f>
        <v>For the 12 Months Ended August 31, 2023</v>
      </c>
      <c r="B5" s="410"/>
      <c r="C5" s="410"/>
      <c r="D5" s="410"/>
      <c r="E5" s="410"/>
      <c r="F5" s="190"/>
    </row>
    <row r="6" spans="1:7" s="2" customFormat="1" ht="12.75">
      <c r="E6" s="4"/>
    </row>
    <row r="7" spans="1:7" s="28" customFormat="1" ht="15" customHeight="1">
      <c r="A7" s="408" t="s">
        <v>508</v>
      </c>
      <c r="B7" s="408"/>
      <c r="C7" s="408"/>
      <c r="D7" s="408"/>
      <c r="E7" s="4"/>
      <c r="F7" s="2"/>
    </row>
    <row r="8" spans="1:7" s="2" customFormat="1" ht="12.75">
      <c r="E8" s="4"/>
    </row>
    <row r="9" spans="1:7">
      <c r="D9" s="300" t="s">
        <v>554</v>
      </c>
      <c r="E9" s="4"/>
      <c r="F9" s="2"/>
    </row>
    <row r="10" spans="1:7" ht="15">
      <c r="A10" s="292" t="s">
        <v>11</v>
      </c>
      <c r="B10" s="298" t="s">
        <v>555</v>
      </c>
      <c r="C10" s="298"/>
      <c r="D10" s="301" t="s">
        <v>489</v>
      </c>
      <c r="E10" s="301" t="s">
        <v>293</v>
      </c>
      <c r="F10" s="2"/>
      <c r="G10" s="171"/>
    </row>
    <row r="11" spans="1:7">
      <c r="A11" s="189">
        <v>1</v>
      </c>
      <c r="B11" s="271">
        <v>1</v>
      </c>
      <c r="C11" s="172"/>
      <c r="D11" s="202">
        <f>+-4669.6</f>
        <v>-4669.6000000000004</v>
      </c>
      <c r="E11" s="341">
        <v>583</v>
      </c>
      <c r="F11" s="2"/>
    </row>
    <row r="12" spans="1:7">
      <c r="A12" s="189">
        <f>A11+1</f>
        <v>2</v>
      </c>
      <c r="B12" s="271">
        <v>2</v>
      </c>
      <c r="C12" s="172"/>
      <c r="D12" s="178">
        <v>-2318.14</v>
      </c>
      <c r="E12" s="341">
        <v>583.20000000000005</v>
      </c>
      <c r="F12" s="2"/>
    </row>
    <row r="13" spans="1:7">
      <c r="A13" s="189">
        <f t="shared" ref="A13:A18" si="0">A12+1</f>
        <v>3</v>
      </c>
      <c r="B13" s="271">
        <v>3</v>
      </c>
      <c r="C13" s="172"/>
      <c r="D13" s="178">
        <v>-2725.08</v>
      </c>
      <c r="E13" s="341">
        <v>163</v>
      </c>
      <c r="F13" s="2"/>
    </row>
    <row r="14" spans="1:7">
      <c r="A14" s="189">
        <f t="shared" si="0"/>
        <v>4</v>
      </c>
      <c r="B14" s="271">
        <v>4</v>
      </c>
      <c r="C14" s="172"/>
      <c r="D14" s="178">
        <v>-2171.73</v>
      </c>
      <c r="E14" s="341">
        <v>588</v>
      </c>
      <c r="F14" s="2"/>
    </row>
    <row r="15" spans="1:7">
      <c r="A15" s="189">
        <f t="shared" si="0"/>
        <v>5</v>
      </c>
      <c r="B15" s="271">
        <v>5</v>
      </c>
      <c r="C15" s="172"/>
      <c r="D15" s="178">
        <v>-2503.87</v>
      </c>
      <c r="E15" s="341">
        <v>583</v>
      </c>
      <c r="F15" s="2"/>
    </row>
    <row r="16" spans="1:7">
      <c r="A16" s="189">
        <f t="shared" si="0"/>
        <v>6</v>
      </c>
      <c r="B16" s="271">
        <v>6</v>
      </c>
      <c r="C16" s="172"/>
      <c r="D16" s="178">
        <v>-2789.47</v>
      </c>
      <c r="E16" s="341">
        <v>920</v>
      </c>
      <c r="F16" s="2"/>
    </row>
    <row r="17" spans="1:6">
      <c r="A17" s="189">
        <f t="shared" si="0"/>
        <v>7</v>
      </c>
      <c r="B17" s="271">
        <v>7</v>
      </c>
      <c r="C17" s="172"/>
      <c r="D17" s="178">
        <v>-4885.7299999999996</v>
      </c>
      <c r="E17" s="341">
        <v>583</v>
      </c>
      <c r="F17" s="2"/>
    </row>
    <row r="18" spans="1:6">
      <c r="A18" s="189">
        <f t="shared" si="0"/>
        <v>8</v>
      </c>
      <c r="B18" s="241" t="s">
        <v>57</v>
      </c>
      <c r="C18" s="241"/>
      <c r="D18" s="240">
        <f>SUM(D11:D17)</f>
        <v>-22063.62</v>
      </c>
      <c r="E18" s="267"/>
      <c r="F18" s="2"/>
    </row>
    <row r="19" spans="1:6">
      <c r="E19" s="4"/>
      <c r="F19" s="2"/>
    </row>
    <row r="20" spans="1:6" ht="45" customHeight="1">
      <c r="A20" s="412" t="s">
        <v>509</v>
      </c>
      <c r="B20" s="412"/>
      <c r="C20" s="412"/>
      <c r="D20" s="412"/>
      <c r="E20" s="4"/>
      <c r="F20" s="2"/>
    </row>
    <row r="21" spans="1:6" ht="45.6" customHeight="1">
      <c r="A21" s="412" t="s">
        <v>510</v>
      </c>
      <c r="B21" s="412"/>
      <c r="C21" s="412"/>
      <c r="D21" s="412"/>
      <c r="E21" s="4"/>
      <c r="F21" s="2"/>
    </row>
    <row r="22" spans="1:6">
      <c r="A22" s="148"/>
      <c r="B22" s="148"/>
      <c r="C22" s="148"/>
      <c r="D22" s="148"/>
      <c r="E22" s="4"/>
      <c r="F22" s="2"/>
    </row>
    <row r="23" spans="1:6">
      <c r="A23" s="148"/>
      <c r="B23" s="298" t="s">
        <v>84</v>
      </c>
      <c r="C23" s="301" t="s">
        <v>57</v>
      </c>
      <c r="D23" s="148"/>
      <c r="E23" s="268"/>
    </row>
    <row r="24" spans="1:6" ht="15">
      <c r="A24" s="171"/>
      <c r="B24" s="172">
        <v>583</v>
      </c>
      <c r="C24" s="178">
        <f>+D11+D15+D17</f>
        <v>-12059.2</v>
      </c>
      <c r="D24" s="171"/>
      <c r="E24" s="171"/>
    </row>
    <row r="25" spans="1:6" ht="15">
      <c r="A25" s="171"/>
      <c r="B25" s="172">
        <v>583.20000000000005</v>
      </c>
      <c r="C25" s="178">
        <f>+D12</f>
        <v>-2318.14</v>
      </c>
      <c r="D25" s="171"/>
      <c r="E25" s="171"/>
    </row>
    <row r="26" spans="1:6">
      <c r="A26" s="172"/>
      <c r="B26" s="172">
        <v>588</v>
      </c>
      <c r="C26" s="178">
        <f>+D14</f>
        <v>-2171.73</v>
      </c>
      <c r="D26" s="242"/>
      <c r="E26" s="269"/>
    </row>
    <row r="27" spans="1:6">
      <c r="A27" s="172"/>
      <c r="B27" s="172">
        <v>920</v>
      </c>
      <c r="C27" s="178">
        <f>+D16</f>
        <v>-2789.47</v>
      </c>
      <c r="D27" s="243"/>
      <c r="E27" s="269"/>
    </row>
    <row r="28" spans="1:6">
      <c r="A28" s="172"/>
      <c r="B28" s="243"/>
      <c r="C28" s="265">
        <f>SUM(C24:C27)</f>
        <v>-19338.54</v>
      </c>
      <c r="D28" s="243"/>
      <c r="E28" s="269"/>
    </row>
    <row r="29" spans="1:6">
      <c r="A29" s="172"/>
      <c r="B29" s="172">
        <v>163</v>
      </c>
      <c r="C29" s="186">
        <f>+D13</f>
        <v>-2725.08</v>
      </c>
      <c r="D29" s="243"/>
      <c r="E29" s="269"/>
    </row>
    <row r="30" spans="1:6" ht="15" thickBot="1">
      <c r="A30" s="172"/>
      <c r="B30" s="243" t="s">
        <v>57</v>
      </c>
      <c r="C30" s="342">
        <f>+C28+C29</f>
        <v>-22063.620000000003</v>
      </c>
      <c r="D30" s="243"/>
      <c r="E30" s="269"/>
    </row>
    <row r="31" spans="1:6" ht="15" thickTop="1">
      <c r="A31" s="172"/>
      <c r="B31" s="243"/>
      <c r="C31" s="243"/>
      <c r="D31" s="243"/>
      <c r="E31" s="269"/>
    </row>
    <row r="32" spans="1:6">
      <c r="A32" s="172"/>
      <c r="B32" s="174"/>
      <c r="C32" s="174"/>
      <c r="D32" s="174"/>
      <c r="E32" s="270"/>
    </row>
    <row r="34" spans="2:5">
      <c r="B34" s="174"/>
      <c r="C34" s="174"/>
      <c r="D34" s="174"/>
      <c r="E34" s="270"/>
    </row>
  </sheetData>
  <mergeCells count="5">
    <mergeCell ref="A7:D7"/>
    <mergeCell ref="A20:D20"/>
    <mergeCell ref="A21:D21"/>
    <mergeCell ref="A5:E5"/>
    <mergeCell ref="A4:E4"/>
  </mergeCells>
  <printOptions horizontalCentered="1"/>
  <pageMargins left="0.7" right="0.7" top="0.75" bottom="0.75" header="0.3" footer="0.3"/>
  <pageSetup orientation="landscape" r:id="rId1"/>
  <headerFooter>
    <oddFooter>&amp;RExhibit JW-2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A24BB-8746-4277-84FD-095041CB9A60}">
  <dimension ref="A1:O119"/>
  <sheetViews>
    <sheetView view="pageBreakPreview" zoomScaleNormal="100" zoomScaleSheetLayoutView="100" workbookViewId="0">
      <selection activeCell="E76" sqref="E76"/>
    </sheetView>
  </sheetViews>
  <sheetFormatPr defaultColWidth="9.140625" defaultRowHeight="12.75"/>
  <cols>
    <col min="1" max="1" width="11.5703125" style="2" customWidth="1"/>
    <col min="2" max="2" width="14.5703125" style="2" customWidth="1"/>
    <col min="3" max="3" width="12.42578125" style="2" customWidth="1"/>
    <col min="4" max="8" width="16.85546875" style="2" customWidth="1"/>
    <col min="9" max="9" width="9.140625" style="2"/>
    <col min="10" max="10" width="11.28515625" style="2" bestFit="1" customWidth="1"/>
    <col min="11" max="11" width="9.140625" style="2"/>
    <col min="12" max="12" width="11.28515625" style="2" bestFit="1" customWidth="1"/>
    <col min="13" max="16384" width="9.140625" style="2"/>
  </cols>
  <sheetData>
    <row r="1" spans="1:15" ht="15" customHeight="1">
      <c r="G1" s="27"/>
      <c r="H1" s="27" t="s">
        <v>507</v>
      </c>
    </row>
    <row r="2" spans="1:15" ht="20.25" customHeight="1">
      <c r="G2" s="27"/>
      <c r="H2" s="27"/>
    </row>
    <row r="3" spans="1:15">
      <c r="G3" s="27"/>
      <c r="H3" s="27"/>
    </row>
    <row r="4" spans="1:15">
      <c r="A4" s="410" t="s">
        <v>0</v>
      </c>
      <c r="B4" s="410"/>
      <c r="C4" s="410"/>
      <c r="D4" s="410"/>
      <c r="E4" s="410"/>
      <c r="F4" s="410"/>
      <c r="G4" s="410"/>
      <c r="H4" s="410"/>
      <c r="I4" s="190"/>
      <c r="J4" s="190"/>
      <c r="K4" s="190"/>
      <c r="L4" s="190"/>
      <c r="M4" s="190"/>
      <c r="N4" s="190"/>
      <c r="O4" s="190"/>
    </row>
    <row r="5" spans="1:15">
      <c r="A5" s="410" t="str">
        <f>RevReq!A3</f>
        <v>For the 12 Months Ended August 31, 2023</v>
      </c>
      <c r="B5" s="410"/>
      <c r="C5" s="410"/>
      <c r="D5" s="410"/>
      <c r="E5" s="410"/>
      <c r="F5" s="410"/>
      <c r="G5" s="410"/>
      <c r="H5" s="410"/>
      <c r="I5" s="190"/>
      <c r="J5" s="190"/>
      <c r="K5" s="190"/>
      <c r="L5" s="190"/>
    </row>
    <row r="7" spans="1:15" s="28" customFormat="1" ht="15" customHeight="1">
      <c r="A7" s="408" t="s">
        <v>96</v>
      </c>
      <c r="B7" s="408"/>
      <c r="C7" s="408"/>
      <c r="D7" s="408"/>
      <c r="E7" s="408"/>
      <c r="F7" s="408"/>
      <c r="G7" s="408"/>
      <c r="H7" s="408"/>
      <c r="I7" s="96"/>
      <c r="J7" s="96"/>
      <c r="K7" s="96"/>
      <c r="L7" s="96"/>
    </row>
    <row r="9" spans="1:15">
      <c r="A9" s="4" t="s">
        <v>86</v>
      </c>
      <c r="B9" s="4" t="s">
        <v>87</v>
      </c>
      <c r="C9" s="4" t="s">
        <v>88</v>
      </c>
      <c r="D9" s="4" t="s">
        <v>62</v>
      </c>
      <c r="E9" s="4" t="s">
        <v>90</v>
      </c>
      <c r="F9" s="4" t="s">
        <v>482</v>
      </c>
      <c r="G9" s="4" t="s">
        <v>483</v>
      </c>
      <c r="H9" s="4" t="s">
        <v>484</v>
      </c>
    </row>
    <row r="10" spans="1:15">
      <c r="A10" s="4"/>
      <c r="B10" s="4"/>
      <c r="C10" s="4"/>
      <c r="D10" s="16"/>
      <c r="E10" s="16"/>
      <c r="F10" s="16"/>
      <c r="G10" s="16" t="s">
        <v>485</v>
      </c>
      <c r="H10" s="16" t="s">
        <v>486</v>
      </c>
      <c r="I10" s="194"/>
    </row>
    <row r="11" spans="1:15" ht="31.5" customHeight="1">
      <c r="A11" s="29" t="s">
        <v>512</v>
      </c>
      <c r="B11" s="302" t="s">
        <v>513</v>
      </c>
      <c r="C11" s="29" t="s">
        <v>474</v>
      </c>
      <c r="D11" s="302" t="s">
        <v>632</v>
      </c>
      <c r="E11" s="302" t="s">
        <v>633</v>
      </c>
      <c r="F11" s="302" t="s">
        <v>475</v>
      </c>
      <c r="G11" s="302" t="s">
        <v>487</v>
      </c>
      <c r="H11" s="302" t="s">
        <v>476</v>
      </c>
      <c r="I11" s="194"/>
    </row>
    <row r="12" spans="1:15">
      <c r="A12" s="4">
        <v>1</v>
      </c>
      <c r="B12" s="253">
        <v>588.59999999999991</v>
      </c>
      <c r="C12" s="4">
        <v>920</v>
      </c>
      <c r="D12" s="253">
        <v>68.069999999999993</v>
      </c>
      <c r="E12" s="223">
        <f>+D12*2080</f>
        <v>141585.59999999998</v>
      </c>
      <c r="F12" s="253">
        <f>IF(E12&gt;50000,50000,E12)</f>
        <v>50000</v>
      </c>
      <c r="G12" s="253">
        <f>+E12*2</f>
        <v>283171.19999999995</v>
      </c>
      <c r="H12" s="303">
        <f>-((G12-F12)/G12)*B12</f>
        <v>-484.66993931586256</v>
      </c>
      <c r="I12" s="261"/>
      <c r="J12" s="223"/>
      <c r="L12" s="223"/>
    </row>
    <row r="13" spans="1:15">
      <c r="A13" s="4">
        <f>+A12+1</f>
        <v>2</v>
      </c>
      <c r="B13" s="304">
        <v>285.95999999999998</v>
      </c>
      <c r="C13" s="4">
        <v>920</v>
      </c>
      <c r="D13" s="261">
        <v>32.81</v>
      </c>
      <c r="E13" s="261">
        <f>+D13*2080</f>
        <v>68244.800000000003</v>
      </c>
      <c r="F13" s="261">
        <f t="shared" ref="F13:F76" si="0">IF(E13&gt;50000,50000,E13)</f>
        <v>50000</v>
      </c>
      <c r="G13" s="261">
        <f t="shared" ref="G13:G77" si="1">+E13*2</f>
        <v>136489.60000000001</v>
      </c>
      <c r="H13" s="303">
        <f t="shared" ref="H13:H77" si="2">-((G13-F13)/G13)*B13</f>
        <v>-181.20476590157784</v>
      </c>
    </row>
    <row r="14" spans="1:15">
      <c r="A14" s="4">
        <f t="shared" ref="A14:A77" si="3">+A13+1</f>
        <v>3</v>
      </c>
      <c r="B14" s="304">
        <v>368.88</v>
      </c>
      <c r="C14" s="4">
        <v>920</v>
      </c>
      <c r="D14" s="261">
        <v>42.600999999999999</v>
      </c>
      <c r="E14" s="261">
        <f t="shared" ref="E14:E74" si="4">+D14*2080</f>
        <v>88610.08</v>
      </c>
      <c r="F14" s="261">
        <f t="shared" si="0"/>
        <v>50000</v>
      </c>
      <c r="G14" s="261">
        <f t="shared" si="1"/>
        <v>177220.16</v>
      </c>
      <c r="H14" s="303">
        <f t="shared" si="2"/>
        <v>-264.80606168508143</v>
      </c>
    </row>
    <row r="15" spans="1:15">
      <c r="A15" s="4">
        <f t="shared" si="3"/>
        <v>4</v>
      </c>
      <c r="B15" s="304">
        <v>228</v>
      </c>
      <c r="C15" s="4">
        <v>920</v>
      </c>
      <c r="D15" s="261">
        <v>26.15</v>
      </c>
      <c r="E15" s="261">
        <f t="shared" si="4"/>
        <v>54392</v>
      </c>
      <c r="F15" s="261">
        <f t="shared" si="0"/>
        <v>50000</v>
      </c>
      <c r="G15" s="261">
        <f t="shared" si="1"/>
        <v>108784</v>
      </c>
      <c r="H15" s="303">
        <f t="shared" si="2"/>
        <v>-123.20517723194587</v>
      </c>
    </row>
    <row r="16" spans="1:15">
      <c r="A16" s="4">
        <f t="shared" si="3"/>
        <v>5</v>
      </c>
      <c r="B16" s="304">
        <v>319.20000000000005</v>
      </c>
      <c r="C16" s="4">
        <v>925</v>
      </c>
      <c r="D16" s="261">
        <v>36.68</v>
      </c>
      <c r="E16" s="261">
        <f t="shared" si="4"/>
        <v>76294.399999999994</v>
      </c>
      <c r="F16" s="261">
        <f t="shared" si="0"/>
        <v>50000</v>
      </c>
      <c r="G16" s="261">
        <f t="shared" si="1"/>
        <v>152588.79999999999</v>
      </c>
      <c r="H16" s="303">
        <f t="shared" si="2"/>
        <v>-214.60516735173226</v>
      </c>
    </row>
    <row r="17" spans="1:8">
      <c r="A17" s="4">
        <f t="shared" si="3"/>
        <v>6</v>
      </c>
      <c r="B17" s="304">
        <v>398.04</v>
      </c>
      <c r="C17" s="4">
        <v>920</v>
      </c>
      <c r="D17" s="261">
        <v>46.04</v>
      </c>
      <c r="E17" s="261">
        <f t="shared" si="4"/>
        <v>95763.199999999997</v>
      </c>
      <c r="F17" s="261">
        <f t="shared" si="0"/>
        <v>50000</v>
      </c>
      <c r="G17" s="261">
        <f t="shared" si="1"/>
        <v>191526.39999999999</v>
      </c>
      <c r="H17" s="303">
        <f t="shared" si="2"/>
        <v>-294.12743233308828</v>
      </c>
    </row>
    <row r="18" spans="1:8">
      <c r="A18" s="4">
        <f t="shared" si="3"/>
        <v>7</v>
      </c>
      <c r="B18" s="304">
        <v>339.96</v>
      </c>
      <c r="C18" s="4">
        <v>583</v>
      </c>
      <c r="D18" s="261">
        <v>39.28</v>
      </c>
      <c r="E18" s="261">
        <f t="shared" si="4"/>
        <v>81702.400000000009</v>
      </c>
      <c r="F18" s="261">
        <f t="shared" si="0"/>
        <v>50000</v>
      </c>
      <c r="G18" s="261">
        <f t="shared" si="1"/>
        <v>163404.80000000002</v>
      </c>
      <c r="H18" s="303">
        <f t="shared" si="2"/>
        <v>-235.93612799624</v>
      </c>
    </row>
    <row r="19" spans="1:8">
      <c r="A19" s="4">
        <f t="shared" si="3"/>
        <v>8</v>
      </c>
      <c r="B19" s="304">
        <v>339.96</v>
      </c>
      <c r="C19" s="4">
        <v>583</v>
      </c>
      <c r="D19" s="261">
        <v>39.28</v>
      </c>
      <c r="E19" s="261">
        <f t="shared" si="4"/>
        <v>81702.400000000009</v>
      </c>
      <c r="F19" s="261">
        <f t="shared" si="0"/>
        <v>50000</v>
      </c>
      <c r="G19" s="261">
        <f t="shared" si="1"/>
        <v>163404.80000000002</v>
      </c>
      <c r="H19" s="303">
        <f t="shared" si="2"/>
        <v>-235.93612799624</v>
      </c>
    </row>
    <row r="20" spans="1:8">
      <c r="A20" s="4">
        <f t="shared" si="3"/>
        <v>9</v>
      </c>
      <c r="B20" s="304">
        <v>281.88</v>
      </c>
      <c r="C20" s="4">
        <v>920</v>
      </c>
      <c r="D20" s="261">
        <v>32.549999999999997</v>
      </c>
      <c r="E20" s="261">
        <f t="shared" si="4"/>
        <v>67704</v>
      </c>
      <c r="F20" s="261">
        <f t="shared" si="0"/>
        <v>50000</v>
      </c>
      <c r="G20" s="261">
        <f t="shared" si="1"/>
        <v>135408</v>
      </c>
      <c r="H20" s="303">
        <f t="shared" si="2"/>
        <v>-177.79456930166609</v>
      </c>
    </row>
    <row r="21" spans="1:8">
      <c r="A21" s="4">
        <f t="shared" si="3"/>
        <v>10</v>
      </c>
      <c r="B21" s="304">
        <v>339.96</v>
      </c>
      <c r="C21" s="4">
        <v>584</v>
      </c>
      <c r="D21" s="261">
        <v>39.28</v>
      </c>
      <c r="E21" s="261">
        <f t="shared" si="4"/>
        <v>81702.400000000009</v>
      </c>
      <c r="F21" s="261">
        <f t="shared" si="0"/>
        <v>50000</v>
      </c>
      <c r="G21" s="261">
        <f t="shared" si="1"/>
        <v>163404.80000000002</v>
      </c>
      <c r="H21" s="303">
        <f t="shared" si="2"/>
        <v>-235.93612799624</v>
      </c>
    </row>
    <row r="22" spans="1:8">
      <c r="A22" s="4">
        <f t="shared" si="3"/>
        <v>11</v>
      </c>
      <c r="B22" s="304">
        <v>339.96</v>
      </c>
      <c r="C22" s="4">
        <v>593</v>
      </c>
      <c r="D22" s="261">
        <v>39.28</v>
      </c>
      <c r="E22" s="261">
        <f t="shared" si="4"/>
        <v>81702.400000000009</v>
      </c>
      <c r="F22" s="261">
        <f t="shared" si="0"/>
        <v>50000</v>
      </c>
      <c r="G22" s="261">
        <f t="shared" si="1"/>
        <v>163404.80000000002</v>
      </c>
      <c r="H22" s="303">
        <f t="shared" si="2"/>
        <v>-235.93612799624</v>
      </c>
    </row>
    <row r="23" spans="1:8">
      <c r="A23" s="4">
        <f t="shared" si="3"/>
        <v>12</v>
      </c>
      <c r="B23" s="304">
        <v>207.24</v>
      </c>
      <c r="C23" s="4">
        <v>583</v>
      </c>
      <c r="D23" s="261">
        <v>23.56</v>
      </c>
      <c r="E23" s="261">
        <f t="shared" si="4"/>
        <v>49004.799999999996</v>
      </c>
      <c r="F23" s="261">
        <f t="shared" si="0"/>
        <v>49004.799999999996</v>
      </c>
      <c r="G23" s="261">
        <f t="shared" si="1"/>
        <v>98009.599999999991</v>
      </c>
      <c r="H23" s="303">
        <f t="shared" si="2"/>
        <v>-103.62</v>
      </c>
    </row>
    <row r="24" spans="1:8">
      <c r="A24" s="4">
        <f t="shared" si="3"/>
        <v>13</v>
      </c>
      <c r="B24" s="304">
        <v>323.39999999999998</v>
      </c>
      <c r="C24" s="4">
        <v>583</v>
      </c>
      <c r="D24" s="261">
        <v>37.32</v>
      </c>
      <c r="E24" s="261">
        <f t="shared" si="4"/>
        <v>77625.600000000006</v>
      </c>
      <c r="F24" s="261">
        <f t="shared" si="0"/>
        <v>50000</v>
      </c>
      <c r="G24" s="261">
        <f t="shared" si="1"/>
        <v>155251.20000000001</v>
      </c>
      <c r="H24" s="303">
        <f t="shared" si="2"/>
        <v>-219.24621568142467</v>
      </c>
    </row>
    <row r="25" spans="1:8">
      <c r="A25" s="4">
        <f t="shared" si="3"/>
        <v>14</v>
      </c>
      <c r="B25" s="304">
        <v>182.39999999999998</v>
      </c>
      <c r="C25" s="4">
        <v>903</v>
      </c>
      <c r="D25" s="261">
        <v>20.821000000000002</v>
      </c>
      <c r="E25" s="261">
        <f t="shared" si="4"/>
        <v>43307.68</v>
      </c>
      <c r="F25" s="261">
        <f t="shared" si="0"/>
        <v>43307.68</v>
      </c>
      <c r="G25" s="261">
        <f t="shared" si="1"/>
        <v>86615.360000000001</v>
      </c>
      <c r="H25" s="303">
        <f t="shared" si="2"/>
        <v>-91.199999999999989</v>
      </c>
    </row>
    <row r="26" spans="1:8">
      <c r="A26" s="4">
        <f t="shared" si="3"/>
        <v>15</v>
      </c>
      <c r="B26" s="304">
        <v>240.48</v>
      </c>
      <c r="C26" s="4">
        <v>583</v>
      </c>
      <c r="D26" s="261">
        <v>27.49</v>
      </c>
      <c r="E26" s="261">
        <f t="shared" si="4"/>
        <v>57179.199999999997</v>
      </c>
      <c r="F26" s="261">
        <f t="shared" si="0"/>
        <v>50000</v>
      </c>
      <c r="G26" s="261">
        <f t="shared" si="1"/>
        <v>114358.39999999999</v>
      </c>
      <c r="H26" s="303">
        <f t="shared" si="2"/>
        <v>-135.33687103002489</v>
      </c>
    </row>
    <row r="27" spans="1:8">
      <c r="A27" s="4">
        <f t="shared" si="3"/>
        <v>16</v>
      </c>
      <c r="B27" s="304">
        <v>373.08</v>
      </c>
      <c r="C27" s="4">
        <v>584</v>
      </c>
      <c r="D27" s="261">
        <v>43.21</v>
      </c>
      <c r="E27" s="261">
        <f t="shared" si="4"/>
        <v>89876.800000000003</v>
      </c>
      <c r="F27" s="261">
        <f t="shared" si="0"/>
        <v>50000</v>
      </c>
      <c r="G27" s="261">
        <f t="shared" si="1"/>
        <v>179753.60000000001</v>
      </c>
      <c r="H27" s="303">
        <f t="shared" si="2"/>
        <v>-269.30460968792835</v>
      </c>
    </row>
    <row r="28" spans="1:8">
      <c r="A28" s="4">
        <f t="shared" si="3"/>
        <v>17</v>
      </c>
      <c r="B28" s="304">
        <v>186.60000000000002</v>
      </c>
      <c r="C28" s="4">
        <v>903</v>
      </c>
      <c r="D28" s="261">
        <v>21.591000000000001</v>
      </c>
      <c r="E28" s="261">
        <f t="shared" si="4"/>
        <v>44909.279999999999</v>
      </c>
      <c r="F28" s="261">
        <f t="shared" si="0"/>
        <v>44909.279999999999</v>
      </c>
      <c r="G28" s="261">
        <f t="shared" si="1"/>
        <v>89818.559999999998</v>
      </c>
      <c r="H28" s="303">
        <f t="shared" si="2"/>
        <v>-93.300000000000011</v>
      </c>
    </row>
    <row r="29" spans="1:8">
      <c r="A29" s="4">
        <f t="shared" si="3"/>
        <v>18</v>
      </c>
      <c r="B29" s="304">
        <v>373.08</v>
      </c>
      <c r="C29" s="4">
        <v>584</v>
      </c>
      <c r="D29" s="261">
        <v>43.21</v>
      </c>
      <c r="E29" s="261">
        <f t="shared" si="4"/>
        <v>89876.800000000003</v>
      </c>
      <c r="F29" s="261">
        <f t="shared" si="0"/>
        <v>50000</v>
      </c>
      <c r="G29" s="261">
        <f t="shared" si="1"/>
        <v>179753.60000000001</v>
      </c>
      <c r="H29" s="303">
        <f t="shared" si="2"/>
        <v>-269.30460968792835</v>
      </c>
    </row>
    <row r="30" spans="1:8">
      <c r="A30" s="4">
        <f t="shared" si="3"/>
        <v>19</v>
      </c>
      <c r="B30" s="304">
        <v>174.12</v>
      </c>
      <c r="C30" s="4">
        <v>903</v>
      </c>
      <c r="D30" s="261">
        <v>20.03</v>
      </c>
      <c r="E30" s="261">
        <f t="shared" si="4"/>
        <v>41662.400000000001</v>
      </c>
      <c r="F30" s="261">
        <f t="shared" si="0"/>
        <v>41662.400000000001</v>
      </c>
      <c r="G30" s="261">
        <f t="shared" si="1"/>
        <v>83324.800000000003</v>
      </c>
      <c r="H30" s="303">
        <f t="shared" si="2"/>
        <v>-87.06</v>
      </c>
    </row>
    <row r="31" spans="1:8">
      <c r="A31" s="4">
        <f t="shared" si="3"/>
        <v>20</v>
      </c>
      <c r="B31" s="304">
        <v>373.08</v>
      </c>
      <c r="C31" s="4">
        <v>583</v>
      </c>
      <c r="D31" s="261">
        <v>43.21</v>
      </c>
      <c r="E31" s="261">
        <f t="shared" si="4"/>
        <v>89876.800000000003</v>
      </c>
      <c r="F31" s="261">
        <f t="shared" si="0"/>
        <v>50000</v>
      </c>
      <c r="G31" s="261">
        <f t="shared" si="1"/>
        <v>179753.60000000001</v>
      </c>
      <c r="H31" s="303">
        <f t="shared" si="2"/>
        <v>-269.30460968792835</v>
      </c>
    </row>
    <row r="32" spans="1:8">
      <c r="A32" s="4">
        <f t="shared" si="3"/>
        <v>21</v>
      </c>
      <c r="B32" s="304">
        <v>501.72</v>
      </c>
      <c r="C32" s="4">
        <v>583</v>
      </c>
      <c r="D32" s="261">
        <v>58.17</v>
      </c>
      <c r="E32" s="261">
        <f t="shared" si="4"/>
        <v>120993.60000000001</v>
      </c>
      <c r="F32" s="261">
        <f t="shared" si="0"/>
        <v>50000</v>
      </c>
      <c r="G32" s="261">
        <f t="shared" si="1"/>
        <v>241987.20000000001</v>
      </c>
      <c r="H32" s="303">
        <f t="shared" si="2"/>
        <v>-398.05335978101323</v>
      </c>
    </row>
    <row r="33" spans="1:8">
      <c r="A33" s="4">
        <f t="shared" si="3"/>
        <v>22</v>
      </c>
      <c r="B33" s="304">
        <v>1359.84</v>
      </c>
      <c r="C33" s="4">
        <v>920.1</v>
      </c>
      <c r="D33" s="261">
        <v>157.52000000000001</v>
      </c>
      <c r="E33" s="261">
        <f t="shared" si="4"/>
        <v>327641.60000000003</v>
      </c>
      <c r="F33" s="261">
        <f t="shared" si="0"/>
        <v>50000</v>
      </c>
      <c r="G33" s="261">
        <f t="shared" si="1"/>
        <v>655283.20000000007</v>
      </c>
      <c r="H33" s="303">
        <f t="shared" si="2"/>
        <v>-1256.0802820643044</v>
      </c>
    </row>
    <row r="34" spans="1:8">
      <c r="A34" s="4">
        <f t="shared" si="3"/>
        <v>23</v>
      </c>
      <c r="B34" s="304">
        <v>285.95999999999998</v>
      </c>
      <c r="C34" s="4">
        <v>163</v>
      </c>
      <c r="D34" s="261">
        <v>32.74</v>
      </c>
      <c r="E34" s="261">
        <f t="shared" si="4"/>
        <v>68099.199999999997</v>
      </c>
      <c r="F34" s="261">
        <f t="shared" si="0"/>
        <v>50000</v>
      </c>
      <c r="G34" s="261">
        <f t="shared" si="1"/>
        <v>136198.39999999999</v>
      </c>
      <c r="H34" s="303">
        <f t="shared" si="2"/>
        <v>-180.98079319580845</v>
      </c>
    </row>
    <row r="35" spans="1:8">
      <c r="A35" s="4">
        <f t="shared" si="3"/>
        <v>24</v>
      </c>
      <c r="B35" s="304">
        <v>373.08</v>
      </c>
      <c r="C35" s="4">
        <v>902</v>
      </c>
      <c r="D35" s="261">
        <v>33.39</v>
      </c>
      <c r="E35" s="261">
        <f t="shared" si="4"/>
        <v>69451.199999999997</v>
      </c>
      <c r="F35" s="261">
        <f t="shared" si="0"/>
        <v>50000</v>
      </c>
      <c r="G35" s="261">
        <f t="shared" si="1"/>
        <v>138902.39999999999</v>
      </c>
      <c r="H35" s="303">
        <f t="shared" si="2"/>
        <v>-238.78426428916995</v>
      </c>
    </row>
    <row r="36" spans="1:8">
      <c r="A36" s="4">
        <f t="shared" si="3"/>
        <v>25</v>
      </c>
      <c r="B36" s="304">
        <v>373.08</v>
      </c>
      <c r="C36" s="4">
        <v>583</v>
      </c>
      <c r="D36" s="261">
        <v>43.21</v>
      </c>
      <c r="E36" s="261">
        <f t="shared" si="4"/>
        <v>89876.800000000003</v>
      </c>
      <c r="F36" s="261">
        <f t="shared" si="0"/>
        <v>50000</v>
      </c>
      <c r="G36" s="261">
        <f t="shared" si="1"/>
        <v>179753.60000000001</v>
      </c>
      <c r="H36" s="303">
        <f t="shared" si="2"/>
        <v>-269.30460968792835</v>
      </c>
    </row>
    <row r="37" spans="1:8">
      <c r="A37" s="4">
        <f t="shared" si="3"/>
        <v>26</v>
      </c>
      <c r="B37" s="304">
        <v>207.24</v>
      </c>
      <c r="C37" s="4">
        <v>920</v>
      </c>
      <c r="D37" s="261">
        <v>23.98</v>
      </c>
      <c r="E37" s="261">
        <f t="shared" si="4"/>
        <v>49878.400000000001</v>
      </c>
      <c r="F37" s="261">
        <f t="shared" si="0"/>
        <v>49878.400000000001</v>
      </c>
      <c r="G37" s="261">
        <f t="shared" si="1"/>
        <v>99756.800000000003</v>
      </c>
      <c r="H37" s="303">
        <f t="shared" si="2"/>
        <v>-103.62</v>
      </c>
    </row>
    <row r="38" spans="1:8">
      <c r="A38" s="4">
        <f t="shared" si="3"/>
        <v>27</v>
      </c>
      <c r="B38" s="304">
        <v>339.96</v>
      </c>
      <c r="C38" s="4">
        <v>584</v>
      </c>
      <c r="D38" s="261">
        <v>39.28</v>
      </c>
      <c r="E38" s="261">
        <f t="shared" si="4"/>
        <v>81702.400000000009</v>
      </c>
      <c r="F38" s="261">
        <f t="shared" si="0"/>
        <v>50000</v>
      </c>
      <c r="G38" s="261">
        <f t="shared" si="1"/>
        <v>163404.80000000002</v>
      </c>
      <c r="H38" s="303">
        <f t="shared" si="2"/>
        <v>-235.93612799624</v>
      </c>
    </row>
    <row r="39" spans="1:8">
      <c r="A39" s="4">
        <f t="shared" si="3"/>
        <v>28</v>
      </c>
      <c r="B39" s="304">
        <v>339.96</v>
      </c>
      <c r="C39" s="4">
        <v>584</v>
      </c>
      <c r="D39" s="261">
        <v>39.28</v>
      </c>
      <c r="E39" s="261">
        <f t="shared" si="4"/>
        <v>81702.400000000009</v>
      </c>
      <c r="F39" s="261">
        <f t="shared" si="0"/>
        <v>50000</v>
      </c>
      <c r="G39" s="261">
        <f t="shared" si="1"/>
        <v>163404.80000000002</v>
      </c>
      <c r="H39" s="303">
        <f t="shared" si="2"/>
        <v>-235.93612799624</v>
      </c>
    </row>
    <row r="40" spans="1:8">
      <c r="A40" s="4">
        <f t="shared" si="3"/>
        <v>29</v>
      </c>
      <c r="B40" s="304">
        <v>339.96</v>
      </c>
      <c r="C40" s="4">
        <v>583</v>
      </c>
      <c r="D40" s="261">
        <v>39.28</v>
      </c>
      <c r="E40" s="261">
        <f t="shared" si="4"/>
        <v>81702.400000000009</v>
      </c>
      <c r="F40" s="261">
        <f t="shared" si="0"/>
        <v>50000</v>
      </c>
      <c r="G40" s="261">
        <f t="shared" si="1"/>
        <v>163404.80000000002</v>
      </c>
      <c r="H40" s="303">
        <f t="shared" si="2"/>
        <v>-235.93612799624</v>
      </c>
    </row>
    <row r="41" spans="1:8">
      <c r="A41" s="4">
        <f t="shared" si="3"/>
        <v>30</v>
      </c>
      <c r="B41" s="304">
        <v>223.79999999999998</v>
      </c>
      <c r="C41" s="4">
        <v>903</v>
      </c>
      <c r="D41" s="261">
        <v>25.905000000000001</v>
      </c>
      <c r="E41" s="261">
        <f t="shared" si="4"/>
        <v>53882.400000000001</v>
      </c>
      <c r="F41" s="261">
        <f t="shared" si="0"/>
        <v>50000</v>
      </c>
      <c r="G41" s="261">
        <f t="shared" si="1"/>
        <v>107764.8</v>
      </c>
      <c r="H41" s="303">
        <f t="shared" si="2"/>
        <v>-119.96275444300922</v>
      </c>
    </row>
    <row r="42" spans="1:8">
      <c r="A42" s="4">
        <f t="shared" si="3"/>
        <v>31</v>
      </c>
      <c r="B42" s="304">
        <v>456</v>
      </c>
      <c r="C42" s="4">
        <v>920</v>
      </c>
      <c r="D42" s="261">
        <v>52.88</v>
      </c>
      <c r="E42" s="261">
        <f t="shared" si="4"/>
        <v>109990.40000000001</v>
      </c>
      <c r="F42" s="261">
        <f t="shared" si="0"/>
        <v>50000</v>
      </c>
      <c r="G42" s="261">
        <f t="shared" si="1"/>
        <v>219980.80000000002</v>
      </c>
      <c r="H42" s="303">
        <f t="shared" si="2"/>
        <v>-352.35459094611895</v>
      </c>
    </row>
    <row r="43" spans="1:8">
      <c r="A43" s="4">
        <f t="shared" si="3"/>
        <v>32</v>
      </c>
      <c r="B43" s="304">
        <v>178.32</v>
      </c>
      <c r="C43" s="4">
        <v>903</v>
      </c>
      <c r="D43" s="261">
        <v>20.561</v>
      </c>
      <c r="E43" s="261">
        <f t="shared" si="4"/>
        <v>42766.879999999997</v>
      </c>
      <c r="F43" s="261">
        <f t="shared" si="0"/>
        <v>42766.879999999997</v>
      </c>
      <c r="G43" s="261">
        <f t="shared" si="1"/>
        <v>85533.759999999995</v>
      </c>
      <c r="H43" s="303">
        <f t="shared" si="2"/>
        <v>-89.16</v>
      </c>
    </row>
    <row r="44" spans="1:8">
      <c r="A44" s="4">
        <f t="shared" si="3"/>
        <v>33</v>
      </c>
      <c r="B44" s="304">
        <v>194.88</v>
      </c>
      <c r="C44" s="4">
        <v>588</v>
      </c>
      <c r="D44" s="261">
        <v>22.42</v>
      </c>
      <c r="E44" s="261">
        <f t="shared" si="4"/>
        <v>46633.600000000006</v>
      </c>
      <c r="F44" s="261">
        <f t="shared" si="0"/>
        <v>46633.600000000006</v>
      </c>
      <c r="G44" s="261">
        <f t="shared" si="1"/>
        <v>93267.200000000012</v>
      </c>
      <c r="H44" s="303">
        <f t="shared" si="2"/>
        <v>-97.44</v>
      </c>
    </row>
    <row r="45" spans="1:8">
      <c r="A45" s="4">
        <f t="shared" si="3"/>
        <v>34</v>
      </c>
      <c r="B45" s="304">
        <v>232.20000000000002</v>
      </c>
      <c r="C45" s="4">
        <v>583</v>
      </c>
      <c r="D45" s="261">
        <v>26.52</v>
      </c>
      <c r="E45" s="261">
        <f t="shared" si="4"/>
        <v>55161.599999999999</v>
      </c>
      <c r="F45" s="261">
        <f t="shared" si="0"/>
        <v>50000</v>
      </c>
      <c r="G45" s="261">
        <f t="shared" si="1"/>
        <v>110323.2</v>
      </c>
      <c r="H45" s="303">
        <f t="shared" si="2"/>
        <v>-126.96374869474418</v>
      </c>
    </row>
    <row r="46" spans="1:8">
      <c r="A46" s="4">
        <f t="shared" si="3"/>
        <v>35</v>
      </c>
      <c r="B46" s="304">
        <v>261.24</v>
      </c>
      <c r="C46" s="4">
        <v>583</v>
      </c>
      <c r="D46" s="261">
        <v>30.285</v>
      </c>
      <c r="E46" s="261">
        <f t="shared" si="4"/>
        <v>62992.800000000003</v>
      </c>
      <c r="F46" s="261">
        <f t="shared" si="0"/>
        <v>50000</v>
      </c>
      <c r="G46" s="261">
        <f t="shared" si="1"/>
        <v>125985.60000000001</v>
      </c>
      <c r="H46" s="303">
        <f t="shared" si="2"/>
        <v>-157.56148436011733</v>
      </c>
    </row>
    <row r="47" spans="1:8">
      <c r="A47" s="4">
        <f t="shared" si="3"/>
        <v>36</v>
      </c>
      <c r="B47" s="304">
        <v>485.04</v>
      </c>
      <c r="C47" s="4">
        <v>583</v>
      </c>
      <c r="D47" s="261">
        <v>56.13</v>
      </c>
      <c r="E47" s="261">
        <f t="shared" si="4"/>
        <v>116750.40000000001</v>
      </c>
      <c r="F47" s="261">
        <f t="shared" si="0"/>
        <v>50000</v>
      </c>
      <c r="G47" s="261">
        <f t="shared" si="1"/>
        <v>233500.80000000002</v>
      </c>
      <c r="H47" s="303">
        <f t="shared" si="2"/>
        <v>-381.17740081404435</v>
      </c>
    </row>
    <row r="48" spans="1:8">
      <c r="A48" s="4">
        <f t="shared" si="3"/>
        <v>37</v>
      </c>
      <c r="B48" s="304">
        <v>244.56</v>
      </c>
      <c r="C48" s="4">
        <v>920</v>
      </c>
      <c r="D48" s="261">
        <v>27.991</v>
      </c>
      <c r="E48" s="261">
        <f t="shared" si="4"/>
        <v>58221.279999999999</v>
      </c>
      <c r="F48" s="261">
        <f t="shared" si="0"/>
        <v>50000</v>
      </c>
      <c r="G48" s="261">
        <f t="shared" si="1"/>
        <v>116442.56</v>
      </c>
      <c r="H48" s="303">
        <f t="shared" si="2"/>
        <v>-139.54685016887296</v>
      </c>
    </row>
    <row r="49" spans="1:8">
      <c r="A49" s="4">
        <f t="shared" si="3"/>
        <v>38</v>
      </c>
      <c r="B49" s="304">
        <v>310.92</v>
      </c>
      <c r="C49" s="4">
        <v>583</v>
      </c>
      <c r="D49" s="261">
        <v>35.74</v>
      </c>
      <c r="E49" s="261">
        <f t="shared" si="4"/>
        <v>74339.199999999997</v>
      </c>
      <c r="F49" s="261">
        <f t="shared" si="0"/>
        <v>50000</v>
      </c>
      <c r="G49" s="261">
        <f t="shared" si="1"/>
        <v>148678.39999999999</v>
      </c>
      <c r="H49" s="303">
        <f t="shared" si="2"/>
        <v>-206.3587456415996</v>
      </c>
    </row>
    <row r="50" spans="1:8">
      <c r="A50" s="4">
        <f t="shared" si="3"/>
        <v>39</v>
      </c>
      <c r="B50" s="304">
        <v>323.39999999999998</v>
      </c>
      <c r="C50" s="4">
        <v>920</v>
      </c>
      <c r="D50" s="261">
        <v>37.479999999999997</v>
      </c>
      <c r="E50" s="261">
        <f t="shared" si="4"/>
        <v>77958.399999999994</v>
      </c>
      <c r="F50" s="261">
        <f t="shared" si="0"/>
        <v>50000</v>
      </c>
      <c r="G50" s="261">
        <f t="shared" si="1"/>
        <v>155916.79999999999</v>
      </c>
      <c r="H50" s="303">
        <f t="shared" si="2"/>
        <v>-219.69084229537805</v>
      </c>
    </row>
    <row r="51" spans="1:8">
      <c r="A51" s="4">
        <f t="shared" si="3"/>
        <v>40</v>
      </c>
      <c r="B51" s="304">
        <v>596.88</v>
      </c>
      <c r="C51" s="4">
        <v>583</v>
      </c>
      <c r="D51" s="261">
        <v>72.12</v>
      </c>
      <c r="E51" s="261">
        <f t="shared" si="4"/>
        <v>150009.60000000001</v>
      </c>
      <c r="F51" s="261">
        <f t="shared" si="0"/>
        <v>50000</v>
      </c>
      <c r="G51" s="261">
        <f t="shared" si="1"/>
        <v>300019.20000000001</v>
      </c>
      <c r="H51" s="303">
        <f t="shared" si="2"/>
        <v>-497.40636631255597</v>
      </c>
    </row>
    <row r="52" spans="1:8">
      <c r="A52" s="4">
        <f t="shared" si="3"/>
        <v>41</v>
      </c>
      <c r="B52" s="304">
        <v>252.95999999999998</v>
      </c>
      <c r="C52" s="4">
        <v>920</v>
      </c>
      <c r="D52" s="261">
        <v>29.23</v>
      </c>
      <c r="E52" s="261">
        <f t="shared" si="4"/>
        <v>60798.400000000001</v>
      </c>
      <c r="F52" s="261">
        <f t="shared" si="0"/>
        <v>50000</v>
      </c>
      <c r="G52" s="261">
        <f t="shared" si="1"/>
        <v>121596.8</v>
      </c>
      <c r="H52" s="303">
        <f t="shared" si="2"/>
        <v>-148.94410484486431</v>
      </c>
    </row>
    <row r="53" spans="1:8">
      <c r="A53" s="4">
        <f t="shared" si="3"/>
        <v>42</v>
      </c>
      <c r="B53" s="304">
        <v>236.28000000000003</v>
      </c>
      <c r="C53" s="4">
        <v>583.20000000000005</v>
      </c>
      <c r="D53" s="261">
        <v>27.213000000000001</v>
      </c>
      <c r="E53" s="261">
        <f t="shared" si="4"/>
        <v>56603.040000000001</v>
      </c>
      <c r="F53" s="261">
        <f t="shared" si="0"/>
        <v>50000</v>
      </c>
      <c r="G53" s="261">
        <f t="shared" si="1"/>
        <v>113206.08</v>
      </c>
      <c r="H53" s="303">
        <f t="shared" si="2"/>
        <v>-131.92164751575183</v>
      </c>
    </row>
    <row r="54" spans="1:8">
      <c r="A54" s="4">
        <f t="shared" si="3"/>
        <v>43</v>
      </c>
      <c r="B54" s="304">
        <v>310.92</v>
      </c>
      <c r="C54" s="4">
        <v>584</v>
      </c>
      <c r="D54" s="261">
        <v>40.07</v>
      </c>
      <c r="E54" s="261">
        <f t="shared" si="4"/>
        <v>83345.600000000006</v>
      </c>
      <c r="F54" s="261">
        <f t="shared" si="0"/>
        <v>50000</v>
      </c>
      <c r="G54" s="261">
        <f t="shared" si="1"/>
        <v>166691.20000000001</v>
      </c>
      <c r="H54" s="303">
        <f t="shared" si="2"/>
        <v>-217.65772820640805</v>
      </c>
    </row>
    <row r="55" spans="1:8">
      <c r="A55" s="4">
        <f t="shared" si="3"/>
        <v>44</v>
      </c>
      <c r="B55" s="304">
        <v>273.60000000000002</v>
      </c>
      <c r="C55" s="4">
        <v>583</v>
      </c>
      <c r="D55" s="261">
        <v>31.42</v>
      </c>
      <c r="E55" s="261">
        <f t="shared" si="4"/>
        <v>65353.600000000006</v>
      </c>
      <c r="F55" s="261">
        <f t="shared" si="0"/>
        <v>50000</v>
      </c>
      <c r="G55" s="261">
        <f t="shared" si="1"/>
        <v>130707.20000000001</v>
      </c>
      <c r="H55" s="303">
        <f t="shared" si="2"/>
        <v>-168.93858884590904</v>
      </c>
    </row>
    <row r="56" spans="1:8">
      <c r="A56" s="4">
        <f t="shared" si="3"/>
        <v>45</v>
      </c>
      <c r="B56" s="304">
        <v>323.39999999999998</v>
      </c>
      <c r="C56" s="4">
        <v>584</v>
      </c>
      <c r="D56" s="261">
        <v>37.32</v>
      </c>
      <c r="E56" s="261">
        <f t="shared" si="4"/>
        <v>77625.600000000006</v>
      </c>
      <c r="F56" s="261">
        <f t="shared" si="0"/>
        <v>50000</v>
      </c>
      <c r="G56" s="261">
        <f t="shared" si="1"/>
        <v>155251.20000000001</v>
      </c>
      <c r="H56" s="303">
        <f t="shared" si="2"/>
        <v>-219.24621568142467</v>
      </c>
    </row>
    <row r="57" spans="1:8">
      <c r="A57" s="4">
        <f t="shared" si="3"/>
        <v>46</v>
      </c>
      <c r="B57" s="304">
        <v>269.52</v>
      </c>
      <c r="C57" s="4">
        <v>588</v>
      </c>
      <c r="D57" s="261">
        <v>31.25</v>
      </c>
      <c r="E57" s="261">
        <f t="shared" si="4"/>
        <v>65000</v>
      </c>
      <c r="F57" s="261">
        <f t="shared" si="0"/>
        <v>50000</v>
      </c>
      <c r="G57" s="261">
        <f t="shared" si="1"/>
        <v>130000</v>
      </c>
      <c r="H57" s="303">
        <f t="shared" si="2"/>
        <v>-165.85846153846154</v>
      </c>
    </row>
    <row r="58" spans="1:8">
      <c r="A58" s="4">
        <f t="shared" si="3"/>
        <v>47</v>
      </c>
      <c r="B58" s="304">
        <v>215.52</v>
      </c>
      <c r="C58" s="4">
        <v>583</v>
      </c>
      <c r="D58" s="261">
        <v>24.7</v>
      </c>
      <c r="E58" s="261">
        <f t="shared" si="4"/>
        <v>51376</v>
      </c>
      <c r="F58" s="261">
        <f t="shared" si="0"/>
        <v>50000</v>
      </c>
      <c r="G58" s="261">
        <f t="shared" si="1"/>
        <v>102752</v>
      </c>
      <c r="H58" s="303">
        <f t="shared" si="2"/>
        <v>-110.64612893179695</v>
      </c>
    </row>
    <row r="59" spans="1:8">
      <c r="A59" s="4">
        <f t="shared" si="3"/>
        <v>48</v>
      </c>
      <c r="B59" s="304">
        <v>178.32</v>
      </c>
      <c r="C59" s="4">
        <v>583</v>
      </c>
      <c r="D59" s="261">
        <v>20.254999999999999</v>
      </c>
      <c r="E59" s="261">
        <f t="shared" si="4"/>
        <v>42130.400000000001</v>
      </c>
      <c r="F59" s="261">
        <f t="shared" si="0"/>
        <v>42130.400000000001</v>
      </c>
      <c r="G59" s="261">
        <f t="shared" si="1"/>
        <v>84260.800000000003</v>
      </c>
      <c r="H59" s="303">
        <f t="shared" si="2"/>
        <v>-89.16</v>
      </c>
    </row>
    <row r="60" spans="1:8">
      <c r="A60" s="4">
        <f t="shared" si="3"/>
        <v>49</v>
      </c>
      <c r="B60" s="304">
        <v>290.15999999999997</v>
      </c>
      <c r="C60" s="4">
        <v>902</v>
      </c>
      <c r="D60" s="261">
        <v>33.39</v>
      </c>
      <c r="E60" s="261">
        <f t="shared" si="4"/>
        <v>69451.199999999997</v>
      </c>
      <c r="F60" s="261">
        <f t="shared" si="0"/>
        <v>50000</v>
      </c>
      <c r="G60" s="261">
        <f t="shared" si="1"/>
        <v>138902.39999999999</v>
      </c>
      <c r="H60" s="303">
        <f t="shared" si="2"/>
        <v>-185.71256064690024</v>
      </c>
    </row>
    <row r="61" spans="1:8">
      <c r="A61" s="4">
        <f t="shared" si="3"/>
        <v>50</v>
      </c>
      <c r="B61" s="304">
        <v>219.71999999999997</v>
      </c>
      <c r="C61" s="4">
        <v>588</v>
      </c>
      <c r="D61" s="261">
        <v>25.4</v>
      </c>
      <c r="E61" s="261">
        <f t="shared" si="4"/>
        <v>52832</v>
      </c>
      <c r="F61" s="261">
        <f t="shared" si="0"/>
        <v>50000</v>
      </c>
      <c r="G61" s="261">
        <f t="shared" si="1"/>
        <v>105664</v>
      </c>
      <c r="H61" s="303">
        <f t="shared" si="2"/>
        <v>-115.74892186553602</v>
      </c>
    </row>
    <row r="62" spans="1:8">
      <c r="A62" s="4">
        <f t="shared" si="3"/>
        <v>51</v>
      </c>
      <c r="B62" s="304">
        <v>339.96</v>
      </c>
      <c r="C62" s="4">
        <v>583</v>
      </c>
      <c r="D62" s="261">
        <v>39.28</v>
      </c>
      <c r="E62" s="261">
        <f t="shared" si="4"/>
        <v>81702.400000000009</v>
      </c>
      <c r="F62" s="261">
        <f t="shared" si="0"/>
        <v>50000</v>
      </c>
      <c r="G62" s="261">
        <f t="shared" si="1"/>
        <v>163404.80000000002</v>
      </c>
      <c r="H62" s="303">
        <f t="shared" si="2"/>
        <v>-235.93612799624</v>
      </c>
    </row>
    <row r="63" spans="1:8">
      <c r="A63" s="4">
        <f t="shared" si="3"/>
        <v>52</v>
      </c>
      <c r="B63" s="304">
        <v>339.96</v>
      </c>
      <c r="C63" s="4">
        <v>583</v>
      </c>
      <c r="D63" s="261">
        <v>39.28</v>
      </c>
      <c r="E63" s="261">
        <f t="shared" si="4"/>
        <v>81702.400000000009</v>
      </c>
      <c r="F63" s="261">
        <f t="shared" si="0"/>
        <v>50000</v>
      </c>
      <c r="G63" s="261">
        <f t="shared" si="1"/>
        <v>163404.80000000002</v>
      </c>
      <c r="H63" s="303">
        <f t="shared" si="2"/>
        <v>-235.93612799624</v>
      </c>
    </row>
    <row r="64" spans="1:8">
      <c r="A64" s="4">
        <f t="shared" si="3"/>
        <v>53</v>
      </c>
      <c r="B64" s="304">
        <v>373.08</v>
      </c>
      <c r="C64" s="4">
        <v>584</v>
      </c>
      <c r="D64" s="261">
        <v>43.21</v>
      </c>
      <c r="E64" s="261">
        <f t="shared" si="4"/>
        <v>89876.800000000003</v>
      </c>
      <c r="F64" s="261">
        <f t="shared" si="0"/>
        <v>50000</v>
      </c>
      <c r="G64" s="261">
        <f t="shared" si="1"/>
        <v>179753.60000000001</v>
      </c>
      <c r="H64" s="303">
        <f t="shared" si="2"/>
        <v>-269.30460968792835</v>
      </c>
    </row>
    <row r="65" spans="1:8">
      <c r="A65" s="4">
        <f t="shared" si="3"/>
        <v>54</v>
      </c>
      <c r="B65" s="304">
        <v>518.16</v>
      </c>
      <c r="C65" s="4">
        <v>588</v>
      </c>
      <c r="D65" s="261">
        <v>56.59</v>
      </c>
      <c r="E65" s="261">
        <f t="shared" si="4"/>
        <v>117707.20000000001</v>
      </c>
      <c r="F65" s="261">
        <f t="shared" si="0"/>
        <v>50000</v>
      </c>
      <c r="G65" s="261">
        <f t="shared" si="1"/>
        <v>235414.40000000002</v>
      </c>
      <c r="H65" s="303">
        <f t="shared" si="2"/>
        <v>-408.10725896121897</v>
      </c>
    </row>
    <row r="66" spans="1:8">
      <c r="A66" s="4">
        <f t="shared" si="3"/>
        <v>55</v>
      </c>
      <c r="B66" s="304">
        <v>373.08</v>
      </c>
      <c r="C66" s="4">
        <v>584</v>
      </c>
      <c r="D66" s="261">
        <v>43.21</v>
      </c>
      <c r="E66" s="261">
        <f t="shared" si="4"/>
        <v>89876.800000000003</v>
      </c>
      <c r="F66" s="261">
        <f t="shared" si="0"/>
        <v>50000</v>
      </c>
      <c r="G66" s="261">
        <f t="shared" si="1"/>
        <v>179753.60000000001</v>
      </c>
      <c r="H66" s="303">
        <f t="shared" si="2"/>
        <v>-269.30460968792835</v>
      </c>
    </row>
    <row r="67" spans="1:8">
      <c r="A67" s="4">
        <f t="shared" si="3"/>
        <v>56</v>
      </c>
      <c r="B67" s="304">
        <v>339.96</v>
      </c>
      <c r="C67" s="4">
        <v>583</v>
      </c>
      <c r="D67" s="261">
        <v>39.28</v>
      </c>
      <c r="E67" s="261">
        <f t="shared" si="4"/>
        <v>81702.400000000009</v>
      </c>
      <c r="F67" s="261">
        <f t="shared" si="0"/>
        <v>50000</v>
      </c>
      <c r="G67" s="261">
        <f t="shared" si="1"/>
        <v>163404.80000000002</v>
      </c>
      <c r="H67" s="303">
        <f t="shared" si="2"/>
        <v>-235.93612799624</v>
      </c>
    </row>
    <row r="68" spans="1:8">
      <c r="A68" s="4">
        <f t="shared" si="3"/>
        <v>57</v>
      </c>
      <c r="B68" s="304">
        <v>257.04000000000002</v>
      </c>
      <c r="C68" s="4">
        <v>184.1</v>
      </c>
      <c r="D68" s="261">
        <v>29.6</v>
      </c>
      <c r="E68" s="261">
        <f t="shared" si="4"/>
        <v>61568</v>
      </c>
      <c r="F68" s="261">
        <f t="shared" si="0"/>
        <v>50000</v>
      </c>
      <c r="G68" s="261">
        <f t="shared" si="1"/>
        <v>123136</v>
      </c>
      <c r="H68" s="303">
        <f t="shared" si="2"/>
        <v>-152.66759875259876</v>
      </c>
    </row>
    <row r="69" spans="1:8">
      <c r="A69" s="4">
        <f t="shared" si="3"/>
        <v>58</v>
      </c>
      <c r="B69" s="304">
        <v>207.24</v>
      </c>
      <c r="C69" s="4">
        <v>583</v>
      </c>
      <c r="D69" s="261">
        <v>23.657</v>
      </c>
      <c r="E69" s="261">
        <f t="shared" si="4"/>
        <v>49206.559999999998</v>
      </c>
      <c r="F69" s="261">
        <f t="shared" si="0"/>
        <v>49206.559999999998</v>
      </c>
      <c r="G69" s="261">
        <f t="shared" si="1"/>
        <v>98413.119999999995</v>
      </c>
      <c r="H69" s="303">
        <f t="shared" si="2"/>
        <v>-103.62</v>
      </c>
    </row>
    <row r="70" spans="1:8">
      <c r="A70" s="4">
        <f t="shared" si="3"/>
        <v>59</v>
      </c>
      <c r="B70" s="304">
        <v>339.96</v>
      </c>
      <c r="C70" s="4">
        <v>584</v>
      </c>
      <c r="D70" s="261">
        <v>39.28</v>
      </c>
      <c r="E70" s="261">
        <f t="shared" si="4"/>
        <v>81702.400000000009</v>
      </c>
      <c r="F70" s="261">
        <f t="shared" si="0"/>
        <v>50000</v>
      </c>
      <c r="G70" s="261">
        <f t="shared" si="1"/>
        <v>163404.80000000002</v>
      </c>
      <c r="H70" s="303">
        <f t="shared" si="2"/>
        <v>-235.93612799624</v>
      </c>
    </row>
    <row r="71" spans="1:8">
      <c r="A71" s="4">
        <f t="shared" si="3"/>
        <v>60</v>
      </c>
      <c r="B71" s="304">
        <v>373.08</v>
      </c>
      <c r="C71" s="4">
        <v>583</v>
      </c>
      <c r="D71" s="261">
        <v>43.21</v>
      </c>
      <c r="E71" s="261">
        <f t="shared" si="4"/>
        <v>89876.800000000003</v>
      </c>
      <c r="F71" s="261">
        <f t="shared" si="0"/>
        <v>50000</v>
      </c>
      <c r="G71" s="261">
        <f t="shared" si="1"/>
        <v>179753.60000000001</v>
      </c>
      <c r="H71" s="303">
        <f t="shared" si="2"/>
        <v>-269.30460968792835</v>
      </c>
    </row>
    <row r="72" spans="1:8">
      <c r="A72" s="4">
        <f t="shared" si="3"/>
        <v>61</v>
      </c>
      <c r="B72" s="304">
        <v>377.28000000000003</v>
      </c>
      <c r="C72" s="4">
        <v>920</v>
      </c>
      <c r="D72" s="261">
        <v>43.6</v>
      </c>
      <c r="E72" s="261">
        <f t="shared" si="4"/>
        <v>90688</v>
      </c>
      <c r="F72" s="261">
        <f t="shared" si="0"/>
        <v>50000</v>
      </c>
      <c r="G72" s="261">
        <f t="shared" si="1"/>
        <v>181376</v>
      </c>
      <c r="H72" s="303">
        <f t="shared" si="2"/>
        <v>-273.27505998588566</v>
      </c>
    </row>
    <row r="73" spans="1:8">
      <c r="A73" s="4">
        <f t="shared" si="3"/>
        <v>62</v>
      </c>
      <c r="B73" s="304">
        <v>252.95999999999998</v>
      </c>
      <c r="C73" s="4">
        <v>583</v>
      </c>
      <c r="D73" s="261">
        <v>29.042999999999999</v>
      </c>
      <c r="E73" s="261">
        <f t="shared" si="4"/>
        <v>60409.439999999995</v>
      </c>
      <c r="F73" s="261">
        <f t="shared" si="0"/>
        <v>50000</v>
      </c>
      <c r="G73" s="261">
        <f t="shared" si="1"/>
        <v>120818.87999999999</v>
      </c>
      <c r="H73" s="303">
        <f t="shared" si="2"/>
        <v>-148.27437470699942</v>
      </c>
    </row>
    <row r="74" spans="1:8">
      <c r="A74" s="4">
        <f t="shared" si="3"/>
        <v>63</v>
      </c>
      <c r="B74" s="304">
        <v>290.15999999999997</v>
      </c>
      <c r="C74" s="4">
        <v>920</v>
      </c>
      <c r="D74" s="261">
        <v>33.442999999999998</v>
      </c>
      <c r="E74" s="261">
        <f t="shared" si="4"/>
        <v>69561.440000000002</v>
      </c>
      <c r="F74" s="261">
        <f t="shared" si="0"/>
        <v>50000</v>
      </c>
      <c r="G74" s="261">
        <f t="shared" si="1"/>
        <v>139122.88</v>
      </c>
      <c r="H74" s="303">
        <f t="shared" si="2"/>
        <v>-185.8780874921508</v>
      </c>
    </row>
    <row r="75" spans="1:8">
      <c r="A75" s="4">
        <f t="shared" si="3"/>
        <v>64</v>
      </c>
      <c r="B75" s="304">
        <v>373.08</v>
      </c>
      <c r="C75" s="4">
        <v>584</v>
      </c>
      <c r="D75" s="261">
        <v>43.21</v>
      </c>
      <c r="E75" s="261">
        <f>+D75*2080</f>
        <v>89876.800000000003</v>
      </c>
      <c r="F75" s="261">
        <f t="shared" si="0"/>
        <v>50000</v>
      </c>
      <c r="G75" s="261">
        <f t="shared" si="1"/>
        <v>179753.60000000001</v>
      </c>
      <c r="H75" s="303">
        <f t="shared" si="2"/>
        <v>-269.30460968792835</v>
      </c>
    </row>
    <row r="76" spans="1:8">
      <c r="A76" s="4">
        <f t="shared" si="3"/>
        <v>65</v>
      </c>
      <c r="B76" s="304">
        <v>290.15999999999997</v>
      </c>
      <c r="C76" s="4">
        <v>163</v>
      </c>
      <c r="D76" s="261">
        <v>33.39</v>
      </c>
      <c r="E76" s="261">
        <f t="shared" ref="E76:E77" si="5">+D76*2080</f>
        <v>69451.199999999997</v>
      </c>
      <c r="F76" s="261">
        <f t="shared" si="0"/>
        <v>50000</v>
      </c>
      <c r="G76" s="261">
        <f t="shared" si="1"/>
        <v>138902.39999999999</v>
      </c>
      <c r="H76" s="303">
        <f t="shared" si="2"/>
        <v>-185.71256064690024</v>
      </c>
    </row>
    <row r="77" spans="1:8">
      <c r="A77" s="4">
        <f t="shared" si="3"/>
        <v>66</v>
      </c>
      <c r="B77" s="304">
        <v>219.71999999999997</v>
      </c>
      <c r="C77" s="4">
        <v>588</v>
      </c>
      <c r="D77" s="261">
        <v>25.221</v>
      </c>
      <c r="E77" s="261">
        <f t="shared" si="5"/>
        <v>52459.68</v>
      </c>
      <c r="F77" s="261">
        <f>IF(E77&gt;50000,50000,E77)</f>
        <v>50000</v>
      </c>
      <c r="G77" s="261">
        <f t="shared" si="1"/>
        <v>104919.36</v>
      </c>
      <c r="H77" s="303">
        <f t="shared" si="2"/>
        <v>-115.01101206869731</v>
      </c>
    </row>
    <row r="78" spans="1:8">
      <c r="A78" s="4">
        <f t="shared" ref="A78" si="6">+A77+1</f>
        <v>67</v>
      </c>
      <c r="B78" s="304">
        <v>339.96</v>
      </c>
      <c r="C78" s="4">
        <v>584</v>
      </c>
      <c r="D78" s="261">
        <v>39.28</v>
      </c>
      <c r="E78" s="261">
        <f>+D78*2080</f>
        <v>81702.400000000009</v>
      </c>
      <c r="F78" s="261">
        <f>IF(E78&gt;50000,50000,E78)</f>
        <v>50000</v>
      </c>
      <c r="G78" s="261">
        <f>+E78*2</f>
        <v>163404.80000000002</v>
      </c>
      <c r="H78" s="303">
        <f>-((G78-F78)/G78)*B78</f>
        <v>-235.93612799624</v>
      </c>
    </row>
    <row r="79" spans="1:8">
      <c r="A79" s="4" t="s">
        <v>57</v>
      </c>
      <c r="B79" s="226">
        <f>SUM(B12:B78)</f>
        <v>22067.16</v>
      </c>
      <c r="C79" s="295"/>
      <c r="D79" s="9"/>
      <c r="E79" s="9"/>
      <c r="F79" s="9"/>
      <c r="G79" s="9"/>
      <c r="H79" s="226">
        <f>SUM(H12:H78)</f>
        <v>-15147.36840698895</v>
      </c>
    </row>
    <row r="81" spans="1:7">
      <c r="A81" s="154" t="s">
        <v>83</v>
      </c>
      <c r="E81" s="37" t="s">
        <v>604</v>
      </c>
      <c r="F81" s="37"/>
      <c r="G81" s="305">
        <f>SUM(B85:B96)</f>
        <v>-14628.007454393639</v>
      </c>
    </row>
    <row r="82" spans="1:7">
      <c r="A82" s="195" t="s">
        <v>84</v>
      </c>
      <c r="B82" s="195" t="s">
        <v>57</v>
      </c>
      <c r="E82" s="2" t="s">
        <v>605</v>
      </c>
      <c r="G82" s="223">
        <f>+SUM(B83:B84)</f>
        <v>-519.36095259530748</v>
      </c>
    </row>
    <row r="83" spans="1:7">
      <c r="A83" s="4">
        <v>163</v>
      </c>
      <c r="B83" s="253">
        <f t="shared" ref="B83:B96" si="7">SUMIF($C$12:$C$78,$A83,H$12:H$78)</f>
        <v>-366.69335384270869</v>
      </c>
      <c r="E83" s="9" t="s">
        <v>606</v>
      </c>
      <c r="F83" s="9"/>
      <c r="G83" s="226">
        <f>SUM(G81:G82)</f>
        <v>-15147.368406988946</v>
      </c>
    </row>
    <row r="84" spans="1:7">
      <c r="A84" s="4">
        <v>184.1</v>
      </c>
      <c r="B84" s="253">
        <f t="shared" si="7"/>
        <v>-152.66759875259876</v>
      </c>
      <c r="G84" s="223"/>
    </row>
    <row r="85" spans="1:7">
      <c r="A85" s="4">
        <v>580</v>
      </c>
      <c r="B85" s="253">
        <f t="shared" si="7"/>
        <v>0</v>
      </c>
    </row>
    <row r="86" spans="1:7">
      <c r="A86" s="4">
        <v>583</v>
      </c>
      <c r="B86" s="253">
        <f t="shared" si="7"/>
        <v>-5069.8938818414535</v>
      </c>
    </row>
    <row r="87" spans="1:7">
      <c r="A87" s="4">
        <v>583.20000000000005</v>
      </c>
      <c r="B87" s="253">
        <f t="shared" si="7"/>
        <v>-131.92164751575183</v>
      </c>
    </row>
    <row r="88" spans="1:7">
      <c r="A88" s="4">
        <v>584</v>
      </c>
      <c r="B88" s="253">
        <f t="shared" si="7"/>
        <v>-2963.1076323086745</v>
      </c>
    </row>
    <row r="89" spans="1:7">
      <c r="A89" s="4">
        <v>588</v>
      </c>
      <c r="B89" s="253">
        <f t="shared" si="7"/>
        <v>-902.16565443391391</v>
      </c>
    </row>
    <row r="90" spans="1:7">
      <c r="A90" s="4">
        <v>593</v>
      </c>
      <c r="B90" s="253">
        <f t="shared" si="7"/>
        <v>-235.93612799624</v>
      </c>
    </row>
    <row r="91" spans="1:7">
      <c r="A91" s="4">
        <v>902</v>
      </c>
      <c r="B91" s="253">
        <f t="shared" si="7"/>
        <v>-424.4968249360702</v>
      </c>
    </row>
    <row r="92" spans="1:7">
      <c r="A92" s="4">
        <v>903</v>
      </c>
      <c r="B92" s="253">
        <f t="shared" si="7"/>
        <v>-480.68275444300923</v>
      </c>
    </row>
    <row r="93" spans="1:7">
      <c r="A93" s="4">
        <v>910</v>
      </c>
      <c r="B93" s="253">
        <f t="shared" si="7"/>
        <v>0</v>
      </c>
    </row>
    <row r="94" spans="1:7">
      <c r="A94" s="4">
        <v>920</v>
      </c>
      <c r="B94" s="253">
        <f t="shared" si="7"/>
        <v>-2949.1174815024924</v>
      </c>
    </row>
    <row r="95" spans="1:7">
      <c r="A95" s="4">
        <v>920.1</v>
      </c>
      <c r="B95" s="253">
        <f t="shared" si="7"/>
        <v>-1256.0802820643044</v>
      </c>
    </row>
    <row r="96" spans="1:7">
      <c r="A96" s="4">
        <v>925</v>
      </c>
      <c r="B96" s="253">
        <f t="shared" si="7"/>
        <v>-214.60516735173226</v>
      </c>
    </row>
    <row r="98" spans="1:8" ht="30" customHeight="1">
      <c r="A98" s="413" t="s">
        <v>514</v>
      </c>
      <c r="B98" s="413"/>
      <c r="C98" s="413"/>
      <c r="D98" s="413"/>
      <c r="E98" s="413"/>
      <c r="F98" s="413"/>
      <c r="G98" s="413"/>
      <c r="H98" s="413"/>
    </row>
    <row r="102" spans="1:8">
      <c r="A102" s="154"/>
    </row>
    <row r="103" spans="1:8">
      <c r="A103" s="1"/>
      <c r="B103" s="1"/>
      <c r="C103" s="1"/>
    </row>
    <row r="104" spans="1:8">
      <c r="A104" s="4"/>
      <c r="B104" s="306"/>
      <c r="C104" s="223"/>
    </row>
    <row r="105" spans="1:8">
      <c r="A105" s="4"/>
      <c r="B105" s="306"/>
      <c r="C105" s="223"/>
    </row>
    <row r="106" spans="1:8">
      <c r="A106" s="4"/>
      <c r="B106" s="306"/>
      <c r="C106" s="223"/>
    </row>
    <row r="107" spans="1:8">
      <c r="A107" s="4"/>
      <c r="B107" s="306"/>
      <c r="C107" s="223"/>
    </row>
    <row r="108" spans="1:8">
      <c r="A108" s="4"/>
      <c r="B108" s="306"/>
      <c r="C108" s="223"/>
    </row>
    <row r="109" spans="1:8">
      <c r="A109" s="4"/>
      <c r="B109" s="306"/>
      <c r="C109" s="223"/>
    </row>
    <row r="110" spans="1:8">
      <c r="A110" s="4"/>
      <c r="B110" s="306"/>
      <c r="C110" s="223"/>
    </row>
    <row r="111" spans="1:8">
      <c r="A111" s="4"/>
      <c r="B111" s="306"/>
      <c r="C111" s="223"/>
    </row>
    <row r="113" spans="1:4">
      <c r="A113" s="307"/>
      <c r="B113" s="223"/>
      <c r="D113" s="223"/>
    </row>
    <row r="114" spans="1:4">
      <c r="A114" s="307"/>
      <c r="B114" s="223"/>
    </row>
    <row r="115" spans="1:4">
      <c r="A115" s="307"/>
      <c r="B115" s="223"/>
      <c r="D115" s="223"/>
    </row>
    <row r="116" spans="1:4">
      <c r="A116" s="307"/>
    </row>
    <row r="117" spans="1:4">
      <c r="A117" s="307"/>
    </row>
    <row r="118" spans="1:4">
      <c r="A118" s="307"/>
      <c r="D118" s="223"/>
    </row>
    <row r="119" spans="1:4">
      <c r="D119" s="223"/>
    </row>
  </sheetData>
  <mergeCells count="4">
    <mergeCell ref="A4:H4"/>
    <mergeCell ref="A5:H5"/>
    <mergeCell ref="A7:H7"/>
    <mergeCell ref="A98:H98"/>
  </mergeCells>
  <printOptions horizontalCentered="1"/>
  <pageMargins left="0.7" right="0.7" top="0.75" bottom="0.75" header="0.3" footer="0.3"/>
  <pageSetup scale="68" orientation="portrait" r:id="rId1"/>
  <headerFooter>
    <oddFooter>&amp;RExhibit JW-2
Page &amp;P of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BB32-1E84-4E08-81A4-23D5579BD412}">
  <sheetPr>
    <tabColor theme="9" tint="0.79998168889431442"/>
    <pageSetUpPr fitToPage="1"/>
  </sheetPr>
  <dimension ref="A1:N36"/>
  <sheetViews>
    <sheetView view="pageBreakPreview" zoomScale="75" zoomScaleNormal="75" zoomScaleSheetLayoutView="75" workbookViewId="0">
      <selection activeCell="D30" sqref="D30"/>
    </sheetView>
  </sheetViews>
  <sheetFormatPr defaultColWidth="9.140625" defaultRowHeight="14.25"/>
  <cols>
    <col min="1" max="1" width="6.5703125" style="170" customWidth="1"/>
    <col min="2" max="2" width="34.28515625" style="170" customWidth="1"/>
    <col min="3" max="3" width="9.28515625" style="170" customWidth="1"/>
    <col min="4" max="10" width="18.140625" style="170" customWidth="1"/>
    <col min="11" max="11" width="10.5703125" style="170" bestFit="1" customWidth="1"/>
    <col min="12" max="16384" width="9.140625" style="170"/>
  </cols>
  <sheetData>
    <row r="1" spans="1:14" s="2" customFormat="1" ht="15" customHeight="1">
      <c r="D1" s="27" t="s">
        <v>511</v>
      </c>
      <c r="F1" s="27"/>
    </row>
    <row r="2" spans="1:14" s="2" customFormat="1" ht="20.25" customHeight="1">
      <c r="D2" s="392" t="s">
        <v>693</v>
      </c>
      <c r="F2" s="27"/>
      <c r="G2" s="27"/>
    </row>
    <row r="3" spans="1:14" s="2" customFormat="1" ht="25.15" customHeight="1">
      <c r="F3" s="27"/>
      <c r="G3" s="27"/>
    </row>
    <row r="4" spans="1:14" s="2" customFormat="1" ht="12.75">
      <c r="A4" s="410" t="s">
        <v>0</v>
      </c>
      <c r="B4" s="410"/>
      <c r="C4" s="410"/>
      <c r="D4" s="410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 s="2" customFormat="1" ht="12.75">
      <c r="A5" s="410" t="str">
        <f>RevReq!A3</f>
        <v>For the 12 Months Ended August 31, 2023</v>
      </c>
      <c r="B5" s="410"/>
      <c r="C5" s="410"/>
      <c r="D5" s="410"/>
      <c r="E5" s="190"/>
      <c r="F5" s="190"/>
      <c r="G5" s="190"/>
      <c r="H5" s="190"/>
      <c r="I5" s="190"/>
      <c r="J5" s="190"/>
      <c r="K5" s="190"/>
    </row>
    <row r="6" spans="1:14" s="2" customFormat="1" ht="12.75"/>
    <row r="7" spans="1:14" s="28" customFormat="1" ht="15" customHeight="1">
      <c r="A7" s="408" t="s">
        <v>518</v>
      </c>
      <c r="B7" s="408"/>
      <c r="C7" s="408"/>
      <c r="D7" s="408"/>
      <c r="E7" s="96"/>
      <c r="F7" s="96"/>
      <c r="G7" s="96"/>
      <c r="H7" s="96"/>
      <c r="I7" s="96"/>
      <c r="J7" s="96"/>
      <c r="K7" s="96"/>
    </row>
    <row r="8" spans="1:14" s="2" customFormat="1" ht="12.75"/>
    <row r="9" spans="1:14">
      <c r="A9" s="4" t="s">
        <v>7</v>
      </c>
      <c r="B9" s="4" t="s">
        <v>52</v>
      </c>
      <c r="C9" s="4"/>
      <c r="D9" s="4" t="s">
        <v>54</v>
      </c>
    </row>
    <row r="10" spans="1:14" ht="15">
      <c r="A10" s="29" t="s">
        <v>11</v>
      </c>
      <c r="B10" s="30" t="s">
        <v>102</v>
      </c>
      <c r="C10" s="30"/>
      <c r="D10" s="30" t="s">
        <v>103</v>
      </c>
      <c r="E10" s="176"/>
      <c r="F10" s="176"/>
      <c r="G10" s="176"/>
      <c r="H10" s="176"/>
      <c r="I10" s="176"/>
      <c r="J10" s="176"/>
      <c r="K10" s="176"/>
    </row>
    <row r="11" spans="1:14" ht="15">
      <c r="A11" s="4"/>
      <c r="B11" s="2"/>
      <c r="C11" s="2"/>
      <c r="D11" s="2"/>
      <c r="E11" s="182"/>
      <c r="F11" s="182"/>
      <c r="G11" s="176"/>
      <c r="H11" s="182"/>
      <c r="I11" s="182"/>
      <c r="J11" s="182"/>
      <c r="K11" s="182"/>
    </row>
    <row r="12" spans="1:14" ht="15">
      <c r="A12" s="4">
        <v>1</v>
      </c>
      <c r="B12" s="192" t="s">
        <v>85</v>
      </c>
      <c r="C12" s="2"/>
      <c r="D12" s="12">
        <v>150000</v>
      </c>
      <c r="E12" s="183"/>
      <c r="F12" s="183"/>
      <c r="G12" s="176"/>
      <c r="H12" s="183"/>
      <c r="I12" s="183"/>
      <c r="J12" s="183"/>
      <c r="K12" s="183"/>
      <c r="L12" s="183"/>
    </row>
    <row r="13" spans="1:14" ht="15">
      <c r="A13" s="4">
        <f>A12+1</f>
        <v>2</v>
      </c>
      <c r="B13" s="192" t="s">
        <v>517</v>
      </c>
      <c r="C13" s="2"/>
      <c r="D13" s="12">
        <v>60000</v>
      </c>
      <c r="E13" s="183"/>
      <c r="F13" s="182"/>
      <c r="G13" s="176"/>
      <c r="H13" s="183"/>
      <c r="I13" s="183"/>
      <c r="J13" s="183"/>
      <c r="K13" s="183"/>
    </row>
    <row r="14" spans="1:14" ht="15">
      <c r="A14" s="4">
        <f t="shared" ref="A14:A30" si="0">A13+1</f>
        <v>3</v>
      </c>
      <c r="B14" s="192" t="s">
        <v>529</v>
      </c>
      <c r="C14" s="2"/>
      <c r="D14" s="12">
        <v>0</v>
      </c>
      <c r="E14" s="183"/>
      <c r="F14" s="183"/>
      <c r="G14" s="176"/>
      <c r="H14" s="183"/>
      <c r="I14" s="183"/>
      <c r="J14" s="183"/>
      <c r="K14" s="183"/>
    </row>
    <row r="15" spans="1:14" ht="15">
      <c r="A15" s="4">
        <f t="shared" si="0"/>
        <v>4</v>
      </c>
      <c r="B15" s="9" t="s">
        <v>667</v>
      </c>
      <c r="C15" s="33"/>
      <c r="D15" s="193">
        <f>SUM(D12:D14)</f>
        <v>210000</v>
      </c>
      <c r="E15" s="183"/>
      <c r="F15" s="182"/>
      <c r="G15" s="176"/>
      <c r="H15" s="183"/>
      <c r="I15" s="183"/>
      <c r="J15" s="183"/>
      <c r="K15" s="183"/>
    </row>
    <row r="16" spans="1:14" ht="15">
      <c r="A16" s="4">
        <f t="shared" si="0"/>
        <v>5</v>
      </c>
      <c r="B16" s="2"/>
      <c r="C16" s="39"/>
      <c r="D16" s="2"/>
      <c r="E16" s="183"/>
      <c r="F16" s="183"/>
      <c r="G16" s="176"/>
      <c r="H16" s="183"/>
      <c r="I16" s="183"/>
      <c r="J16" s="183"/>
      <c r="K16" s="183"/>
    </row>
    <row r="17" spans="1:12" ht="15">
      <c r="A17" s="4">
        <f t="shared" si="0"/>
        <v>6</v>
      </c>
      <c r="B17" s="39" t="s">
        <v>670</v>
      </c>
      <c r="C17" s="39"/>
      <c r="D17" s="40"/>
      <c r="E17" s="183"/>
      <c r="F17" s="182"/>
      <c r="G17" s="176"/>
      <c r="H17" s="183"/>
      <c r="I17" s="183"/>
      <c r="J17" s="183"/>
      <c r="K17" s="183"/>
    </row>
    <row r="18" spans="1:12" ht="15">
      <c r="A18" s="4">
        <f t="shared" si="0"/>
        <v>7</v>
      </c>
      <c r="B18" s="39" t="s">
        <v>668</v>
      </c>
      <c r="C18" s="39"/>
      <c r="D18" s="395">
        <v>5890.26</v>
      </c>
      <c r="E18" s="183"/>
      <c r="F18" s="183"/>
      <c r="G18" s="176"/>
      <c r="H18" s="183"/>
      <c r="I18" s="183"/>
      <c r="J18" s="183"/>
      <c r="K18" s="183"/>
    </row>
    <row r="19" spans="1:12" ht="15">
      <c r="A19" s="4">
        <f t="shared" si="0"/>
        <v>8</v>
      </c>
      <c r="B19" s="39" t="s">
        <v>672</v>
      </c>
      <c r="C19" s="39"/>
      <c r="D19" s="396">
        <v>5</v>
      </c>
      <c r="E19" s="183"/>
      <c r="F19" s="182"/>
      <c r="G19" s="176"/>
      <c r="H19" s="183"/>
      <c r="I19" s="183"/>
      <c r="J19" s="183"/>
      <c r="K19" s="183"/>
    </row>
    <row r="20" spans="1:12" ht="15">
      <c r="A20" s="4">
        <f t="shared" si="0"/>
        <v>9</v>
      </c>
      <c r="B20" s="57" t="s">
        <v>669</v>
      </c>
      <c r="C20" s="57"/>
      <c r="D20" s="401">
        <f>52954-D18*4</f>
        <v>29392.959999999999</v>
      </c>
      <c r="E20" s="183"/>
      <c r="F20" s="183"/>
      <c r="G20" s="176"/>
      <c r="H20" s="183"/>
      <c r="I20" s="183"/>
      <c r="J20" s="183"/>
      <c r="K20" s="183"/>
    </row>
    <row r="21" spans="1:12" ht="15">
      <c r="A21" s="4">
        <f t="shared" si="0"/>
        <v>10</v>
      </c>
      <c r="E21" s="183"/>
      <c r="F21" s="182"/>
      <c r="G21" s="176"/>
      <c r="H21" s="183"/>
      <c r="I21" s="183"/>
      <c r="J21" s="183"/>
      <c r="K21" s="183"/>
    </row>
    <row r="22" spans="1:12" ht="15">
      <c r="A22" s="4">
        <f t="shared" si="0"/>
        <v>11</v>
      </c>
      <c r="B22" s="192" t="s">
        <v>519</v>
      </c>
      <c r="D22" s="12">
        <f>D20+D15</f>
        <v>239392.96</v>
      </c>
      <c r="E22" s="183"/>
      <c r="F22" s="183"/>
      <c r="G22" s="176"/>
      <c r="H22" s="183"/>
      <c r="I22" s="183"/>
      <c r="J22" s="183"/>
      <c r="K22" s="183"/>
    </row>
    <row r="23" spans="1:12" ht="15">
      <c r="A23" s="4">
        <f t="shared" si="0"/>
        <v>12</v>
      </c>
      <c r="B23" s="192" t="s">
        <v>671</v>
      </c>
      <c r="D23" s="20">
        <v>3</v>
      </c>
      <c r="E23" s="183"/>
      <c r="F23" s="182"/>
      <c r="G23" s="176"/>
      <c r="H23" s="183"/>
      <c r="I23" s="183"/>
      <c r="J23" s="183"/>
      <c r="K23" s="183"/>
    </row>
    <row r="24" spans="1:12">
      <c r="A24" s="4">
        <f t="shared" si="0"/>
        <v>13</v>
      </c>
      <c r="B24" s="192" t="s">
        <v>516</v>
      </c>
      <c r="C24" s="2"/>
      <c r="D24" s="41">
        <f>D22/D23</f>
        <v>79797.653333333335</v>
      </c>
      <c r="E24" s="177"/>
      <c r="F24" s="177"/>
      <c r="G24" s="177"/>
      <c r="H24" s="177"/>
      <c r="I24" s="183"/>
      <c r="J24" s="183"/>
      <c r="K24" s="183"/>
      <c r="L24" s="183"/>
    </row>
    <row r="25" spans="1:12">
      <c r="A25" s="4">
        <f t="shared" si="0"/>
        <v>14</v>
      </c>
      <c r="E25" s="177"/>
      <c r="F25" s="177"/>
      <c r="G25" s="177"/>
      <c r="H25" s="177"/>
      <c r="I25" s="183"/>
      <c r="J25" s="183"/>
      <c r="K25" s="183"/>
    </row>
    <row r="26" spans="1:12">
      <c r="A26" s="4">
        <f t="shared" si="0"/>
        <v>15</v>
      </c>
      <c r="B26" s="39" t="s">
        <v>89</v>
      </c>
      <c r="C26" s="39"/>
      <c r="D26" s="40">
        <v>70674.41</v>
      </c>
      <c r="E26" s="177"/>
      <c r="F26" s="177"/>
      <c r="G26" s="177"/>
      <c r="H26" s="177"/>
      <c r="I26" s="183"/>
      <c r="J26" s="183"/>
      <c r="K26" s="183"/>
    </row>
    <row r="27" spans="1:12">
      <c r="A27" s="4">
        <f t="shared" si="0"/>
        <v>16</v>
      </c>
      <c r="B27" s="39"/>
      <c r="C27" s="39"/>
      <c r="D27" s="2"/>
      <c r="E27" s="184"/>
      <c r="F27" s="184"/>
      <c r="G27" s="184"/>
      <c r="H27" s="184"/>
      <c r="I27" s="184"/>
      <c r="J27" s="184"/>
      <c r="K27" s="184"/>
    </row>
    <row r="28" spans="1:12">
      <c r="A28" s="4">
        <f t="shared" si="0"/>
        <v>17</v>
      </c>
      <c r="B28" s="39" t="s">
        <v>121</v>
      </c>
      <c r="C28" s="2"/>
      <c r="D28" s="32">
        <f>D24</f>
        <v>79797.653333333335</v>
      </c>
      <c r="E28" s="186"/>
      <c r="F28" s="186"/>
      <c r="G28" s="186"/>
    </row>
    <row r="29" spans="1:12">
      <c r="A29" s="4">
        <f t="shared" si="0"/>
        <v>18</v>
      </c>
      <c r="E29" s="186"/>
      <c r="F29" s="186"/>
    </row>
    <row r="30" spans="1:12" ht="15" thickBot="1">
      <c r="A30" s="4">
        <f t="shared" si="0"/>
        <v>19</v>
      </c>
      <c r="B30" s="42" t="s">
        <v>10</v>
      </c>
      <c r="C30" s="13"/>
      <c r="D30" s="43">
        <f>D28-D26</f>
        <v>9123.243333333332</v>
      </c>
      <c r="E30" s="178"/>
      <c r="F30" s="178"/>
    </row>
    <row r="31" spans="1:12" ht="15" thickTop="1">
      <c r="A31" s="4"/>
      <c r="B31" s="2"/>
      <c r="C31" s="2"/>
      <c r="D31" s="2"/>
      <c r="E31" s="178"/>
      <c r="F31" s="178"/>
    </row>
    <row r="32" spans="1:12">
      <c r="A32" s="4"/>
      <c r="B32" s="2"/>
      <c r="C32" s="2"/>
      <c r="D32" s="2"/>
      <c r="E32" s="178"/>
      <c r="F32" s="185"/>
    </row>
    <row r="33" spans="1:6" ht="26.45" customHeight="1">
      <c r="A33" s="4"/>
      <c r="B33" s="412" t="s">
        <v>520</v>
      </c>
      <c r="C33" s="412"/>
      <c r="D33" s="412"/>
      <c r="E33" s="178"/>
      <c r="F33" s="178"/>
    </row>
    <row r="34" spans="1:6" ht="45.6" customHeight="1">
      <c r="A34" s="4"/>
      <c r="B34" s="412" t="s">
        <v>673</v>
      </c>
      <c r="C34" s="412"/>
      <c r="D34" s="412"/>
      <c r="E34" s="178"/>
      <c r="F34" s="178"/>
    </row>
    <row r="35" spans="1:6">
      <c r="E35" s="178"/>
      <c r="F35" s="178"/>
    </row>
    <row r="36" spans="1:6">
      <c r="E36" s="178"/>
      <c r="F36" s="178"/>
    </row>
  </sheetData>
  <mergeCells count="5">
    <mergeCell ref="B34:D34"/>
    <mergeCell ref="A4:D4"/>
    <mergeCell ref="A5:D5"/>
    <mergeCell ref="A7:D7"/>
    <mergeCell ref="B33:D33"/>
  </mergeCells>
  <printOptions horizontalCentered="1"/>
  <pageMargins left="0.7" right="0.7" top="0.75" bottom="0.75" header="0.3" footer="0.3"/>
  <pageSetup orientation="portrait" r:id="rId1"/>
  <headerFooter>
    <oddFooter>&amp;RExhibit JW-2
Page &amp;P of &amp;N</oddFooter>
  </headerFooter>
  <ignoredErrors>
    <ignoredError sqref="D10 B1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B739E-BDB8-4789-B2FF-9D0868959820}">
  <sheetPr>
    <pageSetUpPr fitToPage="1"/>
  </sheetPr>
  <dimension ref="A1:O68"/>
  <sheetViews>
    <sheetView view="pageBreakPreview" topLeftCell="A53" zoomScaleNormal="75" zoomScaleSheetLayoutView="100" workbookViewId="0">
      <selection activeCell="F50" sqref="F50"/>
    </sheetView>
  </sheetViews>
  <sheetFormatPr defaultColWidth="9.140625" defaultRowHeight="12.75"/>
  <cols>
    <col min="1" max="1" width="4" style="2" customWidth="1"/>
    <col min="2" max="2" width="23.7109375" style="2" bestFit="1" customWidth="1"/>
    <col min="3" max="3" width="20.7109375" style="2" customWidth="1"/>
    <col min="4" max="4" width="12.28515625" style="2" customWidth="1"/>
    <col min="5" max="5" width="11.5703125" style="4" customWidth="1"/>
    <col min="6" max="6" width="16.7109375" style="2" customWidth="1"/>
    <col min="7" max="12" width="18.140625" style="2" customWidth="1"/>
    <col min="13" max="13" width="10.5703125" style="2" bestFit="1" customWidth="1"/>
    <col min="14" max="16384" width="9.140625" style="2"/>
  </cols>
  <sheetData>
    <row r="1" spans="1:15" ht="15" customHeight="1">
      <c r="E1" s="233"/>
      <c r="F1" s="27" t="s">
        <v>515</v>
      </c>
      <c r="G1" s="27"/>
    </row>
    <row r="2" spans="1:15" ht="20.25" customHeight="1">
      <c r="F2" s="387"/>
      <c r="G2" s="27"/>
      <c r="H2" s="27"/>
    </row>
    <row r="3" spans="1:15">
      <c r="G3" s="27"/>
      <c r="H3" s="27"/>
    </row>
    <row r="4" spans="1:15">
      <c r="B4" s="410" t="s">
        <v>0</v>
      </c>
      <c r="C4" s="410"/>
      <c r="D4" s="410"/>
      <c r="E4" s="410"/>
      <c r="F4" s="410"/>
      <c r="G4" s="190"/>
      <c r="H4" s="190"/>
      <c r="I4" s="190"/>
      <c r="J4" s="190"/>
      <c r="K4" s="190"/>
      <c r="L4" s="190"/>
      <c r="M4" s="190"/>
      <c r="N4" s="190"/>
      <c r="O4" s="190"/>
    </row>
    <row r="5" spans="1:15">
      <c r="B5" s="410" t="str">
        <f>RevReq!A3</f>
        <v>For the 12 Months Ended August 31, 2023</v>
      </c>
      <c r="C5" s="410"/>
      <c r="D5" s="410"/>
      <c r="E5" s="410"/>
      <c r="F5" s="410"/>
      <c r="G5" s="190"/>
      <c r="H5" s="190"/>
      <c r="I5" s="190"/>
      <c r="J5" s="190"/>
      <c r="K5" s="190"/>
      <c r="L5" s="190"/>
    </row>
    <row r="7" spans="1:15" s="28" customFormat="1" ht="15" customHeight="1">
      <c r="B7" s="408" t="s">
        <v>91</v>
      </c>
      <c r="C7" s="408"/>
      <c r="D7" s="408"/>
      <c r="E7" s="408"/>
      <c r="F7" s="408"/>
      <c r="G7" s="96"/>
      <c r="H7" s="96"/>
      <c r="I7" s="96"/>
      <c r="J7" s="96"/>
      <c r="K7" s="96"/>
      <c r="L7" s="96"/>
    </row>
    <row r="9" spans="1:15" ht="28.9" customHeight="1">
      <c r="A9" s="256" t="s">
        <v>11</v>
      </c>
      <c r="B9" s="308" t="s">
        <v>556</v>
      </c>
      <c r="C9" s="309" t="s">
        <v>634</v>
      </c>
      <c r="D9" s="310" t="s">
        <v>557</v>
      </c>
      <c r="E9" s="311" t="s">
        <v>137</v>
      </c>
      <c r="F9" s="312" t="s">
        <v>98</v>
      </c>
    </row>
    <row r="10" spans="1:15">
      <c r="A10" s="192">
        <v>1</v>
      </c>
      <c r="B10" s="247" t="s">
        <v>558</v>
      </c>
      <c r="C10" s="343">
        <v>985107.44000000018</v>
      </c>
      <c r="D10" s="248" t="s">
        <v>92</v>
      </c>
      <c r="E10" s="344">
        <v>2.4569999999999998E-2</v>
      </c>
      <c r="F10" s="272">
        <f>ROUND(C10*E10,20)</f>
        <v>24204.0898008</v>
      </c>
      <c r="G10" s="194"/>
      <c r="H10" s="194"/>
      <c r="I10" s="194"/>
      <c r="J10" s="194"/>
      <c r="K10" s="194"/>
      <c r="L10" s="194"/>
    </row>
    <row r="11" spans="1:15">
      <c r="A11" s="192">
        <f>A10+1</f>
        <v>2</v>
      </c>
      <c r="B11" s="247" t="s">
        <v>559</v>
      </c>
      <c r="C11" s="343">
        <v>857143.08</v>
      </c>
      <c r="D11" s="248" t="s">
        <v>92</v>
      </c>
      <c r="E11" s="344">
        <v>2.4569999999999998E-2</v>
      </c>
      <c r="F11" s="272">
        <f t="shared" ref="F11:F45" si="0">ROUND(C11*E11,20)</f>
        <v>21060.005475599999</v>
      </c>
      <c r="G11" s="196"/>
      <c r="H11" s="196"/>
      <c r="I11" s="196"/>
      <c r="J11" s="196"/>
      <c r="K11" s="196"/>
      <c r="L11" s="196"/>
    </row>
    <row r="12" spans="1:15">
      <c r="A12" s="192">
        <f t="shared" ref="A12:A62" si="1">A11+1</f>
        <v>3</v>
      </c>
      <c r="B12" s="245" t="s">
        <v>560</v>
      </c>
      <c r="C12" s="343">
        <v>2584615.42</v>
      </c>
      <c r="D12" s="248" t="s">
        <v>92</v>
      </c>
      <c r="E12" s="344">
        <v>4.2640000000000004E-2</v>
      </c>
      <c r="F12" s="272">
        <f t="shared" si="0"/>
        <v>110208.00150879999</v>
      </c>
      <c r="G12" s="197"/>
      <c r="H12" s="197"/>
      <c r="I12" s="197"/>
      <c r="J12" s="197"/>
      <c r="K12" s="197"/>
      <c r="L12" s="197"/>
      <c r="M12" s="197"/>
    </row>
    <row r="13" spans="1:15">
      <c r="A13" s="192">
        <f t="shared" si="1"/>
        <v>4</v>
      </c>
      <c r="B13" s="247" t="s">
        <v>561</v>
      </c>
      <c r="C13" s="343">
        <v>2584615.42</v>
      </c>
      <c r="D13" s="248" t="s">
        <v>92</v>
      </c>
      <c r="E13" s="344">
        <v>4.1570000000000003E-2</v>
      </c>
      <c r="F13" s="272">
        <f t="shared" si="0"/>
        <v>107442.4630094</v>
      </c>
      <c r="G13" s="197"/>
      <c r="H13" s="197"/>
      <c r="I13" s="197"/>
      <c r="J13" s="197"/>
      <c r="K13" s="197"/>
      <c r="L13" s="197"/>
    </row>
    <row r="14" spans="1:15">
      <c r="A14" s="192">
        <f t="shared" si="1"/>
        <v>5</v>
      </c>
      <c r="B14" s="244" t="s">
        <v>562</v>
      </c>
      <c r="C14" s="343">
        <v>3367005.64</v>
      </c>
      <c r="D14" s="248" t="s">
        <v>92</v>
      </c>
      <c r="E14" s="344">
        <v>2.1440000000000001E-2</v>
      </c>
      <c r="F14" s="272">
        <f t="shared" si="0"/>
        <v>72188.600921599995</v>
      </c>
      <c r="G14" s="197"/>
      <c r="H14" s="197"/>
      <c r="I14" s="197"/>
      <c r="J14" s="197"/>
      <c r="K14" s="197"/>
      <c r="L14" s="197"/>
    </row>
    <row r="15" spans="1:15">
      <c r="A15" s="192">
        <f t="shared" si="1"/>
        <v>6</v>
      </c>
      <c r="B15" s="244" t="s">
        <v>563</v>
      </c>
      <c r="C15" s="343">
        <v>17241421.309999999</v>
      </c>
      <c r="D15" s="248" t="s">
        <v>92</v>
      </c>
      <c r="E15" s="344">
        <v>1.537E-2</v>
      </c>
      <c r="F15" s="272">
        <f t="shared" si="0"/>
        <v>265000.64553470002</v>
      </c>
      <c r="G15" s="197"/>
      <c r="H15" s="197"/>
      <c r="I15" s="197"/>
      <c r="J15" s="197"/>
      <c r="K15" s="197"/>
      <c r="L15" s="197"/>
    </row>
    <row r="16" spans="1:15">
      <c r="A16" s="192">
        <f t="shared" si="1"/>
        <v>7</v>
      </c>
      <c r="B16" s="244" t="s">
        <v>564</v>
      </c>
      <c r="C16" s="343">
        <v>2900173.8800000004</v>
      </c>
      <c r="D16" s="248" t="s">
        <v>92</v>
      </c>
      <c r="E16" s="344">
        <v>1.5520000000000001E-2</v>
      </c>
      <c r="F16" s="272">
        <f t="shared" si="0"/>
        <v>45010.698617599999</v>
      </c>
      <c r="G16" s="197"/>
      <c r="H16" s="197"/>
      <c r="I16" s="197"/>
      <c r="J16" s="197"/>
      <c r="K16" s="197"/>
      <c r="L16" s="197"/>
    </row>
    <row r="17" spans="1:13">
      <c r="A17" s="192">
        <f t="shared" si="1"/>
        <v>8</v>
      </c>
      <c r="B17" s="244" t="s">
        <v>612</v>
      </c>
      <c r="C17" s="343">
        <v>21182669.700000003</v>
      </c>
      <c r="D17" s="248" t="s">
        <v>92</v>
      </c>
      <c r="E17" s="344">
        <v>1.9879999999999998E-2</v>
      </c>
      <c r="F17" s="272">
        <f t="shared" si="0"/>
        <v>421111.47363600001</v>
      </c>
      <c r="G17" s="197"/>
      <c r="H17" s="197"/>
      <c r="I17" s="197"/>
      <c r="J17" s="197"/>
      <c r="K17" s="197"/>
      <c r="L17" s="197"/>
    </row>
    <row r="18" spans="1:13">
      <c r="A18" s="192">
        <f t="shared" si="1"/>
        <v>9</v>
      </c>
      <c r="B18" s="345" t="s">
        <v>635</v>
      </c>
      <c r="C18" s="343">
        <v>4878749.05</v>
      </c>
      <c r="D18" s="248" t="s">
        <v>92</v>
      </c>
      <c r="E18" s="344">
        <v>3.2620000000000003E-2</v>
      </c>
      <c r="F18" s="272">
        <f t="shared" si="0"/>
        <v>159144.79401099999</v>
      </c>
      <c r="G18" s="197"/>
      <c r="H18" s="197"/>
      <c r="I18" s="197"/>
      <c r="J18" s="197"/>
      <c r="K18" s="197"/>
      <c r="L18" s="197"/>
    </row>
    <row r="19" spans="1:13">
      <c r="A19" s="192">
        <f t="shared" si="1"/>
        <v>10</v>
      </c>
      <c r="B19" s="244" t="s">
        <v>636</v>
      </c>
      <c r="C19" s="343">
        <v>1988541.1400000001</v>
      </c>
      <c r="D19" s="248" t="s">
        <v>92</v>
      </c>
      <c r="E19" s="344">
        <f>3.459%+0.125%</f>
        <v>3.5840000000000004E-2</v>
      </c>
      <c r="F19" s="272">
        <f t="shared" si="0"/>
        <v>71269.314457600005</v>
      </c>
      <c r="G19" s="197"/>
      <c r="H19" s="197"/>
      <c r="I19" s="197"/>
      <c r="J19" s="197"/>
      <c r="K19" s="197"/>
      <c r="L19" s="197"/>
    </row>
    <row r="20" spans="1:13">
      <c r="A20" s="192">
        <f t="shared" si="1"/>
        <v>11</v>
      </c>
      <c r="B20" s="244" t="s">
        <v>637</v>
      </c>
      <c r="C20" s="343">
        <v>2680145.56</v>
      </c>
      <c r="D20" s="248" t="s">
        <v>92</v>
      </c>
      <c r="E20" s="344">
        <v>3.8089999999999999E-2</v>
      </c>
      <c r="F20" s="272">
        <f t="shared" si="0"/>
        <v>102086.74438040001</v>
      </c>
      <c r="G20" s="197"/>
      <c r="H20" s="197"/>
      <c r="I20" s="197"/>
      <c r="J20" s="197"/>
      <c r="K20" s="197"/>
      <c r="L20" s="197"/>
    </row>
    <row r="21" spans="1:13">
      <c r="A21" s="192">
        <f t="shared" si="1"/>
        <v>12</v>
      </c>
      <c r="B21" s="244" t="s">
        <v>638</v>
      </c>
      <c r="C21" s="343">
        <v>3974627.03</v>
      </c>
      <c r="D21" s="248" t="s">
        <v>92</v>
      </c>
      <c r="E21" s="344">
        <v>4.0219999999999999E-2</v>
      </c>
      <c r="F21" s="272">
        <f t="shared" si="0"/>
        <v>159859.49914659999</v>
      </c>
      <c r="G21" s="197"/>
      <c r="H21" s="197"/>
      <c r="I21" s="197"/>
      <c r="J21" s="197"/>
      <c r="K21" s="197"/>
      <c r="L21" s="197"/>
    </row>
    <row r="22" spans="1:13">
      <c r="A22" s="192">
        <f t="shared" si="1"/>
        <v>13</v>
      </c>
      <c r="B22" s="244" t="s">
        <v>639</v>
      </c>
      <c r="C22" s="343">
        <v>4960161.68</v>
      </c>
      <c r="D22" s="248" t="s">
        <v>92</v>
      </c>
      <c r="E22" s="344">
        <v>4.9279999999999997E-2</v>
      </c>
      <c r="F22" s="272">
        <f t="shared" si="0"/>
        <v>244436.76759040001</v>
      </c>
      <c r="G22" s="197"/>
      <c r="H22" s="197"/>
      <c r="I22" s="197"/>
      <c r="J22" s="197"/>
      <c r="K22" s="197"/>
      <c r="L22" s="197"/>
    </row>
    <row r="23" spans="1:13">
      <c r="A23" s="192">
        <f t="shared" si="1"/>
        <v>14</v>
      </c>
      <c r="B23" s="249">
        <v>9003008</v>
      </c>
      <c r="C23" s="343">
        <v>453153.52</v>
      </c>
      <c r="D23" s="248" t="s">
        <v>93</v>
      </c>
      <c r="E23" s="346">
        <v>3.1E-2</v>
      </c>
      <c r="F23" s="272">
        <f t="shared" si="0"/>
        <v>14047.759120000001</v>
      </c>
      <c r="G23" s="197"/>
      <c r="H23" s="197"/>
      <c r="I23" s="197"/>
      <c r="J23" s="197"/>
      <c r="K23" s="197"/>
      <c r="L23" s="197"/>
    </row>
    <row r="24" spans="1:13">
      <c r="A24" s="192">
        <f t="shared" si="1"/>
        <v>15</v>
      </c>
      <c r="B24" s="249">
        <v>9003009</v>
      </c>
      <c r="C24" s="343">
        <v>705489.54</v>
      </c>
      <c r="D24" s="248" t="s">
        <v>93</v>
      </c>
      <c r="E24" s="346">
        <v>3.15E-2</v>
      </c>
      <c r="F24" s="272">
        <f t="shared" si="0"/>
        <v>22222.92051</v>
      </c>
      <c r="G24" s="197"/>
      <c r="H24" s="197"/>
      <c r="I24" s="197"/>
      <c r="J24" s="197"/>
      <c r="K24" s="197"/>
      <c r="L24" s="197"/>
    </row>
    <row r="25" spans="1:13">
      <c r="A25" s="192">
        <f t="shared" si="1"/>
        <v>16</v>
      </c>
      <c r="B25" s="249">
        <v>9003010</v>
      </c>
      <c r="C25" s="343">
        <v>734340.85</v>
      </c>
      <c r="D25" s="248" t="s">
        <v>93</v>
      </c>
      <c r="E25" s="346">
        <v>3.15E-2</v>
      </c>
      <c r="F25" s="272">
        <f t="shared" si="0"/>
        <v>23131.736775000001</v>
      </c>
      <c r="G25" s="197"/>
      <c r="H25" s="197"/>
      <c r="I25" s="197"/>
      <c r="J25" s="197"/>
      <c r="K25" s="197"/>
      <c r="L25" s="197"/>
    </row>
    <row r="26" spans="1:13">
      <c r="A26" s="192">
        <f t="shared" si="1"/>
        <v>17</v>
      </c>
      <c r="B26" s="250">
        <v>9003011</v>
      </c>
      <c r="C26" s="286">
        <v>765018.3</v>
      </c>
      <c r="D26" s="248" t="s">
        <v>93</v>
      </c>
      <c r="E26" s="251">
        <v>3.2000000000000001E-2</v>
      </c>
      <c r="F26" s="272">
        <f t="shared" si="0"/>
        <v>24480.585599999999</v>
      </c>
      <c r="G26" s="198"/>
      <c r="H26" s="198"/>
      <c r="I26" s="198"/>
      <c r="J26" s="197"/>
      <c r="K26" s="197"/>
      <c r="L26" s="197"/>
      <c r="M26" s="197"/>
    </row>
    <row r="27" spans="1:13">
      <c r="A27" s="192">
        <f t="shared" si="1"/>
        <v>18</v>
      </c>
      <c r="B27" s="250">
        <v>9003012</v>
      </c>
      <c r="C27" s="286">
        <v>796585.49</v>
      </c>
      <c r="D27" s="248" t="s">
        <v>93</v>
      </c>
      <c r="E27" s="251">
        <v>3.2500000000000001E-2</v>
      </c>
      <c r="F27" s="272">
        <f t="shared" si="0"/>
        <v>25889.028425</v>
      </c>
      <c r="G27" s="198"/>
      <c r="H27" s="198"/>
      <c r="I27" s="198"/>
      <c r="J27" s="197"/>
      <c r="K27" s="197"/>
      <c r="L27" s="197"/>
    </row>
    <row r="28" spans="1:13">
      <c r="A28" s="192">
        <f t="shared" si="1"/>
        <v>19</v>
      </c>
      <c r="B28" s="250">
        <v>9003013</v>
      </c>
      <c r="C28" s="286">
        <v>830928.7</v>
      </c>
      <c r="D28" s="248" t="s">
        <v>93</v>
      </c>
      <c r="E28" s="251">
        <v>3.3000000000000002E-2</v>
      </c>
      <c r="F28" s="272">
        <f t="shared" si="0"/>
        <v>27420.647099999998</v>
      </c>
      <c r="G28" s="198"/>
      <c r="H28" s="198"/>
      <c r="I28" s="198"/>
      <c r="J28" s="197"/>
      <c r="K28" s="197"/>
      <c r="L28" s="197"/>
    </row>
    <row r="29" spans="1:13">
      <c r="A29" s="192">
        <f t="shared" si="1"/>
        <v>20</v>
      </c>
      <c r="B29" s="250">
        <v>9003014</v>
      </c>
      <c r="C29" s="286">
        <v>865464.66</v>
      </c>
      <c r="D29" s="248" t="s">
        <v>93</v>
      </c>
      <c r="E29" s="347">
        <v>3.3000000000000002E-2</v>
      </c>
      <c r="F29" s="272">
        <f t="shared" si="0"/>
        <v>28560.333780000001</v>
      </c>
      <c r="G29" s="20"/>
      <c r="H29" s="20"/>
    </row>
    <row r="30" spans="1:13">
      <c r="A30" s="192">
        <f t="shared" si="1"/>
        <v>21</v>
      </c>
      <c r="B30" s="250">
        <v>9003015</v>
      </c>
      <c r="C30" s="286">
        <v>901974.87</v>
      </c>
      <c r="D30" s="248" t="s">
        <v>93</v>
      </c>
      <c r="E30" s="347">
        <v>3.3500000000000002E-2</v>
      </c>
      <c r="F30" s="272">
        <f t="shared" si="0"/>
        <v>30216.158145000001</v>
      </c>
      <c r="G30" s="20"/>
      <c r="H30" s="20"/>
    </row>
    <row r="31" spans="1:13">
      <c r="A31" s="192">
        <f t="shared" si="1"/>
        <v>22</v>
      </c>
      <c r="B31" s="250">
        <v>9003016</v>
      </c>
      <c r="C31" s="286">
        <v>939780.89</v>
      </c>
      <c r="D31" s="248" t="s">
        <v>93</v>
      </c>
      <c r="E31" s="347">
        <v>3.4000000000000002E-2</v>
      </c>
      <c r="F31" s="272">
        <f t="shared" si="0"/>
        <v>31952.55026</v>
      </c>
      <c r="G31" s="197"/>
      <c r="H31" s="197"/>
      <c r="I31" s="197"/>
      <c r="J31" s="197"/>
      <c r="K31" s="197"/>
      <c r="L31" s="197"/>
    </row>
    <row r="32" spans="1:13">
      <c r="A32" s="192">
        <f t="shared" si="1"/>
        <v>23</v>
      </c>
      <c r="B32" s="250">
        <v>9003017</v>
      </c>
      <c r="C32" s="286">
        <v>980248.9</v>
      </c>
      <c r="D32" s="248" t="s">
        <v>93</v>
      </c>
      <c r="E32" s="347">
        <v>3.4000000000000002E-2</v>
      </c>
      <c r="F32" s="272">
        <f t="shared" si="0"/>
        <v>33328.462599999999</v>
      </c>
      <c r="G32" s="197"/>
      <c r="H32" s="197"/>
      <c r="I32" s="197"/>
      <c r="J32" s="197"/>
      <c r="K32" s="197"/>
      <c r="L32" s="197"/>
    </row>
    <row r="33" spans="1:13">
      <c r="A33" s="192">
        <f t="shared" si="1"/>
        <v>24</v>
      </c>
      <c r="B33" s="250">
        <v>9003018</v>
      </c>
      <c r="C33" s="286">
        <v>1021609.58</v>
      </c>
      <c r="D33" s="248" t="s">
        <v>93</v>
      </c>
      <c r="E33" s="347">
        <v>3.4500000000000003E-2</v>
      </c>
      <c r="F33" s="272">
        <f t="shared" si="0"/>
        <v>35245.530509999997</v>
      </c>
      <c r="G33" s="197"/>
      <c r="H33" s="197"/>
      <c r="I33" s="197"/>
      <c r="J33" s="197"/>
      <c r="K33" s="197"/>
      <c r="L33" s="197"/>
    </row>
    <row r="34" spans="1:13">
      <c r="A34" s="192">
        <f t="shared" si="1"/>
        <v>25</v>
      </c>
      <c r="B34" s="250">
        <v>9003019</v>
      </c>
      <c r="C34" s="286">
        <v>1065125.76</v>
      </c>
      <c r="D34" s="248" t="s">
        <v>93</v>
      </c>
      <c r="E34" s="347">
        <v>3.5000000000000003E-2</v>
      </c>
      <c r="F34" s="272">
        <f t="shared" si="0"/>
        <v>37279.401599999997</v>
      </c>
      <c r="G34" s="197"/>
      <c r="H34" s="197"/>
      <c r="I34" s="197"/>
      <c r="J34" s="197"/>
      <c r="K34" s="197"/>
      <c r="L34" s="197"/>
    </row>
    <row r="35" spans="1:13">
      <c r="A35" s="192">
        <f t="shared" si="1"/>
        <v>26</v>
      </c>
      <c r="B35" s="250">
        <v>9003020</v>
      </c>
      <c r="C35" s="286">
        <v>954876.11</v>
      </c>
      <c r="D35" s="248" t="s">
        <v>93</v>
      </c>
      <c r="E35" s="347">
        <v>3.5499999999999997E-2</v>
      </c>
      <c r="F35" s="272">
        <f t="shared" si="0"/>
        <v>33898.101905000003</v>
      </c>
      <c r="G35" s="197"/>
      <c r="H35" s="197"/>
      <c r="I35" s="197"/>
      <c r="J35" s="197"/>
      <c r="K35" s="197"/>
      <c r="L35" s="197"/>
    </row>
    <row r="36" spans="1:13">
      <c r="A36" s="192">
        <f t="shared" si="1"/>
        <v>27</v>
      </c>
      <c r="B36" s="250">
        <v>9003021</v>
      </c>
      <c r="C36" s="286">
        <v>694347.68</v>
      </c>
      <c r="D36" s="248" t="s">
        <v>93</v>
      </c>
      <c r="E36" s="347">
        <v>3.5499999999999997E-2</v>
      </c>
      <c r="F36" s="272">
        <f t="shared" si="0"/>
        <v>24649.342639999999</v>
      </c>
      <c r="G36" s="197"/>
      <c r="H36" s="197"/>
      <c r="I36" s="197"/>
      <c r="J36" s="197"/>
      <c r="K36" s="197"/>
      <c r="L36" s="197"/>
    </row>
    <row r="37" spans="1:13">
      <c r="A37" s="192">
        <f t="shared" si="1"/>
        <v>28</v>
      </c>
      <c r="B37" s="348">
        <v>9003022</v>
      </c>
      <c r="C37" s="7">
        <v>722411.23</v>
      </c>
      <c r="D37" s="248" t="s">
        <v>93</v>
      </c>
      <c r="E37" s="347">
        <v>3.5999999999999997E-2</v>
      </c>
      <c r="F37" s="272">
        <f t="shared" si="0"/>
        <v>26006.80428</v>
      </c>
      <c r="G37" s="197"/>
      <c r="H37" s="197"/>
      <c r="I37" s="197"/>
      <c r="J37" s="197"/>
      <c r="K37" s="197"/>
      <c r="L37" s="197"/>
    </row>
    <row r="38" spans="1:13">
      <c r="A38" s="192">
        <f t="shared" si="1"/>
        <v>29</v>
      </c>
      <c r="B38" s="348">
        <v>9003023</v>
      </c>
      <c r="C38" s="7">
        <v>751763.92</v>
      </c>
      <c r="D38" s="248" t="s">
        <v>93</v>
      </c>
      <c r="E38" s="347">
        <v>3.6499999999999998E-2</v>
      </c>
      <c r="F38" s="272">
        <f t="shared" si="0"/>
        <v>27439.38308</v>
      </c>
      <c r="G38" s="197"/>
      <c r="H38" s="197"/>
      <c r="I38" s="197"/>
      <c r="J38" s="197"/>
      <c r="K38" s="197"/>
      <c r="L38" s="197"/>
    </row>
    <row r="39" spans="1:13">
      <c r="A39" s="192">
        <f t="shared" si="1"/>
        <v>30</v>
      </c>
      <c r="B39" s="348">
        <v>9003024</v>
      </c>
      <c r="C39" s="7">
        <v>782264.38</v>
      </c>
      <c r="D39" s="248" t="s">
        <v>93</v>
      </c>
      <c r="E39" s="347">
        <v>3.6999999999999998E-2</v>
      </c>
      <c r="F39" s="272">
        <f t="shared" si="0"/>
        <v>28943.782060000001</v>
      </c>
      <c r="G39" s="198"/>
      <c r="H39" s="198"/>
      <c r="I39" s="198"/>
      <c r="J39" s="197"/>
      <c r="K39" s="197"/>
      <c r="L39" s="197"/>
      <c r="M39" s="197"/>
    </row>
    <row r="40" spans="1:13">
      <c r="A40" s="192">
        <f t="shared" si="1"/>
        <v>31</v>
      </c>
      <c r="B40" s="348">
        <v>9003025</v>
      </c>
      <c r="C40" s="7">
        <v>709522.81</v>
      </c>
      <c r="D40" s="248" t="s">
        <v>93</v>
      </c>
      <c r="E40" s="347">
        <v>3.6999999999999998E-2</v>
      </c>
      <c r="F40" s="272">
        <f t="shared" si="0"/>
        <v>26252.343970000002</v>
      </c>
      <c r="G40" s="198"/>
      <c r="H40" s="198"/>
      <c r="I40" s="198"/>
      <c r="J40" s="197"/>
      <c r="K40" s="197"/>
      <c r="L40" s="197"/>
    </row>
    <row r="41" spans="1:13">
      <c r="A41" s="192">
        <f t="shared" si="1"/>
        <v>32</v>
      </c>
      <c r="B41" s="348">
        <v>9003026</v>
      </c>
      <c r="C41" s="7">
        <v>70275.429999999993</v>
      </c>
      <c r="D41" s="248" t="s">
        <v>93</v>
      </c>
      <c r="E41" s="347">
        <v>3.7499999999999999E-2</v>
      </c>
      <c r="F41" s="272">
        <f t="shared" si="0"/>
        <v>2635.3286250000001</v>
      </c>
      <c r="G41" s="198"/>
      <c r="H41" s="198"/>
      <c r="I41" s="198"/>
      <c r="J41" s="197"/>
      <c r="K41" s="197"/>
      <c r="L41" s="197"/>
    </row>
    <row r="42" spans="1:13">
      <c r="A42" s="192">
        <f t="shared" si="1"/>
        <v>33</v>
      </c>
      <c r="B42" s="348" t="s">
        <v>640</v>
      </c>
      <c r="C42" s="7">
        <v>593279.68000000005</v>
      </c>
      <c r="D42" s="248" t="s">
        <v>94</v>
      </c>
      <c r="E42" s="347">
        <v>3.7600000000000001E-2</v>
      </c>
      <c r="F42" s="272">
        <f t="shared" si="0"/>
        <v>22307.315967999999</v>
      </c>
      <c r="G42" s="20"/>
      <c r="H42" s="20"/>
    </row>
    <row r="43" spans="1:13">
      <c r="A43" s="192">
        <f t="shared" si="1"/>
        <v>34</v>
      </c>
      <c r="B43" s="4" t="s">
        <v>641</v>
      </c>
      <c r="C43" s="7">
        <v>273261</v>
      </c>
      <c r="D43" s="248" t="s">
        <v>94</v>
      </c>
      <c r="E43" s="347">
        <v>3.5099999999999999E-2</v>
      </c>
      <c r="F43" s="272">
        <f t="shared" si="0"/>
        <v>9591.4611000000004</v>
      </c>
      <c r="G43" s="20"/>
      <c r="H43" s="20"/>
    </row>
    <row r="44" spans="1:13">
      <c r="A44" s="192">
        <f t="shared" si="1"/>
        <v>35</v>
      </c>
      <c r="B44" s="4" t="s">
        <v>642</v>
      </c>
      <c r="C44" s="7">
        <v>464730.8</v>
      </c>
      <c r="D44" s="248" t="s">
        <v>94</v>
      </c>
      <c r="E44" s="347">
        <v>4.6899999999999997E-2</v>
      </c>
      <c r="F44" s="272">
        <f t="shared" si="0"/>
        <v>21795.874520000001</v>
      </c>
      <c r="G44" s="20"/>
      <c r="H44" s="20"/>
    </row>
    <row r="45" spans="1:13">
      <c r="A45" s="192">
        <f t="shared" si="1"/>
        <v>36</v>
      </c>
      <c r="B45" s="4" t="s">
        <v>643</v>
      </c>
      <c r="C45" s="7">
        <v>1214290.6099999994</v>
      </c>
      <c r="D45" s="248" t="s">
        <v>94</v>
      </c>
      <c r="E45" s="347">
        <v>4.9000000000000002E-2</v>
      </c>
      <c r="F45" s="272">
        <f t="shared" si="0"/>
        <v>59500.239889999997</v>
      </c>
      <c r="G45" s="20"/>
      <c r="H45" s="20"/>
    </row>
    <row r="46" spans="1:13">
      <c r="A46" s="192">
        <f t="shared" si="1"/>
        <v>37</v>
      </c>
      <c r="B46" s="29" t="s">
        <v>644</v>
      </c>
      <c r="C46" s="287">
        <v>5289988.9999999991</v>
      </c>
      <c r="D46" s="252" t="s">
        <v>94</v>
      </c>
      <c r="E46" s="349">
        <v>4.4999999999999998E-2</v>
      </c>
      <c r="F46" s="350">
        <f>ROUND(C46*E46,20)</f>
        <v>238049.505</v>
      </c>
      <c r="G46" s="20"/>
      <c r="H46" s="20"/>
    </row>
    <row r="47" spans="1:13">
      <c r="A47" s="192">
        <f t="shared" si="1"/>
        <v>38</v>
      </c>
      <c r="B47" s="245" t="s">
        <v>565</v>
      </c>
      <c r="C47" s="12">
        <f>SUM(C10:C46)</f>
        <v>92765710.060000017</v>
      </c>
      <c r="D47" s="20"/>
      <c r="E47" s="246"/>
      <c r="F47" s="223">
        <f>SUM(F10:F46)</f>
        <v>2657867.6955534997</v>
      </c>
      <c r="G47" s="20"/>
      <c r="H47" s="20"/>
    </row>
    <row r="48" spans="1:13">
      <c r="A48" s="192">
        <f t="shared" si="1"/>
        <v>39</v>
      </c>
      <c r="B48" s="200"/>
      <c r="C48" s="20"/>
      <c r="D48" s="20"/>
      <c r="E48" s="246"/>
      <c r="F48" s="20"/>
      <c r="G48" s="20"/>
      <c r="H48" s="20"/>
    </row>
    <row r="49" spans="1:15">
      <c r="A49" s="192">
        <f t="shared" si="1"/>
        <v>40</v>
      </c>
      <c r="B49" s="246" t="s">
        <v>89</v>
      </c>
      <c r="F49" s="303">
        <f>+(2211497-1421540)+1578913</f>
        <v>2368870</v>
      </c>
    </row>
    <row r="50" spans="1:15">
      <c r="A50" s="192">
        <f t="shared" si="1"/>
        <v>41</v>
      </c>
      <c r="B50" s="246"/>
    </row>
    <row r="51" spans="1:15">
      <c r="A51" s="192">
        <f t="shared" si="1"/>
        <v>42</v>
      </c>
      <c r="B51" s="246" t="s">
        <v>121</v>
      </c>
      <c r="F51" s="223">
        <f>+F47</f>
        <v>2657867.6955534997</v>
      </c>
    </row>
    <row r="52" spans="1:15">
      <c r="A52" s="192">
        <f t="shared" si="1"/>
        <v>43</v>
      </c>
      <c r="B52" s="246"/>
    </row>
    <row r="53" spans="1:15" ht="13.5" thickBot="1">
      <c r="A53" s="192">
        <f t="shared" si="1"/>
        <v>44</v>
      </c>
      <c r="B53" s="254" t="s">
        <v>566</v>
      </c>
      <c r="C53" s="13"/>
      <c r="D53" s="13"/>
      <c r="E53" s="254"/>
      <c r="F53" s="255">
        <f>+F51-F49</f>
        <v>288997.69555349974</v>
      </c>
    </row>
    <row r="54" spans="1:15" ht="13.5" thickTop="1">
      <c r="A54" s="192">
        <f t="shared" si="1"/>
        <v>45</v>
      </c>
      <c r="B54" s="4"/>
      <c r="F54" s="223"/>
    </row>
    <row r="55" spans="1:15">
      <c r="A55" s="192">
        <f>A54+1</f>
        <v>46</v>
      </c>
      <c r="B55" s="375" t="s">
        <v>623</v>
      </c>
      <c r="E55" s="2"/>
    </row>
    <row r="56" spans="1:15">
      <c r="A56" s="192">
        <f t="shared" si="1"/>
        <v>47</v>
      </c>
      <c r="B56" s="245" t="s">
        <v>624</v>
      </c>
      <c r="D56" s="2" t="s">
        <v>94</v>
      </c>
      <c r="F56" s="223">
        <v>0</v>
      </c>
    </row>
    <row r="57" spans="1:15">
      <c r="A57" s="192">
        <f t="shared" si="1"/>
        <v>48</v>
      </c>
      <c r="B57" s="4" t="s">
        <v>625</v>
      </c>
      <c r="D57" s="2" t="s">
        <v>93</v>
      </c>
      <c r="F57" s="223">
        <v>3575.34</v>
      </c>
    </row>
    <row r="58" spans="1:15">
      <c r="A58" s="192">
        <f t="shared" si="1"/>
        <v>49</v>
      </c>
      <c r="B58" s="295" t="s">
        <v>626</v>
      </c>
      <c r="C58" s="9"/>
      <c r="D58" s="9"/>
      <c r="E58" s="295"/>
      <c r="F58" s="226">
        <f>F56+F57</f>
        <v>3575.34</v>
      </c>
    </row>
    <row r="59" spans="1:15">
      <c r="A59" s="192">
        <f t="shared" si="1"/>
        <v>50</v>
      </c>
      <c r="B59" s="4"/>
      <c r="F59" s="223"/>
    </row>
    <row r="60" spans="1:15">
      <c r="A60" s="192">
        <f t="shared" si="1"/>
        <v>51</v>
      </c>
      <c r="B60" s="4" t="s">
        <v>121</v>
      </c>
      <c r="F60" s="223">
        <v>0</v>
      </c>
    </row>
    <row r="61" spans="1:15">
      <c r="A61" s="192">
        <f t="shared" si="1"/>
        <v>52</v>
      </c>
      <c r="B61" s="4"/>
      <c r="F61" s="223"/>
    </row>
    <row r="62" spans="1:15" ht="13.5" thickBot="1">
      <c r="A62" s="192">
        <f t="shared" si="1"/>
        <v>53</v>
      </c>
      <c r="B62" s="254" t="s">
        <v>627</v>
      </c>
      <c r="C62" s="13"/>
      <c r="D62" s="13"/>
      <c r="E62" s="254"/>
      <c r="F62" s="255">
        <f>F60-F58</f>
        <v>-3575.34</v>
      </c>
    </row>
    <row r="63" spans="1:15" ht="13.5" thickTop="1">
      <c r="A63" s="192"/>
      <c r="B63" s="200"/>
      <c r="C63" s="7"/>
      <c r="D63" s="7"/>
      <c r="E63" s="376"/>
      <c r="F63" s="7"/>
      <c r="G63" s="7"/>
      <c r="H63" s="7"/>
    </row>
    <row r="64" spans="1:15" ht="19.149999999999999" customHeight="1">
      <c r="B64" s="412" t="s">
        <v>567</v>
      </c>
      <c r="C64" s="412"/>
      <c r="D64" s="412"/>
      <c r="E64" s="412"/>
      <c r="F64" s="412"/>
      <c r="G64" s="377"/>
      <c r="H64" s="377"/>
      <c r="I64" s="377"/>
      <c r="J64" s="377"/>
      <c r="K64" s="377"/>
      <c r="L64" s="377"/>
      <c r="M64" s="377"/>
      <c r="N64" s="377"/>
      <c r="O64" s="377"/>
    </row>
    <row r="65" spans="2:8">
      <c r="B65" s="2" t="s">
        <v>628</v>
      </c>
      <c r="C65" s="7"/>
      <c r="D65" s="7"/>
      <c r="E65" s="376"/>
      <c r="F65" s="7"/>
      <c r="G65" s="7"/>
      <c r="H65" s="7"/>
    </row>
    <row r="66" spans="2:8">
      <c r="C66" s="20"/>
      <c r="D66" s="20"/>
      <c r="E66" s="246"/>
      <c r="F66" s="20"/>
      <c r="G66" s="20"/>
      <c r="H66" s="20"/>
    </row>
    <row r="67" spans="2:8">
      <c r="C67" s="20"/>
      <c r="D67" s="20"/>
      <c r="E67" s="246"/>
      <c r="F67" s="20"/>
      <c r="G67" s="20"/>
      <c r="H67" s="20"/>
    </row>
    <row r="68" spans="2:8">
      <c r="C68" s="20"/>
      <c r="D68" s="20"/>
      <c r="E68" s="246"/>
      <c r="F68" s="20"/>
      <c r="G68" s="20"/>
      <c r="H68" s="20"/>
    </row>
  </sheetData>
  <mergeCells count="4">
    <mergeCell ref="B4:F4"/>
    <mergeCell ref="B5:F5"/>
    <mergeCell ref="B7:F7"/>
    <mergeCell ref="B64:F64"/>
  </mergeCells>
  <printOptions horizontalCentered="1"/>
  <pageMargins left="0.7" right="0.7" top="0.75" bottom="0.75" header="0.3" footer="0.3"/>
  <pageSetup scale="82" orientation="portrait" r:id="rId1"/>
  <headerFooter>
    <oddFooter>&amp;RExhibit JW-2
Page &amp;P of &amp;N</oddFooter>
  </headerFooter>
  <ignoredErrors>
    <ignoredError sqref="B56:B57" numberStoredAsText="1"/>
    <ignoredError sqref="F10:F4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CC"/>
  </sheetPr>
  <dimension ref="A1:L61"/>
  <sheetViews>
    <sheetView topLeftCell="A22" zoomScaleNormal="100" workbookViewId="0">
      <selection activeCell="L37" sqref="L37"/>
    </sheetView>
  </sheetViews>
  <sheetFormatPr defaultColWidth="9.140625" defaultRowHeight="12.75"/>
  <cols>
    <col min="1" max="1" width="5.85546875" style="39" customWidth="1"/>
    <col min="2" max="2" width="2.28515625" style="39" customWidth="1"/>
    <col min="3" max="3" width="13.28515625" style="39" customWidth="1"/>
    <col min="4" max="4" width="10.85546875" style="39" customWidth="1"/>
    <col min="5" max="5" width="4.140625" style="39" customWidth="1"/>
    <col min="6" max="7" width="16.7109375" style="39" customWidth="1"/>
    <col min="8" max="8" width="12.5703125" style="39" customWidth="1"/>
    <col min="9" max="9" width="16.42578125" style="39" customWidth="1"/>
    <col min="10" max="10" width="14.85546875" style="39" customWidth="1"/>
    <col min="11" max="11" width="9.140625" style="39"/>
    <col min="12" max="12" width="12.28515625" style="39" bestFit="1" customWidth="1"/>
    <col min="13" max="16384" width="9.140625" style="39"/>
  </cols>
  <sheetData>
    <row r="1" spans="1:11">
      <c r="J1" s="62" t="s">
        <v>689</v>
      </c>
    </row>
    <row r="2" spans="1:11">
      <c r="J2" s="436" t="s">
        <v>701</v>
      </c>
    </row>
    <row r="3" spans="1:11">
      <c r="J3" s="62"/>
    </row>
    <row r="4" spans="1:11">
      <c r="A4" s="407" t="s">
        <v>0</v>
      </c>
      <c r="B4" s="407"/>
      <c r="C4" s="407"/>
      <c r="D4" s="407"/>
      <c r="E4" s="407"/>
      <c r="F4" s="407"/>
      <c r="G4" s="407"/>
      <c r="H4" s="407"/>
      <c r="I4" s="407"/>
      <c r="J4" s="407"/>
    </row>
    <row r="5" spans="1:11">
      <c r="A5" s="407" t="str">
        <f>RevReq!A3</f>
        <v>For the 12 Months Ended August 31, 2023</v>
      </c>
      <c r="B5" s="407"/>
      <c r="C5" s="407"/>
      <c r="D5" s="407"/>
      <c r="E5" s="407"/>
      <c r="F5" s="407"/>
      <c r="G5" s="407"/>
      <c r="H5" s="407"/>
      <c r="I5" s="407"/>
      <c r="J5" s="407"/>
      <c r="K5" s="313"/>
    </row>
    <row r="6" spans="1:11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</row>
    <row r="7" spans="1:11">
      <c r="A7" s="408" t="s">
        <v>61</v>
      </c>
      <c r="B7" s="408"/>
      <c r="C7" s="408"/>
      <c r="D7" s="408"/>
      <c r="E7" s="408"/>
      <c r="F7" s="408"/>
      <c r="G7" s="408"/>
      <c r="H7" s="408"/>
      <c r="I7" s="408"/>
      <c r="J7" s="408"/>
    </row>
    <row r="9" spans="1:11">
      <c r="A9" s="31" t="s">
        <v>7</v>
      </c>
      <c r="C9" s="31" t="s">
        <v>101</v>
      </c>
      <c r="D9" s="31" t="s">
        <v>70</v>
      </c>
      <c r="E9" s="31"/>
      <c r="F9" s="15" t="s">
        <v>131</v>
      </c>
      <c r="G9" s="15" t="s">
        <v>130</v>
      </c>
      <c r="H9" s="15" t="s">
        <v>132</v>
      </c>
      <c r="I9" s="15" t="s">
        <v>133</v>
      </c>
      <c r="J9" s="31" t="s">
        <v>57</v>
      </c>
    </row>
    <row r="10" spans="1:11">
      <c r="A10" s="17" t="s">
        <v>11</v>
      </c>
      <c r="C10" s="314" t="s">
        <v>102</v>
      </c>
      <c r="D10" s="314" t="s">
        <v>103</v>
      </c>
      <c r="E10" s="31"/>
      <c r="F10" s="314" t="s">
        <v>104</v>
      </c>
      <c r="G10" s="314" t="s">
        <v>12</v>
      </c>
      <c r="H10" s="314" t="s">
        <v>13</v>
      </c>
      <c r="I10" s="314" t="s">
        <v>14</v>
      </c>
      <c r="J10" s="314" t="s">
        <v>105</v>
      </c>
    </row>
    <row r="11" spans="1:11">
      <c r="A11" s="31"/>
    </row>
    <row r="12" spans="1:11">
      <c r="A12" s="31"/>
    </row>
    <row r="13" spans="1:11">
      <c r="A13" s="31">
        <v>1</v>
      </c>
      <c r="C13" s="31">
        <v>2023</v>
      </c>
      <c r="D13" s="31" t="s">
        <v>72</v>
      </c>
      <c r="E13" s="63"/>
      <c r="F13" s="388">
        <v>25100</v>
      </c>
      <c r="G13" s="388">
        <v>4290</v>
      </c>
      <c r="H13" s="388">
        <v>514</v>
      </c>
      <c r="I13" s="388">
        <v>652</v>
      </c>
      <c r="J13" s="315"/>
    </row>
    <row r="14" spans="1:11">
      <c r="A14" s="31">
        <v>2</v>
      </c>
      <c r="C14" s="31">
        <v>2023</v>
      </c>
      <c r="D14" s="31" t="s">
        <v>73</v>
      </c>
      <c r="E14" s="63"/>
      <c r="F14" s="388">
        <v>24072</v>
      </c>
      <c r="G14" s="388">
        <v>5311</v>
      </c>
      <c r="H14" s="388">
        <v>516</v>
      </c>
      <c r="I14" s="388">
        <v>662</v>
      </c>
      <c r="J14" s="316"/>
    </row>
    <row r="15" spans="1:11">
      <c r="A15" s="31">
        <v>3</v>
      </c>
      <c r="C15" s="31">
        <v>2023</v>
      </c>
      <c r="D15" s="31" t="s">
        <v>74</v>
      </c>
      <c r="E15" s="63"/>
      <c r="F15" s="388">
        <v>23793</v>
      </c>
      <c r="G15" s="388">
        <v>5579</v>
      </c>
      <c r="H15" s="388">
        <v>513</v>
      </c>
      <c r="I15" s="388">
        <v>636</v>
      </c>
      <c r="J15" s="316"/>
    </row>
    <row r="16" spans="1:11">
      <c r="A16" s="31">
        <v>4</v>
      </c>
      <c r="C16" s="31">
        <v>2023</v>
      </c>
      <c r="D16" s="31" t="s">
        <v>75</v>
      </c>
      <c r="E16" s="63"/>
      <c r="F16" s="388">
        <v>23790</v>
      </c>
      <c r="G16" s="388">
        <v>5576</v>
      </c>
      <c r="H16" s="388">
        <v>514</v>
      </c>
      <c r="I16" s="388">
        <v>637</v>
      </c>
      <c r="J16" s="316"/>
    </row>
    <row r="17" spans="1:10">
      <c r="A17" s="31">
        <v>5</v>
      </c>
      <c r="C17" s="31">
        <v>2023</v>
      </c>
      <c r="D17" s="31" t="s">
        <v>63</v>
      </c>
      <c r="E17" s="63"/>
      <c r="F17" s="388">
        <v>23779</v>
      </c>
      <c r="G17" s="388">
        <v>5559</v>
      </c>
      <c r="H17" s="388">
        <v>514</v>
      </c>
      <c r="I17" s="388">
        <v>638</v>
      </c>
      <c r="J17" s="316"/>
    </row>
    <row r="18" spans="1:10">
      <c r="A18" s="31">
        <v>6</v>
      </c>
      <c r="C18" s="31">
        <v>2023</v>
      </c>
      <c r="D18" s="31" t="s">
        <v>76</v>
      </c>
      <c r="E18" s="63"/>
      <c r="F18" s="388">
        <v>23824</v>
      </c>
      <c r="G18" s="388">
        <v>5554</v>
      </c>
      <c r="H18" s="388">
        <v>516</v>
      </c>
      <c r="I18" s="388">
        <v>642</v>
      </c>
      <c r="J18" s="316"/>
    </row>
    <row r="19" spans="1:10">
      <c r="A19" s="31">
        <v>7</v>
      </c>
      <c r="C19" s="31">
        <v>2023</v>
      </c>
      <c r="D19" s="31" t="s">
        <v>77</v>
      </c>
      <c r="E19" s="63"/>
      <c r="F19" s="388">
        <v>23821</v>
      </c>
      <c r="G19" s="388">
        <v>5563</v>
      </c>
      <c r="H19" s="388">
        <v>516</v>
      </c>
      <c r="I19" s="388">
        <v>643</v>
      </c>
      <c r="J19" s="316"/>
    </row>
    <row r="20" spans="1:10">
      <c r="A20" s="31">
        <v>8</v>
      </c>
      <c r="C20" s="31">
        <v>2023</v>
      </c>
      <c r="D20" s="31" t="s">
        <v>78</v>
      </c>
      <c r="E20" s="63"/>
      <c r="F20" s="388">
        <v>23853</v>
      </c>
      <c r="G20" s="388">
        <v>5572</v>
      </c>
      <c r="H20" s="388">
        <v>520</v>
      </c>
      <c r="I20" s="388">
        <v>645</v>
      </c>
      <c r="J20" s="316"/>
    </row>
    <row r="21" spans="1:10">
      <c r="A21" s="31">
        <v>9</v>
      </c>
      <c r="C21" s="31">
        <v>2022</v>
      </c>
      <c r="D21" s="31" t="s">
        <v>79</v>
      </c>
      <c r="E21" s="63"/>
      <c r="F21" s="388">
        <v>25578</v>
      </c>
      <c r="G21" s="388">
        <v>3747</v>
      </c>
      <c r="H21" s="388">
        <v>510</v>
      </c>
      <c r="I21" s="388">
        <v>652</v>
      </c>
      <c r="J21" s="316"/>
    </row>
    <row r="22" spans="1:10">
      <c r="A22" s="31">
        <v>10</v>
      </c>
      <c r="C22" s="31">
        <v>2022</v>
      </c>
      <c r="D22" s="31" t="s">
        <v>80</v>
      </c>
      <c r="E22" s="63"/>
      <c r="F22" s="388">
        <v>25594</v>
      </c>
      <c r="G22" s="388">
        <v>3757</v>
      </c>
      <c r="H22" s="388">
        <v>513</v>
      </c>
      <c r="I22" s="388">
        <v>650</v>
      </c>
      <c r="J22" s="316"/>
    </row>
    <row r="23" spans="1:10">
      <c r="A23" s="31">
        <v>11</v>
      </c>
      <c r="C23" s="31">
        <v>2022</v>
      </c>
      <c r="D23" s="31" t="s">
        <v>81</v>
      </c>
      <c r="E23" s="63"/>
      <c r="F23" s="388">
        <v>25613</v>
      </c>
      <c r="G23" s="388">
        <v>3770</v>
      </c>
      <c r="H23" s="388">
        <v>512</v>
      </c>
      <c r="I23" s="388">
        <v>649</v>
      </c>
      <c r="J23" s="316"/>
    </row>
    <row r="24" spans="1:10">
      <c r="A24" s="31">
        <v>12</v>
      </c>
      <c r="C24" s="31">
        <v>2022</v>
      </c>
      <c r="D24" s="31" t="s">
        <v>82</v>
      </c>
      <c r="E24" s="63"/>
      <c r="F24" s="388">
        <v>25479</v>
      </c>
      <c r="G24" s="388">
        <v>3852</v>
      </c>
      <c r="H24" s="388">
        <v>518</v>
      </c>
      <c r="I24" s="388">
        <v>650</v>
      </c>
      <c r="J24" s="316"/>
    </row>
    <row r="25" spans="1:10">
      <c r="A25" s="31">
        <v>13</v>
      </c>
      <c r="C25" s="33" t="s">
        <v>107</v>
      </c>
      <c r="D25" s="57"/>
      <c r="E25" s="257"/>
      <c r="F25" s="206">
        <f>ROUND(AVERAGE(F13:F24),0)</f>
        <v>24525</v>
      </c>
      <c r="G25" s="206">
        <f>ROUND(AVERAGE(G13:G24),0)</f>
        <v>4844</v>
      </c>
      <c r="H25" s="206">
        <f>ROUND(AVERAGE(H13:H24),0)</f>
        <v>515</v>
      </c>
      <c r="I25" s="206">
        <f>ROUND(AVERAGE(I13:I24),0)</f>
        <v>646</v>
      </c>
      <c r="J25" s="316"/>
    </row>
    <row r="26" spans="1:10">
      <c r="A26" s="31">
        <v>14</v>
      </c>
    </row>
    <row r="27" spans="1:10">
      <c r="A27" s="31">
        <v>15</v>
      </c>
      <c r="C27" s="35" t="s">
        <v>108</v>
      </c>
      <c r="E27" s="257"/>
      <c r="F27" s="218">
        <f>F24-F25</f>
        <v>954</v>
      </c>
      <c r="G27" s="218">
        <f t="shared" ref="G27:I27" si="0">G24-G25</f>
        <v>-992</v>
      </c>
      <c r="H27" s="218">
        <f t="shared" si="0"/>
        <v>3</v>
      </c>
      <c r="I27" s="218">
        <f t="shared" si="0"/>
        <v>4</v>
      </c>
      <c r="J27" s="316"/>
    </row>
    <row r="28" spans="1:10">
      <c r="A28" s="31">
        <v>16</v>
      </c>
      <c r="D28" s="31"/>
      <c r="E28" s="257"/>
      <c r="F28" s="257"/>
      <c r="G28" s="257"/>
    </row>
    <row r="29" spans="1:10">
      <c r="A29" s="31">
        <v>17</v>
      </c>
      <c r="C29" s="39" t="s">
        <v>109</v>
      </c>
      <c r="D29" s="31"/>
      <c r="E29" s="257"/>
      <c r="F29" s="218">
        <v>328446062</v>
      </c>
      <c r="G29" s="218">
        <v>37317394</v>
      </c>
      <c r="H29" s="218">
        <v>11646814</v>
      </c>
      <c r="I29" s="218">
        <v>169761237</v>
      </c>
      <c r="J29" s="316"/>
    </row>
    <row r="30" spans="1:10">
      <c r="A30" s="31">
        <v>18</v>
      </c>
      <c r="C30" s="39" t="s">
        <v>110</v>
      </c>
      <c r="D30" s="31"/>
      <c r="E30" s="257"/>
      <c r="F30" s="218">
        <f>F29/F25</f>
        <v>13392.296106014272</v>
      </c>
      <c r="G30" s="218">
        <f t="shared" ref="G30:I30" si="1">G29/G25</f>
        <v>7703.8385631709334</v>
      </c>
      <c r="H30" s="218">
        <f t="shared" si="1"/>
        <v>22615.172815533981</v>
      </c>
      <c r="I30" s="218">
        <f t="shared" si="1"/>
        <v>262788.29256965942</v>
      </c>
      <c r="J30" s="316"/>
    </row>
    <row r="31" spans="1:10">
      <c r="A31" s="31">
        <v>19</v>
      </c>
      <c r="C31" s="39" t="s">
        <v>111</v>
      </c>
      <c r="D31" s="31"/>
      <c r="E31" s="257"/>
      <c r="F31" s="218">
        <f>F30*F27</f>
        <v>12776250.485137615</v>
      </c>
      <c r="G31" s="218">
        <f t="shared" ref="G31:I31" si="2">G30*G27</f>
        <v>-7642207.8546655662</v>
      </c>
      <c r="H31" s="218">
        <f t="shared" si="2"/>
        <v>67845.518446601942</v>
      </c>
      <c r="I31" s="218">
        <f t="shared" si="2"/>
        <v>1051153.1702786377</v>
      </c>
      <c r="J31" s="317">
        <f>SUM(F31:I31)</f>
        <v>6253041.3191972887</v>
      </c>
    </row>
    <row r="32" spans="1:10">
      <c r="A32" s="31">
        <v>20</v>
      </c>
      <c r="D32" s="31"/>
      <c r="E32" s="257"/>
      <c r="F32" s="257"/>
      <c r="G32" s="257"/>
    </row>
    <row r="33" spans="1:10">
      <c r="A33" s="31"/>
      <c r="C33" s="39" t="s">
        <v>530</v>
      </c>
      <c r="D33" s="31"/>
      <c r="E33" s="257"/>
      <c r="F33" s="257"/>
      <c r="G33" s="257"/>
    </row>
    <row r="34" spans="1:10">
      <c r="A34" s="31">
        <v>21</v>
      </c>
      <c r="C34" s="114" t="s">
        <v>112</v>
      </c>
      <c r="D34" s="31"/>
      <c r="E34" s="257"/>
      <c r="F34" s="257"/>
      <c r="G34" s="257"/>
    </row>
    <row r="35" spans="1:10">
      <c r="A35" s="31">
        <v>22</v>
      </c>
      <c r="C35" s="39" t="s">
        <v>113</v>
      </c>
      <c r="D35" s="31"/>
      <c r="E35" s="257"/>
      <c r="F35" s="257">
        <v>43602895.066302001</v>
      </c>
      <c r="G35" s="257">
        <v>5456570.7782739997</v>
      </c>
      <c r="H35" s="63">
        <v>1369256.926742</v>
      </c>
      <c r="I35" s="331">
        <v>15852686.559139999</v>
      </c>
      <c r="J35" s="316"/>
    </row>
    <row r="36" spans="1:10">
      <c r="A36" s="31">
        <v>23</v>
      </c>
      <c r="C36" s="39" t="s">
        <v>114</v>
      </c>
      <c r="D36" s="31"/>
      <c r="E36" s="257"/>
      <c r="F36" s="318">
        <f>F35/F29</f>
        <v>0.13275511601750306</v>
      </c>
      <c r="G36" s="318">
        <f t="shared" ref="G36:I36" si="3">G35/G29</f>
        <v>0.14622057419856274</v>
      </c>
      <c r="H36" s="318">
        <f t="shared" si="3"/>
        <v>0.11756493464581816</v>
      </c>
      <c r="I36" s="318">
        <f t="shared" si="3"/>
        <v>9.3382251680576525E-2</v>
      </c>
      <c r="J36" s="316"/>
    </row>
    <row r="37" spans="1:10">
      <c r="A37" s="431" t="s">
        <v>700</v>
      </c>
      <c r="B37" s="432"/>
      <c r="C37" s="432" t="s">
        <v>699</v>
      </c>
      <c r="D37" s="431"/>
      <c r="E37" s="433"/>
      <c r="F37" s="434">
        <v>0</v>
      </c>
      <c r="G37" s="434">
        <v>0</v>
      </c>
      <c r="H37" s="434">
        <v>0</v>
      </c>
      <c r="I37" s="433">
        <f>12*(1126.25-21000)</f>
        <v>-238485</v>
      </c>
      <c r="J37" s="316"/>
    </row>
    <row r="38" spans="1:10">
      <c r="A38" s="31">
        <v>24</v>
      </c>
      <c r="C38" s="39" t="s">
        <v>115</v>
      </c>
      <c r="D38" s="31"/>
      <c r="E38" s="257"/>
      <c r="F38" s="257">
        <f>F36*F31</f>
        <v>1696112.6154231238</v>
      </c>
      <c r="G38" s="257">
        <f>G36*G31</f>
        <v>-1117448.0206539654</v>
      </c>
      <c r="H38" s="257">
        <f>H36*H31</f>
        <v>7976.2539421864076</v>
      </c>
      <c r="I38" s="433">
        <f>I36*I31+I37</f>
        <v>-140325.95009820434</v>
      </c>
      <c r="J38" s="317">
        <f>SUM(F38:I38)</f>
        <v>446314.89861314045</v>
      </c>
    </row>
    <row r="39" spans="1:10">
      <c r="A39" s="31">
        <v>25</v>
      </c>
      <c r="D39" s="31"/>
      <c r="E39" s="257"/>
      <c r="F39" s="257"/>
      <c r="G39" s="257"/>
      <c r="H39" s="257"/>
      <c r="I39" s="257"/>
    </row>
    <row r="40" spans="1:10">
      <c r="A40" s="31">
        <v>26</v>
      </c>
      <c r="C40" s="114" t="s">
        <v>116</v>
      </c>
      <c r="D40" s="31"/>
      <c r="E40" s="257"/>
      <c r="F40" s="257"/>
      <c r="G40" s="257"/>
      <c r="H40" s="257"/>
      <c r="I40" s="257"/>
    </row>
    <row r="41" spans="1:10">
      <c r="A41" s="31">
        <v>27</v>
      </c>
      <c r="C41" s="39" t="s">
        <v>117</v>
      </c>
      <c r="D41" s="31"/>
      <c r="E41" s="257"/>
      <c r="F41" s="319">
        <f>G58/G59</f>
        <v>8.4971776572022914E-2</v>
      </c>
      <c r="G41" s="319">
        <f>F41</f>
        <v>8.4971776572022914E-2</v>
      </c>
      <c r="H41" s="319">
        <f t="shared" ref="H41:I41" si="4">G41</f>
        <v>8.4971776572022914E-2</v>
      </c>
      <c r="I41" s="319">
        <f t="shared" si="4"/>
        <v>8.4971776572022914E-2</v>
      </c>
      <c r="J41" s="316"/>
    </row>
    <row r="42" spans="1:10">
      <c r="A42" s="31">
        <v>28</v>
      </c>
      <c r="C42" s="39" t="s">
        <v>118</v>
      </c>
      <c r="D42" s="31"/>
      <c r="E42" s="257"/>
      <c r="F42" s="257">
        <f>F41*F31</f>
        <v>1085620.7016513129</v>
      </c>
      <c r="G42" s="257">
        <f>G41*G31</f>
        <v>-649371.97834360111</v>
      </c>
      <c r="H42" s="257">
        <f>H41*H31</f>
        <v>5764.9542348577197</v>
      </c>
      <c r="I42" s="257">
        <f>I41*I31</f>
        <v>89318.352327889952</v>
      </c>
      <c r="J42" s="317">
        <f>SUM(F42:I42)</f>
        <v>531332.02987045946</v>
      </c>
    </row>
    <row r="43" spans="1:10" ht="13.5" thickBot="1">
      <c r="A43" s="31">
        <v>29</v>
      </c>
      <c r="C43" s="320"/>
      <c r="D43" s="38"/>
      <c r="E43" s="321"/>
      <c r="F43" s="321"/>
      <c r="G43" s="321"/>
      <c r="H43" s="321"/>
      <c r="I43" s="321"/>
      <c r="J43" s="320"/>
    </row>
    <row r="44" spans="1:10" ht="13.5" thickTop="1">
      <c r="A44" s="31">
        <v>30</v>
      </c>
      <c r="D44" s="31"/>
      <c r="E44" s="257"/>
    </row>
    <row r="45" spans="1:10">
      <c r="A45" s="31">
        <v>31</v>
      </c>
      <c r="E45" s="257"/>
      <c r="F45" s="322" t="s">
        <v>119</v>
      </c>
      <c r="G45" s="322" t="s">
        <v>54</v>
      </c>
      <c r="I45" s="322" t="s">
        <v>120</v>
      </c>
    </row>
    <row r="46" spans="1:10">
      <c r="A46" s="31">
        <v>32</v>
      </c>
      <c r="C46" s="39" t="s">
        <v>89</v>
      </c>
      <c r="E46" s="257"/>
      <c r="F46" s="323">
        <v>0</v>
      </c>
      <c r="G46" s="323">
        <v>0</v>
      </c>
      <c r="I46" s="104">
        <f>F46-G46</f>
        <v>0</v>
      </c>
    </row>
    <row r="47" spans="1:10">
      <c r="A47" s="31">
        <v>33</v>
      </c>
      <c r="E47" s="257"/>
      <c r="F47" s="257"/>
    </row>
    <row r="48" spans="1:10">
      <c r="A48" s="31">
        <v>34</v>
      </c>
      <c r="C48" s="39" t="s">
        <v>121</v>
      </c>
      <c r="E48" s="63"/>
      <c r="F48" s="63">
        <f>J38</f>
        <v>446314.89861314045</v>
      </c>
      <c r="G48" s="63">
        <f>J42</f>
        <v>531332.02987045946</v>
      </c>
      <c r="I48" s="104">
        <f>F48-G48</f>
        <v>-85017.131257319008</v>
      </c>
    </row>
    <row r="49" spans="1:12">
      <c r="A49" s="31">
        <v>35</v>
      </c>
    </row>
    <row r="50" spans="1:12" ht="13.5" thickBot="1">
      <c r="A50" s="31">
        <v>36</v>
      </c>
      <c r="C50" s="42" t="s">
        <v>10</v>
      </c>
      <c r="D50" s="42"/>
      <c r="E50" s="324"/>
      <c r="F50" s="325">
        <f>ROUND(F48-F46,2)</f>
        <v>446314.9</v>
      </c>
      <c r="G50" s="325">
        <f>ROUND(G48-G46,2)</f>
        <v>531332.03</v>
      </c>
      <c r="I50" s="325">
        <f>ROUND(I48-I46,2)</f>
        <v>-85017.13</v>
      </c>
    </row>
    <row r="51" spans="1:12" ht="13.5" thickTop="1">
      <c r="A51" s="31">
        <v>37</v>
      </c>
    </row>
    <row r="52" spans="1:12">
      <c r="A52" s="31">
        <v>38</v>
      </c>
    </row>
    <row r="53" spans="1:12">
      <c r="A53" s="31">
        <v>39</v>
      </c>
      <c r="C53" s="96" t="s">
        <v>122</v>
      </c>
      <c r="G53" s="326" t="s">
        <v>123</v>
      </c>
    </row>
    <row r="54" spans="1:12">
      <c r="A54" s="31">
        <v>40</v>
      </c>
      <c r="C54" s="39" t="s">
        <v>124</v>
      </c>
      <c r="D54" s="31"/>
      <c r="E54" s="257"/>
      <c r="G54" s="257">
        <v>70722285.650000006</v>
      </c>
    </row>
    <row r="55" spans="1:12">
      <c r="A55" s="31">
        <v>41</v>
      </c>
      <c r="C55" s="39" t="s">
        <v>125</v>
      </c>
      <c r="D55" s="31"/>
      <c r="E55" s="257"/>
      <c r="G55" s="257">
        <v>-10310597.498955</v>
      </c>
    </row>
    <row r="56" spans="1:12">
      <c r="A56" s="31">
        <v>42</v>
      </c>
      <c r="C56" s="39" t="s">
        <v>126</v>
      </c>
      <c r="D56" s="31"/>
      <c r="E56" s="257"/>
      <c r="G56" s="257">
        <v>-3473197.6488246899</v>
      </c>
    </row>
    <row r="57" spans="1:12">
      <c r="A57" s="31">
        <v>43</v>
      </c>
      <c r="C57" s="39" t="s">
        <v>134</v>
      </c>
      <c r="D57" s="31"/>
      <c r="E57" s="257"/>
      <c r="G57" s="257">
        <v>-292034.83239598339</v>
      </c>
      <c r="L57" s="257"/>
    </row>
    <row r="58" spans="1:12">
      <c r="A58" s="31">
        <v>44</v>
      </c>
      <c r="C58" s="39" t="s">
        <v>127</v>
      </c>
      <c r="D58" s="31"/>
      <c r="E58" s="257"/>
      <c r="G58" s="257">
        <f>SUM(G54:G57)</f>
        <v>56646455.669824332</v>
      </c>
      <c r="L58" s="257"/>
    </row>
    <row r="59" spans="1:12">
      <c r="A59" s="31">
        <v>45</v>
      </c>
      <c r="C59" s="39" t="s">
        <v>128</v>
      </c>
      <c r="D59" s="31"/>
      <c r="E59" s="257"/>
      <c r="G59" s="218">
        <v>666650245</v>
      </c>
      <c r="L59" s="104"/>
    </row>
    <row r="61" spans="1:12" ht="27.6" customHeight="1">
      <c r="C61" s="409" t="s">
        <v>129</v>
      </c>
      <c r="D61" s="409"/>
      <c r="E61" s="409"/>
      <c r="F61" s="409"/>
      <c r="G61" s="409"/>
      <c r="H61" s="409"/>
      <c r="I61" s="409"/>
      <c r="J61" s="409"/>
    </row>
  </sheetData>
  <mergeCells count="4">
    <mergeCell ref="A4:J4"/>
    <mergeCell ref="A5:J5"/>
    <mergeCell ref="A7:J7"/>
    <mergeCell ref="C61:J61"/>
  </mergeCells>
  <printOptions horizontalCentered="1"/>
  <pageMargins left="0.25" right="0.25" top="0.75" bottom="0.75" header="0.5" footer="0.25"/>
  <pageSetup scale="71" fitToHeight="2" orientation="portrait" r:id="rId1"/>
  <headerFooter alignWithMargins="0">
    <oddFooter>&amp;RExhibit JW-2
Page &amp;P of &amp;N</oddFooter>
  </headerFooter>
  <ignoredErrors>
    <ignoredError sqref="C10:J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C2ED-8936-4F8E-A57E-40BC96A61BC5}">
  <sheetPr>
    <tabColor rgb="FFFFFFCC"/>
    <pageSetUpPr fitToPage="1"/>
  </sheetPr>
  <dimension ref="A1:P58"/>
  <sheetViews>
    <sheetView view="pageBreakPreview" topLeftCell="A6" zoomScale="90" zoomScaleNormal="100" zoomScaleSheetLayoutView="90" workbookViewId="0">
      <selection activeCell="A4" sqref="A4:J4"/>
    </sheetView>
  </sheetViews>
  <sheetFormatPr defaultColWidth="8.85546875" defaultRowHeight="12.75"/>
  <cols>
    <col min="1" max="1" width="12.140625" style="2" customWidth="1"/>
    <col min="2" max="4" width="13.85546875" style="2" customWidth="1"/>
    <col min="5" max="5" width="15.28515625" style="2" bestFit="1" customWidth="1"/>
    <col min="6" max="6" width="3" style="2" customWidth="1"/>
    <col min="7" max="8" width="13.85546875" style="2" customWidth="1"/>
    <col min="9" max="9" width="15.28515625" style="2" bestFit="1" customWidth="1"/>
    <col min="10" max="10" width="13.85546875" style="2" customWidth="1"/>
    <col min="11" max="12" width="18.140625" style="2" customWidth="1"/>
    <col min="13" max="13" width="10.5703125" style="2" bestFit="1" customWidth="1"/>
    <col min="14" max="16384" width="8.85546875" style="2"/>
  </cols>
  <sheetData>
    <row r="1" spans="1:16">
      <c r="H1" s="27"/>
      <c r="J1" s="27" t="s">
        <v>521</v>
      </c>
    </row>
    <row r="2" spans="1:16">
      <c r="H2" s="27"/>
      <c r="I2" s="27"/>
      <c r="J2" s="438" t="s">
        <v>701</v>
      </c>
    </row>
    <row r="3" spans="1:16">
      <c r="H3" s="27"/>
      <c r="I3" s="27"/>
    </row>
    <row r="4" spans="1:16" ht="15" customHeight="1">
      <c r="A4" s="410" t="s">
        <v>0</v>
      </c>
      <c r="B4" s="410"/>
      <c r="C4" s="410"/>
      <c r="D4" s="410"/>
      <c r="E4" s="410"/>
      <c r="F4" s="410"/>
      <c r="G4" s="410"/>
      <c r="H4" s="410"/>
      <c r="I4" s="410"/>
      <c r="J4" s="410"/>
      <c r="K4" s="190"/>
      <c r="L4" s="190"/>
      <c r="M4" s="190"/>
      <c r="N4" s="190"/>
      <c r="O4" s="190"/>
      <c r="P4" s="190"/>
    </row>
    <row r="5" spans="1:16" ht="15" customHeight="1">
      <c r="A5" s="410" t="str">
        <f>RevReq!A3</f>
        <v>For the 12 Months Ended August 31, 2023</v>
      </c>
      <c r="B5" s="410"/>
      <c r="C5" s="410"/>
      <c r="D5" s="410"/>
      <c r="E5" s="410"/>
      <c r="F5" s="410"/>
      <c r="G5" s="410"/>
      <c r="H5" s="410"/>
      <c r="I5" s="410"/>
      <c r="J5" s="410"/>
    </row>
    <row r="7" spans="1:16" s="28" customFormat="1" ht="15" customHeight="1">
      <c r="A7" s="408" t="s">
        <v>58</v>
      </c>
      <c r="B7" s="408"/>
      <c r="C7" s="408"/>
      <c r="D7" s="408"/>
      <c r="E7" s="408"/>
      <c r="F7" s="408"/>
      <c r="G7" s="408"/>
      <c r="H7" s="408"/>
      <c r="I7" s="408"/>
      <c r="J7" s="408"/>
    </row>
    <row r="8" spans="1:16">
      <c r="A8" s="1"/>
      <c r="B8" s="1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6">
      <c r="A9" s="4" t="s">
        <v>582</v>
      </c>
      <c r="B9" s="414" t="s">
        <v>583</v>
      </c>
      <c r="C9" s="415"/>
      <c r="D9" s="415"/>
      <c r="E9" s="415"/>
      <c r="F9" s="200"/>
      <c r="G9" s="414" t="s">
        <v>584</v>
      </c>
      <c r="H9" s="415"/>
      <c r="I9" s="416"/>
      <c r="J9" s="245" t="s">
        <v>10</v>
      </c>
      <c r="K9" s="196"/>
      <c r="L9" s="196"/>
    </row>
    <row r="10" spans="1:16">
      <c r="A10" s="29" t="s">
        <v>585</v>
      </c>
      <c r="B10" s="29" t="s">
        <v>586</v>
      </c>
      <c r="C10" s="327" t="s">
        <v>587</v>
      </c>
      <c r="D10" s="328" t="s">
        <v>588</v>
      </c>
      <c r="E10" s="310" t="s">
        <v>589</v>
      </c>
      <c r="F10" s="328" t="s">
        <v>590</v>
      </c>
      <c r="G10" s="328" t="s">
        <v>591</v>
      </c>
      <c r="H10" s="328" t="s">
        <v>592</v>
      </c>
      <c r="I10" s="328" t="s">
        <v>593</v>
      </c>
      <c r="J10" s="328" t="s">
        <v>594</v>
      </c>
      <c r="K10" s="197"/>
      <c r="L10" s="197"/>
      <c r="M10" s="197"/>
    </row>
    <row r="11" spans="1:16">
      <c r="C11" s="272"/>
      <c r="D11" s="273"/>
      <c r="E11" s="199"/>
      <c r="F11" s="273"/>
      <c r="G11" s="273"/>
      <c r="H11" s="273"/>
      <c r="I11" s="273"/>
      <c r="J11" s="273"/>
      <c r="K11" s="197"/>
      <c r="L11" s="197"/>
    </row>
    <row r="12" spans="1:16">
      <c r="A12" s="4">
        <v>1</v>
      </c>
      <c r="C12" s="274" t="s">
        <v>595</v>
      </c>
      <c r="D12" s="275" t="s">
        <v>596</v>
      </c>
      <c r="E12" s="276" t="s">
        <v>597</v>
      </c>
      <c r="F12" s="273"/>
      <c r="G12" s="275" t="s">
        <v>595</v>
      </c>
      <c r="H12" s="275" t="s">
        <v>596</v>
      </c>
      <c r="I12" s="275" t="s">
        <v>597</v>
      </c>
      <c r="J12" s="273"/>
      <c r="K12" s="197"/>
      <c r="L12" s="197"/>
    </row>
    <row r="13" spans="1:16">
      <c r="A13" s="4">
        <v>2</v>
      </c>
      <c r="B13" s="2" t="s">
        <v>598</v>
      </c>
      <c r="C13" s="277">
        <v>138612</v>
      </c>
      <c r="D13" s="272">
        <f>+E13/C13</f>
        <v>38.439149712867575</v>
      </c>
      <c r="E13" s="278">
        <v>5328127.42</v>
      </c>
      <c r="F13" s="279"/>
      <c r="G13" s="279">
        <f>70*2080</f>
        <v>145600</v>
      </c>
      <c r="H13" s="439">
        <v>42.31</v>
      </c>
      <c r="I13" s="278">
        <f>+G13*H13</f>
        <v>6160336</v>
      </c>
      <c r="J13" s="272">
        <f>+I13-E13</f>
        <v>832208.58000000007</v>
      </c>
      <c r="K13" s="280"/>
      <c r="L13" s="197"/>
    </row>
    <row r="14" spans="1:16">
      <c r="A14" s="4">
        <v>3</v>
      </c>
      <c r="C14" s="277"/>
      <c r="D14" s="272"/>
      <c r="E14" s="278"/>
      <c r="F14" s="279"/>
      <c r="G14" s="279"/>
      <c r="H14" s="351"/>
      <c r="I14" s="279"/>
      <c r="J14" s="272"/>
      <c r="K14" s="280"/>
      <c r="L14" s="197"/>
    </row>
    <row r="15" spans="1:16">
      <c r="A15" s="4">
        <v>4</v>
      </c>
      <c r="C15" s="277"/>
      <c r="D15" s="272"/>
      <c r="E15" s="278"/>
      <c r="F15" s="279"/>
      <c r="G15" s="279"/>
      <c r="H15" s="278"/>
      <c r="I15" s="279"/>
      <c r="J15" s="272"/>
      <c r="K15" s="280"/>
      <c r="L15" s="197"/>
    </row>
    <row r="16" spans="1:16">
      <c r="A16" s="4">
        <v>5</v>
      </c>
      <c r="B16" s="2" t="s">
        <v>599</v>
      </c>
      <c r="C16" s="277">
        <v>21995.5</v>
      </c>
      <c r="D16" s="272">
        <f>+E16/C16</f>
        <v>64.635085813007208</v>
      </c>
      <c r="E16" s="278">
        <v>1421681.03</v>
      </c>
      <c r="F16" s="279"/>
      <c r="G16" s="279">
        <f>+C16</f>
        <v>21995.5</v>
      </c>
      <c r="H16" s="278">
        <f>+(D16/$D$13)*$H$13</f>
        <v>71.143885886551899</v>
      </c>
      <c r="I16" s="278">
        <f>+G16*H16</f>
        <v>1564845.3420176522</v>
      </c>
      <c r="J16" s="272">
        <f>+I16-E16</f>
        <v>143164.31201765221</v>
      </c>
      <c r="K16" s="280"/>
      <c r="L16" s="197"/>
    </row>
    <row r="17" spans="1:13">
      <c r="A17" s="4">
        <v>6</v>
      </c>
      <c r="C17" s="277"/>
      <c r="D17" s="272"/>
      <c r="E17" s="278"/>
      <c r="F17" s="279"/>
      <c r="G17" s="279"/>
      <c r="H17" s="351"/>
      <c r="I17" s="279"/>
      <c r="J17" s="272"/>
      <c r="K17" s="280"/>
      <c r="L17" s="197"/>
      <c r="M17" s="197"/>
    </row>
    <row r="18" spans="1:13">
      <c r="A18" s="4">
        <v>7</v>
      </c>
      <c r="C18" s="277"/>
      <c r="D18" s="272"/>
      <c r="E18" s="278"/>
      <c r="F18" s="279"/>
      <c r="G18" s="279"/>
      <c r="H18" s="278"/>
      <c r="I18" s="279"/>
      <c r="J18" s="272"/>
      <c r="K18" s="280"/>
      <c r="L18" s="197"/>
    </row>
    <row r="19" spans="1:13">
      <c r="A19" s="4">
        <v>8</v>
      </c>
      <c r="B19" s="2" t="s">
        <v>600</v>
      </c>
      <c r="C19" s="277">
        <v>3957.92</v>
      </c>
      <c r="D19" s="272">
        <f>+E19/C19</f>
        <v>46.462950236487856</v>
      </c>
      <c r="E19" s="278">
        <v>183896.64</v>
      </c>
      <c r="F19" s="279"/>
      <c r="G19" s="279">
        <f>+C19</f>
        <v>3957.92</v>
      </c>
      <c r="H19" s="278">
        <f>+(D19/$D$13)*$H$13</f>
        <v>51.141803062509744</v>
      </c>
      <c r="I19" s="278">
        <f>+G19*H19</f>
        <v>202415.16517716856</v>
      </c>
      <c r="J19" s="272">
        <f>+I19-E19</f>
        <v>18518.525177168543</v>
      </c>
      <c r="K19" s="280"/>
      <c r="L19" s="197"/>
    </row>
    <row r="20" spans="1:13">
      <c r="A20" s="4">
        <v>9</v>
      </c>
      <c r="B20" s="281"/>
      <c r="C20" s="277"/>
      <c r="D20" s="282"/>
      <c r="E20" s="278"/>
      <c r="F20" s="279"/>
      <c r="G20" s="279"/>
      <c r="H20" s="279"/>
      <c r="I20" s="279"/>
      <c r="J20" s="278"/>
      <c r="K20" s="279"/>
      <c r="L20" s="199"/>
    </row>
    <row r="21" spans="1:13">
      <c r="A21" s="4">
        <v>10</v>
      </c>
      <c r="B21" s="281" t="s">
        <v>57</v>
      </c>
      <c r="C21" s="277">
        <f>SUM(C13:C20)</f>
        <v>164565.42000000001</v>
      </c>
      <c r="D21" s="282"/>
      <c r="E21" s="278">
        <f>SUM(E13:E20)</f>
        <v>6933705.0899999999</v>
      </c>
      <c r="F21" s="279"/>
      <c r="G21" s="279">
        <f>SUM(G13:G20)</f>
        <v>171553.42</v>
      </c>
      <c r="H21" s="279"/>
      <c r="I21" s="278">
        <f>SUM(I13:I20)</f>
        <v>7927596.5071948208</v>
      </c>
      <c r="J21" s="278">
        <f>+I21-E21</f>
        <v>993891.41719482094</v>
      </c>
      <c r="K21" s="261"/>
    </row>
    <row r="22" spans="1:13">
      <c r="A22" s="4">
        <v>11</v>
      </c>
      <c r="C22" s="277"/>
      <c r="D22" s="282"/>
      <c r="E22" s="279"/>
      <c r="F22" s="279"/>
      <c r="G22" s="279"/>
      <c r="H22" s="279"/>
      <c r="I22" s="279"/>
      <c r="J22" s="279"/>
      <c r="K22" s="261"/>
    </row>
    <row r="23" spans="1:13">
      <c r="A23" s="4">
        <v>12</v>
      </c>
      <c r="B23" s="37"/>
      <c r="C23" s="277"/>
      <c r="D23" s="282"/>
      <c r="E23" s="279"/>
      <c r="F23" s="279"/>
      <c r="G23" s="279"/>
      <c r="H23" s="279"/>
      <c r="I23" s="279"/>
      <c r="J23" s="279"/>
      <c r="K23" s="261"/>
    </row>
    <row r="24" spans="1:13">
      <c r="A24" s="4">
        <v>13</v>
      </c>
      <c r="B24" s="2" t="s">
        <v>601</v>
      </c>
      <c r="C24" s="277"/>
      <c r="D24" s="283">
        <v>3657946</v>
      </c>
      <c r="E24" s="284">
        <f>+D24/D27</f>
        <v>0.522767743067723</v>
      </c>
      <c r="F24" s="279"/>
      <c r="G24" s="279"/>
      <c r="H24" s="279"/>
      <c r="I24" s="279"/>
      <c r="J24" s="285">
        <f>+J21*E24</f>
        <v>519574.37302131724</v>
      </c>
      <c r="K24" s="261"/>
    </row>
    <row r="25" spans="1:13">
      <c r="A25" s="4">
        <v>14</v>
      </c>
      <c r="B25" s="2" t="s">
        <v>602</v>
      </c>
      <c r="C25" s="279"/>
      <c r="D25" s="286">
        <v>1928085</v>
      </c>
      <c r="E25" s="284">
        <f>+D25/D27</f>
        <v>0.2755482568339529</v>
      </c>
      <c r="F25" s="279"/>
      <c r="G25" s="279"/>
      <c r="H25" s="279"/>
      <c r="I25" s="279"/>
      <c r="J25" s="279">
        <f>+J21*E25</f>
        <v>273865.04749025992</v>
      </c>
      <c r="K25" s="261"/>
    </row>
    <row r="26" spans="1:13">
      <c r="A26" s="4">
        <v>15</v>
      </c>
      <c r="B26" s="2" t="s">
        <v>603</v>
      </c>
      <c r="C26" s="286"/>
      <c r="D26" s="287">
        <v>1411237</v>
      </c>
      <c r="E26" s="284">
        <f>+D26/D27</f>
        <v>0.2016840000983241</v>
      </c>
      <c r="F26" s="286"/>
      <c r="G26" s="286"/>
      <c r="H26" s="279"/>
      <c r="J26" s="288">
        <f>+J21*E26</f>
        <v>200451.99668324375</v>
      </c>
    </row>
    <row r="27" spans="1:13">
      <c r="A27" s="4">
        <v>16</v>
      </c>
      <c r="B27" s="2" t="s">
        <v>645</v>
      </c>
      <c r="C27" s="286"/>
      <c r="D27" s="286">
        <f>SUM(D24:D26)</f>
        <v>6997268</v>
      </c>
      <c r="E27" s="286"/>
      <c r="F27" s="286"/>
      <c r="G27" s="286"/>
      <c r="H27" s="286"/>
      <c r="I27" s="286"/>
      <c r="J27" s="278">
        <f>SUM(J24:J26)</f>
        <v>993891.41719482094</v>
      </c>
    </row>
    <row r="28" spans="1:13">
      <c r="A28" s="4">
        <v>17</v>
      </c>
      <c r="C28" s="286"/>
      <c r="D28" s="286"/>
      <c r="E28" s="286"/>
      <c r="F28" s="286"/>
      <c r="G28" s="286"/>
      <c r="H28" s="286"/>
    </row>
    <row r="29" spans="1:13">
      <c r="A29" s="4">
        <v>18</v>
      </c>
      <c r="C29" s="286"/>
      <c r="D29" s="286"/>
      <c r="E29" s="286"/>
      <c r="F29" s="286"/>
      <c r="G29" s="286"/>
      <c r="H29" s="286"/>
      <c r="I29" s="286"/>
      <c r="J29" s="286"/>
    </row>
    <row r="30" spans="1:13">
      <c r="A30" s="4">
        <v>19</v>
      </c>
      <c r="B30" s="37" t="s">
        <v>580</v>
      </c>
      <c r="C30" s="286"/>
      <c r="D30" s="286"/>
      <c r="E30" s="286"/>
      <c r="F30" s="286"/>
      <c r="G30" s="286"/>
      <c r="H30" s="286"/>
      <c r="I30" s="286"/>
      <c r="J30" s="286"/>
    </row>
    <row r="31" spans="1:13">
      <c r="A31" s="4">
        <v>20</v>
      </c>
      <c r="B31" s="4">
        <v>580</v>
      </c>
      <c r="C31" s="284">
        <v>0.33</v>
      </c>
      <c r="D31" s="278">
        <f>ROUND(+J$24*C31,2)</f>
        <v>171459.54</v>
      </c>
      <c r="F31" s="286"/>
      <c r="G31" s="286"/>
      <c r="H31" s="286"/>
      <c r="I31" s="286"/>
      <c r="J31" s="286"/>
    </row>
    <row r="32" spans="1:13">
      <c r="A32" s="4">
        <v>21</v>
      </c>
      <c r="B32" s="4">
        <v>590</v>
      </c>
      <c r="C32" s="284">
        <v>0.23</v>
      </c>
      <c r="D32" s="278">
        <f t="shared" ref="D32:D35" si="0">ROUND(+J$24*C32,2)</f>
        <v>119502.11</v>
      </c>
    </row>
    <row r="33" spans="1:10">
      <c r="A33" s="4">
        <v>22</v>
      </c>
      <c r="B33" s="4">
        <v>901</v>
      </c>
      <c r="C33" s="284">
        <v>0.11</v>
      </c>
      <c r="D33" s="278">
        <f t="shared" si="0"/>
        <v>57153.18</v>
      </c>
    </row>
    <row r="34" spans="1:10">
      <c r="A34" s="4">
        <v>23</v>
      </c>
      <c r="B34" s="4">
        <v>920</v>
      </c>
      <c r="C34" s="284">
        <v>0.3</v>
      </c>
      <c r="D34" s="278">
        <f t="shared" si="0"/>
        <v>155872.31</v>
      </c>
      <c r="F34" s="40"/>
      <c r="G34" s="40"/>
      <c r="H34" s="40"/>
      <c r="I34" s="40"/>
      <c r="J34" s="40"/>
    </row>
    <row r="35" spans="1:10">
      <c r="A35" s="4">
        <v>24</v>
      </c>
      <c r="B35" s="4">
        <v>930</v>
      </c>
      <c r="C35" s="284">
        <v>0.03</v>
      </c>
      <c r="D35" s="289">
        <f t="shared" si="0"/>
        <v>15587.23</v>
      </c>
      <c r="F35" s="290"/>
      <c r="G35" s="290"/>
      <c r="H35" s="290"/>
      <c r="I35" s="290"/>
      <c r="J35" s="290"/>
    </row>
    <row r="36" spans="1:10">
      <c r="A36" s="4">
        <v>25</v>
      </c>
      <c r="B36" s="2" t="s">
        <v>57</v>
      </c>
      <c r="C36" s="286"/>
      <c r="D36" s="285">
        <f>SUM(D31:D35)</f>
        <v>519574.37</v>
      </c>
      <c r="F36" s="40"/>
      <c r="G36" s="40"/>
      <c r="H36" s="40"/>
      <c r="I36" s="40"/>
      <c r="J36" s="40"/>
    </row>
    <row r="37" spans="1:10">
      <c r="A37" s="4"/>
    </row>
    <row r="38" spans="1:10">
      <c r="A38" s="4"/>
      <c r="B38" s="2" t="s">
        <v>646</v>
      </c>
      <c r="C38" s="286"/>
      <c r="F38" s="290"/>
      <c r="G38" s="290"/>
      <c r="H38" s="290"/>
      <c r="I38" s="290"/>
      <c r="J38" s="290"/>
    </row>
    <row r="39" spans="1:10">
      <c r="A39" s="4"/>
      <c r="C39" s="286"/>
      <c r="F39" s="40"/>
      <c r="G39" s="40"/>
      <c r="H39" s="40"/>
      <c r="I39" s="40"/>
      <c r="J39" s="40"/>
    </row>
    <row r="40" spans="1:10">
      <c r="A40" s="2" t="s">
        <v>473</v>
      </c>
      <c r="C40" s="286"/>
    </row>
    <row r="41" spans="1:10">
      <c r="A41" s="4"/>
    </row>
    <row r="42" spans="1:10">
      <c r="A42" s="4"/>
      <c r="F42" s="1"/>
      <c r="G42" s="1"/>
      <c r="J42" s="1"/>
    </row>
    <row r="43" spans="1:10">
      <c r="A43" s="4"/>
      <c r="F43" s="40"/>
      <c r="G43" s="40"/>
      <c r="H43" s="40"/>
      <c r="I43" s="40"/>
      <c r="J43" s="40"/>
    </row>
    <row r="44" spans="1:10">
      <c r="A44" s="4"/>
      <c r="F44" s="40"/>
      <c r="G44" s="40"/>
      <c r="H44" s="40"/>
      <c r="I44" s="40"/>
      <c r="J44" s="40"/>
    </row>
    <row r="45" spans="1:10">
      <c r="A45" s="4"/>
      <c r="F45" s="40"/>
      <c r="G45" s="40"/>
      <c r="H45" s="40"/>
      <c r="I45" s="40"/>
      <c r="J45" s="40"/>
    </row>
    <row r="46" spans="1:10">
      <c r="A46" s="4"/>
      <c r="F46" s="40"/>
      <c r="G46" s="40"/>
      <c r="H46" s="40"/>
      <c r="I46" s="40"/>
      <c r="J46" s="40"/>
    </row>
    <row r="47" spans="1:10">
      <c r="A47" s="291"/>
      <c r="F47" s="40"/>
      <c r="G47" s="40"/>
      <c r="H47" s="40"/>
      <c r="I47" s="40"/>
      <c r="J47" s="40"/>
    </row>
    <row r="48" spans="1:10">
      <c r="A48" s="4"/>
    </row>
    <row r="49" spans="1:7">
      <c r="A49" s="4"/>
    </row>
    <row r="50" spans="1:7">
      <c r="A50" s="291"/>
      <c r="C50" s="37"/>
      <c r="G50" s="1"/>
    </row>
    <row r="51" spans="1:7">
      <c r="A51" s="4"/>
      <c r="G51" s="40"/>
    </row>
    <row r="52" spans="1:7">
      <c r="A52" s="4"/>
      <c r="G52" s="40"/>
    </row>
    <row r="53" spans="1:7">
      <c r="A53" s="291"/>
      <c r="G53" s="40"/>
    </row>
    <row r="54" spans="1:7">
      <c r="A54" s="4"/>
      <c r="G54" s="40"/>
    </row>
    <row r="55" spans="1:7">
      <c r="A55" s="4"/>
      <c r="G55" s="40"/>
    </row>
    <row r="56" spans="1:7">
      <c r="A56" s="291"/>
      <c r="G56" s="286"/>
    </row>
    <row r="57" spans="1:7">
      <c r="A57" s="4"/>
    </row>
    <row r="58" spans="1:7">
      <c r="A58" s="4"/>
    </row>
  </sheetData>
  <mergeCells count="5">
    <mergeCell ref="A4:J4"/>
    <mergeCell ref="A5:J5"/>
    <mergeCell ref="A7:J7"/>
    <mergeCell ref="B9:E9"/>
    <mergeCell ref="G9:I9"/>
  </mergeCells>
  <printOptions horizontalCentered="1"/>
  <pageMargins left="0.7" right="0.7" top="0.75" bottom="0.75" header="0.3" footer="0.3"/>
  <pageSetup scale="95" orientation="landscape" r:id="rId1"/>
  <ignoredErrors>
    <ignoredError sqref="D13 D16:D19 C2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DB10-20BB-4BF7-802F-1865D354AA8E}">
  <sheetPr>
    <pageSetUpPr fitToPage="1"/>
  </sheetPr>
  <dimension ref="A1:N58"/>
  <sheetViews>
    <sheetView view="pageBreakPreview" topLeftCell="A43" zoomScaleNormal="100" zoomScaleSheetLayoutView="100" workbookViewId="0">
      <selection activeCell="G40" sqref="G40"/>
    </sheetView>
  </sheetViews>
  <sheetFormatPr defaultColWidth="9.140625" defaultRowHeight="12.75"/>
  <cols>
    <col min="1" max="1" width="5.85546875" style="2" customWidth="1"/>
    <col min="2" max="2" width="5.7109375" style="2" bestFit="1" customWidth="1"/>
    <col min="3" max="3" width="9.28515625" style="2" customWidth="1"/>
    <col min="4" max="4" width="30.5703125" style="2" bestFit="1" customWidth="1"/>
    <col min="5" max="5" width="16.5703125" style="2" bestFit="1" customWidth="1"/>
    <col min="6" max="6" width="11.28515625" style="2" bestFit="1" customWidth="1"/>
    <col min="7" max="7" width="9.7109375" style="2" customWidth="1"/>
    <col min="8" max="8" width="11.28515625" style="2" bestFit="1" customWidth="1"/>
    <col min="9" max="9" width="11.7109375" style="2" customWidth="1"/>
    <col min="10" max="10" width="12" style="2" customWidth="1"/>
    <col min="11" max="13" width="9.140625" style="2"/>
    <col min="14" max="14" width="10.42578125" style="2" bestFit="1" customWidth="1"/>
    <col min="15" max="16384" width="9.140625" style="2"/>
  </cols>
  <sheetData>
    <row r="1" spans="1:10">
      <c r="G1" s="27"/>
      <c r="J1" s="27" t="s">
        <v>522</v>
      </c>
    </row>
    <row r="2" spans="1:10" ht="14.25" customHeight="1">
      <c r="G2" s="27"/>
    </row>
    <row r="3" spans="1:10">
      <c r="A3" s="410" t="s">
        <v>0</v>
      </c>
      <c r="B3" s="410"/>
      <c r="C3" s="410"/>
      <c r="D3" s="410"/>
      <c r="E3" s="410"/>
      <c r="F3" s="410"/>
      <c r="G3" s="410"/>
      <c r="H3" s="410"/>
      <c r="I3" s="410"/>
      <c r="J3" s="410"/>
    </row>
    <row r="4" spans="1:10">
      <c r="A4" s="410" t="str">
        <f>RevReq!A3</f>
        <v>For the 12 Months Ended August 31, 2023</v>
      </c>
      <c r="B4" s="410"/>
      <c r="C4" s="410"/>
      <c r="D4" s="410"/>
      <c r="E4" s="410"/>
      <c r="F4" s="410"/>
      <c r="G4" s="410"/>
      <c r="H4" s="410"/>
      <c r="I4" s="410"/>
      <c r="J4" s="410"/>
    </row>
    <row r="6" spans="1:10" s="28" customFormat="1" ht="15" customHeight="1">
      <c r="A6" s="408" t="s">
        <v>527</v>
      </c>
      <c r="B6" s="408"/>
      <c r="C6" s="408"/>
      <c r="D6" s="408"/>
      <c r="E6" s="408"/>
      <c r="F6" s="408"/>
      <c r="G6" s="408"/>
      <c r="H6" s="408"/>
      <c r="I6" s="408"/>
      <c r="J6" s="408"/>
    </row>
    <row r="8" spans="1:10" s="16" customFormat="1" ht="38.25" customHeight="1">
      <c r="A8" s="16" t="s">
        <v>7</v>
      </c>
      <c r="C8" s="16" t="s">
        <v>135</v>
      </c>
      <c r="D8" s="16" t="s">
        <v>8</v>
      </c>
      <c r="E8" s="16" t="s">
        <v>528</v>
      </c>
      <c r="F8" s="16" t="s">
        <v>136</v>
      </c>
      <c r="G8" s="16" t="s">
        <v>137</v>
      </c>
      <c r="H8" s="16" t="s">
        <v>138</v>
      </c>
      <c r="I8" s="16" t="s">
        <v>139</v>
      </c>
      <c r="J8" s="16" t="s">
        <v>140</v>
      </c>
    </row>
    <row r="9" spans="1:10">
      <c r="A9" s="29" t="s">
        <v>11</v>
      </c>
      <c r="B9" s="4"/>
      <c r="C9" s="30" t="s">
        <v>102</v>
      </c>
      <c r="D9" s="30" t="s">
        <v>103</v>
      </c>
      <c r="E9" s="30" t="s">
        <v>104</v>
      </c>
      <c r="F9" s="30" t="s">
        <v>12</v>
      </c>
      <c r="G9" s="30" t="s">
        <v>13</v>
      </c>
      <c r="H9" s="30" t="s">
        <v>14</v>
      </c>
      <c r="I9" s="30" t="s">
        <v>105</v>
      </c>
      <c r="J9" s="30" t="s">
        <v>106</v>
      </c>
    </row>
    <row r="10" spans="1:10">
      <c r="A10" s="4"/>
      <c r="B10" s="4"/>
    </row>
    <row r="11" spans="1:10">
      <c r="A11" s="4">
        <v>1</v>
      </c>
      <c r="B11" s="4"/>
      <c r="C11" s="46" t="s">
        <v>141</v>
      </c>
    </row>
    <row r="12" spans="1:10">
      <c r="A12" s="4">
        <f>A11+1</f>
        <v>2</v>
      </c>
      <c r="B12" s="352"/>
      <c r="C12" s="101">
        <v>360</v>
      </c>
      <c r="D12" s="39" t="s">
        <v>153</v>
      </c>
      <c r="E12" s="47">
        <v>274958.43</v>
      </c>
      <c r="F12" s="47">
        <v>0</v>
      </c>
      <c r="G12" s="353"/>
      <c r="H12" s="47"/>
      <c r="I12" s="47"/>
      <c r="J12" s="257"/>
    </row>
    <row r="13" spans="1:10">
      <c r="A13" s="4">
        <f t="shared" ref="A13:A54" si="0">A12+1</f>
        <v>3</v>
      </c>
      <c r="B13" s="352"/>
      <c r="C13" s="101">
        <v>362</v>
      </c>
      <c r="D13" s="39" t="s">
        <v>142</v>
      </c>
      <c r="E13" s="47">
        <v>22963255.629999999</v>
      </c>
      <c r="F13" s="47">
        <v>0</v>
      </c>
      <c r="G13" s="353">
        <v>1.5999599999999999E-2</v>
      </c>
      <c r="H13" s="47">
        <f>ROUND(((+E13-F13)*G13),2)</f>
        <v>367402.9</v>
      </c>
      <c r="I13" s="47">
        <v>366223.52</v>
      </c>
      <c r="J13" s="257">
        <f>+H13-I13</f>
        <v>1179.3800000000047</v>
      </c>
    </row>
    <row r="14" spans="1:10">
      <c r="A14" s="4">
        <f t="shared" si="0"/>
        <v>4</v>
      </c>
      <c r="B14" s="352"/>
      <c r="C14" s="101">
        <v>362.161</v>
      </c>
      <c r="D14" s="39" t="s">
        <v>389</v>
      </c>
      <c r="E14" s="47">
        <v>47988.85</v>
      </c>
      <c r="F14" s="47">
        <v>0</v>
      </c>
      <c r="G14" s="353">
        <v>5.0000004000000001E-2</v>
      </c>
      <c r="H14" s="47">
        <f t="shared" ref="H14:H28" si="1">ROUND(((+E14-F14)*G14),2)</f>
        <v>2399.44</v>
      </c>
      <c r="I14" s="47">
        <v>2399.0400000000004</v>
      </c>
      <c r="J14" s="257">
        <f t="shared" ref="J14:J28" si="2">+H14-I14</f>
        <v>0.3999999999996362</v>
      </c>
    </row>
    <row r="15" spans="1:10">
      <c r="A15" s="4">
        <f t="shared" si="0"/>
        <v>5</v>
      </c>
      <c r="B15" s="352"/>
      <c r="C15" s="101">
        <v>362.16199999999998</v>
      </c>
      <c r="D15" s="39" t="s">
        <v>390</v>
      </c>
      <c r="E15" s="47">
        <v>33207.15</v>
      </c>
      <c r="F15" s="47">
        <v>0</v>
      </c>
      <c r="G15" s="353">
        <v>5.0000004000000001E-2</v>
      </c>
      <c r="H15" s="47">
        <f t="shared" si="1"/>
        <v>1660.36</v>
      </c>
      <c r="I15" s="47">
        <v>1660.0799999999997</v>
      </c>
      <c r="J15" s="257">
        <f t="shared" si="2"/>
        <v>0.28000000000020009</v>
      </c>
    </row>
    <row r="16" spans="1:10">
      <c r="A16" s="4">
        <f t="shared" si="0"/>
        <v>6</v>
      </c>
      <c r="B16" s="352"/>
      <c r="C16" s="101">
        <v>364</v>
      </c>
      <c r="D16" s="39" t="s">
        <v>143</v>
      </c>
      <c r="E16" s="47">
        <v>52183251.579999998</v>
      </c>
      <c r="F16" s="47">
        <v>0</v>
      </c>
      <c r="G16" s="353">
        <v>4.3100400000000004E-2</v>
      </c>
      <c r="H16" s="47">
        <f t="shared" si="1"/>
        <v>2249119.02</v>
      </c>
      <c r="I16" s="47">
        <v>2186209.75</v>
      </c>
      <c r="J16" s="257">
        <f t="shared" si="2"/>
        <v>62909.270000000019</v>
      </c>
    </row>
    <row r="17" spans="1:10">
      <c r="A17" s="4">
        <f t="shared" si="0"/>
        <v>7</v>
      </c>
      <c r="B17" s="352"/>
      <c r="C17" s="101">
        <v>365</v>
      </c>
      <c r="D17" s="39" t="s">
        <v>144</v>
      </c>
      <c r="E17" s="47">
        <v>24705341.890000001</v>
      </c>
      <c r="F17" s="47">
        <v>0</v>
      </c>
      <c r="G17" s="353">
        <v>3.5900399999999999E-2</v>
      </c>
      <c r="H17" s="47">
        <f>ROUND(((+E17-F17)*G17),2)</f>
        <v>886931.66</v>
      </c>
      <c r="I17" s="47">
        <v>868034.08</v>
      </c>
      <c r="J17" s="257">
        <f t="shared" si="2"/>
        <v>18897.580000000075</v>
      </c>
    </row>
    <row r="18" spans="1:10">
      <c r="A18" s="4">
        <f t="shared" si="0"/>
        <v>8</v>
      </c>
      <c r="B18" s="352"/>
      <c r="C18" s="101">
        <v>366</v>
      </c>
      <c r="D18" s="39" t="s">
        <v>145</v>
      </c>
      <c r="E18" s="47">
        <v>5442161.6600000001</v>
      </c>
      <c r="F18" s="47">
        <v>0</v>
      </c>
      <c r="G18" s="353">
        <v>1.6899600000000001E-2</v>
      </c>
      <c r="H18" s="47">
        <f t="shared" si="1"/>
        <v>91970.36</v>
      </c>
      <c r="I18" s="47">
        <v>91583.18</v>
      </c>
      <c r="J18" s="257">
        <f t="shared" si="2"/>
        <v>387.18000000000757</v>
      </c>
    </row>
    <row r="19" spans="1:10">
      <c r="A19" s="4">
        <f t="shared" si="0"/>
        <v>9</v>
      </c>
      <c r="B19" s="352"/>
      <c r="C19" s="101">
        <v>367</v>
      </c>
      <c r="D19" s="39" t="s">
        <v>146</v>
      </c>
      <c r="E19" s="47">
        <v>21726343.809999999</v>
      </c>
      <c r="F19" s="47">
        <v>0</v>
      </c>
      <c r="G19" s="353">
        <v>2.9000399999999999E-2</v>
      </c>
      <c r="H19" s="47">
        <f t="shared" si="1"/>
        <v>630072.66</v>
      </c>
      <c r="I19" s="47">
        <v>612048.21</v>
      </c>
      <c r="J19" s="257">
        <f t="shared" si="2"/>
        <v>18024.45000000007</v>
      </c>
    </row>
    <row r="20" spans="1:10">
      <c r="A20" s="4">
        <f t="shared" si="0"/>
        <v>10</v>
      </c>
      <c r="B20" s="352"/>
      <c r="C20" s="101">
        <v>368</v>
      </c>
      <c r="D20" s="39" t="s">
        <v>147</v>
      </c>
      <c r="E20" s="47">
        <v>25231176.960000001</v>
      </c>
      <c r="F20" s="47">
        <v>0</v>
      </c>
      <c r="G20" s="353">
        <v>5.3100000000000001E-2</v>
      </c>
      <c r="H20" s="47">
        <f t="shared" si="1"/>
        <v>1339775.5</v>
      </c>
      <c r="I20" s="47">
        <v>1313252.78</v>
      </c>
      <c r="J20" s="257">
        <f t="shared" si="2"/>
        <v>26522.719999999972</v>
      </c>
    </row>
    <row r="21" spans="1:10">
      <c r="A21" s="4">
        <f t="shared" si="0"/>
        <v>11</v>
      </c>
      <c r="B21" s="352"/>
      <c r="C21" s="101">
        <v>369</v>
      </c>
      <c r="D21" s="39" t="s">
        <v>148</v>
      </c>
      <c r="E21" s="47">
        <v>12086932.560000001</v>
      </c>
      <c r="F21" s="47">
        <v>0</v>
      </c>
      <c r="G21" s="353">
        <v>1.4796E-2</v>
      </c>
      <c r="H21" s="47">
        <f t="shared" si="1"/>
        <v>178838.25</v>
      </c>
      <c r="I21" s="47">
        <v>176286.42</v>
      </c>
      <c r="J21" s="257">
        <f t="shared" si="2"/>
        <v>2551.8299999999872</v>
      </c>
    </row>
    <row r="22" spans="1:10">
      <c r="A22" s="4">
        <f t="shared" si="0"/>
        <v>12</v>
      </c>
      <c r="B22" s="352"/>
      <c r="C22" s="101">
        <v>370</v>
      </c>
      <c r="D22" s="39" t="s">
        <v>149</v>
      </c>
      <c r="E22" s="47">
        <v>2155944.0299999998</v>
      </c>
      <c r="F22" s="47">
        <v>0</v>
      </c>
      <c r="G22" s="353">
        <v>3.9899999999999998E-2</v>
      </c>
      <c r="H22" s="47">
        <f t="shared" si="1"/>
        <v>86022.17</v>
      </c>
      <c r="I22" s="47">
        <v>85484.68</v>
      </c>
      <c r="J22" s="257">
        <f t="shared" si="2"/>
        <v>537.49000000000524</v>
      </c>
    </row>
    <row r="23" spans="1:10">
      <c r="A23" s="4">
        <f t="shared" si="0"/>
        <v>13</v>
      </c>
      <c r="B23" s="352"/>
      <c r="C23" s="101">
        <v>370.1</v>
      </c>
      <c r="D23" s="39" t="s">
        <v>391</v>
      </c>
      <c r="E23" s="47">
        <v>5295451.25</v>
      </c>
      <c r="F23" s="47">
        <v>0</v>
      </c>
      <c r="G23" s="353">
        <v>6.6666671999999996E-2</v>
      </c>
      <c r="H23" s="47">
        <f t="shared" si="1"/>
        <v>353030.11</v>
      </c>
      <c r="I23" s="47">
        <v>345741.98</v>
      </c>
      <c r="J23" s="257">
        <f t="shared" si="2"/>
        <v>7288.1300000000047</v>
      </c>
    </row>
    <row r="24" spans="1:10">
      <c r="A24" s="4">
        <f t="shared" si="0"/>
        <v>14</v>
      </c>
      <c r="B24" s="352"/>
      <c r="C24" s="101">
        <v>370.161</v>
      </c>
      <c r="D24" s="39" t="s">
        <v>392</v>
      </c>
      <c r="E24" s="47">
        <v>94801.23</v>
      </c>
      <c r="F24" s="47">
        <v>0</v>
      </c>
      <c r="G24" s="353">
        <v>0.20000000400000001</v>
      </c>
      <c r="H24" s="47">
        <f t="shared" si="1"/>
        <v>18960.25</v>
      </c>
      <c r="I24" s="47">
        <v>0</v>
      </c>
      <c r="J24" s="257">
        <v>0</v>
      </c>
    </row>
    <row r="25" spans="1:10">
      <c r="A25" s="4">
        <f t="shared" si="0"/>
        <v>15</v>
      </c>
      <c r="B25" s="352"/>
      <c r="C25" s="101">
        <v>370.16199999999998</v>
      </c>
      <c r="D25" s="39" t="s">
        <v>393</v>
      </c>
      <c r="E25" s="47">
        <v>65234.43</v>
      </c>
      <c r="F25" s="47">
        <v>0</v>
      </c>
      <c r="G25" s="353">
        <v>0.20000000400000001</v>
      </c>
      <c r="H25" s="47">
        <f t="shared" si="1"/>
        <v>13046.89</v>
      </c>
      <c r="I25" s="47">
        <v>0</v>
      </c>
      <c r="J25" s="257">
        <v>0</v>
      </c>
    </row>
    <row r="26" spans="1:10">
      <c r="A26" s="4">
        <f t="shared" si="0"/>
        <v>16</v>
      </c>
      <c r="B26" s="352"/>
      <c r="C26" s="101">
        <v>370.2</v>
      </c>
      <c r="D26" s="39" t="s">
        <v>394</v>
      </c>
      <c r="E26" s="47">
        <v>1505345.25</v>
      </c>
      <c r="F26" s="47">
        <v>0</v>
      </c>
      <c r="G26" s="353">
        <v>6.6666671999999996E-2</v>
      </c>
      <c r="H26" s="47">
        <f t="shared" si="1"/>
        <v>100356.36</v>
      </c>
      <c r="I26" s="47">
        <v>98614.69</v>
      </c>
      <c r="J26" s="257">
        <f t="shared" si="2"/>
        <v>1741.6699999999983</v>
      </c>
    </row>
    <row r="27" spans="1:10">
      <c r="A27" s="4">
        <f t="shared" si="0"/>
        <v>17</v>
      </c>
      <c r="B27" s="352"/>
      <c r="C27" s="101" t="s">
        <v>150</v>
      </c>
      <c r="D27" s="39" t="s">
        <v>151</v>
      </c>
      <c r="E27" s="47">
        <v>3740298.98</v>
      </c>
      <c r="F27" s="47">
        <v>0</v>
      </c>
      <c r="G27" s="353">
        <v>0.12090000000000001</v>
      </c>
      <c r="H27" s="47">
        <f t="shared" si="1"/>
        <v>452202.15</v>
      </c>
      <c r="I27" s="47">
        <v>427009.33</v>
      </c>
      <c r="J27" s="257">
        <f t="shared" si="2"/>
        <v>25192.820000000007</v>
      </c>
    </row>
    <row r="28" spans="1:10">
      <c r="A28" s="4">
        <f t="shared" si="0"/>
        <v>18</v>
      </c>
      <c r="B28" s="352"/>
      <c r="C28" s="101">
        <v>373</v>
      </c>
      <c r="D28" s="39" t="s">
        <v>395</v>
      </c>
      <c r="E28" s="47">
        <v>682155.26</v>
      </c>
      <c r="F28" s="47">
        <v>0</v>
      </c>
      <c r="G28" s="353">
        <v>3.4700040000000001E-2</v>
      </c>
      <c r="H28" s="47">
        <f t="shared" si="1"/>
        <v>23670.81</v>
      </c>
      <c r="I28" s="47">
        <v>23582.97</v>
      </c>
      <c r="J28" s="257">
        <f t="shared" si="2"/>
        <v>87.840000000000146</v>
      </c>
    </row>
    <row r="29" spans="1:10">
      <c r="A29" s="4">
        <f t="shared" si="0"/>
        <v>19</v>
      </c>
      <c r="D29" s="48" t="s">
        <v>100</v>
      </c>
      <c r="E29" s="147">
        <f>SUM(E12:E28)</f>
        <v>178233848.94999999</v>
      </c>
      <c r="F29" s="147">
        <f t="shared" ref="F29:J29" si="3">SUM(F12:F28)</f>
        <v>0</v>
      </c>
      <c r="G29" s="147"/>
      <c r="H29" s="147">
        <f t="shared" si="3"/>
        <v>6795458.8900000006</v>
      </c>
      <c r="I29" s="147">
        <f>SUM(I12:I28)</f>
        <v>6598130.7100000009</v>
      </c>
      <c r="J29" s="147">
        <f t="shared" si="3"/>
        <v>165321.04000000012</v>
      </c>
    </row>
    <row r="30" spans="1:10">
      <c r="A30" s="4">
        <f t="shared" si="0"/>
        <v>20</v>
      </c>
    </row>
    <row r="31" spans="1:10">
      <c r="A31" s="4">
        <f t="shared" si="0"/>
        <v>21</v>
      </c>
      <c r="C31" s="46" t="s">
        <v>152</v>
      </c>
    </row>
    <row r="32" spans="1:10">
      <c r="A32" s="4">
        <f t="shared" si="0"/>
        <v>22</v>
      </c>
      <c r="B32" s="352"/>
      <c r="C32" s="101">
        <v>389</v>
      </c>
      <c r="D32" s="39" t="s">
        <v>153</v>
      </c>
      <c r="E32" s="47">
        <v>298673.51</v>
      </c>
      <c r="F32" s="47"/>
      <c r="G32" s="354"/>
      <c r="H32" s="47"/>
      <c r="I32" s="47"/>
      <c r="J32" s="34"/>
    </row>
    <row r="33" spans="1:14">
      <c r="A33" s="4">
        <f t="shared" si="0"/>
        <v>23</v>
      </c>
      <c r="B33" s="352"/>
      <c r="C33" s="101">
        <v>390.05</v>
      </c>
      <c r="D33" s="39" t="s">
        <v>154</v>
      </c>
      <c r="E33" s="47">
        <v>19432032.989999998</v>
      </c>
      <c r="F33" s="47">
        <v>1128921.02</v>
      </c>
      <c r="G33" s="353">
        <v>2.4999996000000003E-2</v>
      </c>
      <c r="H33" s="47">
        <f>ROUND(((+E33-F33)*G33),2)</f>
        <v>457577.73</v>
      </c>
      <c r="I33" s="47">
        <v>485691.14</v>
      </c>
      <c r="J33" s="34">
        <f>+H33-I33</f>
        <v>-28113.410000000033</v>
      </c>
      <c r="N33" s="51"/>
    </row>
    <row r="34" spans="1:14">
      <c r="A34" s="4">
        <f>A33+1</f>
        <v>24</v>
      </c>
      <c r="B34" s="352"/>
      <c r="C34" s="101">
        <v>391</v>
      </c>
      <c r="D34" s="39" t="s">
        <v>396</v>
      </c>
      <c r="E34" s="47">
        <v>47362.75</v>
      </c>
      <c r="F34" s="47">
        <v>17845.34</v>
      </c>
      <c r="G34" s="353">
        <v>5.0000004000000001E-2</v>
      </c>
      <c r="H34" s="47">
        <f t="shared" ref="H34:H44" si="4">ROUND(((+E34-F34)*G34),2)</f>
        <v>1475.87</v>
      </c>
      <c r="I34" s="47">
        <v>1886.52</v>
      </c>
      <c r="J34" s="34">
        <f t="shared" ref="J34:J44" si="5">+H34-I34</f>
        <v>-410.65000000000009</v>
      </c>
      <c r="N34" s="51"/>
    </row>
    <row r="35" spans="1:14">
      <c r="A35" s="4">
        <f t="shared" si="0"/>
        <v>25</v>
      </c>
      <c r="B35" s="352"/>
      <c r="C35" s="101">
        <v>391.1</v>
      </c>
      <c r="D35" s="39" t="s">
        <v>397</v>
      </c>
      <c r="E35" s="47">
        <v>378398.18</v>
      </c>
      <c r="F35" s="47">
        <v>268530.09999999998</v>
      </c>
      <c r="G35" s="353">
        <v>0.20000000400000001</v>
      </c>
      <c r="H35" s="47">
        <f t="shared" si="4"/>
        <v>21973.62</v>
      </c>
      <c r="I35" s="47">
        <v>68735.34</v>
      </c>
      <c r="J35" s="34">
        <f t="shared" si="5"/>
        <v>-46761.72</v>
      </c>
      <c r="N35" s="51"/>
    </row>
    <row r="36" spans="1:14">
      <c r="A36" s="4">
        <f t="shared" si="0"/>
        <v>26</v>
      </c>
      <c r="B36" s="352"/>
      <c r="C36" s="101">
        <v>392</v>
      </c>
      <c r="D36" s="39" t="s">
        <v>398</v>
      </c>
      <c r="E36" s="47">
        <v>4073983.03</v>
      </c>
      <c r="F36" s="47">
        <v>2357042.37</v>
      </c>
      <c r="G36" s="353">
        <v>9.9999996000000008E-2</v>
      </c>
      <c r="H36" s="47">
        <f>ROUND(((+E36-F36)*G36),2)</f>
        <v>171694.06</v>
      </c>
      <c r="I36" s="47">
        <v>302694.96999999997</v>
      </c>
      <c r="J36" s="34">
        <f t="shared" si="5"/>
        <v>-131000.90999999997</v>
      </c>
      <c r="N36" s="51"/>
    </row>
    <row r="37" spans="1:14">
      <c r="A37" s="4">
        <f t="shared" si="0"/>
        <v>27</v>
      </c>
      <c r="B37" s="352"/>
      <c r="C37" s="101">
        <v>392.1</v>
      </c>
      <c r="D37" s="39" t="s">
        <v>399</v>
      </c>
      <c r="E37" s="47">
        <v>1153451.33</v>
      </c>
      <c r="F37" s="47">
        <v>744739.45</v>
      </c>
      <c r="G37" s="353">
        <v>0.20000000400000001</v>
      </c>
      <c r="H37" s="47">
        <f t="shared" si="4"/>
        <v>81742.38</v>
      </c>
      <c r="I37" s="47">
        <v>115875.76</v>
      </c>
      <c r="J37" s="34">
        <f t="shared" si="5"/>
        <v>-34133.37999999999</v>
      </c>
      <c r="N37" s="51"/>
    </row>
    <row r="38" spans="1:14">
      <c r="A38" s="4">
        <f t="shared" si="0"/>
        <v>28</v>
      </c>
      <c r="B38" s="352"/>
      <c r="C38" s="101">
        <v>393</v>
      </c>
      <c r="D38" s="39" t="s">
        <v>155</v>
      </c>
      <c r="E38" s="47">
        <v>154441</v>
      </c>
      <c r="F38" s="47">
        <v>21712.21</v>
      </c>
      <c r="G38" s="353">
        <v>5.0000039999999996E-2</v>
      </c>
      <c r="H38" s="47">
        <f t="shared" si="4"/>
        <v>6636.44</v>
      </c>
      <c r="I38" s="47">
        <v>7504.45</v>
      </c>
      <c r="J38" s="34">
        <f t="shared" si="5"/>
        <v>-868.01000000000022</v>
      </c>
      <c r="N38" s="51"/>
    </row>
    <row r="39" spans="1:14">
      <c r="A39" s="4">
        <f t="shared" si="0"/>
        <v>29</v>
      </c>
      <c r="B39" s="352"/>
      <c r="C39" s="101">
        <v>394</v>
      </c>
      <c r="D39" s="39" t="s">
        <v>156</v>
      </c>
      <c r="E39" s="47">
        <v>600267.22</v>
      </c>
      <c r="F39" s="47">
        <v>303839.94</v>
      </c>
      <c r="G39" s="353">
        <v>6.6666671999999996E-2</v>
      </c>
      <c r="H39" s="47">
        <f t="shared" si="4"/>
        <v>19761.82</v>
      </c>
      <c r="I39" s="47">
        <v>31093.200000000001</v>
      </c>
      <c r="J39" s="34">
        <f t="shared" si="5"/>
        <v>-11331.380000000001</v>
      </c>
      <c r="N39" s="51"/>
    </row>
    <row r="40" spans="1:14">
      <c r="A40" s="4">
        <f t="shared" si="0"/>
        <v>30</v>
      </c>
      <c r="B40" s="352"/>
      <c r="C40" s="101">
        <v>395</v>
      </c>
      <c r="D40" s="39" t="s">
        <v>157</v>
      </c>
      <c r="E40" s="47">
        <v>76627.5</v>
      </c>
      <c r="F40" s="47">
        <v>46918.02</v>
      </c>
      <c r="G40" s="353">
        <v>6.6666671999999996E-2</v>
      </c>
      <c r="H40" s="47">
        <f t="shared" si="4"/>
        <v>1980.63</v>
      </c>
      <c r="I40" s="47">
        <v>4539.4799999999996</v>
      </c>
      <c r="J40" s="34">
        <f t="shared" si="5"/>
        <v>-2558.8499999999995</v>
      </c>
      <c r="N40" s="51"/>
    </row>
    <row r="41" spans="1:14">
      <c r="A41" s="4">
        <f t="shared" si="0"/>
        <v>31</v>
      </c>
      <c r="B41" s="352"/>
      <c r="C41" s="101">
        <v>396</v>
      </c>
      <c r="D41" s="39" t="s">
        <v>158</v>
      </c>
      <c r="E41" s="47">
        <v>1139181.1599999999</v>
      </c>
      <c r="F41" s="47">
        <v>660538.13</v>
      </c>
      <c r="G41" s="353">
        <v>9.9999996000000008E-2</v>
      </c>
      <c r="H41" s="47">
        <f t="shared" si="4"/>
        <v>47864.3</v>
      </c>
      <c r="I41" s="47">
        <v>71058.7</v>
      </c>
      <c r="J41" s="34">
        <f t="shared" si="5"/>
        <v>-23194.399999999994</v>
      </c>
      <c r="N41" s="51"/>
    </row>
    <row r="42" spans="1:14">
      <c r="A42" s="4">
        <f t="shared" si="0"/>
        <v>32</v>
      </c>
      <c r="B42" s="352"/>
      <c r="C42" s="101">
        <v>397</v>
      </c>
      <c r="D42" s="39" t="s">
        <v>159</v>
      </c>
      <c r="E42" s="47">
        <v>745716.32</v>
      </c>
      <c r="F42" s="47">
        <v>297443.78999999998</v>
      </c>
      <c r="G42" s="353">
        <v>5.0000004000000001E-2</v>
      </c>
      <c r="H42" s="47">
        <f t="shared" si="4"/>
        <v>22413.63</v>
      </c>
      <c r="I42" s="47">
        <v>36671.660000000003</v>
      </c>
      <c r="J42" s="34">
        <f t="shared" si="5"/>
        <v>-14258.030000000002</v>
      </c>
      <c r="N42" s="51"/>
    </row>
    <row r="43" spans="1:14">
      <c r="A43" s="4">
        <f t="shared" si="0"/>
        <v>33</v>
      </c>
      <c r="B43" s="352"/>
      <c r="C43" s="101">
        <v>397.1</v>
      </c>
      <c r="D43" s="39" t="s">
        <v>647</v>
      </c>
      <c r="E43" s="47">
        <v>2264198.3199999998</v>
      </c>
      <c r="F43" s="47">
        <v>66852.23</v>
      </c>
      <c r="G43" s="353">
        <v>5.0999999999999997E-2</v>
      </c>
      <c r="H43" s="47">
        <f t="shared" si="4"/>
        <v>112064.65</v>
      </c>
      <c r="I43" s="47">
        <v>79196.83</v>
      </c>
      <c r="J43" s="34">
        <f t="shared" si="5"/>
        <v>32867.819999999992</v>
      </c>
      <c r="N43" s="51"/>
    </row>
    <row r="44" spans="1:14">
      <c r="A44" s="4">
        <f t="shared" si="0"/>
        <v>34</v>
      </c>
      <c r="B44" s="352"/>
      <c r="C44" s="101">
        <v>398</v>
      </c>
      <c r="D44" s="39" t="s">
        <v>160</v>
      </c>
      <c r="E44" s="47">
        <v>228906.8</v>
      </c>
      <c r="F44" s="47">
        <v>93827.41</v>
      </c>
      <c r="G44" s="353">
        <v>9.9999996000000008E-2</v>
      </c>
      <c r="H44" s="47">
        <f t="shared" si="4"/>
        <v>13507.94</v>
      </c>
      <c r="I44" s="47">
        <v>20455.03</v>
      </c>
      <c r="J44" s="34">
        <f t="shared" si="5"/>
        <v>-6947.0899999999983</v>
      </c>
      <c r="N44" s="51"/>
    </row>
    <row r="45" spans="1:14">
      <c r="A45" s="4">
        <f t="shared" si="0"/>
        <v>35</v>
      </c>
      <c r="B45" s="352"/>
      <c r="D45" s="48" t="s">
        <v>100</v>
      </c>
      <c r="E45" s="49">
        <f>SUM(E32:E44)</f>
        <v>30593240.109999999</v>
      </c>
      <c r="F45" s="49">
        <f>SUM(F32:F44)</f>
        <v>6008210.0100000007</v>
      </c>
      <c r="G45" s="49"/>
      <c r="H45" s="49">
        <f>SUM(H32:H44)</f>
        <v>958693.07</v>
      </c>
      <c r="I45" s="49">
        <f>SUM(I33:I44)</f>
        <v>1225403.0799999998</v>
      </c>
      <c r="J45" s="49">
        <f>+H45-I45</f>
        <v>-266710.00999999989</v>
      </c>
    </row>
    <row r="46" spans="1:14">
      <c r="A46" s="4">
        <f t="shared" si="0"/>
        <v>36</v>
      </c>
      <c r="C46" s="9"/>
      <c r="D46" s="48" t="s">
        <v>400</v>
      </c>
      <c r="E46" s="147">
        <f>E29+E45</f>
        <v>208827089.06</v>
      </c>
      <c r="F46" s="147">
        <f>F29+F45</f>
        <v>6008210.0100000007</v>
      </c>
      <c r="G46" s="147"/>
      <c r="H46" s="147">
        <f>H29+H45</f>
        <v>7754151.9600000009</v>
      </c>
      <c r="I46" s="147">
        <f>I29+I45</f>
        <v>7823533.790000001</v>
      </c>
      <c r="J46" s="147">
        <f>J29+J45</f>
        <v>-101388.96999999977</v>
      </c>
    </row>
    <row r="47" spans="1:14">
      <c r="A47" s="4">
        <f t="shared" si="0"/>
        <v>37</v>
      </c>
      <c r="D47" s="258"/>
      <c r="E47" s="260"/>
      <c r="F47" s="260"/>
      <c r="G47" s="260"/>
      <c r="H47" s="260"/>
      <c r="I47" s="260"/>
      <c r="J47" s="260"/>
    </row>
    <row r="48" spans="1:14">
      <c r="A48" s="4">
        <f t="shared" si="0"/>
        <v>38</v>
      </c>
      <c r="D48" s="192" t="s">
        <v>572</v>
      </c>
      <c r="E48" s="51" t="s">
        <v>573</v>
      </c>
      <c r="F48" s="51"/>
      <c r="G48" s="51"/>
      <c r="H48" s="51"/>
      <c r="I48" s="51"/>
      <c r="J48" s="51">
        <f>+SUM(J36:J38)+J41</f>
        <v>-189196.69999999998</v>
      </c>
    </row>
    <row r="49" spans="1:14">
      <c r="A49" s="4">
        <f t="shared" si="0"/>
        <v>39</v>
      </c>
      <c r="N49" s="51"/>
    </row>
    <row r="50" spans="1:14" ht="27.6" customHeight="1">
      <c r="A50" s="4">
        <f t="shared" si="0"/>
        <v>40</v>
      </c>
      <c r="C50" s="409" t="s">
        <v>161</v>
      </c>
      <c r="D50" s="409"/>
      <c r="E50" s="409"/>
      <c r="F50" s="409"/>
      <c r="G50" s="409"/>
      <c r="H50" s="409"/>
      <c r="I50" s="409"/>
      <c r="J50" s="409"/>
      <c r="N50" s="51"/>
    </row>
    <row r="51" spans="1:14">
      <c r="A51" s="4">
        <f t="shared" si="0"/>
        <v>41</v>
      </c>
      <c r="C51" s="234"/>
      <c r="D51" s="234"/>
      <c r="E51" s="234"/>
      <c r="F51" s="234"/>
      <c r="G51" s="234"/>
      <c r="H51" s="234"/>
      <c r="I51" s="234"/>
      <c r="J51" s="234"/>
      <c r="N51" s="51"/>
    </row>
    <row r="52" spans="1:14">
      <c r="A52" s="4">
        <f t="shared" si="0"/>
        <v>42</v>
      </c>
      <c r="D52" s="2" t="s">
        <v>400</v>
      </c>
      <c r="E52" s="34" t="s">
        <v>648</v>
      </c>
      <c r="J52" s="41">
        <f>+J46-J48</f>
        <v>87807.730000000214</v>
      </c>
      <c r="N52" s="51"/>
    </row>
    <row r="53" spans="1:14">
      <c r="A53" s="4">
        <f t="shared" si="0"/>
        <v>43</v>
      </c>
      <c r="D53" s="2" t="s">
        <v>569</v>
      </c>
      <c r="E53" s="34" t="s">
        <v>649</v>
      </c>
      <c r="I53" s="51"/>
      <c r="J53" s="41">
        <f>+J48*0.55</f>
        <v>-104058.185</v>
      </c>
    </row>
    <row r="54" spans="1:14">
      <c r="A54" s="4">
        <f t="shared" si="0"/>
        <v>44</v>
      </c>
      <c r="D54" s="2" t="s">
        <v>571</v>
      </c>
      <c r="E54" s="34" t="s">
        <v>650</v>
      </c>
      <c r="J54" s="232">
        <f>+J52+J53</f>
        <v>-16250.454999999783</v>
      </c>
    </row>
    <row r="55" spans="1:14">
      <c r="A55" s="4"/>
      <c r="J55" s="2" t="s">
        <v>570</v>
      </c>
    </row>
    <row r="56" spans="1:14">
      <c r="A56" s="4"/>
      <c r="D56" s="50"/>
      <c r="E56" s="51"/>
      <c r="F56" s="51"/>
      <c r="G56" s="51"/>
      <c r="H56" s="51"/>
      <c r="I56" s="51"/>
      <c r="J56" s="51"/>
    </row>
    <row r="57" spans="1:14">
      <c r="A57" s="4"/>
    </row>
    <row r="58" spans="1:14">
      <c r="A58" s="4"/>
      <c r="D58" s="1"/>
      <c r="E58" s="51"/>
      <c r="F58" s="259"/>
      <c r="G58" s="37"/>
      <c r="H58" s="259"/>
      <c r="I58" s="259"/>
      <c r="J58" s="260"/>
    </row>
  </sheetData>
  <mergeCells count="4">
    <mergeCell ref="A3:J3"/>
    <mergeCell ref="A4:J4"/>
    <mergeCell ref="A6:J6"/>
    <mergeCell ref="C50:J50"/>
  </mergeCells>
  <printOptions horizontalCentered="1"/>
  <pageMargins left="1" right="0.75" top="0.75" bottom="0.5" header="0.5" footer="0.5"/>
  <pageSetup scale="69" orientation="portrait" r:id="rId1"/>
  <headerFooter alignWithMargins="0">
    <oddFooter>&amp;RExhibit JW-2
Page &amp;P of &amp;N</oddFooter>
  </headerFooter>
  <ignoredErrors>
    <ignoredError sqref="C9:J9" numberStoredAsText="1"/>
  </ignoredError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4BC3-BBF1-4C1F-9C50-51284CF499A5}">
  <sheetPr>
    <pageSetUpPr fitToPage="1"/>
  </sheetPr>
  <dimension ref="A1:O38"/>
  <sheetViews>
    <sheetView view="pageBreakPreview" topLeftCell="A10" zoomScaleNormal="100" zoomScaleSheetLayoutView="100" workbookViewId="0">
      <selection activeCell="K18" sqref="K18"/>
    </sheetView>
  </sheetViews>
  <sheetFormatPr defaultColWidth="9.140625" defaultRowHeight="12.75"/>
  <cols>
    <col min="1" max="1" width="5.28515625" style="2" customWidth="1"/>
    <col min="2" max="2" width="52" style="2" customWidth="1"/>
    <col min="3" max="3" width="12.7109375" style="2" bestFit="1" customWidth="1"/>
    <col min="4" max="4" width="9.28515625" style="2" bestFit="1" customWidth="1"/>
    <col min="5" max="5" width="6.28515625" style="2" bestFit="1" customWidth="1"/>
    <col min="6" max="6" width="12" style="2" bestFit="1" customWidth="1"/>
    <col min="7" max="7" width="9.28515625" style="2" bestFit="1" customWidth="1"/>
    <col min="8" max="8" width="12.140625" style="2" customWidth="1"/>
    <col min="9" max="9" width="9.5703125" style="2" bestFit="1" customWidth="1"/>
    <col min="10" max="10" width="11.7109375" style="2" bestFit="1" customWidth="1"/>
    <col min="11" max="11" width="13.140625" style="2" customWidth="1"/>
    <col min="12" max="12" width="13.140625" style="2" bestFit="1" customWidth="1"/>
    <col min="13" max="16384" width="9.140625" style="2"/>
  </cols>
  <sheetData>
    <row r="1" spans="1:14">
      <c r="K1" s="27" t="s">
        <v>607</v>
      </c>
    </row>
    <row r="2" spans="1:14">
      <c r="K2" s="27"/>
    </row>
    <row r="3" spans="1:14">
      <c r="K3" s="27"/>
    </row>
    <row r="4" spans="1:14">
      <c r="A4" s="410" t="s">
        <v>0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</row>
    <row r="5" spans="1:14">
      <c r="A5" s="410" t="str">
        <f>RevReq!A3</f>
        <v>For the 12 Months Ended August 31, 2023</v>
      </c>
      <c r="B5" s="410"/>
      <c r="C5" s="410"/>
      <c r="D5" s="410"/>
      <c r="E5" s="410"/>
      <c r="F5" s="410"/>
      <c r="G5" s="410"/>
      <c r="H5" s="410"/>
      <c r="I5" s="410"/>
      <c r="J5" s="410"/>
      <c r="K5" s="410"/>
      <c r="L5" s="190"/>
    </row>
    <row r="6" spans="1:14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4">
      <c r="A7" s="408" t="s">
        <v>406</v>
      </c>
      <c r="B7" s="408"/>
      <c r="C7" s="408"/>
      <c r="D7" s="408"/>
      <c r="E7" s="408"/>
      <c r="F7" s="408"/>
      <c r="G7" s="408"/>
      <c r="H7" s="408"/>
      <c r="I7" s="408"/>
      <c r="J7" s="408"/>
      <c r="K7" s="408"/>
    </row>
    <row r="9" spans="1:14">
      <c r="A9" s="256" t="s">
        <v>11</v>
      </c>
      <c r="B9" s="29" t="s">
        <v>52</v>
      </c>
      <c r="C9" s="29" t="s">
        <v>402</v>
      </c>
      <c r="D9" s="29" t="s">
        <v>651</v>
      </c>
      <c r="E9" s="29" t="s">
        <v>403</v>
      </c>
      <c r="F9" s="29" t="s">
        <v>404</v>
      </c>
      <c r="G9" s="29" t="s">
        <v>405</v>
      </c>
      <c r="H9" s="29" t="s">
        <v>576</v>
      </c>
      <c r="I9" s="29" t="s">
        <v>577</v>
      </c>
      <c r="J9" s="29" t="s">
        <v>578</v>
      </c>
      <c r="K9" s="29" t="s">
        <v>57</v>
      </c>
    </row>
    <row r="10" spans="1:14">
      <c r="A10" s="192">
        <v>1</v>
      </c>
      <c r="B10" s="2" t="s">
        <v>652</v>
      </c>
      <c r="C10" s="261">
        <v>0</v>
      </c>
      <c r="D10" s="261">
        <v>0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261">
        <v>0</v>
      </c>
      <c r="K10" s="261">
        <f>SUM(C10:J10)</f>
        <v>0</v>
      </c>
      <c r="M10" s="253"/>
      <c r="N10" s="253"/>
    </row>
    <row r="11" spans="1:14">
      <c r="A11" s="192">
        <f>+A10+1</f>
        <v>2</v>
      </c>
      <c r="B11" s="2" t="s">
        <v>574</v>
      </c>
      <c r="C11" s="261">
        <v>4807.07</v>
      </c>
      <c r="D11" s="261">
        <v>0</v>
      </c>
      <c r="E11" s="261">
        <v>0</v>
      </c>
      <c r="F11" s="261">
        <v>0</v>
      </c>
      <c r="G11" s="261">
        <v>0</v>
      </c>
      <c r="H11" s="261">
        <v>0</v>
      </c>
      <c r="I11" s="261">
        <v>0</v>
      </c>
      <c r="J11" s="261">
        <v>0</v>
      </c>
      <c r="K11" s="261">
        <f>SUM(C11:J11)</f>
        <v>4807.07</v>
      </c>
      <c r="M11" s="253"/>
      <c r="N11" s="253"/>
    </row>
    <row r="12" spans="1:14">
      <c r="A12" s="192">
        <f t="shared" ref="A12:A28" si="0">+A11+1</f>
        <v>3</v>
      </c>
      <c r="B12" s="2" t="s">
        <v>653</v>
      </c>
      <c r="C12" s="261">
        <v>0</v>
      </c>
      <c r="D12" s="261">
        <v>5851.45</v>
      </c>
      <c r="E12" s="261">
        <v>0</v>
      </c>
      <c r="F12" s="261">
        <v>0</v>
      </c>
      <c r="G12" s="261">
        <v>1380</v>
      </c>
      <c r="H12" s="261">
        <v>4206.16</v>
      </c>
      <c r="I12" s="261">
        <v>5939.89</v>
      </c>
      <c r="J12" s="261">
        <v>5834.71</v>
      </c>
      <c r="K12" s="261">
        <f t="shared" ref="K12:K17" si="1">SUM(C12:J12)</f>
        <v>23212.21</v>
      </c>
      <c r="M12" s="253"/>
      <c r="N12" s="253"/>
    </row>
    <row r="13" spans="1:14">
      <c r="A13" s="192">
        <f t="shared" si="0"/>
        <v>4</v>
      </c>
      <c r="B13" s="2" t="s">
        <v>654</v>
      </c>
      <c r="C13" s="261">
        <v>0</v>
      </c>
      <c r="D13" s="261">
        <v>0</v>
      </c>
      <c r="E13" s="261">
        <v>0</v>
      </c>
      <c r="F13" s="261">
        <v>0</v>
      </c>
      <c r="G13" s="261">
        <v>4098.42</v>
      </c>
      <c r="H13" s="261">
        <v>0</v>
      </c>
      <c r="I13" s="261">
        <v>0</v>
      </c>
      <c r="J13" s="261">
        <v>0</v>
      </c>
      <c r="K13" s="261">
        <f t="shared" si="1"/>
        <v>4098.42</v>
      </c>
      <c r="M13" s="253"/>
      <c r="N13" s="253"/>
    </row>
    <row r="14" spans="1:14">
      <c r="A14" s="192">
        <f t="shared" si="0"/>
        <v>5</v>
      </c>
      <c r="B14" s="2" t="s">
        <v>655</v>
      </c>
      <c r="C14" s="261">
        <v>779</v>
      </c>
      <c r="D14" s="261">
        <v>2596.5500000000002</v>
      </c>
      <c r="E14" s="261">
        <v>0</v>
      </c>
      <c r="F14" s="261">
        <v>0</v>
      </c>
      <c r="G14" s="261">
        <v>0</v>
      </c>
      <c r="H14" s="261">
        <v>0</v>
      </c>
      <c r="I14" s="261">
        <v>0</v>
      </c>
      <c r="J14" s="261">
        <v>2626.38</v>
      </c>
      <c r="K14" s="261">
        <f t="shared" si="1"/>
        <v>6001.93</v>
      </c>
      <c r="M14" s="253"/>
      <c r="N14" s="253"/>
    </row>
    <row r="15" spans="1:14">
      <c r="A15" s="192">
        <f t="shared" si="0"/>
        <v>6</v>
      </c>
      <c r="B15" s="2" t="s">
        <v>575</v>
      </c>
      <c r="C15" s="261">
        <v>325</v>
      </c>
      <c r="D15" s="261">
        <v>311.88</v>
      </c>
      <c r="E15" s="261">
        <v>0</v>
      </c>
      <c r="F15" s="261">
        <v>0</v>
      </c>
      <c r="G15" s="261">
        <v>315.63</v>
      </c>
      <c r="H15" s="261">
        <v>0</v>
      </c>
      <c r="I15" s="261">
        <v>488.84</v>
      </c>
      <c r="J15" s="261">
        <v>307.5</v>
      </c>
      <c r="K15" s="261">
        <f t="shared" si="1"/>
        <v>1748.85</v>
      </c>
      <c r="M15" s="253"/>
      <c r="N15" s="253"/>
    </row>
    <row r="16" spans="1:14">
      <c r="A16" s="192">
        <f t="shared" si="0"/>
        <v>7</v>
      </c>
      <c r="B16" s="2" t="s">
        <v>656</v>
      </c>
      <c r="C16" s="261">
        <v>2211.8200000000002</v>
      </c>
      <c r="D16" s="261">
        <v>0</v>
      </c>
      <c r="E16" s="261">
        <v>0</v>
      </c>
      <c r="F16" s="261">
        <v>0</v>
      </c>
      <c r="G16" s="261">
        <v>0</v>
      </c>
      <c r="H16" s="261">
        <v>0</v>
      </c>
      <c r="I16" s="261">
        <v>0</v>
      </c>
      <c r="J16" s="261">
        <v>0</v>
      </c>
      <c r="K16" s="261">
        <f t="shared" si="1"/>
        <v>2211.8200000000002</v>
      </c>
      <c r="M16" s="253"/>
      <c r="N16" s="253"/>
    </row>
    <row r="17" spans="1:15">
      <c r="A17" s="192">
        <f t="shared" si="0"/>
        <v>8</v>
      </c>
      <c r="B17" s="2" t="s">
        <v>657</v>
      </c>
      <c r="C17" s="261">
        <v>4205.76</v>
      </c>
      <c r="D17" s="261">
        <v>0</v>
      </c>
      <c r="E17" s="261">
        <v>0</v>
      </c>
      <c r="F17" s="261">
        <v>0</v>
      </c>
      <c r="G17" s="261">
        <v>0</v>
      </c>
      <c r="H17" s="261">
        <v>0</v>
      </c>
      <c r="I17" s="261">
        <v>0</v>
      </c>
      <c r="J17" s="261">
        <v>0</v>
      </c>
      <c r="K17" s="261">
        <f t="shared" si="1"/>
        <v>4205.76</v>
      </c>
      <c r="M17" s="253"/>
      <c r="N17" s="253"/>
    </row>
    <row r="18" spans="1:15">
      <c r="A18" s="192">
        <f t="shared" si="0"/>
        <v>9</v>
      </c>
      <c r="B18" s="2" t="s">
        <v>658</v>
      </c>
      <c r="C18" s="261">
        <v>572.28</v>
      </c>
      <c r="D18" s="261">
        <v>0</v>
      </c>
      <c r="E18" s="261">
        <v>0</v>
      </c>
      <c r="F18" s="261">
        <v>0</v>
      </c>
      <c r="G18" s="261">
        <v>876.29</v>
      </c>
      <c r="H18" s="261">
        <v>0</v>
      </c>
      <c r="I18" s="261">
        <v>0</v>
      </c>
      <c r="J18" s="261">
        <v>0</v>
      </c>
      <c r="K18" s="261">
        <f>+SUM(C18:J18)</f>
        <v>1448.57</v>
      </c>
      <c r="M18" s="253"/>
      <c r="N18" s="253"/>
    </row>
    <row r="19" spans="1:15">
      <c r="A19" s="192">
        <f t="shared" si="0"/>
        <v>10</v>
      </c>
      <c r="B19" s="9" t="s">
        <v>579</v>
      </c>
      <c r="C19" s="262">
        <f t="shared" ref="C19:J19" si="2">SUM(C10:C18)</f>
        <v>12900.93</v>
      </c>
      <c r="D19" s="262">
        <f t="shared" si="2"/>
        <v>8759.8799999999992</v>
      </c>
      <c r="E19" s="262">
        <f t="shared" si="2"/>
        <v>0</v>
      </c>
      <c r="F19" s="262">
        <f t="shared" si="2"/>
        <v>0</v>
      </c>
      <c r="G19" s="262">
        <f t="shared" si="2"/>
        <v>6670.34</v>
      </c>
      <c r="H19" s="262">
        <f t="shared" si="2"/>
        <v>4206.16</v>
      </c>
      <c r="I19" s="262">
        <f t="shared" si="2"/>
        <v>6428.7300000000005</v>
      </c>
      <c r="J19" s="262">
        <f t="shared" si="2"/>
        <v>8768.59</v>
      </c>
      <c r="K19" s="262">
        <f>SUM(C19:J19)</f>
        <v>47734.630000000005</v>
      </c>
      <c r="M19" s="253"/>
      <c r="N19" s="253"/>
    </row>
    <row r="20" spans="1:15">
      <c r="A20" s="192">
        <f t="shared" si="0"/>
        <v>11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M20" s="253"/>
      <c r="N20" s="253"/>
    </row>
    <row r="21" spans="1:15">
      <c r="A21" s="192">
        <f t="shared" si="0"/>
        <v>12</v>
      </c>
      <c r="C21" s="261"/>
      <c r="D21" s="261"/>
      <c r="E21" s="261"/>
      <c r="F21" s="261"/>
      <c r="G21" s="261"/>
      <c r="H21" s="261"/>
      <c r="I21" s="261"/>
      <c r="J21" s="261"/>
      <c r="K21" s="261"/>
      <c r="M21" s="253"/>
      <c r="N21" s="253"/>
    </row>
    <row r="22" spans="1:15">
      <c r="A22" s="192">
        <f t="shared" si="0"/>
        <v>13</v>
      </c>
      <c r="B22" s="44" t="s">
        <v>488</v>
      </c>
      <c r="C22" s="195" t="s">
        <v>489</v>
      </c>
      <c r="D22" s="261"/>
      <c r="E22" s="261"/>
      <c r="F22" s="261"/>
      <c r="G22" s="261"/>
      <c r="I22" s="2" t="s">
        <v>89</v>
      </c>
      <c r="K22" s="253">
        <f>K19</f>
        <v>47734.630000000005</v>
      </c>
      <c r="L22" s="253"/>
      <c r="M22" s="253"/>
      <c r="N22" s="253"/>
    </row>
    <row r="23" spans="1:15">
      <c r="A23" s="192">
        <f t="shared" si="0"/>
        <v>14</v>
      </c>
      <c r="B23" s="2" t="s">
        <v>659</v>
      </c>
      <c r="C23" s="355">
        <f>-(+D14+J14)</f>
        <v>-5222.93</v>
      </c>
      <c r="D23" s="261"/>
      <c r="E23" s="261"/>
      <c r="K23" s="253"/>
      <c r="L23" s="253"/>
      <c r="M23" s="253"/>
      <c r="N23" s="253"/>
    </row>
    <row r="24" spans="1:15">
      <c r="A24" s="192">
        <f t="shared" si="0"/>
        <v>15</v>
      </c>
      <c r="B24" s="2" t="s">
        <v>575</v>
      </c>
      <c r="C24" s="355">
        <f>+-K15</f>
        <v>-1748.85</v>
      </c>
      <c r="D24" s="261"/>
      <c r="E24" s="261"/>
      <c r="K24" s="253"/>
      <c r="L24" s="253"/>
      <c r="M24" s="253"/>
      <c r="N24" s="253"/>
    </row>
    <row r="25" spans="1:15">
      <c r="A25" s="192">
        <f t="shared" si="0"/>
        <v>16</v>
      </c>
      <c r="B25" s="2" t="s">
        <v>657</v>
      </c>
      <c r="C25" s="355">
        <f>+-K17</f>
        <v>-4205.76</v>
      </c>
      <c r="D25" s="261"/>
      <c r="E25" s="261"/>
      <c r="I25" s="2" t="s">
        <v>477</v>
      </c>
      <c r="K25" s="263">
        <f>K19+C28</f>
        <v>17747.760000000006</v>
      </c>
      <c r="L25" s="253"/>
      <c r="M25" s="253"/>
      <c r="N25" s="253"/>
    </row>
    <row r="26" spans="1:15">
      <c r="A26" s="192">
        <f t="shared" si="0"/>
        <v>17</v>
      </c>
      <c r="B26" s="2" t="s">
        <v>658</v>
      </c>
      <c r="C26" s="355">
        <f>+-K18</f>
        <v>-1448.57</v>
      </c>
      <c r="D26" s="261"/>
      <c r="E26" s="261"/>
      <c r="K26" s="253"/>
      <c r="L26" s="253"/>
      <c r="M26" s="253"/>
      <c r="N26" s="253"/>
    </row>
    <row r="27" spans="1:15">
      <c r="A27" s="192">
        <f t="shared" si="0"/>
        <v>18</v>
      </c>
      <c r="B27" s="2" t="s">
        <v>660</v>
      </c>
      <c r="C27" s="355">
        <f>+-(G12+H12+I12+J12)</f>
        <v>-17360.759999999998</v>
      </c>
      <c r="D27" s="261"/>
      <c r="E27" s="261"/>
      <c r="L27" s="253"/>
      <c r="M27" s="253"/>
      <c r="N27" s="253"/>
    </row>
    <row r="28" spans="1:15" ht="13.5" thickBot="1">
      <c r="A28" s="192">
        <f t="shared" si="0"/>
        <v>19</v>
      </c>
      <c r="B28" s="9" t="s">
        <v>490</v>
      </c>
      <c r="C28" s="356">
        <f>SUM(C23:C27)</f>
        <v>-29986.87</v>
      </c>
      <c r="D28" s="261"/>
      <c r="E28" s="261"/>
      <c r="I28" s="13" t="s">
        <v>10</v>
      </c>
      <c r="J28" s="13"/>
      <c r="K28" s="264">
        <f>K25-K22</f>
        <v>-29986.87</v>
      </c>
    </row>
    <row r="29" spans="1:15" ht="13.5" thickTop="1">
      <c r="A29" s="192"/>
      <c r="D29" s="261"/>
      <c r="E29" s="261"/>
    </row>
    <row r="30" spans="1:15">
      <c r="C30" s="261"/>
      <c r="D30" s="261"/>
      <c r="E30" s="261"/>
      <c r="F30" s="261"/>
      <c r="G30" s="261"/>
      <c r="H30" s="261"/>
      <c r="I30" s="261"/>
      <c r="J30" s="261"/>
      <c r="K30" s="261"/>
    </row>
    <row r="31" spans="1:15">
      <c r="B31" s="412" t="s">
        <v>526</v>
      </c>
      <c r="C31" s="412"/>
      <c r="D31" s="412"/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412"/>
    </row>
    <row r="32" spans="1:15">
      <c r="D32" s="261"/>
      <c r="E32" s="261"/>
      <c r="F32" s="261"/>
      <c r="G32" s="261"/>
      <c r="H32" s="261"/>
      <c r="I32" s="261"/>
      <c r="J32" s="261"/>
      <c r="K32" s="261"/>
    </row>
    <row r="33" spans="3:11">
      <c r="D33" s="261"/>
      <c r="E33" s="261"/>
      <c r="F33" s="261"/>
      <c r="G33" s="261"/>
      <c r="H33" s="261"/>
      <c r="I33" s="261"/>
      <c r="J33" s="261"/>
      <c r="K33" s="261"/>
    </row>
    <row r="34" spans="3:11">
      <c r="D34" s="261"/>
      <c r="E34" s="261"/>
      <c r="F34" s="261"/>
      <c r="G34" s="261"/>
      <c r="H34" s="261"/>
      <c r="I34" s="261"/>
      <c r="J34" s="261"/>
      <c r="K34" s="261"/>
    </row>
    <row r="35" spans="3:11">
      <c r="C35" s="261"/>
      <c r="D35" s="261"/>
      <c r="E35" s="261"/>
      <c r="F35" s="261"/>
      <c r="G35" s="261"/>
      <c r="H35" s="261"/>
      <c r="I35" s="261"/>
      <c r="J35" s="261"/>
      <c r="K35" s="261"/>
    </row>
    <row r="36" spans="3:11">
      <c r="C36" s="261"/>
      <c r="D36" s="261"/>
      <c r="E36" s="261"/>
      <c r="F36" s="261"/>
      <c r="G36" s="261"/>
      <c r="H36" s="261"/>
      <c r="I36" s="261"/>
      <c r="J36" s="261"/>
      <c r="K36" s="261"/>
    </row>
    <row r="37" spans="3:11">
      <c r="C37" s="261"/>
      <c r="D37" s="261"/>
      <c r="E37" s="261"/>
      <c r="F37" s="261"/>
      <c r="G37" s="261"/>
      <c r="H37" s="261"/>
      <c r="I37" s="261"/>
      <c r="J37" s="261"/>
      <c r="K37" s="261"/>
    </row>
    <row r="38" spans="3:11">
      <c r="C38" s="261"/>
      <c r="D38" s="261"/>
      <c r="E38" s="261"/>
      <c r="F38" s="261"/>
      <c r="G38" s="261"/>
      <c r="H38" s="261"/>
      <c r="I38" s="261"/>
      <c r="J38" s="261"/>
      <c r="K38" s="261"/>
    </row>
  </sheetData>
  <mergeCells count="4">
    <mergeCell ref="A4:K4"/>
    <mergeCell ref="A5:K5"/>
    <mergeCell ref="A7:K7"/>
    <mergeCell ref="B31:O31"/>
  </mergeCells>
  <printOptions horizontalCentered="1"/>
  <pageMargins left="0.7" right="0.7" top="0.75" bottom="0.75" header="0.3" footer="0.3"/>
  <pageSetup scale="80" orientation="landscape" r:id="rId1"/>
  <headerFooter>
    <oddFooter>&amp;RExhibit JW-2
Page &amp;P of &amp;N</oddFooter>
  </headerFooter>
  <ignoredErrors>
    <ignoredError sqref="K18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C913-D3CB-469A-9C5B-68F3E5D85592}">
  <sheetPr>
    <pageSetUpPr fitToPage="1"/>
  </sheetPr>
  <dimension ref="A1:L26"/>
  <sheetViews>
    <sheetView view="pageBreakPreview" zoomScaleNormal="100" zoomScaleSheetLayoutView="100" workbookViewId="0">
      <selection activeCell="D24" sqref="D24"/>
    </sheetView>
  </sheetViews>
  <sheetFormatPr defaultColWidth="8.85546875" defaultRowHeight="12.75"/>
  <cols>
    <col min="1" max="1" width="8.85546875" style="2"/>
    <col min="2" max="2" width="67.42578125" style="2" customWidth="1"/>
    <col min="3" max="3" width="23.5703125" style="2" customWidth="1"/>
    <col min="4" max="12" width="18.140625" style="2" customWidth="1"/>
    <col min="13" max="13" width="10.5703125" style="2" bestFit="1" customWidth="1"/>
    <col min="14" max="16384" width="8.85546875" style="2"/>
  </cols>
  <sheetData>
    <row r="1" spans="1:12">
      <c r="C1" s="27" t="s">
        <v>525</v>
      </c>
    </row>
    <row r="2" spans="1:12">
      <c r="K2" s="27"/>
    </row>
    <row r="3" spans="1:12">
      <c r="K3" s="27"/>
    </row>
    <row r="4" spans="1:12">
      <c r="A4" s="410" t="s">
        <v>0</v>
      </c>
      <c r="B4" s="410"/>
      <c r="C4" s="410"/>
      <c r="D4" s="190"/>
      <c r="E4" s="190"/>
      <c r="F4" s="190"/>
      <c r="G4" s="190"/>
      <c r="H4" s="190"/>
      <c r="I4" s="190"/>
      <c r="J4" s="190"/>
      <c r="K4" s="190"/>
    </row>
    <row r="5" spans="1:12">
      <c r="A5" s="410" t="str">
        <f>RevReq!A3</f>
        <v>For the 12 Months Ended August 31, 2023</v>
      </c>
      <c r="B5" s="410"/>
      <c r="C5" s="410"/>
      <c r="D5" s="190"/>
      <c r="E5" s="190"/>
      <c r="F5" s="190"/>
      <c r="G5" s="190"/>
      <c r="H5" s="190"/>
      <c r="I5" s="190"/>
      <c r="J5" s="190"/>
      <c r="K5" s="190"/>
      <c r="L5" s="190"/>
    </row>
    <row r="6" spans="1:12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2">
      <c r="A7" s="408" t="s">
        <v>609</v>
      </c>
      <c r="B7" s="408"/>
      <c r="C7" s="408"/>
      <c r="D7" s="96"/>
      <c r="E7" s="96"/>
      <c r="F7" s="96"/>
      <c r="G7" s="96"/>
      <c r="H7" s="96"/>
      <c r="I7" s="96"/>
      <c r="J7" s="96"/>
      <c r="K7" s="96"/>
    </row>
    <row r="8" spans="1:12">
      <c r="A8" s="211"/>
      <c r="B8" s="211"/>
      <c r="C8" s="211"/>
      <c r="D8" s="96"/>
      <c r="E8" s="96"/>
      <c r="F8" s="96"/>
      <c r="G8" s="96"/>
      <c r="H8" s="96"/>
      <c r="I8" s="96"/>
      <c r="J8" s="96"/>
      <c r="K8" s="96"/>
    </row>
    <row r="9" spans="1:12">
      <c r="B9" s="4" t="s">
        <v>661</v>
      </c>
      <c r="C9" s="16"/>
      <c r="D9" s="194"/>
      <c r="E9" s="194"/>
      <c r="F9" s="194"/>
      <c r="G9" s="194"/>
      <c r="H9" s="194"/>
      <c r="I9" s="194"/>
      <c r="J9" s="194"/>
      <c r="K9" s="194"/>
      <c r="L9" s="194"/>
    </row>
    <row r="10" spans="1:12">
      <c r="A10" s="293" t="s">
        <v>11</v>
      </c>
      <c r="B10" s="29" t="s">
        <v>52</v>
      </c>
      <c r="C10" s="30" t="s">
        <v>568</v>
      </c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2">
      <c r="A11" s="192"/>
      <c r="B11" s="1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2">
      <c r="A12" s="192">
        <v>1</v>
      </c>
      <c r="B12" s="4" t="s">
        <v>662</v>
      </c>
      <c r="C12" s="379">
        <f>3842065.8+72814.5</f>
        <v>3914880.3</v>
      </c>
      <c r="D12" s="245"/>
      <c r="E12" s="196"/>
      <c r="F12" s="196"/>
      <c r="G12" s="196"/>
      <c r="H12" s="196"/>
      <c r="I12" s="196"/>
      <c r="J12" s="196"/>
      <c r="K12" s="196"/>
      <c r="L12" s="196"/>
    </row>
    <row r="13" spans="1:12">
      <c r="A13" s="192">
        <f>A12+1</f>
        <v>2</v>
      </c>
      <c r="B13" s="4" t="s">
        <v>677</v>
      </c>
      <c r="C13" s="378">
        <f>(12427.01*358)+225000</f>
        <v>4673869.58</v>
      </c>
      <c r="D13" s="245"/>
      <c r="E13" s="196"/>
      <c r="F13" s="196"/>
      <c r="G13" s="196"/>
      <c r="H13" s="196"/>
      <c r="I13" s="196"/>
      <c r="J13" s="196"/>
      <c r="K13" s="196"/>
      <c r="L13" s="196"/>
    </row>
    <row r="14" spans="1:12">
      <c r="A14" s="192">
        <f>A13+1</f>
        <v>3</v>
      </c>
      <c r="B14" s="295" t="s">
        <v>10</v>
      </c>
      <c r="C14" s="296">
        <f>+C13-C12</f>
        <v>758989.28000000026</v>
      </c>
      <c r="D14" s="245"/>
      <c r="E14" s="196"/>
      <c r="F14" s="196"/>
      <c r="G14" s="196"/>
      <c r="H14" s="196"/>
      <c r="I14" s="196"/>
      <c r="J14" s="196"/>
      <c r="K14" s="196"/>
      <c r="L14" s="196"/>
    </row>
    <row r="15" spans="1:12">
      <c r="B15" s="1"/>
      <c r="D15" s="245"/>
      <c r="E15" s="196"/>
      <c r="F15" s="196"/>
      <c r="G15" s="196"/>
      <c r="H15" s="196"/>
      <c r="I15" s="196"/>
      <c r="J15" s="196"/>
      <c r="K15" s="196"/>
      <c r="L15" s="196"/>
    </row>
    <row r="16" spans="1:12">
      <c r="B16" s="281" t="s">
        <v>610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</row>
    <row r="17" spans="2:8">
      <c r="B17" s="281"/>
      <c r="C17" s="25"/>
      <c r="D17" s="25"/>
      <c r="E17" s="25"/>
      <c r="F17" s="25"/>
      <c r="G17" s="25"/>
      <c r="H17" s="25"/>
    </row>
    <row r="18" spans="2:8">
      <c r="C18" s="25"/>
      <c r="D18" s="25"/>
      <c r="E18" s="25"/>
      <c r="F18" s="25"/>
      <c r="G18" s="25"/>
      <c r="H18" s="25"/>
    </row>
    <row r="19" spans="2:8">
      <c r="B19" s="37"/>
      <c r="C19" s="20"/>
      <c r="D19" s="20"/>
      <c r="E19" s="20"/>
      <c r="F19" s="20"/>
      <c r="G19" s="20"/>
      <c r="H19" s="20"/>
    </row>
    <row r="20" spans="2:8">
      <c r="C20" s="20"/>
      <c r="D20" s="20"/>
      <c r="E20" s="20"/>
      <c r="F20" s="20"/>
      <c r="G20" s="20"/>
      <c r="H20" s="20"/>
    </row>
    <row r="21" spans="2:8">
      <c r="C21" s="20"/>
      <c r="D21" s="20"/>
      <c r="E21" s="20"/>
      <c r="F21" s="20"/>
      <c r="G21" s="20"/>
      <c r="H21" s="20"/>
    </row>
    <row r="22" spans="2:8">
      <c r="C22" s="20"/>
      <c r="D22" s="20"/>
      <c r="E22" s="20"/>
      <c r="F22" s="20"/>
      <c r="G22" s="20"/>
      <c r="H22" s="261"/>
    </row>
    <row r="23" spans="2:8">
      <c r="C23" s="20"/>
      <c r="D23" s="20"/>
      <c r="E23" s="20"/>
      <c r="F23" s="20"/>
      <c r="G23" s="20"/>
      <c r="H23" s="20"/>
    </row>
    <row r="24" spans="2:8">
      <c r="C24" s="20"/>
      <c r="D24" s="20"/>
      <c r="E24" s="20"/>
      <c r="F24" s="20"/>
      <c r="G24" s="20"/>
      <c r="H24" s="20"/>
    </row>
    <row r="25" spans="2:8">
      <c r="C25" s="20"/>
      <c r="D25" s="20"/>
      <c r="E25" s="20"/>
      <c r="F25" s="20"/>
      <c r="G25" s="20"/>
      <c r="H25" s="20"/>
    </row>
    <row r="26" spans="2:8">
      <c r="C26" s="20"/>
      <c r="D26" s="20"/>
      <c r="E26" s="20"/>
      <c r="F26" s="20"/>
      <c r="G26" s="20"/>
      <c r="H26" s="20"/>
    </row>
  </sheetData>
  <mergeCells count="3">
    <mergeCell ref="A4:C4"/>
    <mergeCell ref="A5:C5"/>
    <mergeCell ref="A7:C7"/>
  </mergeCells>
  <printOptions horizontalCentered="1"/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2BFE-7338-47E2-8393-ACF2CCD9D412}">
  <sheetPr>
    <pageSetUpPr fitToPage="1"/>
  </sheetPr>
  <dimension ref="A1:M41"/>
  <sheetViews>
    <sheetView view="pageBreakPreview" topLeftCell="A25" zoomScaleNormal="100" zoomScaleSheetLayoutView="100" workbookViewId="0">
      <selection activeCell="F24" sqref="F24"/>
    </sheetView>
  </sheetViews>
  <sheetFormatPr defaultColWidth="8.85546875" defaultRowHeight="12.75"/>
  <cols>
    <col min="1" max="1" width="3" style="2" bestFit="1" customWidth="1"/>
    <col min="2" max="2" width="18.7109375" style="2" customWidth="1"/>
    <col min="3" max="3" width="17.85546875" style="2" bestFit="1" customWidth="1"/>
    <col min="4" max="4" width="24" style="2" bestFit="1" customWidth="1"/>
    <col min="5" max="5" width="14.85546875" style="2" bestFit="1" customWidth="1"/>
    <col min="6" max="6" width="11.42578125" style="2" bestFit="1" customWidth="1"/>
    <col min="7" max="7" width="13.7109375" style="2" bestFit="1" customWidth="1"/>
    <col min="8" max="12" width="18.140625" style="2" customWidth="1"/>
    <col min="13" max="13" width="10.5703125" style="2" bestFit="1" customWidth="1"/>
    <col min="14" max="16384" width="8.85546875" style="2"/>
  </cols>
  <sheetData>
    <row r="1" spans="1:13">
      <c r="G1" s="27" t="s">
        <v>690</v>
      </c>
    </row>
    <row r="2" spans="1:13">
      <c r="K2" s="27"/>
    </row>
    <row r="3" spans="1:13">
      <c r="K3" s="27"/>
    </row>
    <row r="4" spans="1:13">
      <c r="A4" s="410" t="s">
        <v>0</v>
      </c>
      <c r="B4" s="410"/>
      <c r="C4" s="410"/>
      <c r="D4" s="410"/>
      <c r="E4" s="410"/>
      <c r="F4" s="410"/>
      <c r="G4" s="410"/>
      <c r="H4" s="190"/>
      <c r="I4" s="190"/>
      <c r="J4" s="190"/>
      <c r="K4" s="190"/>
    </row>
    <row r="5" spans="1:13">
      <c r="A5" s="410" t="str">
        <f>RevReq!A3</f>
        <v>For the 12 Months Ended August 31, 2023</v>
      </c>
      <c r="B5" s="410"/>
      <c r="C5" s="410"/>
      <c r="D5" s="410"/>
      <c r="E5" s="410"/>
      <c r="F5" s="410"/>
      <c r="G5" s="410"/>
      <c r="H5" s="190"/>
      <c r="I5" s="190"/>
      <c r="J5" s="190"/>
      <c r="K5" s="190"/>
      <c r="L5" s="190"/>
    </row>
    <row r="6" spans="1:13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3">
      <c r="A7" s="408" t="s">
        <v>613</v>
      </c>
      <c r="B7" s="408"/>
      <c r="C7" s="408"/>
      <c r="D7" s="408"/>
      <c r="E7" s="408"/>
      <c r="F7" s="408"/>
      <c r="G7" s="408"/>
      <c r="H7" s="96"/>
      <c r="I7" s="96"/>
      <c r="J7" s="96"/>
      <c r="K7" s="96"/>
    </row>
    <row r="8" spans="1:13">
      <c r="A8" s="211"/>
      <c r="B8" s="211"/>
      <c r="C8" s="211"/>
      <c r="D8" s="211"/>
      <c r="E8" s="96"/>
      <c r="F8" s="96"/>
      <c r="G8" s="96"/>
      <c r="H8" s="96"/>
      <c r="I8" s="96"/>
      <c r="J8" s="96"/>
      <c r="K8" s="96"/>
    </row>
    <row r="9" spans="1:13">
      <c r="C9" s="4" t="s">
        <v>532</v>
      </c>
      <c r="D9" s="4" t="s">
        <v>533</v>
      </c>
      <c r="E9" s="4" t="s">
        <v>614</v>
      </c>
      <c r="F9" s="4" t="s">
        <v>535</v>
      </c>
      <c r="G9" s="4" t="s">
        <v>615</v>
      </c>
    </row>
    <row r="10" spans="1:13">
      <c r="D10" s="4"/>
      <c r="E10" s="417" t="s">
        <v>616</v>
      </c>
      <c r="F10" s="418"/>
      <c r="G10" s="4" t="s">
        <v>617</v>
      </c>
      <c r="I10" s="194"/>
      <c r="J10" s="194"/>
      <c r="K10" s="194"/>
      <c r="L10" s="194"/>
    </row>
    <row r="11" spans="1:13">
      <c r="A11" s="293" t="s">
        <v>11</v>
      </c>
      <c r="B11" s="256" t="s">
        <v>52</v>
      </c>
      <c r="C11" s="29" t="s">
        <v>538</v>
      </c>
      <c r="D11" s="337" t="s">
        <v>539</v>
      </c>
      <c r="E11" s="337" t="s">
        <v>540</v>
      </c>
      <c r="F11" s="338" t="s">
        <v>618</v>
      </c>
      <c r="G11" s="338" t="s">
        <v>619</v>
      </c>
      <c r="I11" s="196"/>
      <c r="J11" s="196"/>
      <c r="K11" s="196"/>
      <c r="L11" s="196"/>
    </row>
    <row r="12" spans="1:13">
      <c r="A12" s="192">
        <v>1</v>
      </c>
      <c r="I12" s="197"/>
      <c r="J12" s="197"/>
      <c r="K12" s="197"/>
      <c r="L12" s="197"/>
      <c r="M12" s="197"/>
    </row>
    <row r="13" spans="1:13">
      <c r="A13" s="192">
        <f>A12+1</f>
        <v>2</v>
      </c>
      <c r="B13" s="192" t="s">
        <v>620</v>
      </c>
      <c r="C13" s="303">
        <f>+D34-D22-D23</f>
        <v>108968.72</v>
      </c>
      <c r="D13" s="357">
        <f>+C34-C22-C23</f>
        <v>853170.4800000001</v>
      </c>
      <c r="E13" s="335">
        <f>+D13+C13</f>
        <v>962139.20000000007</v>
      </c>
      <c r="F13" s="336">
        <f>+E13*0.12</f>
        <v>115456.704</v>
      </c>
      <c r="G13" s="223">
        <f>+F13-C13</f>
        <v>6487.9839999999967</v>
      </c>
      <c r="I13" s="197"/>
      <c r="J13" s="197"/>
      <c r="K13" s="197"/>
      <c r="L13" s="197"/>
    </row>
    <row r="14" spans="1:13">
      <c r="A14" s="192">
        <f t="shared" ref="A14:A34" si="0">A13+1</f>
        <v>3</v>
      </c>
      <c r="B14" s="163"/>
      <c r="C14" s="261"/>
      <c r="D14" s="334"/>
      <c r="E14" s="335"/>
      <c r="F14" s="336"/>
      <c r="G14" s="223"/>
      <c r="I14" s="197"/>
      <c r="J14" s="197"/>
      <c r="K14" s="197"/>
      <c r="L14" s="197"/>
    </row>
    <row r="15" spans="1:13" s="358" customFormat="1">
      <c r="A15" s="192">
        <f t="shared" si="0"/>
        <v>4</v>
      </c>
      <c r="B15" s="2" t="s">
        <v>621</v>
      </c>
      <c r="C15" s="198"/>
      <c r="D15" s="286"/>
      <c r="E15" s="389"/>
      <c r="F15" s="286"/>
      <c r="G15" s="223">
        <f>D13</f>
        <v>853170.4800000001</v>
      </c>
      <c r="H15" s="359"/>
    </row>
    <row r="16" spans="1:13">
      <c r="A16" s="192">
        <f t="shared" si="0"/>
        <v>5</v>
      </c>
      <c r="C16" s="198"/>
      <c r="D16" s="20"/>
      <c r="E16" s="20"/>
      <c r="F16" s="20"/>
      <c r="G16" s="223"/>
      <c r="H16" s="20"/>
    </row>
    <row r="17" spans="1:8">
      <c r="A17" s="192">
        <f t="shared" si="0"/>
        <v>6</v>
      </c>
      <c r="B17" s="2" t="s">
        <v>622</v>
      </c>
      <c r="C17" s="199"/>
      <c r="D17" s="20"/>
      <c r="E17" s="20"/>
      <c r="F17" s="20"/>
      <c r="G17" s="223">
        <f>G15-G13</f>
        <v>846682.49600000004</v>
      </c>
      <c r="H17" s="20"/>
    </row>
    <row r="18" spans="1:8">
      <c r="A18" s="192">
        <f t="shared" si="0"/>
        <v>7</v>
      </c>
      <c r="B18" s="281"/>
      <c r="C18" s="25"/>
      <c r="D18" s="20"/>
      <c r="E18" s="20"/>
      <c r="F18" s="20"/>
      <c r="G18" s="223"/>
      <c r="H18" s="20"/>
    </row>
    <row r="19" spans="1:8">
      <c r="A19" s="192">
        <f t="shared" si="0"/>
        <v>8</v>
      </c>
      <c r="B19" s="2" t="s">
        <v>116</v>
      </c>
      <c r="C19" s="25"/>
      <c r="D19" s="20"/>
      <c r="E19" s="20"/>
      <c r="F19" s="20"/>
      <c r="G19" s="339">
        <f>G17-G15</f>
        <v>-6487.9840000000549</v>
      </c>
      <c r="H19" s="261"/>
    </row>
    <row r="20" spans="1:8">
      <c r="A20" s="192">
        <f t="shared" si="0"/>
        <v>9</v>
      </c>
      <c r="C20" s="25"/>
      <c r="D20" s="20"/>
      <c r="E20" s="20"/>
      <c r="F20" s="20"/>
      <c r="G20" s="223"/>
      <c r="H20" s="261"/>
    </row>
    <row r="21" spans="1:8">
      <c r="A21" s="192">
        <f t="shared" si="0"/>
        <v>10</v>
      </c>
      <c r="B21" s="4" t="s">
        <v>663</v>
      </c>
      <c r="C21" s="294" t="s">
        <v>664</v>
      </c>
      <c r="D21" s="294" t="s">
        <v>665</v>
      </c>
      <c r="E21" s="20"/>
      <c r="F21" s="20"/>
      <c r="G21" s="223"/>
      <c r="H21" s="261"/>
    </row>
    <row r="22" spans="1:8">
      <c r="A22" s="192">
        <f t="shared" si="0"/>
        <v>11</v>
      </c>
      <c r="B22" s="261">
        <v>163</v>
      </c>
      <c r="C22" s="336">
        <v>25689.600000000006</v>
      </c>
      <c r="D22" s="261">
        <v>3494.4</v>
      </c>
      <c r="E22" s="20" t="s">
        <v>666</v>
      </c>
      <c r="F22" s="360"/>
      <c r="G22" s="360"/>
      <c r="H22" s="261"/>
    </row>
    <row r="23" spans="1:8">
      <c r="A23" s="192">
        <f t="shared" si="0"/>
        <v>12</v>
      </c>
      <c r="B23" s="261">
        <v>184.1</v>
      </c>
      <c r="C23" s="336">
        <v>13651.200000000003</v>
      </c>
      <c r="D23" s="261">
        <v>940.8</v>
      </c>
      <c r="E23" s="20" t="s">
        <v>666</v>
      </c>
      <c r="F23" s="360"/>
      <c r="G23" s="360"/>
      <c r="H23" s="261"/>
    </row>
    <row r="24" spans="1:8">
      <c r="A24" s="192">
        <f t="shared" si="0"/>
        <v>13</v>
      </c>
      <c r="B24" s="261">
        <v>583</v>
      </c>
      <c r="C24" s="336">
        <v>288740.4800000001</v>
      </c>
      <c r="D24" s="261">
        <v>43817.919999999998</v>
      </c>
      <c r="E24" s="20"/>
      <c r="F24" s="360"/>
      <c r="G24" s="360"/>
      <c r="H24" s="261"/>
    </row>
    <row r="25" spans="1:8">
      <c r="A25" s="192">
        <f t="shared" si="0"/>
        <v>14</v>
      </c>
      <c r="B25" s="261">
        <v>583.20000000000005</v>
      </c>
      <c r="C25" s="336">
        <v>13651.200000000003</v>
      </c>
      <c r="D25" s="261">
        <v>940.8</v>
      </c>
      <c r="E25" s="20"/>
      <c r="F25" s="360"/>
      <c r="G25" s="360"/>
      <c r="H25" s="261"/>
    </row>
    <row r="26" spans="1:8">
      <c r="A26" s="192">
        <f t="shared" si="0"/>
        <v>15</v>
      </c>
      <c r="B26" s="261">
        <v>584</v>
      </c>
      <c r="C26" s="336">
        <v>146401.19999999998</v>
      </c>
      <c r="D26" s="261">
        <v>31054.799999999999</v>
      </c>
      <c r="E26" s="20"/>
      <c r="F26" s="360"/>
      <c r="G26" s="360"/>
      <c r="H26" s="261"/>
    </row>
    <row r="27" spans="1:8">
      <c r="A27" s="192">
        <f t="shared" si="0"/>
        <v>16</v>
      </c>
      <c r="B27" s="261">
        <v>588</v>
      </c>
      <c r="C27" s="336">
        <v>96408</v>
      </c>
      <c r="D27" s="261">
        <v>6678.4</v>
      </c>
      <c r="E27" s="20"/>
      <c r="F27" s="360"/>
      <c r="G27" s="360"/>
      <c r="H27" s="261"/>
    </row>
    <row r="28" spans="1:8">
      <c r="A28" s="192">
        <f t="shared" si="0"/>
        <v>17</v>
      </c>
      <c r="B28" s="261">
        <v>593</v>
      </c>
      <c r="C28" s="336">
        <v>12038.400000000001</v>
      </c>
      <c r="D28" s="261">
        <v>2553.6</v>
      </c>
      <c r="E28" s="20"/>
      <c r="F28" s="360"/>
      <c r="G28" s="360"/>
      <c r="H28" s="261"/>
    </row>
    <row r="29" spans="1:8">
      <c r="A29" s="192">
        <f t="shared" si="0"/>
        <v>18</v>
      </c>
      <c r="B29" s="261">
        <v>902</v>
      </c>
      <c r="C29" s="336">
        <v>24076.800000000003</v>
      </c>
      <c r="D29" s="261">
        <v>5107.2</v>
      </c>
      <c r="E29" s="20"/>
      <c r="F29" s="360"/>
      <c r="G29" s="360"/>
      <c r="H29" s="261"/>
    </row>
    <row r="30" spans="1:8">
      <c r="A30" s="192">
        <f t="shared" si="0"/>
        <v>19</v>
      </c>
      <c r="B30" s="261">
        <v>903</v>
      </c>
      <c r="C30" s="336">
        <v>68256.000000000015</v>
      </c>
      <c r="D30" s="261">
        <v>4704</v>
      </c>
      <c r="E30" s="20"/>
      <c r="F30" s="360"/>
      <c r="G30" s="360"/>
      <c r="H30" s="261"/>
    </row>
    <row r="31" spans="1:8">
      <c r="A31" s="192">
        <f t="shared" si="0"/>
        <v>20</v>
      </c>
      <c r="B31" s="261">
        <v>920</v>
      </c>
      <c r="C31" s="336">
        <v>176296.00000000003</v>
      </c>
      <c r="D31" s="261">
        <v>12230.4</v>
      </c>
      <c r="E31" s="20"/>
      <c r="F31" s="360"/>
      <c r="G31" s="360"/>
      <c r="H31" s="261"/>
    </row>
    <row r="32" spans="1:8">
      <c r="A32" s="192">
        <f t="shared" si="0"/>
        <v>21</v>
      </c>
      <c r="B32" s="261">
        <v>920.1</v>
      </c>
      <c r="C32" s="336">
        <v>13651.200000000003</v>
      </c>
      <c r="D32" s="261">
        <v>940.8</v>
      </c>
      <c r="E32" s="20"/>
      <c r="F32" s="360"/>
      <c r="G32" s="360"/>
      <c r="H32" s="261"/>
    </row>
    <row r="33" spans="1:8">
      <c r="A33" s="192">
        <f t="shared" si="0"/>
        <v>22</v>
      </c>
      <c r="B33" s="261">
        <v>925</v>
      </c>
      <c r="C33" s="336">
        <v>13651.200000000003</v>
      </c>
      <c r="D33" s="261">
        <v>940.8</v>
      </c>
      <c r="E33" s="20"/>
      <c r="F33" s="360"/>
      <c r="G33" s="360"/>
      <c r="H33" s="261"/>
    </row>
    <row r="34" spans="1:8" ht="13.5" thickBot="1">
      <c r="A34" s="192">
        <f t="shared" si="0"/>
        <v>23</v>
      </c>
      <c r="B34" s="50" t="s">
        <v>57</v>
      </c>
      <c r="C34" s="361">
        <f>SUM(C22:C33)</f>
        <v>892511.28</v>
      </c>
      <c r="D34" s="361">
        <f>SUM(D22:D33)</f>
        <v>113403.92</v>
      </c>
      <c r="E34" s="20"/>
      <c r="F34" s="20"/>
      <c r="G34" s="20"/>
      <c r="H34" s="20"/>
    </row>
    <row r="35" spans="1:8" ht="13.5" thickTop="1">
      <c r="D35" s="20"/>
      <c r="E35" s="20"/>
      <c r="F35" s="20"/>
      <c r="G35" s="20"/>
      <c r="H35" s="20"/>
    </row>
    <row r="36" spans="1:8">
      <c r="D36" s="20"/>
      <c r="E36" s="20"/>
      <c r="F36" s="20"/>
      <c r="G36" s="20"/>
      <c r="H36" s="20"/>
    </row>
    <row r="37" spans="1:8">
      <c r="D37" s="20"/>
      <c r="E37" s="20"/>
      <c r="F37" s="20"/>
      <c r="G37" s="20"/>
      <c r="H37" s="20"/>
    </row>
    <row r="38" spans="1:8">
      <c r="C38" s="20"/>
    </row>
    <row r="39" spans="1:8">
      <c r="C39" s="20"/>
    </row>
    <row r="40" spans="1:8">
      <c r="C40" s="20"/>
    </row>
    <row r="41" spans="1:8">
      <c r="C41" s="20"/>
    </row>
  </sheetData>
  <mergeCells count="4">
    <mergeCell ref="A4:G4"/>
    <mergeCell ref="A5:G5"/>
    <mergeCell ref="A7:G7"/>
    <mergeCell ref="E10:F10"/>
  </mergeCells>
  <printOptions horizontalCentered="1"/>
  <pageMargins left="0.7" right="0.7" top="0.75" bottom="0.75" header="0.3" footer="0.3"/>
  <pageSetup orientation="landscape" r:id="rId1"/>
  <ignoredErrors>
    <ignoredError sqref="F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I45"/>
  <sheetViews>
    <sheetView view="pageBreakPreview" topLeftCell="A4" zoomScaleNormal="100" zoomScaleSheetLayoutView="100" workbookViewId="0">
      <selection activeCell="I24" sqref="I24"/>
    </sheetView>
  </sheetViews>
  <sheetFormatPr defaultColWidth="9.140625" defaultRowHeight="12.75"/>
  <cols>
    <col min="1" max="1" width="3.5703125" style="2" customWidth="1"/>
    <col min="2" max="2" width="9.28515625" style="4" bestFit="1" customWidth="1"/>
    <col min="3" max="3" width="27.140625" style="2" bestFit="1" customWidth="1"/>
    <col min="4" max="4" width="13.7109375" style="2" customWidth="1"/>
    <col min="5" max="5" width="13.42578125" style="2" customWidth="1"/>
    <col min="6" max="6" width="11.140625" style="2" customWidth="1"/>
    <col min="7" max="7" width="11.42578125" style="2" bestFit="1" customWidth="1"/>
    <col min="8" max="8" width="17.28515625" style="2" customWidth="1"/>
    <col min="9" max="9" width="15.7109375" style="2" customWidth="1"/>
    <col min="10" max="16384" width="9.140625" style="2"/>
  </cols>
  <sheetData>
    <row r="1" spans="1:9">
      <c r="A1" s="405" t="s">
        <v>0</v>
      </c>
      <c r="B1" s="405"/>
      <c r="C1" s="405"/>
      <c r="D1" s="405"/>
      <c r="E1" s="405"/>
      <c r="F1" s="405"/>
      <c r="G1" s="405"/>
    </row>
    <row r="2" spans="1:9">
      <c r="A2" s="405" t="s">
        <v>50</v>
      </c>
      <c r="B2" s="405"/>
      <c r="C2" s="405"/>
      <c r="D2" s="405"/>
      <c r="E2" s="405"/>
      <c r="F2" s="405"/>
      <c r="G2" s="405"/>
    </row>
    <row r="3" spans="1:9">
      <c r="A3" s="1"/>
      <c r="B3" s="1"/>
      <c r="C3" s="1"/>
      <c r="D3" s="1"/>
      <c r="E3" s="1"/>
      <c r="F3" s="393"/>
      <c r="G3" s="392" t="s">
        <v>693</v>
      </c>
    </row>
    <row r="4" spans="1:9">
      <c r="F4" s="435"/>
      <c r="G4" s="438" t="s">
        <v>701</v>
      </c>
    </row>
    <row r="5" spans="1:9" ht="47.25" customHeight="1">
      <c r="B5" s="15" t="s">
        <v>51</v>
      </c>
      <c r="C5" s="16" t="s">
        <v>52</v>
      </c>
      <c r="D5" s="16" t="s">
        <v>53</v>
      </c>
      <c r="E5" s="16" t="s">
        <v>54</v>
      </c>
      <c r="F5" s="16" t="s">
        <v>55</v>
      </c>
      <c r="G5" s="16" t="s">
        <v>56</v>
      </c>
    </row>
    <row r="6" spans="1:9">
      <c r="B6" s="17" t="s">
        <v>11</v>
      </c>
      <c r="C6" s="18">
        <v>1</v>
      </c>
      <c r="D6" s="18">
        <f>C6+1</f>
        <v>2</v>
      </c>
      <c r="E6" s="18">
        <f>D6+1</f>
        <v>3</v>
      </c>
      <c r="F6" s="18">
        <f>E6+1</f>
        <v>4</v>
      </c>
      <c r="G6" s="18">
        <f>F6+1</f>
        <v>5</v>
      </c>
    </row>
    <row r="7" spans="1:9">
      <c r="B7" s="2"/>
      <c r="C7" s="19"/>
      <c r="D7" s="19"/>
      <c r="E7" s="19"/>
      <c r="F7" s="19"/>
      <c r="G7" s="19"/>
    </row>
    <row r="8" spans="1:9">
      <c r="B8" s="4">
        <v>1.01</v>
      </c>
      <c r="C8" s="2" t="s">
        <v>64</v>
      </c>
      <c r="D8" s="8">
        <f>'1.01 FAC'!D33</f>
        <v>-9297926.6999999993</v>
      </c>
      <c r="E8" s="8">
        <f>'1.01 FAC'!F33</f>
        <v>-8969611.2899999991</v>
      </c>
      <c r="F8" s="8">
        <v>0</v>
      </c>
      <c r="G8" s="20">
        <f>D8-E8+F8</f>
        <v>-328315.41000000015</v>
      </c>
    </row>
    <row r="9" spans="1:9">
      <c r="B9" s="4">
        <v>1.02</v>
      </c>
      <c r="C9" s="2" t="s">
        <v>65</v>
      </c>
      <c r="D9" s="8">
        <f>'1.02 ES'!D33</f>
        <v>-3734412.78</v>
      </c>
      <c r="E9" s="8">
        <f>'1.02 ES'!F33</f>
        <v>-3623000.46</v>
      </c>
      <c r="F9" s="8">
        <v>0</v>
      </c>
      <c r="G9" s="20">
        <f t="shared" ref="G9:G20" si="0">D9-E9+F9</f>
        <v>-111412.31999999983</v>
      </c>
    </row>
    <row r="10" spans="1:9">
      <c r="B10" s="4">
        <v>1.03</v>
      </c>
      <c r="C10" s="2" t="s">
        <v>66</v>
      </c>
      <c r="D10" s="8">
        <f>'1.03 MRSM'!D33</f>
        <v>3156156.07</v>
      </c>
      <c r="E10" s="8">
        <f>'1.03 MRSM'!F33</f>
        <v>3141244.79</v>
      </c>
      <c r="F10" s="8">
        <v>0</v>
      </c>
      <c r="G10" s="20">
        <f t="shared" si="0"/>
        <v>14911.279999999795</v>
      </c>
    </row>
    <row r="11" spans="1:9">
      <c r="B11" s="4">
        <v>1.04</v>
      </c>
      <c r="C11" s="2" t="s">
        <v>67</v>
      </c>
      <c r="D11" s="8">
        <f>'1.04 NonFACPPA'!D33</f>
        <v>-3640327.19</v>
      </c>
      <c r="E11" s="8">
        <f>'1.04 NonFACPPA'!F33</f>
        <v>-4012567.81</v>
      </c>
      <c r="F11" s="8">
        <v>0</v>
      </c>
      <c r="G11" s="20">
        <f t="shared" si="0"/>
        <v>372240.62000000011</v>
      </c>
    </row>
    <row r="12" spans="1:9">
      <c r="B12" s="4">
        <v>1.05</v>
      </c>
      <c r="C12" s="2" t="s">
        <v>470</v>
      </c>
      <c r="D12" s="8">
        <v>0</v>
      </c>
      <c r="E12" s="391">
        <f>-'1.05 DonaAdsDues'!D30</f>
        <v>-455665.61</v>
      </c>
      <c r="F12" s="8">
        <v>0</v>
      </c>
      <c r="G12" s="20">
        <f t="shared" si="0"/>
        <v>455665.61</v>
      </c>
      <c r="I12" s="304"/>
    </row>
    <row r="13" spans="1:9">
      <c r="B13" s="4">
        <v>1.06</v>
      </c>
      <c r="C13" s="2" t="s">
        <v>95</v>
      </c>
      <c r="D13" s="8">
        <v>0</v>
      </c>
      <c r="E13" s="8">
        <f>'1.06 401k'!D18</f>
        <v>-22063.62</v>
      </c>
      <c r="F13" s="8">
        <v>0</v>
      </c>
      <c r="G13" s="20">
        <f t="shared" si="0"/>
        <v>22063.62</v>
      </c>
    </row>
    <row r="14" spans="1:9">
      <c r="B14" s="4">
        <v>1.07</v>
      </c>
      <c r="C14" s="2" t="s">
        <v>96</v>
      </c>
      <c r="D14" s="8">
        <v>0</v>
      </c>
      <c r="E14" s="8">
        <f>'1.07 LifeInsur'!G81</f>
        <v>-14628.007454393639</v>
      </c>
      <c r="F14" s="8">
        <v>0</v>
      </c>
      <c r="G14" s="20">
        <f t="shared" si="0"/>
        <v>14628.007454393639</v>
      </c>
    </row>
    <row r="15" spans="1:9">
      <c r="B15" s="4">
        <v>1.08</v>
      </c>
      <c r="C15" s="2" t="s">
        <v>97</v>
      </c>
      <c r="D15" s="8">
        <v>0</v>
      </c>
      <c r="E15" s="391">
        <f>'1.08 RC'!D30</f>
        <v>9123.243333333332</v>
      </c>
      <c r="F15" s="8">
        <v>0</v>
      </c>
      <c r="G15" s="7">
        <f t="shared" si="0"/>
        <v>-9123.243333333332</v>
      </c>
    </row>
    <row r="16" spans="1:9">
      <c r="B16" s="4">
        <v>1.0900000000000001</v>
      </c>
      <c r="C16" s="2" t="s">
        <v>91</v>
      </c>
      <c r="D16" s="8">
        <v>0</v>
      </c>
      <c r="E16" s="8">
        <f>'1.09 Int Exp'!F53+'1.09 Int Exp'!F62</f>
        <v>285422.35555349971</v>
      </c>
      <c r="F16" s="8">
        <v>0</v>
      </c>
      <c r="G16" s="7">
        <f t="shared" si="0"/>
        <v>-285422.35555349971</v>
      </c>
    </row>
    <row r="17" spans="2:9">
      <c r="B17" s="362">
        <v>1.1000000000000001</v>
      </c>
      <c r="C17" s="2" t="s">
        <v>99</v>
      </c>
      <c r="D17" s="437">
        <f>'1.10 YearEndCust'!F50</f>
        <v>446314.9</v>
      </c>
      <c r="E17" s="8">
        <f>'1.10 YearEndCust'!G50</f>
        <v>531332.03</v>
      </c>
      <c r="F17" s="8">
        <v>0</v>
      </c>
      <c r="G17" s="7">
        <f t="shared" si="0"/>
        <v>-85017.13</v>
      </c>
      <c r="H17" s="36"/>
    </row>
    <row r="18" spans="2:9">
      <c r="B18" s="4">
        <v>1.1100000000000001</v>
      </c>
      <c r="C18" s="2" t="s">
        <v>58</v>
      </c>
      <c r="D18" s="8">
        <v>0</v>
      </c>
      <c r="E18" s="437">
        <f>'1.11 Wages and Salaries'!J24</f>
        <v>519574.37302131724</v>
      </c>
      <c r="F18" s="8">
        <v>0</v>
      </c>
      <c r="G18" s="7">
        <f t="shared" si="0"/>
        <v>-519574.37302131724</v>
      </c>
    </row>
    <row r="19" spans="2:9">
      <c r="B19" s="4">
        <v>1.1200000000000001</v>
      </c>
      <c r="C19" s="2" t="s">
        <v>401</v>
      </c>
      <c r="D19" s="8">
        <v>0</v>
      </c>
      <c r="E19" s="8">
        <f>'1.12 Depr'!J54</f>
        <v>-16250.454999999783</v>
      </c>
      <c r="F19" s="8">
        <v>0</v>
      </c>
      <c r="G19" s="7">
        <f t="shared" si="0"/>
        <v>16250.454999999783</v>
      </c>
    </row>
    <row r="20" spans="2:9">
      <c r="B20" s="4">
        <v>1.1299999999999999</v>
      </c>
      <c r="C20" s="39" t="s">
        <v>406</v>
      </c>
      <c r="D20" s="8">
        <v>0</v>
      </c>
      <c r="E20" s="8">
        <f>'1.13 Dir'!K28</f>
        <v>-29986.87</v>
      </c>
      <c r="F20" s="8">
        <v>0</v>
      </c>
      <c r="G20" s="7">
        <f t="shared" si="0"/>
        <v>29986.87</v>
      </c>
    </row>
    <row r="21" spans="2:9">
      <c r="B21" s="4">
        <v>1.1399999999999999</v>
      </c>
      <c r="C21" s="2" t="s">
        <v>581</v>
      </c>
      <c r="D21" s="8">
        <v>0</v>
      </c>
      <c r="E21" s="8">
        <f>'1.14 Right of Way'!C14</f>
        <v>758989.28000000026</v>
      </c>
      <c r="F21" s="8">
        <v>0</v>
      </c>
      <c r="G21" s="7">
        <f t="shared" ref="G21" si="1">D21-E21+F21</f>
        <v>-758989.28000000026</v>
      </c>
    </row>
    <row r="22" spans="2:9">
      <c r="B22" s="4">
        <v>1.1499999999999999</v>
      </c>
      <c r="C22" s="2" t="s">
        <v>613</v>
      </c>
      <c r="D22" s="8">
        <v>0</v>
      </c>
      <c r="E22" s="8">
        <f>'1.15 Healthcare'!G19</f>
        <v>-6487.9840000000549</v>
      </c>
      <c r="F22" s="8">
        <v>0</v>
      </c>
      <c r="G22" s="7">
        <f t="shared" ref="G22:G23" si="2">D22-E22+F22</f>
        <v>6487.9840000000549</v>
      </c>
    </row>
    <row r="23" spans="2:9">
      <c r="B23" s="399">
        <v>1.1599999999999999</v>
      </c>
      <c r="C23" s="393" t="s">
        <v>695</v>
      </c>
      <c r="D23" s="391">
        <v>0</v>
      </c>
      <c r="E23" s="391">
        <f>'1.16 Retirement'!C14</f>
        <v>-23390</v>
      </c>
      <c r="F23" s="391">
        <v>0</v>
      </c>
      <c r="G23" s="400">
        <f t="shared" si="2"/>
        <v>23390</v>
      </c>
    </row>
    <row r="24" spans="2:9" s="24" customFormat="1" ht="21.75" customHeight="1" thickBot="1">
      <c r="B24" s="21"/>
      <c r="C24" s="22" t="s">
        <v>57</v>
      </c>
      <c r="D24" s="23">
        <f>SUM(D8:D23)</f>
        <v>-13070195.699999997</v>
      </c>
      <c r="E24" s="23">
        <f t="shared" ref="E24:G24" si="3">SUM(E8:E23)</f>
        <v>-11927966.034546239</v>
      </c>
      <c r="F24" s="23">
        <f t="shared" si="3"/>
        <v>0</v>
      </c>
      <c r="G24" s="23">
        <f t="shared" si="3"/>
        <v>-1142229.6654537572</v>
      </c>
      <c r="I24" s="266"/>
    </row>
    <row r="25" spans="2:9" ht="13.5" thickTop="1">
      <c r="D25" s="25"/>
      <c r="E25" s="25"/>
      <c r="F25" s="25"/>
      <c r="G25" s="20"/>
    </row>
    <row r="26" spans="2:9">
      <c r="D26" s="20"/>
      <c r="E26" s="20"/>
      <c r="F26" s="20"/>
      <c r="G26" s="20"/>
    </row>
    <row r="27" spans="2:9">
      <c r="D27" s="20"/>
      <c r="E27" s="20"/>
      <c r="F27" s="20"/>
      <c r="G27" s="20"/>
    </row>
    <row r="28" spans="2:9">
      <c r="D28" s="20"/>
      <c r="E28" s="20"/>
      <c r="F28" s="20"/>
      <c r="G28" s="20"/>
    </row>
    <row r="29" spans="2:9">
      <c r="D29" s="20"/>
      <c r="E29" s="20">
        <f>E24-E16</f>
        <v>-12213388.39009974</v>
      </c>
      <c r="F29" s="20"/>
      <c r="G29" s="20"/>
    </row>
    <row r="30" spans="2:9">
      <c r="D30" s="20"/>
      <c r="E30" s="20"/>
      <c r="F30" s="20"/>
      <c r="G30" s="20"/>
    </row>
    <row r="31" spans="2:9">
      <c r="D31" s="20"/>
      <c r="E31" s="20"/>
      <c r="F31" s="20"/>
      <c r="G31" s="20"/>
    </row>
    <row r="32" spans="2:9">
      <c r="D32" s="20"/>
      <c r="E32" s="20"/>
      <c r="F32" s="20"/>
      <c r="G32" s="20"/>
    </row>
    <row r="33" spans="4:7">
      <c r="D33" s="20"/>
      <c r="E33" s="20"/>
      <c r="F33" s="20"/>
      <c r="G33" s="20"/>
    </row>
    <row r="34" spans="4:7">
      <c r="D34" s="20"/>
      <c r="E34" s="20"/>
      <c r="F34" s="20"/>
      <c r="G34" s="20"/>
    </row>
    <row r="35" spans="4:7">
      <c r="D35" s="20"/>
      <c r="E35" s="20"/>
      <c r="F35" s="20"/>
      <c r="G35" s="20"/>
    </row>
    <row r="36" spans="4:7">
      <c r="D36" s="20"/>
      <c r="E36" s="20"/>
      <c r="F36" s="20"/>
      <c r="G36" s="20"/>
    </row>
    <row r="42" spans="4:7">
      <c r="F42" s="36"/>
    </row>
    <row r="44" spans="4:7">
      <c r="D44" s="36"/>
      <c r="E44" s="36"/>
      <c r="F44" s="36"/>
    </row>
    <row r="45" spans="4:7">
      <c r="D45" s="36"/>
      <c r="E45" s="36"/>
      <c r="F45" s="36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landscape" r:id="rId1"/>
  <headerFooter>
    <oddFooter>&amp;RExhibit JW-2
Page &amp;P of 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B8B0-1FA8-4BF5-A332-C1005A3D95AE}">
  <sheetPr>
    <tabColor theme="9" tint="0.79998168889431442"/>
    <pageSetUpPr fitToPage="1"/>
  </sheetPr>
  <dimension ref="A1:L26"/>
  <sheetViews>
    <sheetView view="pageBreakPreview" zoomScaleNormal="100" zoomScaleSheetLayoutView="100" workbookViewId="0">
      <selection activeCell="C14" sqref="C14"/>
    </sheetView>
  </sheetViews>
  <sheetFormatPr defaultColWidth="8.85546875" defaultRowHeight="12.75"/>
  <cols>
    <col min="1" max="1" width="8.85546875" style="2"/>
    <col min="2" max="2" width="67.42578125" style="2" customWidth="1"/>
    <col min="3" max="3" width="23.5703125" style="2" customWidth="1"/>
    <col min="4" max="12" width="18.140625" style="2" customWidth="1"/>
    <col min="13" max="13" width="10.5703125" style="2" bestFit="1" customWidth="1"/>
    <col min="14" max="16384" width="8.85546875" style="2"/>
  </cols>
  <sheetData>
    <row r="1" spans="1:12">
      <c r="C1" s="27" t="s">
        <v>694</v>
      </c>
    </row>
    <row r="2" spans="1:12">
      <c r="C2" s="392" t="s">
        <v>693</v>
      </c>
      <c r="K2" s="27"/>
    </row>
    <row r="3" spans="1:12">
      <c r="K3" s="27"/>
    </row>
    <row r="4" spans="1:12">
      <c r="A4" s="410" t="s">
        <v>0</v>
      </c>
      <c r="B4" s="410"/>
      <c r="C4" s="410"/>
      <c r="D4" s="190"/>
      <c r="E4" s="190"/>
      <c r="F4" s="190"/>
      <c r="G4" s="190"/>
      <c r="H4" s="190"/>
      <c r="I4" s="190"/>
      <c r="J4" s="190"/>
      <c r="K4" s="190"/>
    </row>
    <row r="5" spans="1:12">
      <c r="A5" s="410" t="str">
        <f>RevReq!A3</f>
        <v>For the 12 Months Ended August 31, 2023</v>
      </c>
      <c r="B5" s="410"/>
      <c r="C5" s="410"/>
      <c r="D5" s="190"/>
      <c r="E5" s="190"/>
      <c r="F5" s="190"/>
      <c r="G5" s="190"/>
      <c r="H5" s="190"/>
      <c r="I5" s="190"/>
      <c r="J5" s="190"/>
      <c r="K5" s="190"/>
      <c r="L5" s="190"/>
    </row>
    <row r="6" spans="1:12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2">
      <c r="A7" s="408" t="s">
        <v>695</v>
      </c>
      <c r="B7" s="408"/>
      <c r="C7" s="408"/>
      <c r="D7" s="96"/>
      <c r="E7" s="96"/>
      <c r="F7" s="96"/>
      <c r="G7" s="96"/>
      <c r="H7" s="96"/>
      <c r="I7" s="96"/>
      <c r="J7" s="96"/>
      <c r="K7" s="96"/>
    </row>
    <row r="8" spans="1:12">
      <c r="A8" s="211"/>
      <c r="B8" s="211"/>
      <c r="C8" s="211"/>
      <c r="D8" s="96"/>
      <c r="E8" s="96"/>
      <c r="F8" s="96"/>
      <c r="G8" s="96"/>
      <c r="H8" s="96"/>
      <c r="I8" s="96"/>
      <c r="J8" s="96"/>
      <c r="K8" s="96"/>
    </row>
    <row r="9" spans="1:12">
      <c r="B9" s="4" t="s">
        <v>661</v>
      </c>
      <c r="C9" s="16"/>
      <c r="D9" s="194"/>
      <c r="E9" s="194"/>
      <c r="F9" s="194"/>
      <c r="G9" s="194"/>
      <c r="H9" s="194"/>
      <c r="I9" s="194"/>
      <c r="J9" s="194"/>
      <c r="K9" s="194"/>
      <c r="L9" s="194"/>
    </row>
    <row r="10" spans="1:12">
      <c r="A10" s="293" t="s">
        <v>11</v>
      </c>
      <c r="B10" s="29" t="s">
        <v>52</v>
      </c>
      <c r="C10" s="30" t="s">
        <v>568</v>
      </c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2">
      <c r="A11" s="192"/>
      <c r="B11" s="1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2">
      <c r="A12" s="192">
        <v>1</v>
      </c>
      <c r="B12" s="4" t="s">
        <v>696</v>
      </c>
      <c r="C12" s="403">
        <v>23390</v>
      </c>
      <c r="D12" s="245"/>
      <c r="E12" s="196"/>
      <c r="F12" s="196"/>
      <c r="G12" s="196"/>
      <c r="H12" s="196"/>
      <c r="I12" s="196"/>
      <c r="J12" s="196"/>
      <c r="K12" s="196"/>
      <c r="L12" s="196"/>
    </row>
    <row r="13" spans="1:12">
      <c r="A13" s="192">
        <f>A12+1</f>
        <v>2</v>
      </c>
      <c r="B13" s="4" t="s">
        <v>697</v>
      </c>
      <c r="C13" s="403">
        <v>0</v>
      </c>
      <c r="D13" s="245"/>
      <c r="E13" s="196"/>
      <c r="F13" s="196"/>
      <c r="G13" s="196"/>
      <c r="H13" s="196"/>
      <c r="I13" s="196"/>
      <c r="J13" s="196"/>
      <c r="K13" s="196"/>
      <c r="L13" s="196"/>
    </row>
    <row r="14" spans="1:12">
      <c r="A14" s="192">
        <f>A13+1</f>
        <v>3</v>
      </c>
      <c r="B14" s="295" t="s">
        <v>10</v>
      </c>
      <c r="C14" s="404">
        <f>+C13-C12</f>
        <v>-23390</v>
      </c>
      <c r="D14" s="245"/>
      <c r="E14" s="196"/>
      <c r="F14" s="196"/>
      <c r="G14" s="196"/>
      <c r="H14" s="196"/>
      <c r="I14" s="196"/>
      <c r="J14" s="196"/>
      <c r="K14" s="196"/>
      <c r="L14" s="196"/>
    </row>
    <row r="15" spans="1:12">
      <c r="B15" s="1"/>
      <c r="D15" s="245"/>
      <c r="E15" s="196"/>
      <c r="F15" s="196"/>
      <c r="G15" s="196"/>
      <c r="H15" s="196"/>
      <c r="I15" s="196"/>
      <c r="J15" s="196"/>
      <c r="K15" s="196"/>
      <c r="L15" s="196"/>
    </row>
    <row r="16" spans="1:12">
      <c r="B16" s="281" t="s">
        <v>698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</row>
    <row r="17" spans="2:8">
      <c r="B17" s="281"/>
      <c r="C17" s="25"/>
      <c r="D17" s="25"/>
      <c r="E17" s="25"/>
      <c r="F17" s="25"/>
      <c r="G17" s="25"/>
      <c r="H17" s="25"/>
    </row>
    <row r="18" spans="2:8">
      <c r="C18" s="25"/>
      <c r="D18" s="25"/>
      <c r="E18" s="25"/>
      <c r="F18" s="25"/>
      <c r="G18" s="25"/>
      <c r="H18" s="25"/>
    </row>
    <row r="19" spans="2:8">
      <c r="B19" s="37"/>
      <c r="C19" s="20"/>
      <c r="D19" s="20"/>
      <c r="E19" s="20"/>
      <c r="F19" s="20"/>
      <c r="G19" s="20"/>
      <c r="H19" s="20"/>
    </row>
    <row r="20" spans="2:8">
      <c r="C20" s="20"/>
      <c r="D20" s="20"/>
      <c r="E20" s="20"/>
      <c r="F20" s="20"/>
      <c r="G20" s="20"/>
      <c r="H20" s="20"/>
    </row>
    <row r="21" spans="2:8">
      <c r="C21" s="20"/>
      <c r="D21" s="20"/>
      <c r="E21" s="20"/>
      <c r="F21" s="20"/>
      <c r="G21" s="20"/>
      <c r="H21" s="20"/>
    </row>
    <row r="22" spans="2:8">
      <c r="C22" s="20"/>
      <c r="D22" s="20"/>
      <c r="E22" s="20"/>
      <c r="F22" s="20"/>
      <c r="G22" s="20"/>
      <c r="H22" s="261"/>
    </row>
    <row r="23" spans="2:8">
      <c r="C23" s="20"/>
      <c r="D23" s="20"/>
      <c r="E23" s="20"/>
      <c r="F23" s="20"/>
      <c r="G23" s="20"/>
      <c r="H23" s="20"/>
    </row>
    <row r="24" spans="2:8">
      <c r="C24" s="20"/>
      <c r="D24" s="20"/>
      <c r="E24" s="20"/>
      <c r="F24" s="20"/>
      <c r="G24" s="20"/>
      <c r="H24" s="20"/>
    </row>
    <row r="25" spans="2:8">
      <c r="C25" s="20"/>
      <c r="D25" s="20"/>
      <c r="E25" s="20"/>
      <c r="F25" s="20"/>
      <c r="G25" s="20"/>
      <c r="H25" s="20"/>
    </row>
    <row r="26" spans="2:8">
      <c r="C26" s="20"/>
      <c r="D26" s="20"/>
      <c r="E26" s="20"/>
      <c r="F26" s="20"/>
      <c r="G26" s="20"/>
      <c r="H26" s="20"/>
    </row>
  </sheetData>
  <mergeCells count="3">
    <mergeCell ref="A4:C4"/>
    <mergeCell ref="A5:C5"/>
    <mergeCell ref="A7:C7"/>
  </mergeCells>
  <printOptions horizontalCentered="1"/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AM181"/>
  <sheetViews>
    <sheetView view="pageBreakPreview" zoomScaleNormal="100" zoomScaleSheetLayoutView="100" workbookViewId="0">
      <selection activeCell="S120" sqref="S120"/>
    </sheetView>
  </sheetViews>
  <sheetFormatPr defaultColWidth="9.140625" defaultRowHeight="12.75"/>
  <cols>
    <col min="1" max="1" width="5.85546875" style="31" customWidth="1"/>
    <col min="2" max="2" width="1.28515625" style="39" customWidth="1"/>
    <col min="3" max="3" width="6.42578125" style="31" customWidth="1"/>
    <col min="4" max="4" width="8.85546875" style="31" customWidth="1"/>
    <col min="5" max="5" width="11.140625" style="39" hidden="1" customWidth="1"/>
    <col min="6" max="6" width="5.42578125" style="31" customWidth="1"/>
    <col min="7" max="7" width="1.42578125" style="31" customWidth="1"/>
    <col min="8" max="8" width="11.140625" style="39" customWidth="1"/>
    <col min="9" max="10" width="10.85546875" style="39" customWidth="1"/>
    <col min="11" max="11" width="1.28515625" style="39" customWidth="1"/>
    <col min="12" max="12" width="11.28515625" style="39" bestFit="1" customWidth="1"/>
    <col min="13" max="14" width="10.85546875" style="39" customWidth="1"/>
    <col min="15" max="15" width="12.28515625" style="39" customWidth="1"/>
    <col min="16" max="16" width="1.140625" style="39" customWidth="1"/>
    <col min="17" max="17" width="8.7109375" style="39" customWidth="1"/>
    <col min="18" max="18" width="0.85546875" style="39" customWidth="1"/>
    <col min="19" max="22" width="10.85546875" style="39" customWidth="1"/>
    <col min="23" max="23" width="1" style="39" customWidth="1"/>
    <col min="24" max="24" width="11.5703125" style="39" customWidth="1"/>
    <col min="25" max="25" width="9.140625" style="39"/>
    <col min="26" max="26" width="12.85546875" style="63" bestFit="1" customWidth="1"/>
    <col min="27" max="27" width="9.7109375" style="39" bestFit="1" customWidth="1"/>
    <col min="28" max="28" width="10.28515625" style="39" bestFit="1" customWidth="1"/>
    <col min="29" max="29" width="9.85546875" style="39" bestFit="1" customWidth="1"/>
    <col min="30" max="16384" width="9.140625" style="39"/>
  </cols>
  <sheetData>
    <row r="1" spans="1:39">
      <c r="X1" s="27" t="s">
        <v>522</v>
      </c>
    </row>
    <row r="2" spans="1:39" ht="9.75" customHeight="1">
      <c r="L2" s="62"/>
    </row>
    <row r="3" spans="1:39">
      <c r="A3" s="407" t="s">
        <v>167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</row>
    <row r="4" spans="1:39">
      <c r="A4" s="407" t="s">
        <v>168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</row>
    <row r="6" spans="1:39" s="64" customFormat="1" ht="15" customHeight="1">
      <c r="A6" s="408" t="s">
        <v>58</v>
      </c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Z6" s="63"/>
    </row>
    <row r="7" spans="1:39" ht="7.5" customHeight="1">
      <c r="W7" s="64"/>
    </row>
    <row r="8" spans="1:39" ht="20.25" customHeight="1">
      <c r="C8" s="419" t="s">
        <v>169</v>
      </c>
      <c r="D8" s="419"/>
      <c r="E8" s="419"/>
      <c r="F8" s="419"/>
      <c r="H8" s="419" t="s">
        <v>170</v>
      </c>
      <c r="I8" s="419"/>
      <c r="J8" s="419"/>
      <c r="L8" s="419" t="s">
        <v>171</v>
      </c>
      <c r="M8" s="419"/>
      <c r="N8" s="419"/>
      <c r="O8" s="419"/>
      <c r="P8" s="31"/>
      <c r="Q8" s="420" t="s">
        <v>172</v>
      </c>
      <c r="S8" s="419" t="s">
        <v>173</v>
      </c>
      <c r="T8" s="419"/>
      <c r="U8" s="419"/>
      <c r="V8" s="419"/>
      <c r="W8" s="64"/>
      <c r="X8" s="420" t="s">
        <v>174</v>
      </c>
    </row>
    <row r="9" spans="1:39" ht="30.75" customHeight="1">
      <c r="A9" s="31" t="s">
        <v>7</v>
      </c>
      <c r="C9" s="31" t="s">
        <v>175</v>
      </c>
      <c r="D9" s="31" t="s">
        <v>176</v>
      </c>
      <c r="E9" s="65" t="s">
        <v>177</v>
      </c>
      <c r="F9" s="31" t="s">
        <v>178</v>
      </c>
      <c r="H9" s="15" t="s">
        <v>179</v>
      </c>
      <c r="I9" s="15" t="s">
        <v>180</v>
      </c>
      <c r="J9" s="15" t="s">
        <v>181</v>
      </c>
      <c r="K9" s="66"/>
      <c r="L9" s="15" t="s">
        <v>179</v>
      </c>
      <c r="M9" s="15" t="s">
        <v>180</v>
      </c>
      <c r="N9" s="15" t="s">
        <v>181</v>
      </c>
      <c r="O9" s="15" t="s">
        <v>57</v>
      </c>
      <c r="P9" s="67"/>
      <c r="Q9" s="420"/>
      <c r="R9" s="67"/>
      <c r="S9" s="15" t="s">
        <v>179</v>
      </c>
      <c r="T9" s="15" t="s">
        <v>180</v>
      </c>
      <c r="U9" s="15" t="s">
        <v>181</v>
      </c>
      <c r="V9" s="15" t="s">
        <v>57</v>
      </c>
      <c r="W9" s="68"/>
      <c r="X9" s="420"/>
    </row>
    <row r="10" spans="1:39">
      <c r="A10" s="17" t="s">
        <v>11</v>
      </c>
      <c r="C10" s="18">
        <v>1</v>
      </c>
      <c r="D10" s="18">
        <f>C10+1</f>
        <v>2</v>
      </c>
      <c r="E10" s="69" t="s">
        <v>182</v>
      </c>
      <c r="F10" s="18">
        <f>D10+1</f>
        <v>3</v>
      </c>
      <c r="H10" s="18">
        <f>F10+1</f>
        <v>4</v>
      </c>
      <c r="I10" s="18">
        <f>H10+1</f>
        <v>5</v>
      </c>
      <c r="J10" s="18">
        <f>I10+1</f>
        <v>6</v>
      </c>
      <c r="K10" s="66"/>
      <c r="L10" s="18">
        <f>J10+1</f>
        <v>7</v>
      </c>
      <c r="M10" s="18">
        <f>L10+1</f>
        <v>8</v>
      </c>
      <c r="N10" s="18">
        <f>M10+1</f>
        <v>9</v>
      </c>
      <c r="O10" s="18">
        <f>N10+1</f>
        <v>10</v>
      </c>
      <c r="P10" s="67"/>
      <c r="Q10" s="18">
        <f>O10+1</f>
        <v>11</v>
      </c>
      <c r="R10" s="67"/>
      <c r="S10" s="18">
        <f>Q10+1</f>
        <v>12</v>
      </c>
      <c r="T10" s="18">
        <f>S10+1</f>
        <v>13</v>
      </c>
      <c r="U10" s="18">
        <f>T10+1</f>
        <v>14</v>
      </c>
      <c r="V10" s="18">
        <f>U10+1</f>
        <v>15</v>
      </c>
      <c r="W10" s="68"/>
      <c r="X10" s="18">
        <f>V10+1</f>
        <v>16</v>
      </c>
    </row>
    <row r="11" spans="1:39">
      <c r="K11" s="66"/>
      <c r="P11" s="67"/>
      <c r="R11" s="67"/>
      <c r="W11" s="68"/>
    </row>
    <row r="12" spans="1:39" ht="20.100000000000001" hidden="1" customHeight="1" thickTop="1" thickBot="1">
      <c r="I12" s="70"/>
      <c r="J12" s="70"/>
      <c r="K12" s="71"/>
      <c r="L12" s="72" t="s">
        <v>171</v>
      </c>
      <c r="M12" s="73"/>
      <c r="N12" s="73"/>
      <c r="O12" s="74"/>
      <c r="P12" s="67"/>
      <c r="Q12" s="15" t="s">
        <v>183</v>
      </c>
      <c r="R12" s="67"/>
      <c r="S12" s="421" t="s">
        <v>184</v>
      </c>
      <c r="T12" s="422"/>
      <c r="U12" s="422"/>
      <c r="V12" s="423"/>
      <c r="W12" s="68"/>
      <c r="Y12" s="15"/>
      <c r="Z12" s="75"/>
      <c r="AA12" s="15"/>
      <c r="AB12" s="15"/>
      <c r="AK12" s="76"/>
      <c r="AM12" s="76"/>
    </row>
    <row r="13" spans="1:39" ht="20.100000000000001" hidden="1" customHeight="1" thickTop="1" thickBot="1">
      <c r="D13" s="77"/>
      <c r="E13" s="78"/>
      <c r="F13" s="77"/>
      <c r="G13" s="77"/>
      <c r="H13" s="424" t="s">
        <v>170</v>
      </c>
      <c r="I13" s="425"/>
      <c r="J13" s="426"/>
      <c r="K13" s="66"/>
      <c r="L13" s="79"/>
      <c r="O13" s="80"/>
      <c r="P13" s="67"/>
      <c r="Q13" s="15" t="s">
        <v>137</v>
      </c>
      <c r="R13" s="67"/>
      <c r="S13" s="427" t="s">
        <v>185</v>
      </c>
      <c r="T13" s="428"/>
      <c r="U13" s="81"/>
      <c r="V13" s="82"/>
      <c r="W13" s="68"/>
      <c r="Y13" s="15"/>
      <c r="Z13" s="75"/>
      <c r="AA13" s="15"/>
      <c r="AB13" s="15"/>
      <c r="AC13" s="31"/>
      <c r="AD13" s="31"/>
      <c r="AE13" s="31"/>
      <c r="AF13" s="31"/>
      <c r="AG13" s="31"/>
      <c r="AK13" s="76"/>
      <c r="AM13" s="76"/>
    </row>
    <row r="14" spans="1:39" s="31" customFormat="1" ht="26.25" hidden="1" thickBot="1">
      <c r="C14" s="31" t="s">
        <v>175</v>
      </c>
      <c r="D14" s="31" t="s">
        <v>186</v>
      </c>
      <c r="E14" s="39" t="s">
        <v>186</v>
      </c>
      <c r="H14" s="83" t="s">
        <v>187</v>
      </c>
      <c r="I14" s="84" t="s">
        <v>188</v>
      </c>
      <c r="J14" s="85" t="s">
        <v>189</v>
      </c>
      <c r="K14" s="86"/>
      <c r="L14" s="83" t="s">
        <v>179</v>
      </c>
      <c r="M14" s="87" t="s">
        <v>180</v>
      </c>
      <c r="N14" s="85" t="s">
        <v>189</v>
      </c>
      <c r="O14" s="88" t="s">
        <v>57</v>
      </c>
      <c r="P14" s="67"/>
      <c r="Q14" s="89" t="s">
        <v>190</v>
      </c>
      <c r="R14" s="67"/>
      <c r="S14" s="90" t="s">
        <v>179</v>
      </c>
      <c r="T14" s="90" t="s">
        <v>180</v>
      </c>
      <c r="U14" s="85" t="s">
        <v>189</v>
      </c>
      <c r="V14" s="91" t="s">
        <v>57</v>
      </c>
      <c r="W14" s="68"/>
      <c r="Y14" s="89"/>
      <c r="Z14" s="92"/>
      <c r="AB14" s="89"/>
      <c r="AC14" s="93"/>
      <c r="AD14" s="93"/>
      <c r="AE14" s="77"/>
      <c r="AF14" s="77"/>
      <c r="AG14" s="77"/>
      <c r="AJ14" s="94"/>
      <c r="AL14" s="95"/>
    </row>
    <row r="15" spans="1:39">
      <c r="A15" s="31">
        <v>1</v>
      </c>
      <c r="C15" s="96" t="s">
        <v>191</v>
      </c>
      <c r="F15" s="97"/>
      <c r="G15" s="97"/>
      <c r="H15" s="98"/>
      <c r="I15" s="98"/>
      <c r="J15" s="98"/>
      <c r="K15" s="99"/>
      <c r="L15" s="100"/>
      <c r="M15" s="100"/>
      <c r="N15" s="100"/>
      <c r="O15" s="100"/>
      <c r="P15" s="67"/>
      <c r="R15" s="67"/>
      <c r="W15" s="68"/>
    </row>
    <row r="16" spans="1:39">
      <c r="A16" s="31">
        <f>A15+1</f>
        <v>2</v>
      </c>
      <c r="C16" s="31">
        <v>1</v>
      </c>
      <c r="D16" s="31" t="s">
        <v>192</v>
      </c>
      <c r="E16" s="101">
        <v>14</v>
      </c>
      <c r="H16" s="98">
        <v>2080</v>
      </c>
      <c r="I16" s="98"/>
      <c r="J16" s="98">
        <v>32</v>
      </c>
      <c r="K16" s="99"/>
      <c r="L16" s="100">
        <v>76364.73</v>
      </c>
      <c r="M16" s="100"/>
      <c r="N16" s="100">
        <v>1380.81</v>
      </c>
      <c r="O16" s="100">
        <f>SUM(L16:N16)</f>
        <v>77745.539999999994</v>
      </c>
      <c r="P16" s="67"/>
      <c r="Q16" s="102">
        <v>39.692999999999998</v>
      </c>
      <c r="R16" s="67"/>
      <c r="S16" s="103">
        <f t="shared" ref="S16:S27" si="0">2080*Q16</f>
        <v>82561.440000000002</v>
      </c>
      <c r="T16" s="103"/>
      <c r="U16" s="103">
        <f t="shared" ref="U16:U26" si="1">IF(N16=0," ",+J16*Q16)</f>
        <v>1270.1759999999999</v>
      </c>
      <c r="V16" s="103">
        <f t="shared" ref="V16:V28" si="2">SUM(S16:U16)</f>
        <v>83831.616000000009</v>
      </c>
      <c r="W16" s="68"/>
      <c r="X16" s="63">
        <f t="shared" ref="X16:X29" si="3">V16-O16</f>
        <v>6086.0760000000155</v>
      </c>
      <c r="Y16" s="146"/>
      <c r="Z16" s="146"/>
      <c r="AA16" s="104"/>
    </row>
    <row r="17" spans="1:27">
      <c r="A17" s="31">
        <f t="shared" ref="A17:A80" si="4">A16+1</f>
        <v>3</v>
      </c>
      <c r="C17" s="31">
        <v>1</v>
      </c>
      <c r="D17" s="31" t="s">
        <v>193</v>
      </c>
      <c r="E17" s="101">
        <v>16</v>
      </c>
      <c r="H17" s="98">
        <v>2080</v>
      </c>
      <c r="I17" s="98"/>
      <c r="J17" s="98">
        <v>152</v>
      </c>
      <c r="K17" s="99"/>
      <c r="L17" s="100">
        <v>151009.85</v>
      </c>
      <c r="M17" s="100"/>
      <c r="N17" s="100">
        <v>26861.66</v>
      </c>
      <c r="O17" s="100">
        <f t="shared" ref="O17:O28" si="5">SUM(L17:N17)</f>
        <v>177871.51</v>
      </c>
      <c r="P17" s="67"/>
      <c r="Q17" s="102">
        <f>129.81</f>
        <v>129.81</v>
      </c>
      <c r="R17" s="67"/>
      <c r="S17" s="103">
        <f t="shared" si="0"/>
        <v>270004.8</v>
      </c>
      <c r="T17" s="103"/>
      <c r="U17" s="103">
        <f t="shared" si="1"/>
        <v>19731.12</v>
      </c>
      <c r="V17" s="103">
        <f t="shared" si="2"/>
        <v>289735.92</v>
      </c>
      <c r="W17" s="68"/>
      <c r="X17" s="63">
        <f t="shared" si="3"/>
        <v>111864.40999999997</v>
      </c>
      <c r="Z17" s="146"/>
      <c r="AA17" s="104"/>
    </row>
    <row r="18" spans="1:27">
      <c r="A18" s="31">
        <f t="shared" si="4"/>
        <v>4</v>
      </c>
      <c r="C18" s="31">
        <v>1</v>
      </c>
      <c r="D18" s="31" t="s">
        <v>194</v>
      </c>
      <c r="E18" s="101">
        <v>130</v>
      </c>
      <c r="F18" s="31" t="s">
        <v>195</v>
      </c>
      <c r="H18" s="98">
        <v>2032</v>
      </c>
      <c r="I18" s="98"/>
      <c r="J18" s="98">
        <v>52</v>
      </c>
      <c r="K18" s="99"/>
      <c r="L18" s="100">
        <v>92037.13</v>
      </c>
      <c r="M18" s="100"/>
      <c r="N18" s="100">
        <v>5818.48</v>
      </c>
      <c r="O18" s="100">
        <f t="shared" si="5"/>
        <v>97855.61</v>
      </c>
      <c r="P18" s="67"/>
      <c r="Q18" s="102">
        <v>45.936</v>
      </c>
      <c r="R18" s="67"/>
      <c r="S18" s="103">
        <f t="shared" si="0"/>
        <v>95546.880000000005</v>
      </c>
      <c r="T18" s="103"/>
      <c r="U18" s="103">
        <f>IF(N18=0," ",+J18*Q18)+13*325</f>
        <v>6613.6720000000005</v>
      </c>
      <c r="V18" s="103">
        <f t="shared" si="2"/>
        <v>102160.55200000001</v>
      </c>
      <c r="W18" s="68"/>
      <c r="X18" s="63">
        <f t="shared" si="3"/>
        <v>4304.94200000001</v>
      </c>
      <c r="Z18" s="146"/>
      <c r="AA18" s="104"/>
    </row>
    <row r="19" spans="1:27">
      <c r="A19" s="31">
        <f t="shared" si="4"/>
        <v>5</v>
      </c>
      <c r="C19" s="31">
        <v>1</v>
      </c>
      <c r="D19" s="31" t="s">
        <v>196</v>
      </c>
      <c r="E19" s="101">
        <v>136</v>
      </c>
      <c r="F19" s="31" t="s">
        <v>195</v>
      </c>
      <c r="H19" s="98">
        <v>2080</v>
      </c>
      <c r="I19" s="98"/>
      <c r="J19" s="98">
        <v>88</v>
      </c>
      <c r="K19" s="99"/>
      <c r="L19" s="100">
        <v>93526.54</v>
      </c>
      <c r="M19" s="100"/>
      <c r="N19" s="100">
        <v>9970.92</v>
      </c>
      <c r="O19" s="100">
        <f t="shared" si="5"/>
        <v>103497.45999999999</v>
      </c>
      <c r="P19" s="67"/>
      <c r="Q19" s="102">
        <v>45.587000000000003</v>
      </c>
      <c r="R19" s="67"/>
      <c r="S19" s="103">
        <f t="shared" si="0"/>
        <v>94820.96</v>
      </c>
      <c r="T19" s="103"/>
      <c r="U19" s="103">
        <f>IF(N19=0," ",+J19*Q19)+13*325</f>
        <v>8236.6560000000009</v>
      </c>
      <c r="V19" s="103">
        <f t="shared" si="2"/>
        <v>103057.61600000001</v>
      </c>
      <c r="W19" s="68"/>
      <c r="X19" s="63">
        <f t="shared" si="3"/>
        <v>-439.84399999998277</v>
      </c>
      <c r="Z19" s="146"/>
      <c r="AA19" s="104"/>
    </row>
    <row r="20" spans="1:27">
      <c r="A20" s="31">
        <f t="shared" si="4"/>
        <v>6</v>
      </c>
      <c r="C20" s="31">
        <v>1</v>
      </c>
      <c r="D20" s="31" t="s">
        <v>197</v>
      </c>
      <c r="E20" s="101">
        <v>149</v>
      </c>
      <c r="F20" s="31" t="s">
        <v>198</v>
      </c>
      <c r="H20" s="98">
        <v>2080</v>
      </c>
      <c r="I20" s="98"/>
      <c r="J20" s="98">
        <v>168</v>
      </c>
      <c r="K20" s="99"/>
      <c r="L20" s="100">
        <v>72012.710000000006</v>
      </c>
      <c r="M20" s="100"/>
      <c r="N20" s="100">
        <v>12176.3</v>
      </c>
      <c r="O20" s="100">
        <f t="shared" si="5"/>
        <v>84189.010000000009</v>
      </c>
      <c r="P20" s="67"/>
      <c r="Q20" s="102">
        <v>35.36</v>
      </c>
      <c r="R20" s="67"/>
      <c r="S20" s="103">
        <f t="shared" si="0"/>
        <v>73548.800000000003</v>
      </c>
      <c r="T20" s="103"/>
      <c r="U20" s="103">
        <f>IF(N20=0," ",+J20*Q20)+125*52</f>
        <v>12440.48</v>
      </c>
      <c r="V20" s="103">
        <f t="shared" si="2"/>
        <v>85989.28</v>
      </c>
      <c r="W20" s="68"/>
      <c r="X20" s="63">
        <f t="shared" si="3"/>
        <v>1800.2699999999895</v>
      </c>
      <c r="Z20" s="146"/>
      <c r="AA20" s="104"/>
    </row>
    <row r="21" spans="1:27">
      <c r="A21" s="31">
        <f t="shared" si="4"/>
        <v>7</v>
      </c>
      <c r="C21" s="31">
        <v>1</v>
      </c>
      <c r="D21" s="31" t="s">
        <v>199</v>
      </c>
      <c r="E21" s="101">
        <v>157</v>
      </c>
      <c r="H21" s="98">
        <v>632</v>
      </c>
      <c r="I21" s="98"/>
      <c r="J21" s="98">
        <v>0</v>
      </c>
      <c r="K21" s="99"/>
      <c r="L21" s="100">
        <v>27040.9</v>
      </c>
      <c r="M21" s="100"/>
      <c r="N21" s="100">
        <v>110.52</v>
      </c>
      <c r="O21" s="100">
        <f t="shared" si="5"/>
        <v>27151.420000000002</v>
      </c>
      <c r="P21" s="67"/>
      <c r="Q21" s="102">
        <v>42.786000000000001</v>
      </c>
      <c r="R21" s="67"/>
      <c r="S21" s="103">
        <f t="shared" si="0"/>
        <v>88994.880000000005</v>
      </c>
      <c r="T21" s="103"/>
      <c r="U21" s="103">
        <f t="shared" si="1"/>
        <v>0</v>
      </c>
      <c r="V21" s="103">
        <f t="shared" si="2"/>
        <v>88994.880000000005</v>
      </c>
      <c r="W21" s="68"/>
      <c r="X21" s="63">
        <f t="shared" si="3"/>
        <v>61843.460000000006</v>
      </c>
      <c r="Z21" s="146"/>
      <c r="AA21" s="104"/>
    </row>
    <row r="22" spans="1:27">
      <c r="A22" s="31">
        <f t="shared" si="4"/>
        <v>8</v>
      </c>
      <c r="C22" s="31">
        <v>1</v>
      </c>
      <c r="D22" s="31" t="s">
        <v>200</v>
      </c>
      <c r="E22" s="101">
        <v>159</v>
      </c>
      <c r="H22" s="98">
        <v>2080</v>
      </c>
      <c r="I22" s="98"/>
      <c r="J22" s="98">
        <v>136</v>
      </c>
      <c r="K22" s="99"/>
      <c r="L22" s="100">
        <v>63655.17</v>
      </c>
      <c r="M22" s="100"/>
      <c r="N22" s="100">
        <v>4330.33</v>
      </c>
      <c r="O22" s="100">
        <f t="shared" si="5"/>
        <v>67985.5</v>
      </c>
      <c r="P22" s="67"/>
      <c r="Q22" s="102">
        <v>31.027000000000001</v>
      </c>
      <c r="R22" s="67"/>
      <c r="S22" s="103">
        <f t="shared" si="0"/>
        <v>64536.160000000003</v>
      </c>
      <c r="T22" s="103"/>
      <c r="U22" s="103">
        <f t="shared" si="1"/>
        <v>4219.6720000000005</v>
      </c>
      <c r="V22" s="103">
        <f t="shared" si="2"/>
        <v>68755.832000000009</v>
      </c>
      <c r="W22" s="68"/>
      <c r="X22" s="63">
        <f t="shared" si="3"/>
        <v>770.33200000000943</v>
      </c>
      <c r="Z22" s="146"/>
      <c r="AA22" s="104"/>
    </row>
    <row r="23" spans="1:27">
      <c r="A23" s="31">
        <f t="shared" si="4"/>
        <v>9</v>
      </c>
      <c r="C23" s="31">
        <v>1</v>
      </c>
      <c r="D23" s="31" t="s">
        <v>201</v>
      </c>
      <c r="E23" s="101"/>
      <c r="H23" s="98">
        <v>2080</v>
      </c>
      <c r="I23" s="98"/>
      <c r="J23" s="98">
        <v>40</v>
      </c>
      <c r="K23" s="99"/>
      <c r="L23" s="100">
        <v>73958.89</v>
      </c>
      <c r="M23" s="100"/>
      <c r="N23" s="100">
        <v>1829.06</v>
      </c>
      <c r="O23" s="100">
        <f t="shared" si="5"/>
        <v>75787.95</v>
      </c>
      <c r="P23" s="67"/>
      <c r="Q23" s="102">
        <v>36.048999999999999</v>
      </c>
      <c r="R23" s="67"/>
      <c r="S23" s="103">
        <f t="shared" si="0"/>
        <v>74981.919999999998</v>
      </c>
      <c r="T23" s="103"/>
      <c r="U23" s="103">
        <f t="shared" si="1"/>
        <v>1441.96</v>
      </c>
      <c r="V23" s="103">
        <f t="shared" si="2"/>
        <v>76423.88</v>
      </c>
      <c r="W23" s="68"/>
      <c r="X23" s="63">
        <f t="shared" si="3"/>
        <v>635.93000000000757</v>
      </c>
      <c r="Z23" s="146"/>
      <c r="AA23" s="104"/>
    </row>
    <row r="24" spans="1:27">
      <c r="A24" s="31">
        <f>A23+1</f>
        <v>10</v>
      </c>
      <c r="C24" s="31">
        <v>1</v>
      </c>
      <c r="D24" s="31" t="s">
        <v>202</v>
      </c>
      <c r="E24" s="101">
        <v>163</v>
      </c>
      <c r="F24" s="31" t="s">
        <v>195</v>
      </c>
      <c r="H24" s="98">
        <v>2080</v>
      </c>
      <c r="I24" s="98"/>
      <c r="J24" s="98">
        <v>104</v>
      </c>
      <c r="K24" s="99"/>
      <c r="L24" s="100">
        <v>54835.48</v>
      </c>
      <c r="M24" s="100"/>
      <c r="N24" s="100">
        <v>2972.5</v>
      </c>
      <c r="O24" s="100">
        <f t="shared" si="5"/>
        <v>57807.98</v>
      </c>
      <c r="P24" s="67"/>
      <c r="Q24" s="102">
        <v>27.518000000000001</v>
      </c>
      <c r="R24" s="67"/>
      <c r="S24" s="103">
        <f t="shared" si="0"/>
        <v>57237.440000000002</v>
      </c>
      <c r="T24" s="103"/>
      <c r="U24" s="103">
        <f t="shared" si="1"/>
        <v>2861.8720000000003</v>
      </c>
      <c r="V24" s="103">
        <f t="shared" si="2"/>
        <v>60099.312000000005</v>
      </c>
      <c r="W24" s="68"/>
      <c r="X24" s="63">
        <f t="shared" si="3"/>
        <v>2291.3320000000022</v>
      </c>
      <c r="Z24" s="146"/>
      <c r="AA24" s="104"/>
    </row>
    <row r="25" spans="1:27">
      <c r="A25" s="31">
        <f t="shared" si="4"/>
        <v>11</v>
      </c>
      <c r="C25" s="31">
        <v>1</v>
      </c>
      <c r="D25" s="31" t="s">
        <v>203</v>
      </c>
      <c r="E25" s="101">
        <v>171</v>
      </c>
      <c r="F25" s="31" t="s">
        <v>195</v>
      </c>
      <c r="H25" s="98">
        <v>2080</v>
      </c>
      <c r="I25" s="98"/>
      <c r="J25" s="98">
        <v>144</v>
      </c>
      <c r="K25" s="99"/>
      <c r="L25" s="100">
        <v>127238.67</v>
      </c>
      <c r="M25" s="100"/>
      <c r="N25" s="100">
        <v>14675.29</v>
      </c>
      <c r="O25" s="100">
        <f t="shared" si="5"/>
        <v>141913.96</v>
      </c>
      <c r="P25" s="67"/>
      <c r="Q25" s="102">
        <v>62.48</v>
      </c>
      <c r="R25" s="67"/>
      <c r="S25" s="103">
        <f t="shared" si="0"/>
        <v>129958.39999999999</v>
      </c>
      <c r="T25" s="103"/>
      <c r="U25" s="103">
        <f t="shared" si="1"/>
        <v>8997.119999999999</v>
      </c>
      <c r="V25" s="103">
        <f t="shared" si="2"/>
        <v>138955.51999999999</v>
      </c>
      <c r="W25" s="68"/>
      <c r="X25" s="63">
        <f t="shared" si="3"/>
        <v>-2958.4400000000023</v>
      </c>
      <c r="Z25" s="146"/>
      <c r="AA25" s="104"/>
    </row>
    <row r="26" spans="1:27">
      <c r="A26" s="31">
        <f t="shared" si="4"/>
        <v>12</v>
      </c>
      <c r="C26" s="31">
        <v>1</v>
      </c>
      <c r="D26" s="31" t="s">
        <v>204</v>
      </c>
      <c r="E26" s="101"/>
      <c r="H26" s="98">
        <v>2080</v>
      </c>
      <c r="I26" s="98"/>
      <c r="J26" s="98">
        <v>82.01</v>
      </c>
      <c r="K26" s="99"/>
      <c r="L26" s="100">
        <v>72010.929999999993</v>
      </c>
      <c r="M26" s="100"/>
      <c r="N26" s="100">
        <v>2988.02</v>
      </c>
      <c r="O26" s="100">
        <f t="shared" si="5"/>
        <v>74998.95</v>
      </c>
      <c r="P26" s="67"/>
      <c r="Q26" s="102">
        <v>35.1</v>
      </c>
      <c r="R26" s="67"/>
      <c r="S26" s="103">
        <f t="shared" si="0"/>
        <v>73008</v>
      </c>
      <c r="T26" s="103"/>
      <c r="U26" s="103">
        <f t="shared" si="1"/>
        <v>2878.5510000000004</v>
      </c>
      <c r="V26" s="103">
        <f t="shared" si="2"/>
        <v>75886.551000000007</v>
      </c>
      <c r="W26" s="68"/>
      <c r="X26" s="63">
        <f t="shared" si="3"/>
        <v>887.60100000000966</v>
      </c>
      <c r="Z26" s="146"/>
      <c r="AA26" s="104"/>
    </row>
    <row r="27" spans="1:27">
      <c r="A27" s="31">
        <f t="shared" si="4"/>
        <v>13</v>
      </c>
      <c r="C27" s="31">
        <v>1</v>
      </c>
      <c r="D27" s="31" t="s">
        <v>205</v>
      </c>
      <c r="E27" s="101"/>
      <c r="F27" s="31" t="s">
        <v>206</v>
      </c>
      <c r="H27" s="98"/>
      <c r="I27" s="98"/>
      <c r="J27" s="98"/>
      <c r="K27" s="99"/>
      <c r="L27" s="100"/>
      <c r="M27" s="100"/>
      <c r="N27" s="100"/>
      <c r="O27" s="100">
        <f t="shared" si="5"/>
        <v>0</v>
      </c>
      <c r="P27" s="67"/>
      <c r="Q27" s="102">
        <f>145000/2080</f>
        <v>69.711538461538467</v>
      </c>
      <c r="R27" s="67"/>
      <c r="S27" s="103">
        <f t="shared" si="0"/>
        <v>145000</v>
      </c>
      <c r="T27" s="103"/>
      <c r="U27" s="103">
        <f>IF(N27=0,0,+J27*Q27)</f>
        <v>0</v>
      </c>
      <c r="V27" s="103">
        <f t="shared" si="2"/>
        <v>145000</v>
      </c>
      <c r="W27" s="68"/>
      <c r="X27" s="63">
        <f t="shared" si="3"/>
        <v>145000</v>
      </c>
      <c r="Z27" s="146"/>
      <c r="AA27" s="104"/>
    </row>
    <row r="28" spans="1:27">
      <c r="A28" s="31">
        <f t="shared" si="4"/>
        <v>14</v>
      </c>
      <c r="C28" s="31">
        <v>1</v>
      </c>
      <c r="D28" s="31" t="s">
        <v>388</v>
      </c>
      <c r="E28" s="101"/>
      <c r="F28" s="31" t="s">
        <v>207</v>
      </c>
      <c r="H28" s="98"/>
      <c r="I28" s="98"/>
      <c r="J28" s="98"/>
      <c r="K28" s="99"/>
      <c r="L28" s="100"/>
      <c r="M28" s="100"/>
      <c r="N28" s="100">
        <v>75604.509999999995</v>
      </c>
      <c r="O28" s="100">
        <f t="shared" si="5"/>
        <v>75604.509999999995</v>
      </c>
      <c r="P28" s="67"/>
      <c r="Q28" s="102"/>
      <c r="R28" s="67"/>
      <c r="S28" s="103">
        <f>2080*Q28</f>
        <v>0</v>
      </c>
      <c r="T28" s="103"/>
      <c r="U28" s="103">
        <f>IF(N28=0," ",+J28*Q28)</f>
        <v>0</v>
      </c>
      <c r="V28" s="103">
        <f t="shared" si="2"/>
        <v>0</v>
      </c>
      <c r="W28" s="68"/>
      <c r="X28" s="63">
        <f t="shared" si="3"/>
        <v>-75604.509999999995</v>
      </c>
      <c r="Z28" s="146"/>
      <c r="AA28" s="104"/>
    </row>
    <row r="29" spans="1:27">
      <c r="A29" s="31">
        <f t="shared" si="4"/>
        <v>15</v>
      </c>
      <c r="C29" s="33">
        <f>SUM(C16:C28)</f>
        <v>13</v>
      </c>
      <c r="D29" s="105" t="s">
        <v>100</v>
      </c>
      <c r="E29" s="106" t="s">
        <v>100</v>
      </c>
      <c r="F29" s="105"/>
      <c r="H29" s="107">
        <f>SUM(H16:H28)</f>
        <v>21384</v>
      </c>
      <c r="I29" s="107">
        <f>SUM(I16:I28)</f>
        <v>0</v>
      </c>
      <c r="J29" s="107">
        <f>SUM(J16:J28)</f>
        <v>998.01</v>
      </c>
      <c r="K29" s="99"/>
      <c r="L29" s="108">
        <f>SUM(L16:L28)</f>
        <v>903691</v>
      </c>
      <c r="M29" s="108">
        <f>SUM(M16:M28)</f>
        <v>0</v>
      </c>
      <c r="N29" s="108">
        <f>SUM(N16:N28)</f>
        <v>158718.39999999999</v>
      </c>
      <c r="O29" s="108">
        <f>SUM(O16:O28)</f>
        <v>1062409.3999999999</v>
      </c>
      <c r="P29" s="67"/>
      <c r="Q29" s="106"/>
      <c r="R29" s="67"/>
      <c r="S29" s="109">
        <f>SUM(S16:S28)</f>
        <v>1250199.6800000002</v>
      </c>
      <c r="T29" s="109">
        <f>SUM(T16:T28)</f>
        <v>0</v>
      </c>
      <c r="U29" s="109">
        <f>SUM(U16:U28)</f>
        <v>68691.27900000001</v>
      </c>
      <c r="V29" s="109">
        <f>SUM(V16:V28)</f>
        <v>1318890.959</v>
      </c>
      <c r="W29" s="68"/>
      <c r="X29" s="110">
        <f t="shared" si="3"/>
        <v>256481.55900000012</v>
      </c>
      <c r="Y29" s="122"/>
      <c r="Z29" s="146"/>
      <c r="AA29" s="104"/>
    </row>
    <row r="30" spans="1:27">
      <c r="A30" s="31">
        <f t="shared" si="4"/>
        <v>16</v>
      </c>
      <c r="H30" s="98"/>
      <c r="I30" s="98"/>
      <c r="J30" s="98"/>
      <c r="K30" s="99"/>
      <c r="L30" s="100"/>
      <c r="M30" s="100"/>
      <c r="N30" s="100"/>
      <c r="O30" s="100"/>
      <c r="P30" s="67"/>
      <c r="Q30" s="102"/>
      <c r="R30" s="67"/>
      <c r="S30" s="102"/>
      <c r="T30" s="102"/>
      <c r="U30" s="102"/>
      <c r="V30" s="102"/>
      <c r="W30" s="68"/>
      <c r="AA30" s="104"/>
    </row>
    <row r="31" spans="1:27">
      <c r="A31" s="31">
        <f t="shared" si="4"/>
        <v>17</v>
      </c>
      <c r="C31" s="96" t="s">
        <v>208</v>
      </c>
      <c r="F31" s="97"/>
      <c r="G31" s="97"/>
      <c r="H31" s="111"/>
      <c r="I31" s="111"/>
      <c r="J31" s="111"/>
      <c r="K31" s="112"/>
      <c r="L31" s="113"/>
      <c r="M31" s="113"/>
      <c r="N31" s="113"/>
      <c r="O31" s="113"/>
      <c r="P31" s="67"/>
      <c r="Q31" s="114"/>
      <c r="R31" s="67"/>
      <c r="S31" s="114"/>
      <c r="T31" s="114"/>
      <c r="U31" s="114"/>
      <c r="V31" s="114"/>
      <c r="W31" s="68"/>
      <c r="AA31" s="104"/>
    </row>
    <row r="32" spans="1:27">
      <c r="A32" s="31">
        <f t="shared" si="4"/>
        <v>18</v>
      </c>
      <c r="C32" s="31">
        <v>1</v>
      </c>
      <c r="D32" s="31" t="s">
        <v>209</v>
      </c>
      <c r="E32" s="101">
        <v>5</v>
      </c>
      <c r="H32" s="115">
        <v>2154.5</v>
      </c>
      <c r="I32" s="115">
        <v>202.5</v>
      </c>
      <c r="J32" s="115">
        <v>0</v>
      </c>
      <c r="K32" s="99"/>
      <c r="L32" s="100">
        <v>48011.19</v>
      </c>
      <c r="M32" s="100">
        <v>6772.34</v>
      </c>
      <c r="N32" s="100">
        <v>110.67</v>
      </c>
      <c r="O32" s="100">
        <f t="shared" ref="O32:O53" si="6">SUM(L32:N32)</f>
        <v>54894.2</v>
      </c>
      <c r="P32" s="67"/>
      <c r="Q32" s="102">
        <v>22.59</v>
      </c>
      <c r="R32" s="67"/>
      <c r="S32" s="103">
        <f t="shared" ref="S32:S95" si="7">2080*Q32</f>
        <v>46987.199999999997</v>
      </c>
      <c r="T32" s="103">
        <f t="shared" ref="T32:T53" si="8">(+I32*Q32)*1.5</f>
        <v>6861.7125000000005</v>
      </c>
      <c r="U32" s="103">
        <f t="shared" ref="U32:U53" si="9">IF(N32=0," ",+J32*Q32)</f>
        <v>0</v>
      </c>
      <c r="V32" s="103">
        <f t="shared" ref="V32:V53" si="10">SUM(S32:U32)</f>
        <v>53848.912499999999</v>
      </c>
      <c r="W32" s="68"/>
      <c r="X32" s="63">
        <f t="shared" ref="X32:X53" si="11">V32-O32</f>
        <v>-1045.2874999999985</v>
      </c>
      <c r="AA32" s="104"/>
    </row>
    <row r="33" spans="1:27">
      <c r="A33" s="31">
        <f t="shared" si="4"/>
        <v>19</v>
      </c>
      <c r="C33" s="31">
        <v>1</v>
      </c>
      <c r="D33" s="31" t="s">
        <v>210</v>
      </c>
      <c r="E33" s="101">
        <v>8</v>
      </c>
      <c r="H33" s="115">
        <v>2084.5</v>
      </c>
      <c r="I33" s="115">
        <v>228.5</v>
      </c>
      <c r="J33" s="115">
        <v>96.05</v>
      </c>
      <c r="K33" s="99"/>
      <c r="L33" s="100">
        <v>65096.01</v>
      </c>
      <c r="M33" s="100">
        <v>10647.96</v>
      </c>
      <c r="N33" s="100">
        <v>3151.53</v>
      </c>
      <c r="O33" s="100">
        <f t="shared" si="6"/>
        <v>78895.5</v>
      </c>
      <c r="P33" s="67"/>
      <c r="Q33" s="102">
        <v>31.66</v>
      </c>
      <c r="R33" s="67"/>
      <c r="S33" s="103">
        <f t="shared" si="7"/>
        <v>65852.800000000003</v>
      </c>
      <c r="T33" s="103">
        <f t="shared" si="8"/>
        <v>10851.465</v>
      </c>
      <c r="U33" s="103">
        <f t="shared" si="9"/>
        <v>3040.9429999999998</v>
      </c>
      <c r="V33" s="103">
        <f t="shared" si="10"/>
        <v>79745.207999999999</v>
      </c>
      <c r="W33" s="68"/>
      <c r="X33" s="63">
        <f t="shared" si="11"/>
        <v>849.70799999999872</v>
      </c>
      <c r="AA33" s="104"/>
    </row>
    <row r="34" spans="1:27">
      <c r="A34" s="31">
        <f t="shared" si="4"/>
        <v>20</v>
      </c>
      <c r="C34" s="31">
        <v>1</v>
      </c>
      <c r="D34" s="31" t="s">
        <v>211</v>
      </c>
      <c r="E34" s="101">
        <v>10</v>
      </c>
      <c r="H34" s="115">
        <v>2104.5</v>
      </c>
      <c r="I34" s="115">
        <v>224.5</v>
      </c>
      <c r="J34" s="115">
        <v>25.02</v>
      </c>
      <c r="K34" s="99"/>
      <c r="L34" s="100">
        <v>54665.599999999999</v>
      </c>
      <c r="M34" s="100">
        <v>8722.25</v>
      </c>
      <c r="N34" s="100">
        <v>769.46</v>
      </c>
      <c r="O34" s="100">
        <f t="shared" si="6"/>
        <v>64157.31</v>
      </c>
      <c r="P34" s="67"/>
      <c r="Q34" s="102">
        <v>26.33</v>
      </c>
      <c r="R34" s="67"/>
      <c r="S34" s="103">
        <f t="shared" si="7"/>
        <v>54766.399999999994</v>
      </c>
      <c r="T34" s="103">
        <f t="shared" si="8"/>
        <v>8866.6275000000005</v>
      </c>
      <c r="U34" s="103">
        <f t="shared" si="9"/>
        <v>658.77659999999992</v>
      </c>
      <c r="V34" s="103">
        <f t="shared" si="10"/>
        <v>64291.804099999994</v>
      </c>
      <c r="W34" s="68"/>
      <c r="X34" s="63">
        <f t="shared" si="11"/>
        <v>134.49409999999625</v>
      </c>
      <c r="AA34" s="104"/>
    </row>
    <row r="35" spans="1:27">
      <c r="A35" s="31">
        <f t="shared" si="4"/>
        <v>21</v>
      </c>
      <c r="C35" s="31">
        <v>1</v>
      </c>
      <c r="D35" s="31" t="s">
        <v>212</v>
      </c>
      <c r="E35" s="101">
        <v>11</v>
      </c>
      <c r="H35" s="115">
        <v>2074</v>
      </c>
      <c r="I35" s="115">
        <v>30</v>
      </c>
      <c r="J35" s="115">
        <v>52.13</v>
      </c>
      <c r="K35" s="99"/>
      <c r="L35" s="100">
        <v>32431.759999999998</v>
      </c>
      <c r="M35" s="100">
        <v>704.04</v>
      </c>
      <c r="N35" s="100">
        <v>804.39</v>
      </c>
      <c r="O35" s="100">
        <f t="shared" si="6"/>
        <v>33940.189999999995</v>
      </c>
      <c r="P35" s="67"/>
      <c r="Q35" s="102">
        <v>15.72</v>
      </c>
      <c r="R35" s="67"/>
      <c r="S35" s="103">
        <f t="shared" si="7"/>
        <v>32697.600000000002</v>
      </c>
      <c r="T35" s="103">
        <f t="shared" si="8"/>
        <v>707.40000000000009</v>
      </c>
      <c r="U35" s="103">
        <f t="shared" si="9"/>
        <v>819.48360000000002</v>
      </c>
      <c r="V35" s="103">
        <f t="shared" si="10"/>
        <v>34224.4836</v>
      </c>
      <c r="W35" s="68"/>
      <c r="X35" s="63">
        <f t="shared" si="11"/>
        <v>284.29360000000452</v>
      </c>
      <c r="AA35" s="104"/>
    </row>
    <row r="36" spans="1:27">
      <c r="A36" s="31">
        <f t="shared" si="4"/>
        <v>22</v>
      </c>
      <c r="C36" s="31">
        <v>1</v>
      </c>
      <c r="D36" s="31" t="s">
        <v>213</v>
      </c>
      <c r="E36" s="101">
        <v>13</v>
      </c>
      <c r="H36" s="115">
        <v>2088.5</v>
      </c>
      <c r="I36" s="115">
        <v>33</v>
      </c>
      <c r="J36" s="115">
        <v>36</v>
      </c>
      <c r="K36" s="99"/>
      <c r="L36" s="100">
        <v>33952.17</v>
      </c>
      <c r="M36" s="100">
        <v>809.66</v>
      </c>
      <c r="N36" s="100">
        <v>703.95</v>
      </c>
      <c r="O36" s="100">
        <f t="shared" si="6"/>
        <v>35465.78</v>
      </c>
      <c r="P36" s="67"/>
      <c r="Q36" s="102">
        <v>16.48</v>
      </c>
      <c r="R36" s="67"/>
      <c r="S36" s="103">
        <f t="shared" si="7"/>
        <v>34278.400000000001</v>
      </c>
      <c r="T36" s="103">
        <f t="shared" si="8"/>
        <v>815.76</v>
      </c>
      <c r="U36" s="103">
        <f t="shared" si="9"/>
        <v>593.28</v>
      </c>
      <c r="V36" s="103">
        <f t="shared" si="10"/>
        <v>35687.440000000002</v>
      </c>
      <c r="W36" s="68"/>
      <c r="X36" s="63">
        <f t="shared" si="11"/>
        <v>221.66000000000349</v>
      </c>
      <c r="AA36" s="104"/>
    </row>
    <row r="37" spans="1:27">
      <c r="A37" s="31">
        <f t="shared" si="4"/>
        <v>23</v>
      </c>
      <c r="C37" s="31">
        <v>1</v>
      </c>
      <c r="D37" s="31" t="s">
        <v>214</v>
      </c>
      <c r="E37" s="101">
        <v>15</v>
      </c>
      <c r="H37" s="115">
        <v>2196</v>
      </c>
      <c r="I37" s="115">
        <v>1008.5</v>
      </c>
      <c r="J37" s="115">
        <v>176</v>
      </c>
      <c r="K37" s="99"/>
      <c r="L37" s="100">
        <v>57764.88</v>
      </c>
      <c r="M37" s="100">
        <v>39831.01</v>
      </c>
      <c r="N37" s="100">
        <v>4979.8100000000004</v>
      </c>
      <c r="O37" s="100">
        <f t="shared" si="6"/>
        <v>102575.7</v>
      </c>
      <c r="P37" s="67"/>
      <c r="Q37" s="102">
        <v>26.74</v>
      </c>
      <c r="R37" s="67"/>
      <c r="S37" s="103">
        <f t="shared" si="7"/>
        <v>55619.199999999997</v>
      </c>
      <c r="T37" s="103">
        <f t="shared" si="8"/>
        <v>40450.934999999998</v>
      </c>
      <c r="U37" s="103">
        <f t="shared" si="9"/>
        <v>4706.24</v>
      </c>
      <c r="V37" s="103">
        <f t="shared" si="10"/>
        <v>100776.375</v>
      </c>
      <c r="W37" s="68"/>
      <c r="X37" s="63">
        <f t="shared" si="11"/>
        <v>-1799.3249999999971</v>
      </c>
      <c r="AA37" s="104"/>
    </row>
    <row r="38" spans="1:27">
      <c r="A38" s="31">
        <f t="shared" si="4"/>
        <v>24</v>
      </c>
      <c r="C38" s="31">
        <v>1</v>
      </c>
      <c r="D38" s="31" t="s">
        <v>215</v>
      </c>
      <c r="E38" s="101">
        <v>22</v>
      </c>
      <c r="H38" s="115">
        <v>2092.5</v>
      </c>
      <c r="I38" s="115">
        <v>67.5</v>
      </c>
      <c r="J38" s="115">
        <v>146</v>
      </c>
      <c r="K38" s="99"/>
      <c r="L38" s="100">
        <v>34802.589999999997</v>
      </c>
      <c r="M38" s="100">
        <v>1672.52</v>
      </c>
      <c r="N38" s="100">
        <v>2572.2199999999998</v>
      </c>
      <c r="O38" s="100">
        <f t="shared" si="6"/>
        <v>39047.329999999994</v>
      </c>
      <c r="P38" s="67"/>
      <c r="Q38" s="102">
        <v>16.86</v>
      </c>
      <c r="R38" s="67"/>
      <c r="S38" s="103">
        <f t="shared" si="7"/>
        <v>35068.799999999996</v>
      </c>
      <c r="T38" s="103">
        <f t="shared" si="8"/>
        <v>1707.0749999999998</v>
      </c>
      <c r="U38" s="103">
        <f t="shared" si="9"/>
        <v>2461.56</v>
      </c>
      <c r="V38" s="103">
        <f t="shared" si="10"/>
        <v>39237.43499999999</v>
      </c>
      <c r="W38" s="68"/>
      <c r="X38" s="63">
        <f t="shared" si="11"/>
        <v>190.10499999999593</v>
      </c>
      <c r="AA38" s="104"/>
    </row>
    <row r="39" spans="1:27">
      <c r="A39" s="31">
        <f t="shared" si="4"/>
        <v>25</v>
      </c>
      <c r="C39" s="31">
        <v>1</v>
      </c>
      <c r="D39" s="31" t="s">
        <v>216</v>
      </c>
      <c r="E39" s="101">
        <v>24</v>
      </c>
      <c r="H39" s="115">
        <v>2100</v>
      </c>
      <c r="I39" s="115">
        <v>47.5</v>
      </c>
      <c r="J39" s="115">
        <v>45</v>
      </c>
      <c r="K39" s="99"/>
      <c r="L39" s="100">
        <v>39049.58</v>
      </c>
      <c r="M39" s="100">
        <v>1323.21</v>
      </c>
      <c r="N39" s="100">
        <v>961.17</v>
      </c>
      <c r="O39" s="100">
        <f t="shared" si="6"/>
        <v>41333.96</v>
      </c>
      <c r="P39" s="67"/>
      <c r="Q39" s="102">
        <v>18.899999999999999</v>
      </c>
      <c r="R39" s="67"/>
      <c r="S39" s="103">
        <f t="shared" si="7"/>
        <v>39312</v>
      </c>
      <c r="T39" s="103">
        <f t="shared" si="8"/>
        <v>1346.6249999999998</v>
      </c>
      <c r="U39" s="103">
        <f t="shared" si="9"/>
        <v>850.49999999999989</v>
      </c>
      <c r="V39" s="103">
        <f t="shared" si="10"/>
        <v>41509.125</v>
      </c>
      <c r="W39" s="68"/>
      <c r="X39" s="63">
        <f t="shared" si="11"/>
        <v>175.16500000000087</v>
      </c>
      <c r="AA39" s="104"/>
    </row>
    <row r="40" spans="1:27">
      <c r="A40" s="31">
        <f t="shared" si="4"/>
        <v>26</v>
      </c>
      <c r="C40" s="31">
        <v>1</v>
      </c>
      <c r="D40" s="31" t="s">
        <v>217</v>
      </c>
      <c r="E40" s="101">
        <v>25</v>
      </c>
      <c r="H40" s="115">
        <v>2094</v>
      </c>
      <c r="I40" s="115">
        <v>40.5</v>
      </c>
      <c r="J40" s="115">
        <v>0</v>
      </c>
      <c r="K40" s="99"/>
      <c r="L40" s="100">
        <v>35317.360000000001</v>
      </c>
      <c r="M40" s="100">
        <v>1021.3</v>
      </c>
      <c r="N40" s="100">
        <v>221.34</v>
      </c>
      <c r="O40" s="100">
        <f t="shared" si="6"/>
        <v>36560</v>
      </c>
      <c r="P40" s="67"/>
      <c r="Q40" s="102">
        <v>17.100000000000001</v>
      </c>
      <c r="R40" s="67"/>
      <c r="S40" s="103">
        <f t="shared" si="7"/>
        <v>35568</v>
      </c>
      <c r="T40" s="103">
        <f t="shared" si="8"/>
        <v>1038.825</v>
      </c>
      <c r="U40" s="103">
        <f t="shared" si="9"/>
        <v>0</v>
      </c>
      <c r="V40" s="103">
        <f t="shared" si="10"/>
        <v>36606.824999999997</v>
      </c>
      <c r="W40" s="68"/>
      <c r="X40" s="63">
        <f t="shared" si="11"/>
        <v>46.82499999999709</v>
      </c>
      <c r="AA40" s="104"/>
    </row>
    <row r="41" spans="1:27">
      <c r="A41" s="31">
        <f t="shared" si="4"/>
        <v>27</v>
      </c>
      <c r="C41" s="31">
        <v>1</v>
      </c>
      <c r="D41" s="31" t="s">
        <v>218</v>
      </c>
      <c r="E41" s="101">
        <v>31</v>
      </c>
      <c r="H41" s="115">
        <v>2085</v>
      </c>
      <c r="I41" s="115">
        <v>122</v>
      </c>
      <c r="J41" s="115">
        <v>111.98</v>
      </c>
      <c r="K41" s="99"/>
      <c r="L41" s="100">
        <v>34175.550000000003</v>
      </c>
      <c r="M41" s="100">
        <v>3085.36</v>
      </c>
      <c r="N41" s="100">
        <v>2018.75</v>
      </c>
      <c r="O41" s="100">
        <f t="shared" si="6"/>
        <v>39279.660000000003</v>
      </c>
      <c r="P41" s="67"/>
      <c r="Q41" s="102">
        <v>17.05</v>
      </c>
      <c r="R41" s="67"/>
      <c r="S41" s="103">
        <f t="shared" si="7"/>
        <v>35464</v>
      </c>
      <c r="T41" s="103">
        <f t="shared" si="8"/>
        <v>3120.1499999999996</v>
      </c>
      <c r="U41" s="103">
        <f t="shared" si="9"/>
        <v>1909.2590000000002</v>
      </c>
      <c r="V41" s="103">
        <f t="shared" si="10"/>
        <v>40493.409</v>
      </c>
      <c r="W41" s="68"/>
      <c r="X41" s="63">
        <f t="shared" si="11"/>
        <v>1213.7489999999962</v>
      </c>
      <c r="AA41" s="104"/>
    </row>
    <row r="42" spans="1:27">
      <c r="A42" s="31">
        <f t="shared" si="4"/>
        <v>28</v>
      </c>
      <c r="C42" s="31">
        <v>1</v>
      </c>
      <c r="D42" s="31" t="s">
        <v>219</v>
      </c>
      <c r="E42" s="101">
        <v>38</v>
      </c>
      <c r="H42" s="115">
        <v>2090.5</v>
      </c>
      <c r="I42" s="115">
        <v>31.5</v>
      </c>
      <c r="J42" s="115">
        <v>0</v>
      </c>
      <c r="K42" s="99"/>
      <c r="L42" s="100">
        <v>42206.13</v>
      </c>
      <c r="M42" s="100">
        <v>955.08</v>
      </c>
      <c r="N42" s="100">
        <v>110.67</v>
      </c>
      <c r="O42" s="100">
        <f t="shared" si="6"/>
        <v>43271.88</v>
      </c>
      <c r="P42" s="67"/>
      <c r="Q42" s="102">
        <v>20.47</v>
      </c>
      <c r="R42" s="67"/>
      <c r="S42" s="103">
        <f t="shared" si="7"/>
        <v>42577.599999999999</v>
      </c>
      <c r="T42" s="103">
        <f t="shared" si="8"/>
        <v>967.20749999999998</v>
      </c>
      <c r="U42" s="103">
        <f t="shared" si="9"/>
        <v>0</v>
      </c>
      <c r="V42" s="103">
        <f t="shared" si="10"/>
        <v>43544.807499999995</v>
      </c>
      <c r="W42" s="68"/>
      <c r="X42" s="63">
        <f t="shared" si="11"/>
        <v>272.92749999999796</v>
      </c>
      <c r="AA42" s="104"/>
    </row>
    <row r="43" spans="1:27">
      <c r="A43" s="31">
        <f t="shared" si="4"/>
        <v>29</v>
      </c>
      <c r="C43" s="31">
        <v>1</v>
      </c>
      <c r="D43" s="31" t="s">
        <v>220</v>
      </c>
      <c r="E43" s="101">
        <v>40</v>
      </c>
      <c r="H43" s="115">
        <v>2153.5</v>
      </c>
      <c r="I43" s="115">
        <v>100</v>
      </c>
      <c r="J43" s="115">
        <v>40</v>
      </c>
      <c r="K43" s="99"/>
      <c r="L43" s="100">
        <v>45205.73</v>
      </c>
      <c r="M43" s="100">
        <v>3137.87</v>
      </c>
      <c r="N43" s="100">
        <v>945.42</v>
      </c>
      <c r="O43" s="100">
        <f t="shared" si="6"/>
        <v>49289.020000000004</v>
      </c>
      <c r="P43" s="67"/>
      <c r="Q43" s="102">
        <v>20.87</v>
      </c>
      <c r="R43" s="67"/>
      <c r="S43" s="103">
        <f t="shared" si="7"/>
        <v>43409.599999999999</v>
      </c>
      <c r="T43" s="103">
        <f t="shared" si="8"/>
        <v>3130.5</v>
      </c>
      <c r="U43" s="103">
        <f t="shared" si="9"/>
        <v>834.80000000000007</v>
      </c>
      <c r="V43" s="103">
        <f t="shared" si="10"/>
        <v>47374.9</v>
      </c>
      <c r="W43" s="68"/>
      <c r="X43" s="63">
        <f t="shared" si="11"/>
        <v>-1914.1200000000026</v>
      </c>
      <c r="AA43" s="104"/>
    </row>
    <row r="44" spans="1:27">
      <c r="A44" s="31">
        <f t="shared" si="4"/>
        <v>30</v>
      </c>
      <c r="C44" s="31">
        <v>1</v>
      </c>
      <c r="D44" s="31" t="s">
        <v>221</v>
      </c>
      <c r="E44" s="101">
        <v>41</v>
      </c>
      <c r="H44" s="115">
        <v>2145</v>
      </c>
      <c r="I44" s="115">
        <v>153.5</v>
      </c>
      <c r="J44" s="115">
        <v>44</v>
      </c>
      <c r="K44" s="99"/>
      <c r="L44" s="100">
        <v>51904.76</v>
      </c>
      <c r="M44" s="100">
        <v>5522.7</v>
      </c>
      <c r="N44" s="100">
        <v>1163.0999999999999</v>
      </c>
      <c r="O44" s="100">
        <f t="shared" si="6"/>
        <v>58590.559999999998</v>
      </c>
      <c r="P44" s="67"/>
      <c r="Q44" s="102">
        <v>23.92</v>
      </c>
      <c r="R44" s="67"/>
      <c r="S44" s="103">
        <f t="shared" si="7"/>
        <v>49753.600000000006</v>
      </c>
      <c r="T44" s="103">
        <f t="shared" si="8"/>
        <v>5507.58</v>
      </c>
      <c r="U44" s="103">
        <f t="shared" si="9"/>
        <v>1052.48</v>
      </c>
      <c r="V44" s="103">
        <f t="shared" si="10"/>
        <v>56313.660000000011</v>
      </c>
      <c r="W44" s="68"/>
      <c r="X44" s="63">
        <f t="shared" si="11"/>
        <v>-2276.8999999999869</v>
      </c>
      <c r="AA44" s="104"/>
    </row>
    <row r="45" spans="1:27">
      <c r="A45" s="31">
        <f t="shared" si="4"/>
        <v>31</v>
      </c>
      <c r="C45" s="31">
        <v>1</v>
      </c>
      <c r="D45" s="31" t="s">
        <v>222</v>
      </c>
      <c r="E45" s="101">
        <v>43</v>
      </c>
      <c r="H45" s="115">
        <v>2103.5</v>
      </c>
      <c r="I45" s="115">
        <v>44</v>
      </c>
      <c r="J45" s="115">
        <v>71.459999999999994</v>
      </c>
      <c r="K45" s="99"/>
      <c r="L45" s="100">
        <v>37614.31</v>
      </c>
      <c r="M45" s="100">
        <v>1175.3599999999999</v>
      </c>
      <c r="N45" s="100">
        <v>1406.22</v>
      </c>
      <c r="O45" s="100">
        <f t="shared" si="6"/>
        <v>40195.89</v>
      </c>
      <c r="P45" s="67"/>
      <c r="Q45" s="102">
        <v>18.13</v>
      </c>
      <c r="R45" s="67"/>
      <c r="S45" s="103">
        <f t="shared" si="7"/>
        <v>37710.400000000001</v>
      </c>
      <c r="T45" s="103">
        <f t="shared" si="8"/>
        <v>1196.58</v>
      </c>
      <c r="U45" s="103">
        <f t="shared" si="9"/>
        <v>1295.5697999999998</v>
      </c>
      <c r="V45" s="103">
        <f t="shared" si="10"/>
        <v>40202.549800000001</v>
      </c>
      <c r="W45" s="68"/>
      <c r="X45" s="63">
        <f t="shared" si="11"/>
        <v>6.6598000000012689</v>
      </c>
      <c r="AA45" s="104"/>
    </row>
    <row r="46" spans="1:27">
      <c r="A46" s="31">
        <f t="shared" si="4"/>
        <v>32</v>
      </c>
      <c r="C46" s="31">
        <v>1</v>
      </c>
      <c r="D46" s="31" t="s">
        <v>223</v>
      </c>
      <c r="E46" s="101">
        <v>50</v>
      </c>
      <c r="F46" s="31" t="s">
        <v>207</v>
      </c>
      <c r="H46" s="115">
        <v>1329.84</v>
      </c>
      <c r="I46" s="115">
        <v>13.5</v>
      </c>
      <c r="J46" s="115">
        <v>0</v>
      </c>
      <c r="K46" s="99"/>
      <c r="L46" s="100">
        <v>32173.34</v>
      </c>
      <c r="M46" s="100">
        <v>489.42</v>
      </c>
      <c r="N46" s="100">
        <v>0</v>
      </c>
      <c r="O46" s="100">
        <f t="shared" si="6"/>
        <v>32662.76</v>
      </c>
      <c r="P46" s="67"/>
      <c r="Q46" s="102">
        <v>0</v>
      </c>
      <c r="R46" s="67"/>
      <c r="S46" s="103">
        <f t="shared" si="7"/>
        <v>0</v>
      </c>
      <c r="T46" s="103">
        <f t="shared" si="8"/>
        <v>0</v>
      </c>
      <c r="U46" s="103">
        <f>IF(N46=0,0,+J46*Q46)</f>
        <v>0</v>
      </c>
      <c r="V46" s="103">
        <f t="shared" si="10"/>
        <v>0</v>
      </c>
      <c r="W46" s="68"/>
      <c r="X46" s="63">
        <f t="shared" si="11"/>
        <v>-32662.76</v>
      </c>
      <c r="AA46" s="104"/>
    </row>
    <row r="47" spans="1:27">
      <c r="A47" s="31">
        <f t="shared" si="4"/>
        <v>33</v>
      </c>
      <c r="C47" s="31">
        <v>1</v>
      </c>
      <c r="D47" s="31" t="s">
        <v>224</v>
      </c>
      <c r="E47" s="101">
        <v>138</v>
      </c>
      <c r="H47" s="115">
        <v>2105</v>
      </c>
      <c r="I47" s="115">
        <v>103.5</v>
      </c>
      <c r="J47" s="115">
        <v>85</v>
      </c>
      <c r="K47" s="99"/>
      <c r="L47" s="100">
        <v>48848.36</v>
      </c>
      <c r="M47" s="100">
        <v>3582.86</v>
      </c>
      <c r="N47" s="100">
        <v>2110.1</v>
      </c>
      <c r="O47" s="100">
        <f t="shared" si="6"/>
        <v>54541.32</v>
      </c>
      <c r="P47" s="67"/>
      <c r="Q47" s="102">
        <v>23.53</v>
      </c>
      <c r="R47" s="67"/>
      <c r="S47" s="103">
        <f t="shared" si="7"/>
        <v>48942.400000000001</v>
      </c>
      <c r="T47" s="103">
        <f t="shared" si="8"/>
        <v>3653.0325000000003</v>
      </c>
      <c r="U47" s="103">
        <f t="shared" si="9"/>
        <v>2000.0500000000002</v>
      </c>
      <c r="V47" s="103">
        <f t="shared" si="10"/>
        <v>54595.482500000006</v>
      </c>
      <c r="W47" s="68"/>
      <c r="X47" s="63">
        <f t="shared" si="11"/>
        <v>54.162500000005821</v>
      </c>
      <c r="AA47" s="104"/>
    </row>
    <row r="48" spans="1:27">
      <c r="A48" s="31">
        <f t="shared" si="4"/>
        <v>34</v>
      </c>
      <c r="C48" s="31">
        <v>1</v>
      </c>
      <c r="D48" s="31" t="s">
        <v>225</v>
      </c>
      <c r="E48" s="101">
        <v>139</v>
      </c>
      <c r="H48" s="115">
        <v>2086.5</v>
      </c>
      <c r="I48" s="115">
        <v>29</v>
      </c>
      <c r="J48" s="115">
        <v>76</v>
      </c>
      <c r="K48" s="99"/>
      <c r="L48" s="100">
        <v>37047.32</v>
      </c>
      <c r="M48" s="100">
        <v>769.97</v>
      </c>
      <c r="N48" s="100">
        <v>1478.68</v>
      </c>
      <c r="O48" s="100">
        <f t="shared" si="6"/>
        <v>39295.97</v>
      </c>
      <c r="P48" s="67"/>
      <c r="Q48" s="102">
        <v>18</v>
      </c>
      <c r="R48" s="67"/>
      <c r="S48" s="103">
        <f t="shared" si="7"/>
        <v>37440</v>
      </c>
      <c r="T48" s="103">
        <f t="shared" si="8"/>
        <v>783</v>
      </c>
      <c r="U48" s="103">
        <f t="shared" si="9"/>
        <v>1368</v>
      </c>
      <c r="V48" s="103">
        <f t="shared" si="10"/>
        <v>39591</v>
      </c>
      <c r="W48" s="68"/>
      <c r="X48" s="63">
        <f t="shared" si="11"/>
        <v>295.02999999999884</v>
      </c>
      <c r="AA48" s="104"/>
    </row>
    <row r="49" spans="1:29">
      <c r="A49" s="31">
        <f t="shared" si="4"/>
        <v>35</v>
      </c>
      <c r="C49" s="31">
        <v>1</v>
      </c>
      <c r="D49" s="31" t="s">
        <v>226</v>
      </c>
      <c r="E49" s="101">
        <v>144</v>
      </c>
      <c r="H49" s="115">
        <v>2097</v>
      </c>
      <c r="I49" s="115">
        <v>26.5</v>
      </c>
      <c r="J49" s="115">
        <v>0</v>
      </c>
      <c r="K49" s="99"/>
      <c r="L49" s="100">
        <v>49657.9</v>
      </c>
      <c r="M49" s="100">
        <v>936.92</v>
      </c>
      <c r="N49" s="100">
        <v>110.65</v>
      </c>
      <c r="O49" s="100">
        <f t="shared" si="6"/>
        <v>50705.47</v>
      </c>
      <c r="P49" s="67"/>
      <c r="Q49" s="102">
        <v>24.01</v>
      </c>
      <c r="R49" s="67"/>
      <c r="S49" s="103">
        <f t="shared" si="7"/>
        <v>49940.800000000003</v>
      </c>
      <c r="T49" s="103">
        <f t="shared" si="8"/>
        <v>954.39750000000004</v>
      </c>
      <c r="U49" s="103">
        <f t="shared" si="9"/>
        <v>0</v>
      </c>
      <c r="V49" s="103">
        <f t="shared" si="10"/>
        <v>50895.197500000002</v>
      </c>
      <c r="W49" s="68"/>
      <c r="X49" s="63">
        <f t="shared" si="11"/>
        <v>189.72750000000087</v>
      </c>
      <c r="AA49" s="104"/>
    </row>
    <row r="50" spans="1:29">
      <c r="A50" s="31">
        <f t="shared" si="4"/>
        <v>36</v>
      </c>
      <c r="C50" s="31">
        <v>1</v>
      </c>
      <c r="D50" s="31" t="s">
        <v>227</v>
      </c>
      <c r="E50" s="101">
        <v>164</v>
      </c>
      <c r="H50" s="115">
        <v>2208.5</v>
      </c>
      <c r="I50" s="115">
        <v>434</v>
      </c>
      <c r="J50" s="115">
        <v>36</v>
      </c>
      <c r="K50" s="99"/>
      <c r="L50" s="100">
        <v>43620.6</v>
      </c>
      <c r="M50" s="100">
        <v>12859.6</v>
      </c>
      <c r="N50" s="100">
        <v>831.8</v>
      </c>
      <c r="O50" s="100">
        <f t="shared" si="6"/>
        <v>57312</v>
      </c>
      <c r="P50" s="67"/>
      <c r="Q50" s="102">
        <v>20.07</v>
      </c>
      <c r="R50" s="67"/>
      <c r="S50" s="103">
        <f t="shared" si="7"/>
        <v>41745.599999999999</v>
      </c>
      <c r="T50" s="103">
        <f t="shared" si="8"/>
        <v>13065.570000000002</v>
      </c>
      <c r="U50" s="103">
        <f t="shared" si="9"/>
        <v>722.52</v>
      </c>
      <c r="V50" s="103">
        <f t="shared" si="10"/>
        <v>55533.689999999995</v>
      </c>
      <c r="W50" s="68"/>
      <c r="X50" s="63">
        <f t="shared" si="11"/>
        <v>-1778.3100000000049</v>
      </c>
      <c r="AA50" s="104"/>
    </row>
    <row r="51" spans="1:29">
      <c r="A51" s="31">
        <f t="shared" si="4"/>
        <v>37</v>
      </c>
      <c r="C51" s="31">
        <v>1</v>
      </c>
      <c r="D51" s="31" t="s">
        <v>228</v>
      </c>
      <c r="E51" s="101">
        <v>166</v>
      </c>
      <c r="H51" s="115">
        <v>2089.5</v>
      </c>
      <c r="I51" s="115">
        <v>53</v>
      </c>
      <c r="J51" s="115">
        <v>36</v>
      </c>
      <c r="K51" s="99"/>
      <c r="L51" s="100">
        <v>37101.279999999999</v>
      </c>
      <c r="M51" s="100">
        <v>1480.18</v>
      </c>
      <c r="N51" s="100">
        <v>846.52</v>
      </c>
      <c r="O51" s="100">
        <f t="shared" si="6"/>
        <v>39427.979999999996</v>
      </c>
      <c r="P51" s="67"/>
      <c r="Q51" s="102">
        <v>20.440000000000001</v>
      </c>
      <c r="R51" s="67"/>
      <c r="S51" s="103">
        <f t="shared" si="7"/>
        <v>42515.200000000004</v>
      </c>
      <c r="T51" s="103">
        <f t="shared" si="8"/>
        <v>1624.9800000000002</v>
      </c>
      <c r="U51" s="103">
        <f t="shared" si="9"/>
        <v>735.84</v>
      </c>
      <c r="V51" s="103">
        <f t="shared" si="10"/>
        <v>44876.020000000004</v>
      </c>
      <c r="W51" s="68"/>
      <c r="X51" s="63">
        <f t="shared" si="11"/>
        <v>5448.0400000000081</v>
      </c>
      <c r="AA51" s="104"/>
    </row>
    <row r="52" spans="1:29">
      <c r="A52" s="31">
        <f t="shared" si="4"/>
        <v>38</v>
      </c>
      <c r="C52" s="31">
        <v>1</v>
      </c>
      <c r="D52" s="31" t="s">
        <v>229</v>
      </c>
      <c r="E52" s="101">
        <v>169</v>
      </c>
      <c r="H52" s="115">
        <v>2130.5</v>
      </c>
      <c r="I52" s="115">
        <v>157</v>
      </c>
      <c r="J52" s="115">
        <v>176</v>
      </c>
      <c r="K52" s="99"/>
      <c r="L52" s="100">
        <v>53163.94</v>
      </c>
      <c r="M52" s="100">
        <v>5843.68</v>
      </c>
      <c r="N52" s="100">
        <v>4447.25</v>
      </c>
      <c r="O52" s="100">
        <f t="shared" si="6"/>
        <v>63454.87</v>
      </c>
      <c r="P52" s="67"/>
      <c r="Q52" s="102">
        <v>24.64</v>
      </c>
      <c r="R52" s="67"/>
      <c r="S52" s="103">
        <f t="shared" si="7"/>
        <v>51251.200000000004</v>
      </c>
      <c r="T52" s="103">
        <f t="shared" si="8"/>
        <v>5802.72</v>
      </c>
      <c r="U52" s="103">
        <f t="shared" si="9"/>
        <v>4336.6400000000003</v>
      </c>
      <c r="V52" s="103">
        <f t="shared" si="10"/>
        <v>61390.560000000005</v>
      </c>
      <c r="W52" s="68"/>
      <c r="X52" s="63">
        <f t="shared" si="11"/>
        <v>-2064.3099999999977</v>
      </c>
      <c r="AA52" s="104"/>
    </row>
    <row r="53" spans="1:29">
      <c r="A53" s="31">
        <f t="shared" si="4"/>
        <v>39</v>
      </c>
      <c r="C53" s="31">
        <v>1</v>
      </c>
      <c r="D53" s="31" t="s">
        <v>230</v>
      </c>
      <c r="E53" s="101">
        <v>174</v>
      </c>
      <c r="H53" s="115">
        <v>2000</v>
      </c>
      <c r="I53" s="115">
        <v>379</v>
      </c>
      <c r="J53" s="115">
        <v>80</v>
      </c>
      <c r="K53" s="99"/>
      <c r="L53" s="100">
        <v>77775.39</v>
      </c>
      <c r="M53" s="100">
        <v>26899.86</v>
      </c>
      <c r="N53" s="100">
        <v>3219.32</v>
      </c>
      <c r="O53" s="100">
        <f t="shared" si="6"/>
        <v>107894.57</v>
      </c>
      <c r="P53" s="67"/>
      <c r="Q53" s="102">
        <v>38.869999999999997</v>
      </c>
      <c r="R53" s="67"/>
      <c r="S53" s="103">
        <f t="shared" si="7"/>
        <v>80849.599999999991</v>
      </c>
      <c r="T53" s="103">
        <f t="shared" si="8"/>
        <v>22097.595000000001</v>
      </c>
      <c r="U53" s="103">
        <f t="shared" si="9"/>
        <v>3109.6</v>
      </c>
      <c r="V53" s="103">
        <f t="shared" si="10"/>
        <v>106056.795</v>
      </c>
      <c r="W53" s="68"/>
      <c r="X53" s="63">
        <f t="shared" si="11"/>
        <v>-1837.7750000000087</v>
      </c>
      <c r="AA53" s="104"/>
    </row>
    <row r="54" spans="1:29">
      <c r="C54" s="31" t="s">
        <v>530</v>
      </c>
      <c r="E54" s="101"/>
      <c r="H54" s="115"/>
      <c r="I54" s="115"/>
      <c r="J54" s="115"/>
      <c r="K54" s="99"/>
      <c r="L54" s="100"/>
      <c r="M54" s="100"/>
      <c r="N54" s="100"/>
      <c r="O54" s="100"/>
      <c r="P54" s="67"/>
      <c r="Q54" s="102"/>
      <c r="R54" s="67"/>
      <c r="S54" s="103"/>
      <c r="T54" s="103"/>
      <c r="U54" s="103"/>
      <c r="V54" s="103"/>
      <c r="W54" s="68"/>
      <c r="X54" s="63"/>
      <c r="AA54" s="104"/>
    </row>
    <row r="55" spans="1:29" ht="20.25" customHeight="1">
      <c r="C55" s="419" t="s">
        <v>169</v>
      </c>
      <c r="D55" s="419"/>
      <c r="E55" s="419"/>
      <c r="F55" s="419"/>
      <c r="H55" s="419" t="s">
        <v>170</v>
      </c>
      <c r="I55" s="419"/>
      <c r="J55" s="419"/>
      <c r="K55" s="99"/>
      <c r="L55" s="419" t="s">
        <v>171</v>
      </c>
      <c r="M55" s="419"/>
      <c r="N55" s="419"/>
      <c r="O55" s="419"/>
      <c r="P55" s="67"/>
      <c r="Q55" s="420" t="s">
        <v>172</v>
      </c>
      <c r="R55" s="67"/>
      <c r="S55" s="419" t="s">
        <v>173</v>
      </c>
      <c r="T55" s="419"/>
      <c r="U55" s="419"/>
      <c r="V55" s="419"/>
      <c r="W55" s="68"/>
      <c r="X55" s="420" t="s">
        <v>174</v>
      </c>
      <c r="AA55" s="104"/>
    </row>
    <row r="56" spans="1:29" ht="31.5" customHeight="1">
      <c r="A56" s="31" t="s">
        <v>7</v>
      </c>
      <c r="C56" s="31" t="s">
        <v>175</v>
      </c>
      <c r="D56" s="31" t="s">
        <v>176</v>
      </c>
      <c r="E56" s="65" t="s">
        <v>177</v>
      </c>
      <c r="F56" s="31" t="s">
        <v>178</v>
      </c>
      <c r="H56" s="15" t="s">
        <v>179</v>
      </c>
      <c r="I56" s="15" t="s">
        <v>180</v>
      </c>
      <c r="J56" s="15" t="s">
        <v>181</v>
      </c>
      <c r="K56" s="66"/>
      <c r="L56" s="15" t="s">
        <v>179</v>
      </c>
      <c r="M56" s="15" t="s">
        <v>180</v>
      </c>
      <c r="N56" s="15" t="s">
        <v>181</v>
      </c>
      <c r="O56" s="15" t="s">
        <v>57</v>
      </c>
      <c r="P56" s="67"/>
      <c r="Q56" s="420"/>
      <c r="R56" s="67"/>
      <c r="S56" s="15" t="s">
        <v>179</v>
      </c>
      <c r="T56" s="15" t="s">
        <v>180</v>
      </c>
      <c r="U56" s="15" t="s">
        <v>181</v>
      </c>
      <c r="V56" s="15" t="s">
        <v>57</v>
      </c>
      <c r="W56" s="68"/>
      <c r="X56" s="420"/>
      <c r="AA56" s="104"/>
    </row>
    <row r="57" spans="1:29">
      <c r="A57" s="17" t="s">
        <v>11</v>
      </c>
      <c r="C57" s="18">
        <v>1</v>
      </c>
      <c r="D57" s="18">
        <f>C57+1</f>
        <v>2</v>
      </c>
      <c r="E57" s="69" t="s">
        <v>182</v>
      </c>
      <c r="F57" s="18">
        <f>D57+1</f>
        <v>3</v>
      </c>
      <c r="H57" s="18">
        <f>F57+1</f>
        <v>4</v>
      </c>
      <c r="I57" s="18">
        <f>H57+1</f>
        <v>5</v>
      </c>
      <c r="J57" s="18">
        <f>I57+1</f>
        <v>6</v>
      </c>
      <c r="K57" s="66"/>
      <c r="L57" s="18">
        <f>J57+1</f>
        <v>7</v>
      </c>
      <c r="M57" s="18">
        <f>L57+1</f>
        <v>8</v>
      </c>
      <c r="N57" s="18">
        <f>M57+1</f>
        <v>9</v>
      </c>
      <c r="O57" s="18">
        <f>N57+1</f>
        <v>10</v>
      </c>
      <c r="P57" s="67"/>
      <c r="Q57" s="18">
        <f>O57+1</f>
        <v>11</v>
      </c>
      <c r="R57" s="67"/>
      <c r="S57" s="18">
        <f>Q57+1</f>
        <v>12</v>
      </c>
      <c r="T57" s="18">
        <f>S57+1</f>
        <v>13</v>
      </c>
      <c r="U57" s="18">
        <f>T57+1</f>
        <v>14</v>
      </c>
      <c r="V57" s="18">
        <f>U57+1</f>
        <v>15</v>
      </c>
      <c r="W57" s="68"/>
      <c r="X57" s="18">
        <f>V57+1</f>
        <v>16</v>
      </c>
      <c r="AA57" s="104"/>
    </row>
    <row r="58" spans="1:29">
      <c r="A58" s="31">
        <f>A53+1</f>
        <v>40</v>
      </c>
      <c r="C58" s="31">
        <v>1</v>
      </c>
      <c r="D58" s="31" t="s">
        <v>231</v>
      </c>
      <c r="E58" s="101">
        <v>176</v>
      </c>
      <c r="H58" s="98">
        <v>2151</v>
      </c>
      <c r="I58" s="98">
        <v>410</v>
      </c>
      <c r="J58" s="98">
        <v>176</v>
      </c>
      <c r="K58" s="99"/>
      <c r="L58" s="100">
        <v>57567.11</v>
      </c>
      <c r="M58" s="100">
        <v>16449.7</v>
      </c>
      <c r="N58" s="100">
        <v>4885.5200000000004</v>
      </c>
      <c r="O58" s="100">
        <f>SUM(L58:N58)</f>
        <v>78902.33</v>
      </c>
      <c r="P58" s="67"/>
      <c r="Q58" s="102">
        <v>27.13</v>
      </c>
      <c r="R58" s="67"/>
      <c r="S58" s="103">
        <f t="shared" si="7"/>
        <v>56430.400000000001</v>
      </c>
      <c r="T58" s="103">
        <f>(+I58*Q58)*1.5</f>
        <v>16684.949999999997</v>
      </c>
      <c r="U58" s="103">
        <f>IF(N58=0,0,+J58*Q58)</f>
        <v>4774.88</v>
      </c>
      <c r="V58" s="103">
        <f>SUM(S58:U58)</f>
        <v>77890.23000000001</v>
      </c>
      <c r="W58" s="68"/>
      <c r="X58" s="63">
        <f>V58-O58</f>
        <v>-1012.0999999999913</v>
      </c>
      <c r="Z58" s="146"/>
      <c r="AA58" s="104"/>
    </row>
    <row r="59" spans="1:29">
      <c r="A59" s="31">
        <f t="shared" si="4"/>
        <v>41</v>
      </c>
      <c r="C59" s="31">
        <v>1</v>
      </c>
      <c r="D59" s="31" t="s">
        <v>232</v>
      </c>
      <c r="E59" s="101">
        <v>182</v>
      </c>
      <c r="H59" s="98">
        <v>2100.5</v>
      </c>
      <c r="I59" s="98">
        <v>67.5</v>
      </c>
      <c r="J59" s="98">
        <v>120</v>
      </c>
      <c r="K59" s="99"/>
      <c r="L59" s="100">
        <v>43184.7</v>
      </c>
      <c r="M59" s="100">
        <v>2080.11</v>
      </c>
      <c r="N59" s="100">
        <v>2617.48</v>
      </c>
      <c r="O59" s="100">
        <f>SUM(L59:N59)</f>
        <v>47882.29</v>
      </c>
      <c r="P59" s="67"/>
      <c r="Q59" s="102">
        <v>20.89</v>
      </c>
      <c r="R59" s="67"/>
      <c r="S59" s="103">
        <f t="shared" si="7"/>
        <v>43451.200000000004</v>
      </c>
      <c r="T59" s="103">
        <f>(+I59*Q59)*1.5</f>
        <v>2115.1125000000002</v>
      </c>
      <c r="U59" s="103">
        <f t="shared" ref="U59:U98" si="12">IF(N59=0,0,+J59*Q59)</f>
        <v>2506.8000000000002</v>
      </c>
      <c r="V59" s="103">
        <f>SUM(S59:U59)</f>
        <v>48073.11250000001</v>
      </c>
      <c r="W59" s="68"/>
      <c r="X59" s="63">
        <f>V59-O59</f>
        <v>190.82250000000931</v>
      </c>
      <c r="AA59" s="104"/>
    </row>
    <row r="60" spans="1:29">
      <c r="A60" s="31">
        <f>A59+1</f>
        <v>42</v>
      </c>
      <c r="C60" s="31">
        <v>1</v>
      </c>
      <c r="D60" s="31" t="s">
        <v>233</v>
      </c>
      <c r="E60" s="101"/>
      <c r="F60" s="31" t="s">
        <v>206</v>
      </c>
      <c r="H60" s="98"/>
      <c r="I60" s="98"/>
      <c r="J60" s="98"/>
      <c r="K60" s="99"/>
      <c r="L60" s="100"/>
      <c r="M60" s="100"/>
      <c r="N60" s="100"/>
      <c r="O60" s="100">
        <f t="shared" ref="O60:O62" si="13">SUM(L60:N60)</f>
        <v>0</v>
      </c>
      <c r="P60" s="67"/>
      <c r="Q60" s="102">
        <f>1039.04*0.025</f>
        <v>25.975999999999999</v>
      </c>
      <c r="R60" s="67"/>
      <c r="S60" s="103">
        <f t="shared" si="7"/>
        <v>54030.080000000002</v>
      </c>
      <c r="T60" s="103">
        <f t="shared" ref="T60:T64" si="14">(+I60*Q60)*1.5</f>
        <v>0</v>
      </c>
      <c r="U60" s="103">
        <f t="shared" si="12"/>
        <v>0</v>
      </c>
      <c r="V60" s="103">
        <f t="shared" ref="V60:V64" si="15">SUM(S60:U60)</f>
        <v>54030.080000000002</v>
      </c>
      <c r="W60" s="68"/>
      <c r="X60" s="63">
        <f t="shared" ref="X60:X98" si="16">V60-O60</f>
        <v>54030.080000000002</v>
      </c>
      <c r="AA60" s="104"/>
    </row>
    <row r="61" spans="1:29">
      <c r="A61" s="31">
        <f t="shared" si="4"/>
        <v>43</v>
      </c>
      <c r="C61" s="31">
        <v>1</v>
      </c>
      <c r="D61" s="31" t="s">
        <v>234</v>
      </c>
      <c r="E61" s="101"/>
      <c r="F61" s="31" t="s">
        <v>206</v>
      </c>
      <c r="H61" s="98"/>
      <c r="I61" s="98"/>
      <c r="J61" s="98"/>
      <c r="K61" s="99"/>
      <c r="L61" s="100"/>
      <c r="M61" s="100"/>
      <c r="N61" s="100"/>
      <c r="O61" s="100"/>
      <c r="P61" s="67"/>
      <c r="Q61" s="102">
        <v>20.260000000000002</v>
      </c>
      <c r="R61" s="67"/>
      <c r="S61" s="103">
        <f t="shared" si="7"/>
        <v>42140.800000000003</v>
      </c>
      <c r="T61" s="103">
        <f t="shared" si="14"/>
        <v>0</v>
      </c>
      <c r="U61" s="103">
        <f t="shared" si="12"/>
        <v>0</v>
      </c>
      <c r="V61" s="103">
        <f t="shared" si="15"/>
        <v>42140.800000000003</v>
      </c>
      <c r="W61" s="68"/>
      <c r="X61" s="63">
        <f t="shared" si="16"/>
        <v>42140.800000000003</v>
      </c>
      <c r="Z61" s="164" t="s">
        <v>235</v>
      </c>
      <c r="AA61" s="104"/>
    </row>
    <row r="62" spans="1:29">
      <c r="A62" s="31">
        <f t="shared" si="4"/>
        <v>44</v>
      </c>
      <c r="C62" s="31">
        <v>1</v>
      </c>
      <c r="D62" s="31" t="s">
        <v>236</v>
      </c>
      <c r="E62" s="101"/>
      <c r="F62" s="31" t="s">
        <v>206</v>
      </c>
      <c r="H62" s="98"/>
      <c r="I62" s="98"/>
      <c r="J62" s="98"/>
      <c r="K62" s="99"/>
      <c r="L62" s="100"/>
      <c r="M62" s="100"/>
      <c r="N62" s="100"/>
      <c r="O62" s="100">
        <f t="shared" si="13"/>
        <v>0</v>
      </c>
      <c r="P62" s="67"/>
      <c r="Q62" s="102">
        <f>1250*0.025</f>
        <v>31.25</v>
      </c>
      <c r="R62" s="67"/>
      <c r="S62" s="103">
        <f t="shared" si="7"/>
        <v>65000</v>
      </c>
      <c r="T62" s="103">
        <f t="shared" si="14"/>
        <v>0</v>
      </c>
      <c r="U62" s="103">
        <f t="shared" si="12"/>
        <v>0</v>
      </c>
      <c r="V62" s="103">
        <f t="shared" si="15"/>
        <v>65000</v>
      </c>
      <c r="W62" s="68"/>
      <c r="X62" s="63">
        <f t="shared" si="16"/>
        <v>65000</v>
      </c>
      <c r="AA62" s="104"/>
    </row>
    <row r="63" spans="1:29">
      <c r="A63" s="31">
        <f t="shared" si="4"/>
        <v>45</v>
      </c>
      <c r="C63" s="31">
        <v>1</v>
      </c>
      <c r="D63" s="31" t="s">
        <v>237</v>
      </c>
      <c r="E63" s="101"/>
      <c r="F63" s="31" t="s">
        <v>206</v>
      </c>
      <c r="H63" s="98"/>
      <c r="I63" s="98"/>
      <c r="J63" s="98"/>
      <c r="K63" s="99"/>
      <c r="L63" s="100"/>
      <c r="M63" s="100"/>
      <c r="N63" s="100"/>
      <c r="O63" s="100"/>
      <c r="P63" s="67"/>
      <c r="Q63" s="102">
        <f>24.04*1</f>
        <v>24.04</v>
      </c>
      <c r="R63" s="67"/>
      <c r="S63" s="103">
        <f t="shared" si="7"/>
        <v>50003.199999999997</v>
      </c>
      <c r="T63" s="103">
        <f t="shared" si="14"/>
        <v>0</v>
      </c>
      <c r="U63" s="103">
        <f t="shared" si="12"/>
        <v>0</v>
      </c>
      <c r="V63" s="103">
        <f t="shared" si="15"/>
        <v>50003.199999999997</v>
      </c>
      <c r="W63" s="68"/>
      <c r="X63" s="63">
        <f t="shared" si="16"/>
        <v>50003.199999999997</v>
      </c>
      <c r="Z63" s="116" t="s">
        <v>238</v>
      </c>
      <c r="AA63" s="117" t="s">
        <v>238</v>
      </c>
      <c r="AB63" s="97" t="s">
        <v>239</v>
      </c>
      <c r="AC63" s="97" t="s">
        <v>240</v>
      </c>
    </row>
    <row r="64" spans="1:29">
      <c r="A64" s="31">
        <f t="shared" si="4"/>
        <v>46</v>
      </c>
      <c r="C64" s="31">
        <v>1</v>
      </c>
      <c r="D64" s="31" t="s">
        <v>241</v>
      </c>
      <c r="E64" s="101"/>
      <c r="F64" s="31" t="s">
        <v>206</v>
      </c>
      <c r="H64" s="98"/>
      <c r="I64" s="98"/>
      <c r="J64" s="98"/>
      <c r="K64" s="99"/>
      <c r="L64" s="100"/>
      <c r="M64" s="100"/>
      <c r="N64" s="100"/>
      <c r="O64" s="100"/>
      <c r="P64" s="67"/>
      <c r="Q64" s="102">
        <f>1090.99*0.025</f>
        <v>27.274750000000001</v>
      </c>
      <c r="R64" s="67"/>
      <c r="S64" s="103">
        <f t="shared" si="7"/>
        <v>56731.48</v>
      </c>
      <c r="T64" s="103">
        <f t="shared" si="14"/>
        <v>0</v>
      </c>
      <c r="U64" s="103">
        <f t="shared" si="12"/>
        <v>0</v>
      </c>
      <c r="V64" s="103">
        <f t="shared" si="15"/>
        <v>56731.48</v>
      </c>
      <c r="W64" s="68"/>
      <c r="X64" s="63">
        <f t="shared" si="16"/>
        <v>56731.48</v>
      </c>
      <c r="Z64" s="118" t="s">
        <v>242</v>
      </c>
      <c r="AA64" s="119" t="s">
        <v>243</v>
      </c>
      <c r="AB64" s="5" t="s">
        <v>244</v>
      </c>
      <c r="AC64" s="5" t="s">
        <v>245</v>
      </c>
    </row>
    <row r="65" spans="1:29">
      <c r="A65" s="31">
        <f t="shared" si="4"/>
        <v>47</v>
      </c>
      <c r="C65" s="31">
        <v>1</v>
      </c>
      <c r="D65" s="31" t="s">
        <v>246</v>
      </c>
      <c r="E65" s="101">
        <v>185</v>
      </c>
      <c r="F65" s="31" t="s">
        <v>247</v>
      </c>
      <c r="H65" s="98">
        <v>1112</v>
      </c>
      <c r="I65" s="98">
        <v>156.5</v>
      </c>
      <c r="J65" s="98">
        <v>32</v>
      </c>
      <c r="K65" s="99"/>
      <c r="L65" s="100">
        <v>38677.32</v>
      </c>
      <c r="M65" s="100">
        <v>8923.4</v>
      </c>
      <c r="N65" s="100">
        <v>674.85</v>
      </c>
      <c r="O65" s="100">
        <f t="shared" ref="O65:O70" si="17">SUM(L65:N65)</f>
        <v>48275.57</v>
      </c>
      <c r="P65" s="67"/>
      <c r="Q65" s="102">
        <v>35.340000000000003</v>
      </c>
      <c r="R65" s="67"/>
      <c r="S65" s="103">
        <f t="shared" si="7"/>
        <v>73507.200000000012</v>
      </c>
      <c r="T65" s="103">
        <f t="shared" ref="T65:T98" si="18">(+I65*Q65)*1.5+AC65</f>
        <v>9054.4462320143903</v>
      </c>
      <c r="U65" s="103">
        <f t="shared" si="12"/>
        <v>1130.8800000000001</v>
      </c>
      <c r="V65" s="103">
        <f t="shared" ref="V65:V70" si="19">SUM(S65:U65)</f>
        <v>83692.52623201441</v>
      </c>
      <c r="W65" s="68"/>
      <c r="X65" s="63">
        <f t="shared" si="16"/>
        <v>35416.95623201441</v>
      </c>
      <c r="Z65" s="120">
        <f>+L65/H65</f>
        <v>34.781762589928057</v>
      </c>
      <c r="AA65" s="121">
        <f>+Z65*1.5</f>
        <v>52.172643884892082</v>
      </c>
      <c r="AB65" s="122">
        <f>+AA65*I65</f>
        <v>8165.0187679856108</v>
      </c>
      <c r="AC65" s="122">
        <f>+M65-AB65</f>
        <v>758.38123201438884</v>
      </c>
    </row>
    <row r="66" spans="1:29">
      <c r="A66" s="31">
        <f t="shared" si="4"/>
        <v>48</v>
      </c>
      <c r="C66" s="31">
        <v>1</v>
      </c>
      <c r="D66" s="31" t="s">
        <v>248</v>
      </c>
      <c r="E66" s="101">
        <v>187</v>
      </c>
      <c r="F66" s="31" t="s">
        <v>247</v>
      </c>
      <c r="H66" s="98">
        <v>2056</v>
      </c>
      <c r="I66" s="98">
        <v>180.5</v>
      </c>
      <c r="J66" s="98">
        <v>65.569999999999993</v>
      </c>
      <c r="K66" s="99"/>
      <c r="L66" s="100">
        <v>67428.73</v>
      </c>
      <c r="M66" s="100">
        <v>8955.65</v>
      </c>
      <c r="N66" s="100">
        <v>2310.8200000000002</v>
      </c>
      <c r="O66" s="100">
        <f t="shared" si="17"/>
        <v>78695.199999999997</v>
      </c>
      <c r="P66" s="67"/>
      <c r="Q66" s="102">
        <v>33.57</v>
      </c>
      <c r="R66" s="67"/>
      <c r="S66" s="103">
        <f t="shared" si="7"/>
        <v>69825.600000000006</v>
      </c>
      <c r="T66" s="103">
        <f t="shared" si="18"/>
        <v>9165.1902200875484</v>
      </c>
      <c r="U66" s="103">
        <f t="shared" si="12"/>
        <v>2201.1848999999997</v>
      </c>
      <c r="V66" s="103">
        <f t="shared" si="19"/>
        <v>81191.975120087547</v>
      </c>
      <c r="W66" s="68"/>
      <c r="X66" s="63">
        <f t="shared" si="16"/>
        <v>2496.77512008755</v>
      </c>
      <c r="Z66" s="120">
        <f t="shared" ref="Z66:Z98" si="20">+L66/H66</f>
        <v>32.796074902723731</v>
      </c>
      <c r="AA66" s="121">
        <f t="shared" ref="AA66:AA98" si="21">+Z66*1.5</f>
        <v>49.194112354085597</v>
      </c>
      <c r="AB66" s="122">
        <f t="shared" ref="AB66:AB98" si="22">+AA66*I66</f>
        <v>8879.5372799124507</v>
      </c>
      <c r="AC66" s="122">
        <f t="shared" ref="AC66:AC98" si="23">+M66-AB66</f>
        <v>76.112720087548951</v>
      </c>
    </row>
    <row r="67" spans="1:29">
      <c r="A67" s="31">
        <f t="shared" si="4"/>
        <v>49</v>
      </c>
      <c r="C67" s="31">
        <v>1</v>
      </c>
      <c r="D67" s="31" t="s">
        <v>249</v>
      </c>
      <c r="E67" s="101">
        <v>188</v>
      </c>
      <c r="F67" s="31" t="s">
        <v>250</v>
      </c>
      <c r="H67" s="98">
        <v>806.15</v>
      </c>
      <c r="I67" s="98">
        <v>58.5</v>
      </c>
      <c r="J67" s="98">
        <v>0</v>
      </c>
      <c r="K67" s="99"/>
      <c r="L67" s="100">
        <v>21805.67</v>
      </c>
      <c r="M67" s="100">
        <v>2402.41</v>
      </c>
      <c r="N67" s="100">
        <v>0</v>
      </c>
      <c r="O67" s="100">
        <f t="shared" si="17"/>
        <v>24208.079999999998</v>
      </c>
      <c r="P67" s="67"/>
      <c r="Q67" s="102">
        <v>0</v>
      </c>
      <c r="R67" s="67"/>
      <c r="S67" s="103">
        <f t="shared" si="7"/>
        <v>0</v>
      </c>
      <c r="T67" s="103">
        <v>0</v>
      </c>
      <c r="U67" s="103">
        <f t="shared" si="12"/>
        <v>0</v>
      </c>
      <c r="V67" s="103">
        <f t="shared" si="19"/>
        <v>0</v>
      </c>
      <c r="W67" s="68"/>
      <c r="X67" s="63">
        <f t="shared" si="16"/>
        <v>-24208.079999999998</v>
      </c>
      <c r="Z67" s="120">
        <f t="shared" si="20"/>
        <v>27.049147181045711</v>
      </c>
      <c r="AA67" s="121">
        <f t="shared" si="21"/>
        <v>40.573720771568567</v>
      </c>
      <c r="AB67" s="122">
        <f t="shared" si="22"/>
        <v>2373.5626651367611</v>
      </c>
      <c r="AC67" s="122">
        <f t="shared" si="23"/>
        <v>28.847334863238757</v>
      </c>
    </row>
    <row r="68" spans="1:29">
      <c r="A68" s="31">
        <f t="shared" si="4"/>
        <v>50</v>
      </c>
      <c r="C68" s="31">
        <v>1</v>
      </c>
      <c r="D68" s="31" t="s">
        <v>251</v>
      </c>
      <c r="E68" s="101">
        <v>189</v>
      </c>
      <c r="F68" s="31" t="s">
        <v>247</v>
      </c>
      <c r="H68" s="98">
        <v>2032</v>
      </c>
      <c r="I68" s="98">
        <v>264</v>
      </c>
      <c r="J68" s="98">
        <v>14.67</v>
      </c>
      <c r="K68" s="99"/>
      <c r="L68" s="100">
        <v>57159.12</v>
      </c>
      <c r="M68" s="100">
        <v>11357.31</v>
      </c>
      <c r="N68" s="100">
        <v>550.15</v>
      </c>
      <c r="O68" s="100">
        <f t="shared" si="17"/>
        <v>69066.58</v>
      </c>
      <c r="P68" s="67"/>
      <c r="Q68" s="102">
        <v>30.04</v>
      </c>
      <c r="R68" s="67"/>
      <c r="S68" s="103">
        <f t="shared" si="7"/>
        <v>62483.199999999997</v>
      </c>
      <c r="T68" s="103">
        <f t="shared" si="18"/>
        <v>12113.872677165355</v>
      </c>
      <c r="U68" s="103">
        <f t="shared" si="12"/>
        <v>440.68680000000001</v>
      </c>
      <c r="V68" s="103">
        <f t="shared" si="19"/>
        <v>75037.759477165353</v>
      </c>
      <c r="W68" s="68"/>
      <c r="X68" s="63">
        <f t="shared" si="16"/>
        <v>5971.1794771653513</v>
      </c>
      <c r="Z68" s="120">
        <f t="shared" si="20"/>
        <v>28.129488188976378</v>
      </c>
      <c r="AA68" s="121">
        <f t="shared" si="21"/>
        <v>42.194232283464565</v>
      </c>
      <c r="AB68" s="122">
        <f t="shared" si="22"/>
        <v>11139.277322834645</v>
      </c>
      <c r="AC68" s="122">
        <f t="shared" si="23"/>
        <v>218.03267716535447</v>
      </c>
    </row>
    <row r="69" spans="1:29">
      <c r="A69" s="31">
        <f t="shared" si="4"/>
        <v>51</v>
      </c>
      <c r="C69" s="31">
        <v>1</v>
      </c>
      <c r="D69" s="31" t="s">
        <v>252</v>
      </c>
      <c r="E69" s="101">
        <v>192</v>
      </c>
      <c r="F69" s="31" t="s">
        <v>247</v>
      </c>
      <c r="H69" s="98">
        <v>2040</v>
      </c>
      <c r="I69" s="98">
        <v>352</v>
      </c>
      <c r="J69" s="98">
        <v>6.67</v>
      </c>
      <c r="K69" s="99"/>
      <c r="L69" s="100">
        <v>55562.879999999997</v>
      </c>
      <c r="M69" s="100">
        <v>14856.25</v>
      </c>
      <c r="N69" s="100">
        <v>309.77999999999997</v>
      </c>
      <c r="O69" s="100">
        <f t="shared" si="17"/>
        <v>70728.91</v>
      </c>
      <c r="P69" s="67"/>
      <c r="Q69" s="102">
        <v>30.04</v>
      </c>
      <c r="R69" s="67"/>
      <c r="S69" s="103">
        <f t="shared" si="7"/>
        <v>62483.199999999997</v>
      </c>
      <c r="T69" s="103">
        <f t="shared" si="18"/>
        <v>16336.389294117645</v>
      </c>
      <c r="U69" s="103">
        <f t="shared" si="12"/>
        <v>200.36679999999998</v>
      </c>
      <c r="V69" s="103">
        <f t="shared" si="19"/>
        <v>79019.956094117646</v>
      </c>
      <c r="W69" s="68"/>
      <c r="X69" s="63">
        <f t="shared" si="16"/>
        <v>8291.0460941176425</v>
      </c>
      <c r="Z69" s="120">
        <f t="shared" si="20"/>
        <v>27.23670588235294</v>
      </c>
      <c r="AA69" s="121">
        <f t="shared" si="21"/>
        <v>40.855058823529411</v>
      </c>
      <c r="AB69" s="122">
        <f t="shared" si="22"/>
        <v>14380.980705882354</v>
      </c>
      <c r="AC69" s="122">
        <f t="shared" si="23"/>
        <v>475.2692941176465</v>
      </c>
    </row>
    <row r="70" spans="1:29">
      <c r="A70" s="31">
        <f t="shared" si="4"/>
        <v>52</v>
      </c>
      <c r="C70" s="31">
        <v>1</v>
      </c>
      <c r="D70" s="31" t="s">
        <v>253</v>
      </c>
      <c r="E70" s="101">
        <v>193</v>
      </c>
      <c r="F70" s="31" t="s">
        <v>247</v>
      </c>
      <c r="H70" s="98">
        <v>1824</v>
      </c>
      <c r="I70" s="98">
        <v>873.5</v>
      </c>
      <c r="J70" s="98">
        <v>120.67</v>
      </c>
      <c r="K70" s="99"/>
      <c r="L70" s="100">
        <v>65513.279999999999</v>
      </c>
      <c r="M70" s="100">
        <v>54068.480000000003</v>
      </c>
      <c r="N70" s="100">
        <v>133.15</v>
      </c>
      <c r="O70" s="100">
        <f t="shared" si="17"/>
        <v>119714.91</v>
      </c>
      <c r="P70" s="67"/>
      <c r="Q70" s="102">
        <v>35.340000000000003</v>
      </c>
      <c r="R70" s="67"/>
      <c r="S70" s="103">
        <f t="shared" si="7"/>
        <v>73507.200000000012</v>
      </c>
      <c r="T70" s="103">
        <f t="shared" si="18"/>
        <v>53311.9830263158</v>
      </c>
      <c r="U70" s="103">
        <f t="shared" si="12"/>
        <v>4264.4778000000006</v>
      </c>
      <c r="V70" s="103">
        <f t="shared" si="19"/>
        <v>131083.66082631581</v>
      </c>
      <c r="W70" s="68"/>
      <c r="X70" s="63">
        <f t="shared" si="16"/>
        <v>11368.750826315809</v>
      </c>
      <c r="Z70" s="120">
        <f t="shared" si="20"/>
        <v>35.917368421052629</v>
      </c>
      <c r="AA70" s="121">
        <f t="shared" si="21"/>
        <v>53.876052631578943</v>
      </c>
      <c r="AB70" s="122">
        <f t="shared" si="22"/>
        <v>47060.731973684204</v>
      </c>
      <c r="AC70" s="122">
        <f t="shared" si="23"/>
        <v>7007.7480263157995</v>
      </c>
    </row>
    <row r="71" spans="1:29">
      <c r="A71" s="31">
        <f t="shared" si="4"/>
        <v>53</v>
      </c>
      <c r="C71" s="31">
        <v>1</v>
      </c>
      <c r="D71" s="31" t="s">
        <v>254</v>
      </c>
      <c r="E71" s="101"/>
      <c r="F71" s="31" t="s">
        <v>247</v>
      </c>
      <c r="H71" s="98">
        <v>1992</v>
      </c>
      <c r="I71" s="98">
        <v>447</v>
      </c>
      <c r="J71" s="98">
        <v>72.67</v>
      </c>
      <c r="K71" s="99"/>
      <c r="L71" s="100">
        <v>77192.03</v>
      </c>
      <c r="M71" s="100">
        <v>31332.78</v>
      </c>
      <c r="N71" s="100">
        <v>2934.14</v>
      </c>
      <c r="O71" s="100">
        <f t="shared" ref="O71:O98" si="24">SUM(L71:N71)</f>
        <v>111458.95</v>
      </c>
      <c r="P71" s="67"/>
      <c r="Q71" s="102">
        <v>38.869999999999997</v>
      </c>
      <c r="R71" s="67"/>
      <c r="S71" s="103">
        <f t="shared" si="7"/>
        <v>80849.599999999991</v>
      </c>
      <c r="T71" s="103">
        <f t="shared" si="18"/>
        <v>31412.55670933735</v>
      </c>
      <c r="U71" s="103">
        <f t="shared" si="12"/>
        <v>2824.6828999999998</v>
      </c>
      <c r="V71" s="103">
        <f t="shared" ref="V71:V98" si="25">SUM(S71:U71)</f>
        <v>115086.83960933734</v>
      </c>
      <c r="W71" s="68"/>
      <c r="X71" s="63">
        <f t="shared" si="16"/>
        <v>3627.8896093373478</v>
      </c>
      <c r="Z71" s="120">
        <f t="shared" si="20"/>
        <v>38.751019076305219</v>
      </c>
      <c r="AA71" s="121">
        <f t="shared" si="21"/>
        <v>58.126528614457825</v>
      </c>
      <c r="AB71" s="122">
        <f t="shared" si="22"/>
        <v>25982.558290662648</v>
      </c>
      <c r="AC71" s="122">
        <f t="shared" si="23"/>
        <v>5350.2217093373511</v>
      </c>
    </row>
    <row r="72" spans="1:29">
      <c r="A72" s="31">
        <f t="shared" si="4"/>
        <v>54</v>
      </c>
      <c r="C72" s="31">
        <v>1</v>
      </c>
      <c r="D72" s="31" t="s">
        <v>255</v>
      </c>
      <c r="E72" s="101"/>
      <c r="F72" s="31" t="s">
        <v>247</v>
      </c>
      <c r="H72" s="98">
        <v>2008.5</v>
      </c>
      <c r="I72" s="98">
        <v>323</v>
      </c>
      <c r="J72" s="98">
        <v>72</v>
      </c>
      <c r="K72" s="99"/>
      <c r="L72" s="100">
        <v>77372.25</v>
      </c>
      <c r="M72" s="100">
        <v>23366.080000000002</v>
      </c>
      <c r="N72" s="100">
        <v>2908.12</v>
      </c>
      <c r="O72" s="100">
        <f t="shared" si="24"/>
        <v>103646.45</v>
      </c>
      <c r="P72" s="67"/>
      <c r="Q72" s="102">
        <v>38.869999999999997</v>
      </c>
      <c r="R72" s="67"/>
      <c r="S72" s="103">
        <f t="shared" si="7"/>
        <v>80849.599999999991</v>
      </c>
      <c r="T72" s="103">
        <f t="shared" si="18"/>
        <v>23534.489884241972</v>
      </c>
      <c r="U72" s="103">
        <f t="shared" si="12"/>
        <v>2798.64</v>
      </c>
      <c r="V72" s="103">
        <f t="shared" si="25"/>
        <v>107182.72988424196</v>
      </c>
      <c r="W72" s="68"/>
      <c r="X72" s="63">
        <f t="shared" si="16"/>
        <v>3536.2798842419579</v>
      </c>
      <c r="Z72" s="120">
        <f t="shared" si="20"/>
        <v>38.522404779686333</v>
      </c>
      <c r="AA72" s="121">
        <f t="shared" si="21"/>
        <v>57.783607169529503</v>
      </c>
      <c r="AB72" s="122">
        <f t="shared" si="22"/>
        <v>18664.10511575803</v>
      </c>
      <c r="AC72" s="122">
        <f t="shared" si="23"/>
        <v>4701.9748842419722</v>
      </c>
    </row>
    <row r="73" spans="1:29">
      <c r="A73" s="31">
        <f t="shared" si="4"/>
        <v>55</v>
      </c>
      <c r="C73" s="31">
        <v>1</v>
      </c>
      <c r="D73" s="31" t="s">
        <v>256</v>
      </c>
      <c r="E73" s="101"/>
      <c r="F73" s="31" t="s">
        <v>247</v>
      </c>
      <c r="H73" s="98">
        <v>2064</v>
      </c>
      <c r="I73" s="98">
        <v>59.5</v>
      </c>
      <c r="J73" s="98">
        <v>0</v>
      </c>
      <c r="K73" s="99"/>
      <c r="L73" s="100">
        <v>67690.080000000002</v>
      </c>
      <c r="M73" s="100">
        <v>3111.82</v>
      </c>
      <c r="N73" s="100">
        <v>109.22</v>
      </c>
      <c r="O73" s="100">
        <f t="shared" si="24"/>
        <v>70911.12000000001</v>
      </c>
      <c r="P73" s="67"/>
      <c r="Q73" s="102">
        <v>33.57</v>
      </c>
      <c r="R73" s="67"/>
      <c r="S73" s="103">
        <f t="shared" si="7"/>
        <v>69825.600000000006</v>
      </c>
      <c r="T73" s="103">
        <f t="shared" si="18"/>
        <v>3180.9368604651163</v>
      </c>
      <c r="U73" s="103">
        <f t="shared" si="12"/>
        <v>0</v>
      </c>
      <c r="V73" s="103">
        <f t="shared" si="25"/>
        <v>73006.536860465116</v>
      </c>
      <c r="W73" s="68"/>
      <c r="X73" s="63">
        <f t="shared" si="16"/>
        <v>2095.4168604651059</v>
      </c>
      <c r="Z73" s="120">
        <f t="shared" si="20"/>
        <v>32.79558139534884</v>
      </c>
      <c r="AA73" s="121">
        <f t="shared" si="21"/>
        <v>49.193372093023257</v>
      </c>
      <c r="AB73" s="122">
        <f t="shared" si="22"/>
        <v>2927.0056395348838</v>
      </c>
      <c r="AC73" s="122">
        <f t="shared" si="23"/>
        <v>184.81436046511635</v>
      </c>
    </row>
    <row r="74" spans="1:29">
      <c r="A74" s="31">
        <f t="shared" si="4"/>
        <v>56</v>
      </c>
      <c r="C74" s="31">
        <v>1</v>
      </c>
      <c r="D74" s="31" t="s">
        <v>257</v>
      </c>
      <c r="E74" s="101"/>
      <c r="F74" s="31" t="s">
        <v>247</v>
      </c>
      <c r="H74" s="98">
        <v>2005</v>
      </c>
      <c r="I74" s="98">
        <v>446</v>
      </c>
      <c r="J74" s="98">
        <v>40</v>
      </c>
      <c r="K74" s="99"/>
      <c r="L74" s="100">
        <v>71372.990000000005</v>
      </c>
      <c r="M74" s="100">
        <v>30102.98</v>
      </c>
      <c r="N74" s="100">
        <v>1523.2</v>
      </c>
      <c r="O74" s="100">
        <f t="shared" si="24"/>
        <v>102999.17</v>
      </c>
      <c r="P74" s="67"/>
      <c r="Q74" s="102">
        <v>35.340000000000003</v>
      </c>
      <c r="R74" s="67"/>
      <c r="S74" s="103">
        <f t="shared" si="7"/>
        <v>73507.200000000012</v>
      </c>
      <c r="T74" s="103">
        <f t="shared" si="18"/>
        <v>29930.711665835413</v>
      </c>
      <c r="U74" s="103">
        <f t="shared" si="12"/>
        <v>1413.6000000000001</v>
      </c>
      <c r="V74" s="103">
        <f t="shared" si="25"/>
        <v>104851.51166583542</v>
      </c>
      <c r="W74" s="68"/>
      <c r="X74" s="63">
        <f t="shared" si="16"/>
        <v>1852.3416658354254</v>
      </c>
      <c r="Z74" s="120">
        <f t="shared" si="20"/>
        <v>35.597501246882793</v>
      </c>
      <c r="AA74" s="121">
        <f t="shared" si="21"/>
        <v>53.396251870324193</v>
      </c>
      <c r="AB74" s="122">
        <f t="shared" si="22"/>
        <v>23814.728334164589</v>
      </c>
      <c r="AC74" s="122">
        <f t="shared" si="23"/>
        <v>6288.2516658354107</v>
      </c>
    </row>
    <row r="75" spans="1:29">
      <c r="A75" s="31">
        <f t="shared" si="4"/>
        <v>57</v>
      </c>
      <c r="C75" s="31">
        <v>1</v>
      </c>
      <c r="D75" s="31" t="s">
        <v>258</v>
      </c>
      <c r="E75" s="101"/>
      <c r="F75" s="31" t="s">
        <v>250</v>
      </c>
      <c r="H75" s="98">
        <v>129</v>
      </c>
      <c r="I75" s="98">
        <v>0</v>
      </c>
      <c r="J75" s="98">
        <v>0</v>
      </c>
      <c r="K75" s="99"/>
      <c r="L75" s="100">
        <v>4436.3100000000004</v>
      </c>
      <c r="M75" s="100">
        <v>0</v>
      </c>
      <c r="N75" s="100">
        <v>0</v>
      </c>
      <c r="O75" s="100">
        <f t="shared" si="24"/>
        <v>4436.3100000000004</v>
      </c>
      <c r="P75" s="67"/>
      <c r="Q75" s="102">
        <v>0</v>
      </c>
      <c r="R75" s="67"/>
      <c r="S75" s="103">
        <f t="shared" si="7"/>
        <v>0</v>
      </c>
      <c r="T75" s="103">
        <f t="shared" si="18"/>
        <v>0</v>
      </c>
      <c r="U75" s="103">
        <f t="shared" si="12"/>
        <v>0</v>
      </c>
      <c r="V75" s="103">
        <f t="shared" si="25"/>
        <v>0</v>
      </c>
      <c r="W75" s="68"/>
      <c r="X75" s="63">
        <f t="shared" si="16"/>
        <v>-4436.3100000000004</v>
      </c>
      <c r="Z75" s="120">
        <f t="shared" si="20"/>
        <v>34.39</v>
      </c>
      <c r="AA75" s="121">
        <f t="shared" si="21"/>
        <v>51.585000000000001</v>
      </c>
      <c r="AB75" s="122">
        <f t="shared" si="22"/>
        <v>0</v>
      </c>
      <c r="AC75" s="122">
        <f t="shared" si="23"/>
        <v>0</v>
      </c>
    </row>
    <row r="76" spans="1:29">
      <c r="A76" s="31">
        <f t="shared" si="4"/>
        <v>58</v>
      </c>
      <c r="C76" s="31">
        <v>1</v>
      </c>
      <c r="D76" s="31" t="s">
        <v>259</v>
      </c>
      <c r="E76" s="101"/>
      <c r="F76" s="31" t="s">
        <v>247</v>
      </c>
      <c r="H76" s="98">
        <v>1980.5</v>
      </c>
      <c r="I76" s="98">
        <v>482</v>
      </c>
      <c r="J76" s="98">
        <v>30.5</v>
      </c>
      <c r="K76" s="99"/>
      <c r="L76" s="100">
        <v>70290.17</v>
      </c>
      <c r="M76" s="100">
        <v>29720.58</v>
      </c>
      <c r="N76" s="100">
        <v>1187.32</v>
      </c>
      <c r="O76" s="100">
        <f t="shared" si="24"/>
        <v>101198.07</v>
      </c>
      <c r="P76" s="67"/>
      <c r="Q76" s="102">
        <v>35.340000000000003</v>
      </c>
      <c r="R76" s="67"/>
      <c r="S76" s="103">
        <f t="shared" si="7"/>
        <v>73507.200000000012</v>
      </c>
      <c r="T76" s="103">
        <f t="shared" si="18"/>
        <v>29611.317742994197</v>
      </c>
      <c r="U76" s="103">
        <f t="shared" si="12"/>
        <v>1077.8700000000001</v>
      </c>
      <c r="V76" s="103">
        <f t="shared" si="25"/>
        <v>104196.38774299421</v>
      </c>
      <c r="W76" s="68"/>
      <c r="X76" s="63">
        <f t="shared" si="16"/>
        <v>2998.3177429942007</v>
      </c>
      <c r="Z76" s="120">
        <f t="shared" si="20"/>
        <v>35.49112345367331</v>
      </c>
      <c r="AA76" s="121">
        <f t="shared" si="21"/>
        <v>53.236685180509966</v>
      </c>
      <c r="AB76" s="122">
        <f t="shared" si="22"/>
        <v>25660.082257005804</v>
      </c>
      <c r="AC76" s="122">
        <f t="shared" si="23"/>
        <v>4060.4977429941973</v>
      </c>
    </row>
    <row r="77" spans="1:29">
      <c r="A77" s="31">
        <f t="shared" si="4"/>
        <v>59</v>
      </c>
      <c r="C77" s="31">
        <v>1</v>
      </c>
      <c r="D77" s="31" t="s">
        <v>260</v>
      </c>
      <c r="E77" s="101"/>
      <c r="F77" s="31" t="s">
        <v>247</v>
      </c>
      <c r="H77" s="98">
        <v>1952</v>
      </c>
      <c r="I77" s="98">
        <v>692</v>
      </c>
      <c r="J77" s="98">
        <v>29.21</v>
      </c>
      <c r="K77" s="99"/>
      <c r="L77" s="100">
        <v>70996.42</v>
      </c>
      <c r="M77" s="100">
        <v>43134.77</v>
      </c>
      <c r="N77" s="100">
        <v>1141.72</v>
      </c>
      <c r="O77" s="100">
        <f t="shared" si="24"/>
        <v>115272.91</v>
      </c>
      <c r="P77" s="67"/>
      <c r="Q77" s="102">
        <v>35.340000000000003</v>
      </c>
      <c r="R77" s="67"/>
      <c r="S77" s="103">
        <f t="shared" si="7"/>
        <v>73507.200000000012</v>
      </c>
      <c r="T77" s="103">
        <f t="shared" si="18"/>
        <v>42064.470758196723</v>
      </c>
      <c r="U77" s="103">
        <f t="shared" si="12"/>
        <v>1032.2814000000001</v>
      </c>
      <c r="V77" s="103">
        <f t="shared" si="25"/>
        <v>116603.95215819674</v>
      </c>
      <c r="W77" s="68"/>
      <c r="X77" s="63">
        <f t="shared" si="16"/>
        <v>1331.0421581967385</v>
      </c>
      <c r="Z77" s="120">
        <f t="shared" si="20"/>
        <v>36.371116803278689</v>
      </c>
      <c r="AA77" s="121">
        <f t="shared" si="21"/>
        <v>54.556675204918037</v>
      </c>
      <c r="AB77" s="122">
        <f t="shared" si="22"/>
        <v>37753.219241803279</v>
      </c>
      <c r="AC77" s="122">
        <f t="shared" si="23"/>
        <v>5381.5507581967177</v>
      </c>
    </row>
    <row r="78" spans="1:29">
      <c r="A78" s="31">
        <f t="shared" si="4"/>
        <v>60</v>
      </c>
      <c r="C78" s="31">
        <v>1</v>
      </c>
      <c r="D78" s="31" t="s">
        <v>261</v>
      </c>
      <c r="E78" s="101"/>
      <c r="F78" s="31" t="s">
        <v>247</v>
      </c>
      <c r="H78" s="98">
        <v>1936</v>
      </c>
      <c r="I78" s="98">
        <v>854</v>
      </c>
      <c r="J78" s="98">
        <v>125.94</v>
      </c>
      <c r="K78" s="99"/>
      <c r="L78" s="100">
        <v>55768.24</v>
      </c>
      <c r="M78" s="100">
        <v>36697.32</v>
      </c>
      <c r="N78" s="100">
        <v>3934.24</v>
      </c>
      <c r="O78" s="100">
        <f t="shared" si="24"/>
        <v>96399.8</v>
      </c>
      <c r="P78" s="67"/>
      <c r="Q78" s="102">
        <v>30.04</v>
      </c>
      <c r="R78" s="67"/>
      <c r="S78" s="103">
        <f t="shared" si="7"/>
        <v>62483.199999999997</v>
      </c>
      <c r="T78" s="103">
        <f t="shared" si="18"/>
        <v>38278.19045454546</v>
      </c>
      <c r="U78" s="103">
        <f t="shared" si="12"/>
        <v>3783.2375999999999</v>
      </c>
      <c r="V78" s="103">
        <f t="shared" si="25"/>
        <v>104544.62805454545</v>
      </c>
      <c r="W78" s="68"/>
      <c r="X78" s="63">
        <f t="shared" si="16"/>
        <v>8144.8280545454472</v>
      </c>
      <c r="Z78" s="120">
        <f t="shared" si="20"/>
        <v>28.80590909090909</v>
      </c>
      <c r="AA78" s="121">
        <f t="shared" si="21"/>
        <v>43.208863636363631</v>
      </c>
      <c r="AB78" s="122">
        <f t="shared" si="22"/>
        <v>36900.369545454538</v>
      </c>
      <c r="AC78" s="122">
        <f t="shared" si="23"/>
        <v>-203.04954545453802</v>
      </c>
    </row>
    <row r="79" spans="1:29">
      <c r="A79" s="31">
        <f t="shared" si="4"/>
        <v>61</v>
      </c>
      <c r="C79" s="31">
        <v>1</v>
      </c>
      <c r="D79" s="31" t="s">
        <v>262</v>
      </c>
      <c r="E79" s="101"/>
      <c r="F79" s="31" t="s">
        <v>247</v>
      </c>
      <c r="H79" s="98">
        <v>2064</v>
      </c>
      <c r="I79" s="98">
        <v>144</v>
      </c>
      <c r="J79" s="98">
        <v>51</v>
      </c>
      <c r="K79" s="99"/>
      <c r="L79" s="100">
        <v>55572.480000000003</v>
      </c>
      <c r="M79" s="100">
        <v>5828.72</v>
      </c>
      <c r="N79" s="100">
        <v>1516.13</v>
      </c>
      <c r="O79" s="100">
        <f t="shared" si="24"/>
        <v>62917.33</v>
      </c>
      <c r="P79" s="67"/>
      <c r="Q79" s="102">
        <v>27.57</v>
      </c>
      <c r="R79" s="67"/>
      <c r="S79" s="103">
        <f t="shared" si="7"/>
        <v>57345.599999999999</v>
      </c>
      <c r="T79" s="103">
        <f t="shared" si="18"/>
        <v>5968.1153488372092</v>
      </c>
      <c r="U79" s="103">
        <f t="shared" si="12"/>
        <v>1406.07</v>
      </c>
      <c r="V79" s="103">
        <f t="shared" si="25"/>
        <v>64719.785348837206</v>
      </c>
      <c r="W79" s="68"/>
      <c r="X79" s="63">
        <f t="shared" si="16"/>
        <v>1802.4553488372039</v>
      </c>
      <c r="Z79" s="120">
        <f t="shared" si="20"/>
        <v>26.924651162790699</v>
      </c>
      <c r="AA79" s="121">
        <f t="shared" si="21"/>
        <v>40.38697674418605</v>
      </c>
      <c r="AB79" s="122">
        <f t="shared" si="22"/>
        <v>5815.7246511627909</v>
      </c>
      <c r="AC79" s="122">
        <f t="shared" si="23"/>
        <v>12.995348837209349</v>
      </c>
    </row>
    <row r="80" spans="1:29">
      <c r="A80" s="31">
        <f t="shared" si="4"/>
        <v>62</v>
      </c>
      <c r="C80" s="31">
        <v>1</v>
      </c>
      <c r="D80" s="31" t="s">
        <v>263</v>
      </c>
      <c r="E80" s="101"/>
      <c r="F80" s="31" t="s">
        <v>247</v>
      </c>
      <c r="H80" s="98">
        <v>2040</v>
      </c>
      <c r="I80" s="98">
        <v>407</v>
      </c>
      <c r="J80" s="98">
        <v>136</v>
      </c>
      <c r="K80" s="99"/>
      <c r="L80" s="100">
        <v>78927.89</v>
      </c>
      <c r="M80" s="100">
        <v>26584.32</v>
      </c>
      <c r="N80" s="100">
        <v>5395.81</v>
      </c>
      <c r="O80" s="100">
        <f t="shared" si="24"/>
        <v>110908.01999999999</v>
      </c>
      <c r="P80" s="67"/>
      <c r="Q80" s="102">
        <v>38.869999999999997</v>
      </c>
      <c r="R80" s="67"/>
      <c r="S80" s="103">
        <f t="shared" si="7"/>
        <v>80849.599999999991</v>
      </c>
      <c r="T80" s="103">
        <f t="shared" si="18"/>
        <v>26694.123213235296</v>
      </c>
      <c r="U80" s="103">
        <f t="shared" si="12"/>
        <v>5286.32</v>
      </c>
      <c r="V80" s="103">
        <f t="shared" si="25"/>
        <v>112830.0432132353</v>
      </c>
      <c r="W80" s="68"/>
      <c r="X80" s="63">
        <f t="shared" si="16"/>
        <v>1922.0232132353121</v>
      </c>
      <c r="Z80" s="120">
        <f t="shared" si="20"/>
        <v>38.690142156862741</v>
      </c>
      <c r="AA80" s="121">
        <f t="shared" si="21"/>
        <v>58.035213235294108</v>
      </c>
      <c r="AB80" s="122">
        <f t="shared" si="22"/>
        <v>23620.331786764702</v>
      </c>
      <c r="AC80" s="122">
        <f t="shared" si="23"/>
        <v>2963.9882132352977</v>
      </c>
    </row>
    <row r="81" spans="1:29">
      <c r="A81" s="31">
        <f t="shared" ref="A81:A109" si="26">A80+1</f>
        <v>63</v>
      </c>
      <c r="C81" s="31">
        <v>1</v>
      </c>
      <c r="D81" s="31" t="s">
        <v>264</v>
      </c>
      <c r="E81" s="101"/>
      <c r="F81" s="31" t="s">
        <v>247</v>
      </c>
      <c r="H81" s="98">
        <v>80</v>
      </c>
      <c r="I81" s="98">
        <v>9</v>
      </c>
      <c r="J81" s="98">
        <v>0</v>
      </c>
      <c r="K81" s="99"/>
      <c r="L81" s="100">
        <v>1413.61</v>
      </c>
      <c r="M81" s="100">
        <v>238.55</v>
      </c>
      <c r="N81" s="100">
        <v>0</v>
      </c>
      <c r="O81" s="100">
        <f t="shared" si="24"/>
        <v>1652.1599999999999</v>
      </c>
      <c r="P81" s="67"/>
      <c r="Q81" s="102">
        <v>17.670000000000002</v>
      </c>
      <c r="R81" s="67"/>
      <c r="S81" s="103">
        <f t="shared" si="7"/>
        <v>36753.600000000006</v>
      </c>
      <c r="T81" s="103">
        <f t="shared" si="18"/>
        <v>238.54831250000007</v>
      </c>
      <c r="U81" s="103">
        <f t="shared" si="12"/>
        <v>0</v>
      </c>
      <c r="V81" s="103">
        <f t="shared" si="25"/>
        <v>36992.148312500009</v>
      </c>
      <c r="W81" s="68"/>
      <c r="X81" s="63">
        <f t="shared" si="16"/>
        <v>35339.988312500005</v>
      </c>
      <c r="Z81" s="120">
        <f t="shared" si="20"/>
        <v>17.670124999999999</v>
      </c>
      <c r="AA81" s="121">
        <f t="shared" si="21"/>
        <v>26.505187499999998</v>
      </c>
      <c r="AB81" s="122">
        <f t="shared" si="22"/>
        <v>238.54668749999999</v>
      </c>
      <c r="AC81" s="122">
        <f t="shared" si="23"/>
        <v>3.3125000000211458E-3</v>
      </c>
    </row>
    <row r="82" spans="1:29">
      <c r="A82" s="31">
        <f t="shared" si="26"/>
        <v>64</v>
      </c>
      <c r="C82" s="31">
        <v>1</v>
      </c>
      <c r="D82" s="31" t="s">
        <v>265</v>
      </c>
      <c r="E82" s="101"/>
      <c r="F82" s="31" t="s">
        <v>250</v>
      </c>
      <c r="H82" s="98">
        <v>1948.04</v>
      </c>
      <c r="I82" s="98">
        <v>901</v>
      </c>
      <c r="J82" s="98">
        <v>0</v>
      </c>
      <c r="K82" s="99"/>
      <c r="L82" s="100">
        <v>70871.45</v>
      </c>
      <c r="M82" s="100">
        <v>58629.08</v>
      </c>
      <c r="N82" s="100">
        <v>1753.31</v>
      </c>
      <c r="O82" s="100">
        <f t="shared" si="24"/>
        <v>131253.84</v>
      </c>
      <c r="P82" s="67"/>
      <c r="Q82" s="102">
        <v>0</v>
      </c>
      <c r="R82" s="67"/>
      <c r="S82" s="103">
        <f t="shared" si="7"/>
        <v>0</v>
      </c>
      <c r="T82" s="103">
        <v>0</v>
      </c>
      <c r="U82" s="103">
        <f t="shared" si="12"/>
        <v>0</v>
      </c>
      <c r="V82" s="103">
        <f t="shared" si="25"/>
        <v>0</v>
      </c>
      <c r="W82" s="68"/>
      <c r="X82" s="63">
        <f t="shared" si="16"/>
        <v>-131253.84</v>
      </c>
      <c r="Z82" s="120">
        <f t="shared" si="20"/>
        <v>36.380900802858257</v>
      </c>
      <c r="AA82" s="121">
        <f t="shared" si="21"/>
        <v>54.571351204287382</v>
      </c>
      <c r="AB82" s="122">
        <f t="shared" si="22"/>
        <v>49168.787435062928</v>
      </c>
      <c r="AC82" s="122">
        <f t="shared" si="23"/>
        <v>9460.2925649370736</v>
      </c>
    </row>
    <row r="83" spans="1:29">
      <c r="A83" s="31">
        <f t="shared" si="26"/>
        <v>65</v>
      </c>
      <c r="C83" s="31">
        <v>1</v>
      </c>
      <c r="D83" s="31" t="s">
        <v>266</v>
      </c>
      <c r="E83" s="101"/>
      <c r="F83" s="31" t="s">
        <v>247</v>
      </c>
      <c r="H83" s="98">
        <v>1984</v>
      </c>
      <c r="I83" s="98">
        <v>507.5</v>
      </c>
      <c r="J83" s="98">
        <v>40</v>
      </c>
      <c r="K83" s="99"/>
      <c r="L83" s="100">
        <v>70972.17</v>
      </c>
      <c r="M83" s="100">
        <v>33557.949999999997</v>
      </c>
      <c r="N83" s="100">
        <v>1632.73</v>
      </c>
      <c r="O83" s="100">
        <f t="shared" si="24"/>
        <v>106162.84999999999</v>
      </c>
      <c r="P83" s="67"/>
      <c r="Q83" s="102">
        <v>35.340000000000003</v>
      </c>
      <c r="R83" s="67"/>
      <c r="S83" s="103">
        <f t="shared" si="7"/>
        <v>73507.200000000012</v>
      </c>
      <c r="T83" s="103">
        <f t="shared" si="18"/>
        <v>33228.889711441538</v>
      </c>
      <c r="U83" s="103">
        <f t="shared" si="12"/>
        <v>1413.6000000000001</v>
      </c>
      <c r="V83" s="103">
        <f t="shared" si="25"/>
        <v>108149.68971144155</v>
      </c>
      <c r="W83" s="68"/>
      <c r="X83" s="63">
        <f t="shared" si="16"/>
        <v>1986.8397114415566</v>
      </c>
      <c r="Z83" s="120">
        <f t="shared" si="20"/>
        <v>35.772263104838707</v>
      </c>
      <c r="AA83" s="121">
        <f t="shared" si="21"/>
        <v>53.658394657258057</v>
      </c>
      <c r="AB83" s="122">
        <f t="shared" si="22"/>
        <v>27231.635288558464</v>
      </c>
      <c r="AC83" s="122">
        <f t="shared" si="23"/>
        <v>6326.3147114415333</v>
      </c>
    </row>
    <row r="84" spans="1:29">
      <c r="A84" s="31">
        <f t="shared" si="26"/>
        <v>66</v>
      </c>
      <c r="C84" s="31">
        <v>1</v>
      </c>
      <c r="D84" s="31" t="s">
        <v>267</v>
      </c>
      <c r="E84" s="101"/>
      <c r="F84" s="31" t="s">
        <v>247</v>
      </c>
      <c r="H84" s="98">
        <v>2008</v>
      </c>
      <c r="I84" s="98">
        <v>410</v>
      </c>
      <c r="J84" s="98">
        <v>40</v>
      </c>
      <c r="K84" s="99"/>
      <c r="L84" s="100">
        <v>72125.77</v>
      </c>
      <c r="M84" s="100">
        <v>28429.9</v>
      </c>
      <c r="N84" s="100">
        <v>1523.05</v>
      </c>
      <c r="O84" s="100">
        <f t="shared" si="24"/>
        <v>102078.72000000002</v>
      </c>
      <c r="P84" s="67"/>
      <c r="Q84" s="102">
        <v>35.340000000000003</v>
      </c>
      <c r="R84" s="67"/>
      <c r="S84" s="103">
        <f t="shared" si="7"/>
        <v>73507.200000000012</v>
      </c>
      <c r="T84" s="103">
        <f t="shared" si="18"/>
        <v>28073.686977091635</v>
      </c>
      <c r="U84" s="103">
        <f t="shared" si="12"/>
        <v>1413.6000000000001</v>
      </c>
      <c r="V84" s="103">
        <f t="shared" si="25"/>
        <v>102994.48697709166</v>
      </c>
      <c r="W84" s="68"/>
      <c r="X84" s="63">
        <f t="shared" si="16"/>
        <v>915.76697709164</v>
      </c>
      <c r="Z84" s="120">
        <f t="shared" si="20"/>
        <v>35.91920816733068</v>
      </c>
      <c r="AA84" s="121">
        <f t="shared" si="21"/>
        <v>53.87881225099602</v>
      </c>
      <c r="AB84" s="122">
        <f t="shared" si="22"/>
        <v>22090.313022908369</v>
      </c>
      <c r="AC84" s="122">
        <f t="shared" si="23"/>
        <v>6339.5869770916324</v>
      </c>
    </row>
    <row r="85" spans="1:29">
      <c r="A85" s="31">
        <f t="shared" si="26"/>
        <v>67</v>
      </c>
      <c r="C85" s="31">
        <v>1</v>
      </c>
      <c r="D85" s="31" t="s">
        <v>268</v>
      </c>
      <c r="E85" s="101"/>
      <c r="F85" s="31" t="s">
        <v>247</v>
      </c>
      <c r="H85" s="98">
        <v>1960</v>
      </c>
      <c r="I85" s="98">
        <v>545.5</v>
      </c>
      <c r="J85" s="98">
        <v>0</v>
      </c>
      <c r="K85" s="99"/>
      <c r="L85" s="100">
        <v>69374.64</v>
      </c>
      <c r="M85" s="100">
        <v>34566.75</v>
      </c>
      <c r="N85" s="100">
        <v>109.51</v>
      </c>
      <c r="O85" s="100">
        <f t="shared" si="24"/>
        <v>104050.9</v>
      </c>
      <c r="P85" s="67"/>
      <c r="Q85" s="102">
        <v>35.340000000000003</v>
      </c>
      <c r="R85" s="67"/>
      <c r="S85" s="103">
        <f t="shared" si="7"/>
        <v>73507.200000000012</v>
      </c>
      <c r="T85" s="103">
        <f t="shared" si="18"/>
        <v>34521.562561224491</v>
      </c>
      <c r="U85" s="103">
        <f t="shared" si="12"/>
        <v>0</v>
      </c>
      <c r="V85" s="103">
        <f t="shared" si="25"/>
        <v>108028.7625612245</v>
      </c>
      <c r="W85" s="68"/>
      <c r="X85" s="63">
        <f t="shared" si="16"/>
        <v>3977.8625612245087</v>
      </c>
      <c r="Z85" s="120">
        <f t="shared" si="20"/>
        <v>35.395224489795915</v>
      </c>
      <c r="AA85" s="121">
        <f t="shared" si="21"/>
        <v>53.092836734693876</v>
      </c>
      <c r="AB85" s="122">
        <f t="shared" si="22"/>
        <v>28962.142438775511</v>
      </c>
      <c r="AC85" s="122">
        <f t="shared" si="23"/>
        <v>5604.6075612244895</v>
      </c>
    </row>
    <row r="86" spans="1:29">
      <c r="A86" s="31">
        <f t="shared" si="26"/>
        <v>68</v>
      </c>
      <c r="C86" s="31">
        <v>1</v>
      </c>
      <c r="D86" s="31" t="s">
        <v>269</v>
      </c>
      <c r="E86" s="101"/>
      <c r="F86" s="31" t="s">
        <v>247</v>
      </c>
      <c r="H86" s="98">
        <v>2000</v>
      </c>
      <c r="I86" s="98">
        <v>435</v>
      </c>
      <c r="J86" s="98">
        <v>0</v>
      </c>
      <c r="K86" s="99"/>
      <c r="L86" s="100">
        <v>54911.360000000001</v>
      </c>
      <c r="M86" s="100">
        <v>18616.080000000002</v>
      </c>
      <c r="N86" s="100">
        <v>109.35</v>
      </c>
      <c r="O86" s="100">
        <f t="shared" si="24"/>
        <v>73636.790000000008</v>
      </c>
      <c r="P86" s="67"/>
      <c r="Q86" s="102">
        <v>30.04</v>
      </c>
      <c r="R86" s="67"/>
      <c r="S86" s="103">
        <f t="shared" si="7"/>
        <v>62483.199999999997</v>
      </c>
      <c r="T86" s="103">
        <f t="shared" si="18"/>
        <v>20302.3488</v>
      </c>
      <c r="U86" s="103">
        <f t="shared" si="12"/>
        <v>0</v>
      </c>
      <c r="V86" s="103">
        <f t="shared" si="25"/>
        <v>82785.54879999999</v>
      </c>
      <c r="W86" s="68"/>
      <c r="X86" s="63">
        <f t="shared" si="16"/>
        <v>9148.7587999999814</v>
      </c>
      <c r="Z86" s="120">
        <f t="shared" si="20"/>
        <v>27.455680000000001</v>
      </c>
      <c r="AA86" s="121">
        <f t="shared" si="21"/>
        <v>41.183520000000001</v>
      </c>
      <c r="AB86" s="122">
        <f t="shared" si="22"/>
        <v>17914.831200000001</v>
      </c>
      <c r="AC86" s="122">
        <f t="shared" si="23"/>
        <v>701.24880000000121</v>
      </c>
    </row>
    <row r="87" spans="1:29">
      <c r="A87" s="31">
        <f t="shared" si="26"/>
        <v>69</v>
      </c>
      <c r="C87" s="31">
        <v>1</v>
      </c>
      <c r="D87" s="31" t="s">
        <v>270</v>
      </c>
      <c r="E87" s="101"/>
      <c r="F87" s="31" t="s">
        <v>247</v>
      </c>
      <c r="H87" s="98">
        <v>2032</v>
      </c>
      <c r="I87" s="98">
        <v>379.5</v>
      </c>
      <c r="J87" s="98">
        <v>5.34</v>
      </c>
      <c r="K87" s="99"/>
      <c r="L87" s="100">
        <v>72318.77</v>
      </c>
      <c r="M87" s="100">
        <v>25436.74</v>
      </c>
      <c r="N87" s="100">
        <v>308.51</v>
      </c>
      <c r="O87" s="100">
        <f t="shared" si="24"/>
        <v>98064.02</v>
      </c>
      <c r="P87" s="67"/>
      <c r="Q87" s="102">
        <v>35.340000000000003</v>
      </c>
      <c r="R87" s="67"/>
      <c r="S87" s="103">
        <f t="shared" si="7"/>
        <v>73507.200000000012</v>
      </c>
      <c r="T87" s="103">
        <f t="shared" si="18"/>
        <v>25294.458315698823</v>
      </c>
      <c r="U87" s="103">
        <f t="shared" si="12"/>
        <v>188.71560000000002</v>
      </c>
      <c r="V87" s="103">
        <f t="shared" si="25"/>
        <v>98990.37391569883</v>
      </c>
      <c r="W87" s="68"/>
      <c r="X87" s="63">
        <f t="shared" si="16"/>
        <v>926.35391569882631</v>
      </c>
      <c r="Z87" s="120">
        <f t="shared" si="20"/>
        <v>35.589945866141733</v>
      </c>
      <c r="AA87" s="121">
        <f t="shared" si="21"/>
        <v>53.384918799212599</v>
      </c>
      <c r="AB87" s="122">
        <f t="shared" si="22"/>
        <v>20259.576684301181</v>
      </c>
      <c r="AC87" s="122">
        <f t="shared" si="23"/>
        <v>5177.163315698821</v>
      </c>
    </row>
    <row r="88" spans="1:29">
      <c r="A88" s="31">
        <f t="shared" si="26"/>
        <v>70</v>
      </c>
      <c r="C88" s="31">
        <v>1</v>
      </c>
      <c r="D88" s="31" t="s">
        <v>271</v>
      </c>
      <c r="E88" s="101"/>
      <c r="F88" s="31" t="s">
        <v>247</v>
      </c>
      <c r="H88" s="98">
        <v>80</v>
      </c>
      <c r="I88" s="98">
        <v>9</v>
      </c>
      <c r="J88" s="98">
        <v>0</v>
      </c>
      <c r="K88" s="99"/>
      <c r="L88" s="100">
        <v>1413.61</v>
      </c>
      <c r="M88" s="100">
        <v>238.55</v>
      </c>
      <c r="N88" s="100">
        <v>0</v>
      </c>
      <c r="O88" s="100">
        <f t="shared" si="24"/>
        <v>1652.1599999999999</v>
      </c>
      <c r="P88" s="67"/>
      <c r="Q88" s="102">
        <v>17.670000000000002</v>
      </c>
      <c r="R88" s="67"/>
      <c r="S88" s="103">
        <f t="shared" si="7"/>
        <v>36753.600000000006</v>
      </c>
      <c r="T88" s="103">
        <f t="shared" si="18"/>
        <v>238.54831250000007</v>
      </c>
      <c r="U88" s="103">
        <f t="shared" si="12"/>
        <v>0</v>
      </c>
      <c r="V88" s="103">
        <f t="shared" si="25"/>
        <v>36992.148312500009</v>
      </c>
      <c r="W88" s="68"/>
      <c r="X88" s="63">
        <f t="shared" si="16"/>
        <v>35339.988312500005</v>
      </c>
      <c r="Z88" s="120">
        <f t="shared" si="20"/>
        <v>17.670124999999999</v>
      </c>
      <c r="AA88" s="121">
        <f t="shared" si="21"/>
        <v>26.505187499999998</v>
      </c>
      <c r="AB88" s="122">
        <f t="shared" si="22"/>
        <v>238.54668749999999</v>
      </c>
      <c r="AC88" s="122">
        <f t="shared" si="23"/>
        <v>3.3125000000211458E-3</v>
      </c>
    </row>
    <row r="89" spans="1:29">
      <c r="A89" s="31">
        <f t="shared" si="26"/>
        <v>71</v>
      </c>
      <c r="C89" s="31">
        <v>1</v>
      </c>
      <c r="D89" s="31" t="s">
        <v>272</v>
      </c>
      <c r="E89" s="101"/>
      <c r="F89" s="31" t="s">
        <v>247</v>
      </c>
      <c r="H89" s="98">
        <v>1808</v>
      </c>
      <c r="I89" s="98">
        <v>1462.5</v>
      </c>
      <c r="J89" s="98">
        <v>72</v>
      </c>
      <c r="K89" s="99"/>
      <c r="L89" s="100">
        <v>53042.239999999998</v>
      </c>
      <c r="M89" s="100">
        <v>64418.77</v>
      </c>
      <c r="N89" s="100">
        <v>2272.4499999999998</v>
      </c>
      <c r="O89" s="100">
        <f t="shared" si="24"/>
        <v>119733.45999999999</v>
      </c>
      <c r="P89" s="67"/>
      <c r="Q89" s="102">
        <v>30.04</v>
      </c>
      <c r="R89" s="67"/>
      <c r="S89" s="103">
        <f t="shared" si="7"/>
        <v>62483.199999999997</v>
      </c>
      <c r="T89" s="103">
        <f t="shared" si="18"/>
        <v>65959.83084070796</v>
      </c>
      <c r="U89" s="103">
        <f t="shared" si="12"/>
        <v>2162.88</v>
      </c>
      <c r="V89" s="103">
        <f t="shared" si="25"/>
        <v>130605.91084070796</v>
      </c>
      <c r="W89" s="68"/>
      <c r="X89" s="63">
        <f t="shared" si="16"/>
        <v>10872.45084070797</v>
      </c>
      <c r="Z89" s="120">
        <f t="shared" si="20"/>
        <v>29.337522123893805</v>
      </c>
      <c r="AA89" s="121">
        <f t="shared" si="21"/>
        <v>44.006283185840708</v>
      </c>
      <c r="AB89" s="122">
        <f t="shared" si="22"/>
        <v>64359.189159292036</v>
      </c>
      <c r="AC89" s="122">
        <f t="shared" si="23"/>
        <v>59.580840707960306</v>
      </c>
    </row>
    <row r="90" spans="1:29">
      <c r="A90" s="31">
        <f t="shared" si="26"/>
        <v>72</v>
      </c>
      <c r="C90" s="31">
        <v>1</v>
      </c>
      <c r="D90" s="31" t="s">
        <v>273</v>
      </c>
      <c r="E90" s="101"/>
      <c r="F90" s="31" t="s">
        <v>247</v>
      </c>
      <c r="H90" s="98">
        <v>80</v>
      </c>
      <c r="I90" s="98">
        <v>9</v>
      </c>
      <c r="J90" s="98">
        <v>0</v>
      </c>
      <c r="K90" s="99"/>
      <c r="L90" s="100">
        <v>1979.2</v>
      </c>
      <c r="M90" s="100">
        <v>334</v>
      </c>
      <c r="N90" s="100">
        <v>0</v>
      </c>
      <c r="O90" s="100">
        <f t="shared" si="24"/>
        <v>2313.1999999999998</v>
      </c>
      <c r="P90" s="67"/>
      <c r="Q90" s="102">
        <v>24.74</v>
      </c>
      <c r="R90" s="67"/>
      <c r="S90" s="103">
        <f t="shared" si="7"/>
        <v>51459.199999999997</v>
      </c>
      <c r="T90" s="103">
        <f t="shared" si="18"/>
        <v>334</v>
      </c>
      <c r="U90" s="103">
        <f t="shared" si="12"/>
        <v>0</v>
      </c>
      <c r="V90" s="103">
        <f t="shared" si="25"/>
        <v>51793.2</v>
      </c>
      <c r="W90" s="68"/>
      <c r="X90" s="63">
        <f t="shared" si="16"/>
        <v>49480</v>
      </c>
      <c r="Z90" s="120">
        <f t="shared" si="20"/>
        <v>24.740000000000002</v>
      </c>
      <c r="AA90" s="121">
        <f t="shared" si="21"/>
        <v>37.11</v>
      </c>
      <c r="AB90" s="122">
        <f t="shared" si="22"/>
        <v>333.99</v>
      </c>
      <c r="AC90" s="122">
        <f t="shared" si="23"/>
        <v>9.9999999999909051E-3</v>
      </c>
    </row>
    <row r="91" spans="1:29">
      <c r="A91" s="31">
        <f t="shared" si="26"/>
        <v>73</v>
      </c>
      <c r="C91" s="31">
        <v>1</v>
      </c>
      <c r="D91" s="31" t="s">
        <v>274</v>
      </c>
      <c r="E91" s="101"/>
      <c r="F91" s="31" t="s">
        <v>247</v>
      </c>
      <c r="H91" s="98">
        <v>2000</v>
      </c>
      <c r="I91" s="98">
        <v>409</v>
      </c>
      <c r="J91" s="98">
        <v>0</v>
      </c>
      <c r="K91" s="99"/>
      <c r="L91" s="100">
        <v>72964.820000000007</v>
      </c>
      <c r="M91" s="100">
        <v>27854.41</v>
      </c>
      <c r="N91" s="100">
        <v>109.6</v>
      </c>
      <c r="O91" s="100">
        <f t="shared" si="24"/>
        <v>100928.83000000002</v>
      </c>
      <c r="P91" s="67"/>
      <c r="Q91" s="102">
        <v>35.340000000000003</v>
      </c>
      <c r="R91" s="67"/>
      <c r="S91" s="103">
        <f t="shared" si="7"/>
        <v>73507.200000000012</v>
      </c>
      <c r="T91" s="103">
        <f t="shared" si="18"/>
        <v>27153.541465000002</v>
      </c>
      <c r="U91" s="103">
        <f t="shared" si="12"/>
        <v>0</v>
      </c>
      <c r="V91" s="103">
        <f t="shared" si="25"/>
        <v>100660.74146500001</v>
      </c>
      <c r="W91" s="68"/>
      <c r="X91" s="63">
        <f t="shared" si="16"/>
        <v>-268.08853500000259</v>
      </c>
      <c r="Z91" s="120">
        <f t="shared" si="20"/>
        <v>36.482410000000002</v>
      </c>
      <c r="AA91" s="121">
        <f t="shared" si="21"/>
        <v>54.723615000000002</v>
      </c>
      <c r="AB91" s="122">
        <f t="shared" si="22"/>
        <v>22381.958535000002</v>
      </c>
      <c r="AC91" s="122">
        <f t="shared" si="23"/>
        <v>5472.4514649999983</v>
      </c>
    </row>
    <row r="92" spans="1:29">
      <c r="A92" s="31">
        <f t="shared" si="26"/>
        <v>74</v>
      </c>
      <c r="C92" s="31">
        <v>1</v>
      </c>
      <c r="D92" s="31" t="s">
        <v>275</v>
      </c>
      <c r="E92" s="101"/>
      <c r="F92" s="31" t="s">
        <v>247</v>
      </c>
      <c r="H92" s="98">
        <v>2032</v>
      </c>
      <c r="I92" s="98">
        <v>278</v>
      </c>
      <c r="J92" s="98">
        <v>0</v>
      </c>
      <c r="K92" s="99"/>
      <c r="L92" s="100">
        <v>78630.23</v>
      </c>
      <c r="M92" s="100">
        <v>20432.849999999999</v>
      </c>
      <c r="N92" s="100">
        <v>109.62</v>
      </c>
      <c r="O92" s="100">
        <f t="shared" si="24"/>
        <v>99172.699999999983</v>
      </c>
      <c r="P92" s="67"/>
      <c r="Q92" s="102">
        <v>38.869999999999997</v>
      </c>
      <c r="R92" s="67"/>
      <c r="S92" s="103">
        <f t="shared" si="7"/>
        <v>80849.599999999991</v>
      </c>
      <c r="T92" s="103">
        <f t="shared" si="18"/>
        <v>20505.416619094485</v>
      </c>
      <c r="U92" s="103">
        <f t="shared" si="12"/>
        <v>0</v>
      </c>
      <c r="V92" s="103">
        <f t="shared" si="25"/>
        <v>101355.01661909447</v>
      </c>
      <c r="W92" s="68"/>
      <c r="X92" s="63">
        <f t="shared" si="16"/>
        <v>2182.3166190944903</v>
      </c>
      <c r="Z92" s="120">
        <f t="shared" si="20"/>
        <v>38.69597933070866</v>
      </c>
      <c r="AA92" s="121">
        <f t="shared" si="21"/>
        <v>58.043968996062986</v>
      </c>
      <c r="AB92" s="122">
        <f t="shared" si="22"/>
        <v>16136.223380905511</v>
      </c>
      <c r="AC92" s="122">
        <f t="shared" si="23"/>
        <v>4296.626619094488</v>
      </c>
    </row>
    <row r="93" spans="1:29">
      <c r="A93" s="31">
        <f t="shared" si="26"/>
        <v>75</v>
      </c>
      <c r="C93" s="31">
        <v>1</v>
      </c>
      <c r="D93" s="31" t="s">
        <v>276</v>
      </c>
      <c r="E93" s="101"/>
      <c r="F93" s="31" t="s">
        <v>247</v>
      </c>
      <c r="H93" s="98">
        <v>2008</v>
      </c>
      <c r="I93" s="98">
        <v>324.5</v>
      </c>
      <c r="J93" s="98">
        <v>1.4</v>
      </c>
      <c r="K93" s="99"/>
      <c r="L93" s="100">
        <v>70783.39</v>
      </c>
      <c r="M93" s="100">
        <v>20707.87</v>
      </c>
      <c r="N93" s="100">
        <v>158.94</v>
      </c>
      <c r="O93" s="100">
        <f t="shared" si="24"/>
        <v>91650.2</v>
      </c>
      <c r="P93" s="67"/>
      <c r="Q93" s="102">
        <v>35.340000000000003</v>
      </c>
      <c r="R93" s="67"/>
      <c r="S93" s="103">
        <f t="shared" si="7"/>
        <v>73507.200000000012</v>
      </c>
      <c r="T93" s="103">
        <f t="shared" si="18"/>
        <v>20751.340556523908</v>
      </c>
      <c r="U93" s="103">
        <f t="shared" si="12"/>
        <v>49.475999999999999</v>
      </c>
      <c r="V93" s="103">
        <f t="shared" si="25"/>
        <v>94308.016556523915</v>
      </c>
      <c r="W93" s="68"/>
      <c r="X93" s="63">
        <f t="shared" si="16"/>
        <v>2657.8165565239178</v>
      </c>
      <c r="Z93" s="120">
        <f t="shared" si="20"/>
        <v>35.250692231075696</v>
      </c>
      <c r="AA93" s="121">
        <f t="shared" si="21"/>
        <v>52.876038346613541</v>
      </c>
      <c r="AB93" s="122">
        <f t="shared" si="22"/>
        <v>17158.274443476093</v>
      </c>
      <c r="AC93" s="122">
        <f t="shared" si="23"/>
        <v>3549.5955565239055</v>
      </c>
    </row>
    <row r="94" spans="1:29">
      <c r="A94" s="31">
        <f t="shared" si="26"/>
        <v>76</v>
      </c>
      <c r="C94" s="31">
        <v>1</v>
      </c>
      <c r="D94" s="31" t="s">
        <v>277</v>
      </c>
      <c r="E94" s="101"/>
      <c r="F94" s="31" t="s">
        <v>247</v>
      </c>
      <c r="H94" s="98">
        <v>2008</v>
      </c>
      <c r="I94" s="98">
        <v>310.5</v>
      </c>
      <c r="J94" s="98">
        <v>24</v>
      </c>
      <c r="K94" s="99"/>
      <c r="L94" s="100">
        <v>56458.400000000001</v>
      </c>
      <c r="M94" s="100">
        <v>13160.65</v>
      </c>
      <c r="N94" s="100">
        <v>109.45</v>
      </c>
      <c r="O94" s="100">
        <f t="shared" si="24"/>
        <v>69728.5</v>
      </c>
      <c r="P94" s="67"/>
      <c r="Q94" s="102">
        <v>30.04</v>
      </c>
      <c r="R94" s="67"/>
      <c r="S94" s="103">
        <f t="shared" si="7"/>
        <v>62483.199999999997</v>
      </c>
      <c r="T94" s="103">
        <f t="shared" si="18"/>
        <v>14056.411573705182</v>
      </c>
      <c r="U94" s="103">
        <f t="shared" si="12"/>
        <v>720.96</v>
      </c>
      <c r="V94" s="103">
        <f t="shared" si="25"/>
        <v>77260.57157370518</v>
      </c>
      <c r="W94" s="68"/>
      <c r="X94" s="63">
        <f t="shared" si="16"/>
        <v>7532.0715737051796</v>
      </c>
      <c r="Z94" s="120">
        <f t="shared" si="20"/>
        <v>28.116733067729083</v>
      </c>
      <c r="AA94" s="121">
        <f t="shared" si="21"/>
        <v>42.175099601593622</v>
      </c>
      <c r="AB94" s="122">
        <f t="shared" si="22"/>
        <v>13095.368426294819</v>
      </c>
      <c r="AC94" s="122">
        <f t="shared" si="23"/>
        <v>65.281573705180563</v>
      </c>
    </row>
    <row r="95" spans="1:29">
      <c r="A95" s="31">
        <f t="shared" si="26"/>
        <v>77</v>
      </c>
      <c r="C95" s="31">
        <v>1</v>
      </c>
      <c r="D95" s="31" t="s">
        <v>278</v>
      </c>
      <c r="E95" s="101"/>
      <c r="F95" s="31" t="s">
        <v>247</v>
      </c>
      <c r="H95" s="98">
        <v>2032</v>
      </c>
      <c r="I95" s="98">
        <v>409.5</v>
      </c>
      <c r="J95" s="98">
        <v>70.17</v>
      </c>
      <c r="K95" s="99"/>
      <c r="L95" s="100">
        <v>79543.149999999994</v>
      </c>
      <c r="M95" s="100">
        <v>28385.02</v>
      </c>
      <c r="N95" s="100">
        <v>3055.75</v>
      </c>
      <c r="O95" s="100">
        <f t="shared" si="24"/>
        <v>110983.92</v>
      </c>
      <c r="P95" s="67"/>
      <c r="Q95" s="102">
        <v>38.869999999999997</v>
      </c>
      <c r="R95" s="67"/>
      <c r="S95" s="103">
        <f t="shared" si="7"/>
        <v>80849.599999999991</v>
      </c>
      <c r="T95" s="103">
        <f t="shared" si="18"/>
        <v>28215.947082923227</v>
      </c>
      <c r="U95" s="103">
        <f t="shared" si="12"/>
        <v>2727.5079000000001</v>
      </c>
      <c r="V95" s="103">
        <f t="shared" si="25"/>
        <v>111793.05498292322</v>
      </c>
      <c r="W95" s="68"/>
      <c r="X95" s="63">
        <f t="shared" si="16"/>
        <v>809.13498292322038</v>
      </c>
      <c r="Z95" s="120">
        <f t="shared" si="20"/>
        <v>39.145250984251966</v>
      </c>
      <c r="AA95" s="121">
        <f t="shared" si="21"/>
        <v>58.717876476377953</v>
      </c>
      <c r="AB95" s="122">
        <f t="shared" si="22"/>
        <v>24044.970417076773</v>
      </c>
      <c r="AC95" s="122">
        <f t="shared" si="23"/>
        <v>4340.0495829232277</v>
      </c>
    </row>
    <row r="96" spans="1:29">
      <c r="A96" s="31">
        <f t="shared" si="26"/>
        <v>78</v>
      </c>
      <c r="C96" s="31">
        <v>1</v>
      </c>
      <c r="D96" s="31" t="s">
        <v>279</v>
      </c>
      <c r="E96" s="101"/>
      <c r="F96" s="31" t="s">
        <v>247</v>
      </c>
      <c r="H96" s="98">
        <v>2008</v>
      </c>
      <c r="I96" s="98">
        <v>372</v>
      </c>
      <c r="J96" s="98">
        <v>36.67</v>
      </c>
      <c r="K96" s="99"/>
      <c r="L96" s="100">
        <v>77961.42</v>
      </c>
      <c r="M96" s="100">
        <v>27108.74</v>
      </c>
      <c r="N96" s="100">
        <v>1808.44</v>
      </c>
      <c r="O96" s="100">
        <f t="shared" si="24"/>
        <v>106878.6</v>
      </c>
      <c r="P96" s="67"/>
      <c r="Q96" s="102">
        <v>38.869999999999997</v>
      </c>
      <c r="R96" s="67"/>
      <c r="S96" s="103">
        <f t="shared" ref="S96:S98" si="27">2080*Q96</f>
        <v>80849.599999999991</v>
      </c>
      <c r="T96" s="103">
        <f t="shared" si="18"/>
        <v>27133.622131474105</v>
      </c>
      <c r="U96" s="103">
        <f t="shared" si="12"/>
        <v>1425.3629000000001</v>
      </c>
      <c r="V96" s="103">
        <f t="shared" si="25"/>
        <v>109408.5850314741</v>
      </c>
      <c r="W96" s="68"/>
      <c r="X96" s="63">
        <f t="shared" si="16"/>
        <v>2529.9850314740906</v>
      </c>
      <c r="Z96" s="120">
        <f t="shared" si="20"/>
        <v>38.825408366533864</v>
      </c>
      <c r="AA96" s="121">
        <f t="shared" si="21"/>
        <v>58.238112549800796</v>
      </c>
      <c r="AB96" s="122">
        <f t="shared" si="22"/>
        <v>21664.577868525896</v>
      </c>
      <c r="AC96" s="122">
        <f t="shared" si="23"/>
        <v>5444.162131474106</v>
      </c>
    </row>
    <row r="97" spans="1:29">
      <c r="A97" s="31">
        <f t="shared" si="26"/>
        <v>79</v>
      </c>
      <c r="C97" s="31">
        <v>1</v>
      </c>
      <c r="D97" s="31" t="s">
        <v>280</v>
      </c>
      <c r="E97" s="101"/>
      <c r="F97" s="31" t="s">
        <v>247</v>
      </c>
      <c r="H97" s="98">
        <v>2086</v>
      </c>
      <c r="I97" s="98">
        <v>277</v>
      </c>
      <c r="J97" s="98">
        <v>60</v>
      </c>
      <c r="K97" s="99"/>
      <c r="L97" s="100">
        <v>51694.91</v>
      </c>
      <c r="M97" s="100">
        <v>9192.94</v>
      </c>
      <c r="N97" s="100">
        <v>1913.07</v>
      </c>
      <c r="O97" s="100">
        <f t="shared" si="24"/>
        <v>62800.920000000006</v>
      </c>
      <c r="P97" s="67"/>
      <c r="Q97" s="102">
        <v>30.04</v>
      </c>
      <c r="R97" s="67"/>
      <c r="S97" s="103">
        <f t="shared" si="27"/>
        <v>62483.199999999997</v>
      </c>
      <c r="T97" s="103">
        <f t="shared" si="18"/>
        <v>11377.707121284753</v>
      </c>
      <c r="U97" s="103">
        <f t="shared" si="12"/>
        <v>1802.3999999999999</v>
      </c>
      <c r="V97" s="103">
        <f t="shared" si="25"/>
        <v>75663.307121284743</v>
      </c>
      <c r="W97" s="68"/>
      <c r="X97" s="63">
        <f t="shared" si="16"/>
        <v>12862.387121284737</v>
      </c>
      <c r="Z97" s="120">
        <f t="shared" si="20"/>
        <v>24.781836049856185</v>
      </c>
      <c r="AA97" s="121">
        <f t="shared" si="21"/>
        <v>37.17275407478428</v>
      </c>
      <c r="AB97" s="122">
        <f t="shared" si="22"/>
        <v>10296.852878715246</v>
      </c>
      <c r="AC97" s="122">
        <f t="shared" si="23"/>
        <v>-1103.9128787152458</v>
      </c>
    </row>
    <row r="98" spans="1:29">
      <c r="A98" s="31">
        <f t="shared" si="26"/>
        <v>80</v>
      </c>
      <c r="C98" s="31">
        <v>1</v>
      </c>
      <c r="D98" s="31" t="s">
        <v>281</v>
      </c>
      <c r="E98" s="101"/>
      <c r="F98" s="31" t="s">
        <v>247</v>
      </c>
      <c r="H98" s="98">
        <v>2000</v>
      </c>
      <c r="I98" s="98">
        <v>481.5</v>
      </c>
      <c r="J98" s="98">
        <v>92.69</v>
      </c>
      <c r="K98" s="99"/>
      <c r="L98" s="100">
        <v>72265.91</v>
      </c>
      <c r="M98" s="100">
        <v>32969.47</v>
      </c>
      <c r="N98" s="100">
        <v>3385.2</v>
      </c>
      <c r="O98" s="100">
        <f t="shared" si="24"/>
        <v>108620.58</v>
      </c>
      <c r="P98" s="67"/>
      <c r="Q98" s="102">
        <v>35.340000000000003</v>
      </c>
      <c r="R98" s="67"/>
      <c r="S98" s="103">
        <f t="shared" si="27"/>
        <v>73507.200000000012</v>
      </c>
      <c r="T98" s="103">
        <f t="shared" si="18"/>
        <v>32396.758251250005</v>
      </c>
      <c r="U98" s="103">
        <f t="shared" si="12"/>
        <v>3275.6646000000001</v>
      </c>
      <c r="V98" s="103">
        <f t="shared" si="25"/>
        <v>109179.62285125002</v>
      </c>
      <c r="W98" s="68"/>
      <c r="X98" s="63">
        <f t="shared" si="16"/>
        <v>559.04285125002207</v>
      </c>
      <c r="Z98" s="120">
        <f t="shared" si="20"/>
        <v>36.132955000000003</v>
      </c>
      <c r="AA98" s="121">
        <f t="shared" si="21"/>
        <v>54.1994325</v>
      </c>
      <c r="AB98" s="122">
        <f t="shared" si="22"/>
        <v>26097.026748749999</v>
      </c>
      <c r="AC98" s="122">
        <f t="shared" si="23"/>
        <v>6872.4432512500025</v>
      </c>
    </row>
    <row r="99" spans="1:29">
      <c r="A99" s="31">
        <f t="shared" si="26"/>
        <v>81</v>
      </c>
      <c r="C99" s="33">
        <f>SUM(C58:C98,C32:C53)</f>
        <v>63</v>
      </c>
      <c r="D99" s="33" t="s">
        <v>100</v>
      </c>
      <c r="E99" s="57" t="s">
        <v>100</v>
      </c>
      <c r="F99" s="33"/>
      <c r="H99" s="205">
        <f>SUM(H32:H53,H58:H98)</f>
        <v>108059.52999999998</v>
      </c>
      <c r="I99" s="205">
        <f>SUM(I32:I53,I58:I98)</f>
        <v>17276</v>
      </c>
      <c r="J99" s="205">
        <f>SUM(J32:J53,J58:J98)</f>
        <v>2867.8100000000009</v>
      </c>
      <c r="K99" s="123"/>
      <c r="L99" s="206">
        <f>SUM(L32:L53,L58:L98)</f>
        <v>3056828.47</v>
      </c>
      <c r="M99" s="206">
        <f>SUM(M32:M53,M58:M98)</f>
        <v>931494.14999999991</v>
      </c>
      <c r="N99" s="206">
        <f>SUM(N32:N53,N58:N98)</f>
        <v>83453.649999999994</v>
      </c>
      <c r="O99" s="206">
        <f>SUM(O32:O53,O58:O98)</f>
        <v>4071776.2700000014</v>
      </c>
      <c r="P99" s="124"/>
      <c r="Q99" s="206"/>
      <c r="R99" s="124"/>
      <c r="S99" s="206">
        <f>SUM(S32:S53,S58:S98)</f>
        <v>3456067.1600000034</v>
      </c>
      <c r="T99" s="206">
        <f>SUM(T32:T53,T58:T98)</f>
        <v>873789.2127198095</v>
      </c>
      <c r="U99" s="206">
        <f>SUM(U32:U53,U58:U98)</f>
        <v>80817.6872</v>
      </c>
      <c r="V99" s="206">
        <f>SUM(V32:V53,V58:V98)</f>
        <v>4410674.0599198099</v>
      </c>
      <c r="W99" s="125"/>
      <c r="X99" s="206">
        <f>SUM(X32:X53,X58:X98)</f>
        <v>338897.78991980967</v>
      </c>
      <c r="AA99" s="104"/>
    </row>
    <row r="100" spans="1:29">
      <c r="C100" s="31" t="s">
        <v>530</v>
      </c>
      <c r="H100" s="217"/>
      <c r="I100" s="217"/>
      <c r="J100" s="217"/>
      <c r="K100" s="123"/>
      <c r="L100" s="218"/>
      <c r="M100" s="218"/>
      <c r="N100" s="218"/>
      <c r="O100" s="218"/>
      <c r="P100" s="124"/>
      <c r="Q100" s="218"/>
      <c r="R100" s="124"/>
      <c r="S100" s="218"/>
      <c r="T100" s="218"/>
      <c r="U100" s="218"/>
      <c r="V100" s="218"/>
      <c r="W100" s="125"/>
      <c r="X100" s="218"/>
      <c r="AA100" s="104"/>
    </row>
    <row r="101" spans="1:29">
      <c r="D101" s="97"/>
      <c r="E101" s="114"/>
      <c r="F101" s="97"/>
      <c r="H101" s="203"/>
      <c r="I101" s="203"/>
      <c r="J101" s="203"/>
      <c r="K101" s="123"/>
      <c r="L101" s="204"/>
      <c r="M101" s="204"/>
      <c r="N101" s="204"/>
      <c r="O101" s="204"/>
      <c r="P101" s="124"/>
      <c r="Q101" s="204"/>
      <c r="R101" s="124"/>
      <c r="S101" s="204"/>
      <c r="T101" s="204"/>
      <c r="U101" s="204"/>
      <c r="V101" s="204"/>
      <c r="W101" s="125"/>
      <c r="X101" s="204"/>
      <c r="AA101" s="104"/>
    </row>
    <row r="102" spans="1:29" ht="20.25" customHeight="1">
      <c r="C102" s="419" t="s">
        <v>169</v>
      </c>
      <c r="D102" s="419"/>
      <c r="E102" s="419"/>
      <c r="F102" s="419"/>
      <c r="H102" s="419" t="s">
        <v>170</v>
      </c>
      <c r="I102" s="419"/>
      <c r="J102" s="419"/>
      <c r="K102" s="99"/>
      <c r="L102" s="419" t="s">
        <v>171</v>
      </c>
      <c r="M102" s="419"/>
      <c r="N102" s="419"/>
      <c r="O102" s="419"/>
      <c r="P102" s="67"/>
      <c r="Q102" s="420" t="s">
        <v>172</v>
      </c>
      <c r="R102" s="67"/>
      <c r="S102" s="419" t="s">
        <v>173</v>
      </c>
      <c r="T102" s="419"/>
      <c r="U102" s="419"/>
      <c r="V102" s="419"/>
      <c r="W102" s="68"/>
      <c r="X102" s="420" t="s">
        <v>174</v>
      </c>
      <c r="AA102" s="104"/>
    </row>
    <row r="103" spans="1:29" ht="31.5" customHeight="1">
      <c r="A103" s="31" t="s">
        <v>7</v>
      </c>
      <c r="C103" s="31" t="s">
        <v>175</v>
      </c>
      <c r="D103" s="31" t="s">
        <v>176</v>
      </c>
      <c r="E103" s="65" t="s">
        <v>177</v>
      </c>
      <c r="F103" s="31" t="s">
        <v>178</v>
      </c>
      <c r="H103" s="15" t="s">
        <v>179</v>
      </c>
      <c r="I103" s="15" t="s">
        <v>180</v>
      </c>
      <c r="J103" s="15" t="s">
        <v>181</v>
      </c>
      <c r="K103" s="66"/>
      <c r="L103" s="15" t="s">
        <v>179</v>
      </c>
      <c r="M103" s="15" t="s">
        <v>180</v>
      </c>
      <c r="N103" s="15" t="s">
        <v>181</v>
      </c>
      <c r="O103" s="15" t="s">
        <v>57</v>
      </c>
      <c r="P103" s="67"/>
      <c r="Q103" s="420"/>
      <c r="R103" s="67"/>
      <c r="S103" s="15" t="s">
        <v>179</v>
      </c>
      <c r="T103" s="15" t="s">
        <v>180</v>
      </c>
      <c r="U103" s="15" t="s">
        <v>181</v>
      </c>
      <c r="V103" s="15" t="s">
        <v>57</v>
      </c>
      <c r="W103" s="68"/>
      <c r="X103" s="420"/>
      <c r="AA103" s="104"/>
    </row>
    <row r="104" spans="1:29">
      <c r="A104" s="17" t="s">
        <v>11</v>
      </c>
      <c r="C104" s="18">
        <v>1</v>
      </c>
      <c r="D104" s="18">
        <f>C104+1</f>
        <v>2</v>
      </c>
      <c r="E104" s="69" t="s">
        <v>182</v>
      </c>
      <c r="F104" s="18">
        <f>D104+1</f>
        <v>3</v>
      </c>
      <c r="H104" s="18">
        <f>F104+1</f>
        <v>4</v>
      </c>
      <c r="I104" s="18">
        <f>H104+1</f>
        <v>5</v>
      </c>
      <c r="J104" s="18">
        <f>I104+1</f>
        <v>6</v>
      </c>
      <c r="K104" s="66"/>
      <c r="L104" s="18">
        <f>J104+1</f>
        <v>7</v>
      </c>
      <c r="M104" s="18">
        <f>L104+1</f>
        <v>8</v>
      </c>
      <c r="N104" s="18">
        <f>M104+1</f>
        <v>9</v>
      </c>
      <c r="O104" s="18">
        <f>N104+1</f>
        <v>10</v>
      </c>
      <c r="P104" s="67"/>
      <c r="Q104" s="18">
        <f>O104+1</f>
        <v>11</v>
      </c>
      <c r="R104" s="67"/>
      <c r="S104" s="18">
        <f>Q104+1</f>
        <v>12</v>
      </c>
      <c r="T104" s="18">
        <f>S104+1</f>
        <v>13</v>
      </c>
      <c r="U104" s="18">
        <f>T104+1</f>
        <v>14</v>
      </c>
      <c r="V104" s="18">
        <f>U104+1</f>
        <v>15</v>
      </c>
      <c r="W104" s="68"/>
      <c r="X104" s="18">
        <f>V104+1</f>
        <v>16</v>
      </c>
      <c r="AA104" s="104"/>
    </row>
    <row r="105" spans="1:29">
      <c r="A105" s="31">
        <f>A99+1</f>
        <v>82</v>
      </c>
      <c r="H105" s="98"/>
      <c r="I105" s="98"/>
      <c r="J105" s="98"/>
      <c r="K105" s="99"/>
      <c r="L105" s="100"/>
      <c r="M105" s="100"/>
      <c r="N105" s="100"/>
      <c r="O105" s="100"/>
      <c r="P105" s="67"/>
      <c r="Q105" s="102"/>
      <c r="R105" s="67"/>
      <c r="S105" s="102"/>
      <c r="T105" s="102"/>
      <c r="U105" s="102"/>
      <c r="V105" s="102"/>
      <c r="W105" s="68"/>
      <c r="AA105" s="104"/>
    </row>
    <row r="106" spans="1:29">
      <c r="A106" s="31">
        <f t="shared" si="26"/>
        <v>83</v>
      </c>
      <c r="H106" s="98"/>
      <c r="I106" s="98"/>
      <c r="J106" s="98"/>
      <c r="K106" s="99"/>
      <c r="L106" s="100"/>
      <c r="M106" s="100"/>
      <c r="N106" s="100"/>
      <c r="O106" s="100"/>
      <c r="P106" s="67"/>
      <c r="R106" s="67"/>
      <c r="W106" s="68"/>
      <c r="AA106" s="104"/>
    </row>
    <row r="107" spans="1:29" s="126" customFormat="1" ht="15.75" customHeight="1">
      <c r="A107" s="31">
        <f t="shared" si="26"/>
        <v>84</v>
      </c>
      <c r="C107" s="52">
        <f>+C29+C99</f>
        <v>76</v>
      </c>
      <c r="D107" s="52" t="s">
        <v>71</v>
      </c>
      <c r="E107" s="126" t="s">
        <v>71</v>
      </c>
      <c r="F107" s="52"/>
      <c r="G107" s="52"/>
      <c r="H107" s="207">
        <f>+H99+H29</f>
        <v>129443.52999999998</v>
      </c>
      <c r="I107" s="207">
        <f>+I99+I29</f>
        <v>17276</v>
      </c>
      <c r="J107" s="207">
        <f>+J99+J29</f>
        <v>3865.8200000000006</v>
      </c>
      <c r="K107" s="127"/>
      <c r="L107" s="208">
        <f>+L99+L29</f>
        <v>3960519.47</v>
      </c>
      <c r="M107" s="208">
        <f>+M99+M29</f>
        <v>931494.14999999991</v>
      </c>
      <c r="N107" s="208">
        <f>+N99+N29</f>
        <v>242172.05</v>
      </c>
      <c r="O107" s="208">
        <f>+O99+O29</f>
        <v>5134185.6700000018</v>
      </c>
      <c r="P107" s="128"/>
      <c r="R107" s="67"/>
      <c r="S107" s="208">
        <f>+S99+S29</f>
        <v>4706266.8400000036</v>
      </c>
      <c r="T107" s="208">
        <f>+T99+T29</f>
        <v>873789.2127198095</v>
      </c>
      <c r="U107" s="208">
        <f>+U99+U29</f>
        <v>149508.96620000002</v>
      </c>
      <c r="V107" s="208">
        <f>+V99+V29</f>
        <v>5729565.0189198097</v>
      </c>
      <c r="W107" s="129"/>
      <c r="X107" s="132">
        <f>V107-O107</f>
        <v>595379.34891980793</v>
      </c>
      <c r="Z107" s="63"/>
      <c r="AA107" s="104"/>
    </row>
    <row r="108" spans="1:29" s="126" customFormat="1">
      <c r="A108" s="31">
        <f t="shared" si="26"/>
        <v>85</v>
      </c>
      <c r="C108" s="52"/>
      <c r="D108" s="52"/>
      <c r="F108" s="52"/>
      <c r="G108" s="52"/>
      <c r="K108" s="127"/>
      <c r="O108" s="130"/>
      <c r="P108" s="128"/>
      <c r="R108" s="67"/>
      <c r="W108" s="129"/>
      <c r="Z108" s="63"/>
      <c r="AA108" s="104"/>
    </row>
    <row r="109" spans="1:29" s="126" customFormat="1" ht="13.5" customHeight="1" thickBot="1">
      <c r="A109" s="31">
        <f t="shared" si="26"/>
        <v>86</v>
      </c>
      <c r="C109" s="131"/>
      <c r="D109" s="209" t="s">
        <v>523</v>
      </c>
      <c r="E109" s="209" t="s">
        <v>10</v>
      </c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210">
        <f>X107</f>
        <v>595379.34891980793</v>
      </c>
      <c r="Z109" s="63"/>
      <c r="AA109" s="104"/>
    </row>
    <row r="110" spans="1:29" ht="13.5" thickTop="1">
      <c r="A110" s="52"/>
    </row>
    <row r="111" spans="1:29" s="149" customFormat="1" ht="34.5" customHeight="1">
      <c r="D111" s="150" t="s">
        <v>282</v>
      </c>
      <c r="E111" s="150" t="s">
        <v>282</v>
      </c>
      <c r="H111" s="409" t="s">
        <v>491</v>
      </c>
      <c r="I111" s="409"/>
      <c r="J111" s="409"/>
      <c r="K111" s="409"/>
      <c r="L111" s="409"/>
      <c r="M111" s="409"/>
      <c r="N111" s="409"/>
      <c r="O111" s="409"/>
      <c r="P111" s="409"/>
      <c r="Q111" s="409"/>
      <c r="R111" s="409"/>
      <c r="S111" s="409"/>
      <c r="T111" s="409"/>
      <c r="U111" s="409"/>
      <c r="V111" s="409"/>
      <c r="Z111" s="151"/>
    </row>
    <row r="112" spans="1:29">
      <c r="A112" s="52"/>
      <c r="Z112" s="132"/>
    </row>
    <row r="113" spans="1:26" ht="15.75" customHeight="1">
      <c r="A113" s="52"/>
      <c r="B113" s="53"/>
      <c r="C113" s="409" t="s">
        <v>473</v>
      </c>
      <c r="D113" s="409"/>
      <c r="E113" s="409"/>
      <c r="F113" s="409"/>
      <c r="G113" s="409"/>
      <c r="H113" s="409"/>
      <c r="I113" s="409"/>
      <c r="J113" s="409"/>
      <c r="K113" s="409"/>
      <c r="L113" s="409"/>
      <c r="M113" s="409"/>
      <c r="N113" s="409"/>
      <c r="O113" s="409"/>
      <c r="P113" s="409"/>
      <c r="Q113" s="409"/>
      <c r="R113" s="409"/>
      <c r="S113" s="409"/>
      <c r="T113" s="409"/>
      <c r="U113" s="409"/>
      <c r="V113" s="409"/>
      <c r="W113" s="53"/>
      <c r="X113" s="53"/>
      <c r="Z113" s="132"/>
    </row>
    <row r="115" spans="1:26">
      <c r="A115" s="52"/>
      <c r="D115" s="133" t="s">
        <v>283</v>
      </c>
      <c r="E115" s="54" t="s">
        <v>283</v>
      </c>
      <c r="L115" s="55" t="s">
        <v>284</v>
      </c>
      <c r="M115" s="55" t="s">
        <v>162</v>
      </c>
      <c r="N115" s="55"/>
      <c r="O115" s="55" t="s">
        <v>10</v>
      </c>
      <c r="P115" s="134"/>
    </row>
    <row r="116" spans="1:26" ht="3.75" customHeight="1">
      <c r="A116" s="52"/>
    </row>
    <row r="117" spans="1:26">
      <c r="A117" s="52">
        <f>A109+1</f>
        <v>87</v>
      </c>
      <c r="C117" s="39"/>
      <c r="D117" s="31" t="s">
        <v>285</v>
      </c>
      <c r="E117" s="31" t="s">
        <v>285</v>
      </c>
      <c r="F117" s="39" t="s">
        <v>163</v>
      </c>
      <c r="H117" s="31"/>
      <c r="L117" s="56">
        <f>+SUM(L140:L152)</f>
        <v>836156.35</v>
      </c>
      <c r="M117" s="59">
        <f>+SUM(M140:M152)</f>
        <v>0.16528357038992794</v>
      </c>
      <c r="O117" s="104">
        <f>$X$109*M117</f>
        <v>98406.424525896538</v>
      </c>
    </row>
    <row r="118" spans="1:26">
      <c r="A118" s="31">
        <f t="shared" ref="A118:A122" si="28">A117+1</f>
        <v>88</v>
      </c>
      <c r="C118" s="39"/>
      <c r="D118" s="31" t="s">
        <v>286</v>
      </c>
      <c r="E118" s="31" t="s">
        <v>286</v>
      </c>
      <c r="F118" s="39" t="s">
        <v>164</v>
      </c>
      <c r="H118" s="31"/>
      <c r="L118" s="56">
        <f>+SUM(L153:L162)</f>
        <v>858279.81999999983</v>
      </c>
      <c r="M118" s="59">
        <f>+SUM(M153:M162)</f>
        <v>0.16965673111640506</v>
      </c>
      <c r="O118" s="104">
        <f>$X$109*M118</f>
        <v>101010.11411194816</v>
      </c>
    </row>
    <row r="119" spans="1:26">
      <c r="A119" s="31">
        <f t="shared" si="28"/>
        <v>89</v>
      </c>
      <c r="C119" s="39"/>
      <c r="D119" s="31" t="s">
        <v>287</v>
      </c>
      <c r="E119" s="31" t="s">
        <v>287</v>
      </c>
      <c r="F119" s="39" t="s">
        <v>165</v>
      </c>
      <c r="H119" s="31"/>
      <c r="L119" s="56">
        <f>+SUM(L163:L172)</f>
        <v>469129.42000000004</v>
      </c>
      <c r="M119" s="59">
        <f>+SUM(M163:M172)</f>
        <v>9.2733118049699761E-2</v>
      </c>
      <c r="O119" s="104">
        <f>$X$109*M119</f>
        <v>55211.383447733933</v>
      </c>
    </row>
    <row r="120" spans="1:26">
      <c r="A120" s="31">
        <f t="shared" si="28"/>
        <v>90</v>
      </c>
      <c r="C120" s="39"/>
      <c r="D120" s="31" t="s">
        <v>288</v>
      </c>
      <c r="E120" s="31" t="s">
        <v>288</v>
      </c>
      <c r="F120" s="39" t="s">
        <v>24</v>
      </c>
      <c r="H120" s="31"/>
      <c r="L120" s="56">
        <f>+SUM(L173)</f>
        <v>41672.94</v>
      </c>
      <c r="M120" s="59">
        <f>+SUM(M173)</f>
        <v>8.237517196210067E-3</v>
      </c>
      <c r="O120" s="104">
        <f>$X$109*M120</f>
        <v>4904.4476249952713</v>
      </c>
    </row>
    <row r="121" spans="1:26">
      <c r="A121" s="31">
        <f>A120+1</f>
        <v>91</v>
      </c>
      <c r="C121" s="39"/>
      <c r="D121" s="31" t="s">
        <v>289</v>
      </c>
      <c r="E121" s="31" t="s">
        <v>289</v>
      </c>
      <c r="F121" s="39" t="s">
        <v>166</v>
      </c>
      <c r="H121" s="31"/>
      <c r="L121" s="56">
        <f>+SUM(L174:L180)</f>
        <v>514869.38999999996</v>
      </c>
      <c r="M121" s="59">
        <f>+SUM(M174:M180)</f>
        <v>0.10177456771533726</v>
      </c>
      <c r="O121" s="104">
        <f>$X$109*M121</f>
        <v>60594.4758629524</v>
      </c>
    </row>
    <row r="122" spans="1:26" ht="15" customHeight="1">
      <c r="A122" s="31">
        <f t="shared" si="28"/>
        <v>92</v>
      </c>
      <c r="C122" s="39"/>
      <c r="D122" s="33"/>
      <c r="E122" s="33"/>
      <c r="F122" s="57"/>
      <c r="G122" s="33"/>
      <c r="H122" s="33"/>
      <c r="I122" s="106" t="s">
        <v>524</v>
      </c>
      <c r="J122" s="57"/>
      <c r="K122" s="429">
        <f>SUM(L117:L121)</f>
        <v>2720107.92</v>
      </c>
      <c r="L122" s="429"/>
      <c r="M122" s="135">
        <f>SUM(M117:M121)</f>
        <v>0.53768550446758012</v>
      </c>
      <c r="O122" s="201">
        <f>SUM(O117:O121)</f>
        <v>320126.84557352634</v>
      </c>
    </row>
    <row r="123" spans="1:26" ht="5.25" customHeight="1">
      <c r="A123" s="52"/>
      <c r="C123" s="39"/>
      <c r="E123" s="31"/>
      <c r="F123" s="39"/>
      <c r="H123" s="31"/>
      <c r="K123" s="58"/>
      <c r="L123" s="58"/>
      <c r="M123" s="59"/>
    </row>
    <row r="124" spans="1:26">
      <c r="A124" s="31">
        <f>A122+1</f>
        <v>93</v>
      </c>
      <c r="C124" s="39"/>
      <c r="E124" s="31"/>
      <c r="F124" s="39" t="s">
        <v>290</v>
      </c>
      <c r="H124" s="31"/>
      <c r="K124" s="104"/>
      <c r="L124" s="56">
        <f>+L139</f>
        <v>2338812.02</v>
      </c>
      <c r="M124" s="59">
        <f>+M139</f>
        <v>0.46231449553241988</v>
      </c>
      <c r="O124" s="104">
        <f>$X$109*M124</f>
        <v>275252.50334628159</v>
      </c>
    </row>
    <row r="125" spans="1:26">
      <c r="A125" s="31">
        <f t="shared" ref="A125:A128" si="29">A124+1</f>
        <v>94</v>
      </c>
      <c r="C125" s="39"/>
      <c r="E125" s="31"/>
      <c r="F125" s="39"/>
      <c r="H125" s="31"/>
      <c r="L125" s="56"/>
      <c r="M125" s="59"/>
      <c r="O125" s="104"/>
    </row>
    <row r="126" spans="1:26">
      <c r="A126" s="31">
        <f t="shared" si="29"/>
        <v>95</v>
      </c>
      <c r="C126" s="39"/>
      <c r="D126" s="33"/>
      <c r="E126" s="33"/>
      <c r="F126" s="57"/>
      <c r="G126" s="33"/>
      <c r="H126" s="33"/>
      <c r="I126" s="57" t="s">
        <v>100</v>
      </c>
      <c r="J126" s="57"/>
      <c r="K126" s="169">
        <f>SUM(L124:L125)</f>
        <v>2338812.02</v>
      </c>
      <c r="L126" s="169"/>
      <c r="M126" s="135">
        <f>SUM(M124:M125)</f>
        <v>0.46231449553241988</v>
      </c>
      <c r="O126" s="136">
        <f>SUM(O124:O125)</f>
        <v>275252.50334628159</v>
      </c>
    </row>
    <row r="127" spans="1:26">
      <c r="A127" s="31">
        <f t="shared" si="29"/>
        <v>96</v>
      </c>
      <c r="C127" s="39"/>
      <c r="E127" s="31"/>
      <c r="F127" s="39"/>
      <c r="H127" s="31"/>
      <c r="K127" s="58"/>
      <c r="L127" s="58"/>
      <c r="M127" s="59"/>
    </row>
    <row r="128" spans="1:26" ht="15" customHeight="1" thickBot="1">
      <c r="A128" s="31">
        <f t="shared" si="29"/>
        <v>97</v>
      </c>
      <c r="C128" s="39"/>
      <c r="D128" s="60"/>
      <c r="E128" s="60"/>
      <c r="F128" s="42" t="s">
        <v>57</v>
      </c>
      <c r="G128" s="60"/>
      <c r="H128" s="60"/>
      <c r="I128" s="42"/>
      <c r="J128" s="42"/>
      <c r="K128" s="430">
        <f>K122+K126</f>
        <v>5058919.9399999995</v>
      </c>
      <c r="L128" s="430"/>
      <c r="M128" s="61">
        <f>M122+M126</f>
        <v>1</v>
      </c>
      <c r="O128" s="137">
        <f>O122+O126</f>
        <v>595379.34891980793</v>
      </c>
    </row>
    <row r="129" spans="1:15" ht="5.25" customHeight="1" thickTop="1">
      <c r="A129" s="52"/>
      <c r="C129" s="39"/>
      <c r="D129" s="39"/>
      <c r="F129" s="39"/>
      <c r="G129" s="39"/>
    </row>
    <row r="130" spans="1:15" ht="15" customHeight="1">
      <c r="C130" s="39"/>
      <c r="D130" s="39"/>
      <c r="F130" s="39"/>
      <c r="G130" s="39"/>
    </row>
    <row r="135" spans="1:15">
      <c r="D135" s="133" t="s">
        <v>291</v>
      </c>
      <c r="E135" s="54" t="s">
        <v>291</v>
      </c>
      <c r="L135" s="104"/>
    </row>
    <row r="136" spans="1:15">
      <c r="J136" s="31"/>
      <c r="K136" s="31"/>
    </row>
    <row r="137" spans="1:15">
      <c r="D137" s="133" t="s">
        <v>292</v>
      </c>
      <c r="E137" s="133" t="s">
        <v>292</v>
      </c>
      <c r="F137" s="133" t="s">
        <v>293</v>
      </c>
      <c r="G137" s="133"/>
      <c r="L137" s="138" t="s">
        <v>294</v>
      </c>
      <c r="M137" s="138" t="s">
        <v>295</v>
      </c>
    </row>
    <row r="138" spans="1:15">
      <c r="E138" s="31"/>
      <c r="F138" s="39"/>
    </row>
    <row r="139" spans="1:15">
      <c r="D139" s="139"/>
      <c r="E139" s="139">
        <v>107.2</v>
      </c>
      <c r="F139" s="39" t="s">
        <v>296</v>
      </c>
      <c r="L139" s="140">
        <v>2338812.02</v>
      </c>
      <c r="M139" s="76">
        <f>L139/K$181</f>
        <v>0.46231449553241988</v>
      </c>
      <c r="O139" s="120"/>
    </row>
    <row r="140" spans="1:15" ht="14.25">
      <c r="D140" s="179" t="s">
        <v>297</v>
      </c>
      <c r="E140" s="139"/>
      <c r="F140" s="179" t="s">
        <v>298</v>
      </c>
      <c r="L140" s="140">
        <v>207372.63</v>
      </c>
      <c r="M140" s="76">
        <f>L140/K$181</f>
        <v>4.0991482857900295E-2</v>
      </c>
      <c r="O140" s="120"/>
    </row>
    <row r="141" spans="1:15" ht="14.25">
      <c r="D141" s="179" t="s">
        <v>299</v>
      </c>
      <c r="E141" s="139"/>
      <c r="F141" s="179" t="s">
        <v>300</v>
      </c>
      <c r="L141" s="140">
        <v>23027.82</v>
      </c>
      <c r="M141" s="76">
        <f>L141/K$181</f>
        <v>4.5519241800849684E-3</v>
      </c>
      <c r="O141" s="120"/>
    </row>
    <row r="142" spans="1:15" ht="14.25">
      <c r="D142" s="179" t="s">
        <v>301</v>
      </c>
      <c r="E142" s="139"/>
      <c r="F142" s="179" t="s">
        <v>302</v>
      </c>
      <c r="L142" s="140">
        <v>19587.36</v>
      </c>
      <c r="M142" s="76">
        <f>L142/K$181</f>
        <v>3.8718462107150877E-3</v>
      </c>
    </row>
    <row r="143" spans="1:15" ht="14.25">
      <c r="D143" s="179" t="s">
        <v>303</v>
      </c>
      <c r="E143" s="139"/>
      <c r="F143" s="179" t="s">
        <v>304</v>
      </c>
      <c r="L143" s="140">
        <v>36088.300000000003</v>
      </c>
      <c r="M143" s="76">
        <f t="shared" ref="M143:M180" si="30">L143/K$181</f>
        <v>7.1335977694875321E-3</v>
      </c>
    </row>
    <row r="144" spans="1:15" ht="14.25">
      <c r="D144" s="179" t="s">
        <v>305</v>
      </c>
      <c r="E144" s="139"/>
      <c r="F144" s="179" t="s">
        <v>306</v>
      </c>
      <c r="L144" s="140">
        <v>41134.78</v>
      </c>
      <c r="M144" s="76">
        <f t="shared" si="30"/>
        <v>8.1311387584441577E-3</v>
      </c>
      <c r="O144" s="120"/>
    </row>
    <row r="145" spans="4:17" ht="14.25">
      <c r="D145" s="179" t="s">
        <v>307</v>
      </c>
      <c r="E145" s="139"/>
      <c r="F145" s="179" t="s">
        <v>308</v>
      </c>
      <c r="L145" s="140">
        <v>1180.27</v>
      </c>
      <c r="M145" s="76">
        <f t="shared" si="30"/>
        <v>2.3330473974648427E-4</v>
      </c>
      <c r="O145" s="120"/>
    </row>
    <row r="146" spans="4:17" ht="14.25">
      <c r="D146" s="179" t="s">
        <v>309</v>
      </c>
      <c r="E146" s="139"/>
      <c r="F146" s="179" t="s">
        <v>310</v>
      </c>
      <c r="L146" s="140">
        <v>18007.27</v>
      </c>
      <c r="M146" s="76">
        <f t="shared" si="30"/>
        <v>3.5595087911195525E-3</v>
      </c>
      <c r="O146" s="120"/>
    </row>
    <row r="147" spans="4:17" ht="14.25">
      <c r="D147" s="179" t="s">
        <v>311</v>
      </c>
      <c r="E147" s="139"/>
      <c r="F147" s="179" t="s">
        <v>312</v>
      </c>
      <c r="L147" s="140">
        <v>63956.74</v>
      </c>
      <c r="M147" s="76">
        <f t="shared" si="30"/>
        <v>1.2642370458228677E-2</v>
      </c>
      <c r="O147" s="120"/>
    </row>
    <row r="148" spans="4:17" ht="14.25">
      <c r="D148" s="179" t="s">
        <v>313</v>
      </c>
      <c r="E148" s="139"/>
      <c r="F148" s="179" t="s">
        <v>314</v>
      </c>
      <c r="L148" s="140">
        <v>131068.21</v>
      </c>
      <c r="M148" s="76">
        <f t="shared" si="30"/>
        <v>2.5908338450598211E-2</v>
      </c>
    </row>
    <row r="149" spans="4:17" ht="14.25">
      <c r="D149" s="179" t="s">
        <v>315</v>
      </c>
      <c r="E149" s="139"/>
      <c r="F149" s="179" t="s">
        <v>316</v>
      </c>
      <c r="L149" s="140">
        <v>224359.67999999999</v>
      </c>
      <c r="M149" s="76">
        <f t="shared" si="30"/>
        <v>4.4349324097032454E-2</v>
      </c>
    </row>
    <row r="150" spans="4:17" ht="14.25">
      <c r="D150" s="179" t="s">
        <v>317</v>
      </c>
      <c r="E150" s="139"/>
      <c r="F150" s="179" t="s">
        <v>318</v>
      </c>
      <c r="L150" s="140">
        <v>63714.1</v>
      </c>
      <c r="M150" s="76">
        <f t="shared" si="30"/>
        <v>1.2594407651369157E-2</v>
      </c>
    </row>
    <row r="151" spans="4:17" ht="14.25">
      <c r="D151" s="179" t="s">
        <v>319</v>
      </c>
      <c r="E151" s="139"/>
      <c r="F151" s="179" t="s">
        <v>320</v>
      </c>
      <c r="L151" s="140">
        <v>5036.74</v>
      </c>
      <c r="M151" s="76">
        <f t="shared" si="30"/>
        <v>9.956156768118373E-4</v>
      </c>
    </row>
    <row r="152" spans="4:17" ht="14.25">
      <c r="D152" s="179" t="s">
        <v>321</v>
      </c>
      <c r="E152" s="139"/>
      <c r="F152" s="179" t="s">
        <v>322</v>
      </c>
      <c r="L152" s="140">
        <v>1622.45</v>
      </c>
      <c r="M152" s="76">
        <f t="shared" si="30"/>
        <v>3.2071074838950703E-4</v>
      </c>
    </row>
    <row r="153" spans="4:17" ht="14.25">
      <c r="D153" s="179" t="s">
        <v>323</v>
      </c>
      <c r="E153" s="139"/>
      <c r="F153" s="179" t="s">
        <v>324</v>
      </c>
      <c r="L153" s="140">
        <v>18823.490000000002</v>
      </c>
      <c r="M153" s="76">
        <f t="shared" si="30"/>
        <v>3.7208515302181279E-3</v>
      </c>
    </row>
    <row r="154" spans="4:17" ht="14.25">
      <c r="D154" s="179" t="s">
        <v>325</v>
      </c>
      <c r="E154" s="139"/>
      <c r="F154" s="179" t="s">
        <v>326</v>
      </c>
      <c r="L154" s="140">
        <v>55943.08</v>
      </c>
      <c r="M154" s="76">
        <f t="shared" si="30"/>
        <v>1.1058305065804224E-2</v>
      </c>
    </row>
    <row r="155" spans="4:17" ht="14.25">
      <c r="D155" s="179" t="s">
        <v>327</v>
      </c>
      <c r="E155" s="139"/>
      <c r="F155" s="179" t="s">
        <v>328</v>
      </c>
      <c r="L155" s="140">
        <v>607052.66</v>
      </c>
      <c r="M155" s="76">
        <f t="shared" si="30"/>
        <v>0.11999649474587257</v>
      </c>
      <c r="O155" s="63">
        <v>5158241.57</v>
      </c>
      <c r="Q155" s="39" t="s">
        <v>342</v>
      </c>
    </row>
    <row r="156" spans="4:17" ht="14.25">
      <c r="D156" s="179" t="s">
        <v>329</v>
      </c>
      <c r="E156" s="139"/>
      <c r="F156" s="179" t="s">
        <v>330</v>
      </c>
      <c r="L156" s="140">
        <v>937.12</v>
      </c>
      <c r="M156" s="76">
        <f t="shared" si="30"/>
        <v>1.8524112085474117E-4</v>
      </c>
      <c r="O156" s="141">
        <v>-15598.68</v>
      </c>
      <c r="Q156" s="39" t="s">
        <v>331</v>
      </c>
    </row>
    <row r="157" spans="4:17" ht="14.25">
      <c r="D157" s="179" t="s">
        <v>332</v>
      </c>
      <c r="E157" s="139"/>
      <c r="F157" s="179" t="s">
        <v>333</v>
      </c>
      <c r="L157" s="140">
        <v>72.22</v>
      </c>
      <c r="M157" s="76">
        <f t="shared" si="30"/>
        <v>1.4275774445246508E-5</v>
      </c>
      <c r="O157" s="142">
        <v>-8457.2199999999993</v>
      </c>
      <c r="Q157" s="39" t="s">
        <v>334</v>
      </c>
    </row>
    <row r="158" spans="4:17" ht="14.25">
      <c r="D158" s="179" t="s">
        <v>335</v>
      </c>
      <c r="E158" s="139"/>
      <c r="F158" s="179" t="s">
        <v>336</v>
      </c>
      <c r="L158" s="140">
        <v>38163.730000000003</v>
      </c>
      <c r="M158" s="76">
        <f t="shared" si="30"/>
        <v>7.5438493695553525E-3</v>
      </c>
      <c r="O158" s="63">
        <f>+O155+O156+O157</f>
        <v>5134185.6700000009</v>
      </c>
      <c r="Q158" s="39" t="s">
        <v>337</v>
      </c>
    </row>
    <row r="159" spans="4:17" ht="14.25">
      <c r="D159" s="179" t="s">
        <v>338</v>
      </c>
      <c r="E159" s="139"/>
      <c r="F159" s="179" t="s">
        <v>339</v>
      </c>
      <c r="L159" s="140">
        <v>7945.96</v>
      </c>
      <c r="M159" s="76">
        <f t="shared" si="30"/>
        <v>1.5706830893236076E-3</v>
      </c>
      <c r="O159" s="141"/>
    </row>
    <row r="160" spans="4:17" ht="14.25">
      <c r="D160" s="179" t="s">
        <v>340</v>
      </c>
      <c r="E160" s="139"/>
      <c r="F160" s="179" t="s">
        <v>341</v>
      </c>
      <c r="L160" s="140">
        <v>65.34</v>
      </c>
      <c r="M160" s="76">
        <f t="shared" si="30"/>
        <v>1.2915800363506049E-5</v>
      </c>
      <c r="O160" s="63">
        <f>+O155</f>
        <v>5158241.57</v>
      </c>
      <c r="Q160" s="39" t="s">
        <v>342</v>
      </c>
    </row>
    <row r="161" spans="4:17" ht="14.25">
      <c r="D161" s="179" t="s">
        <v>343</v>
      </c>
      <c r="E161" s="139"/>
      <c r="F161" s="179" t="s">
        <v>344</v>
      </c>
      <c r="L161" s="140">
        <v>20879</v>
      </c>
      <c r="M161" s="76">
        <f t="shared" si="30"/>
        <v>4.1271655309097453E-3</v>
      </c>
      <c r="O161" s="142">
        <v>-75604.509999999995</v>
      </c>
      <c r="Q161" s="39" t="s">
        <v>345</v>
      </c>
    </row>
    <row r="162" spans="4:17" ht="14.25">
      <c r="D162" s="179" t="s">
        <v>346</v>
      </c>
      <c r="E162" s="139"/>
      <c r="F162" s="179" t="s">
        <v>347</v>
      </c>
      <c r="L162" s="140">
        <v>108397.22</v>
      </c>
      <c r="M162" s="76">
        <f t="shared" si="30"/>
        <v>2.1426949089057928E-2</v>
      </c>
      <c r="O162" s="63">
        <f>+O160+O161</f>
        <v>5082637.0600000005</v>
      </c>
      <c r="Q162" s="39" t="s">
        <v>348</v>
      </c>
    </row>
    <row r="163" spans="4:17" ht="14.25">
      <c r="D163" s="179" t="s">
        <v>349</v>
      </c>
      <c r="E163" s="139"/>
      <c r="F163" s="179" t="s">
        <v>350</v>
      </c>
      <c r="L163" s="140">
        <v>70241.100000000006</v>
      </c>
      <c r="M163" s="76">
        <f t="shared" si="30"/>
        <v>1.3884603993159852E-2</v>
      </c>
      <c r="O163" s="141"/>
    </row>
    <row r="164" spans="4:17" ht="14.25">
      <c r="D164" s="180" t="s">
        <v>351</v>
      </c>
      <c r="E164" s="139"/>
      <c r="F164" s="179" t="s">
        <v>352</v>
      </c>
      <c r="L164" s="140">
        <v>9550.5499999999993</v>
      </c>
      <c r="M164" s="76">
        <f t="shared" si="30"/>
        <v>1.8878634398788289E-3</v>
      </c>
      <c r="O164" s="141"/>
    </row>
    <row r="165" spans="4:17" ht="14.25">
      <c r="D165" s="179" t="s">
        <v>353</v>
      </c>
      <c r="E165" s="139"/>
      <c r="F165" s="179" t="s">
        <v>354</v>
      </c>
      <c r="L165" s="140">
        <v>140785.10999999999</v>
      </c>
      <c r="M165" s="76">
        <f t="shared" si="30"/>
        <v>2.7829084403340049E-2</v>
      </c>
      <c r="O165" s="63">
        <f>+O158</f>
        <v>5134185.6700000009</v>
      </c>
      <c r="Q165" s="39" t="s">
        <v>337</v>
      </c>
    </row>
    <row r="166" spans="4:17" ht="14.25">
      <c r="D166" s="179" t="s">
        <v>355</v>
      </c>
      <c r="E166" s="139"/>
      <c r="F166" s="179" t="s">
        <v>356</v>
      </c>
      <c r="L166" s="140">
        <v>47037.72</v>
      </c>
      <c r="M166" s="76">
        <f t="shared" si="30"/>
        <v>9.2979767535123319E-3</v>
      </c>
      <c r="O166" s="142">
        <v>-75604.509999999995</v>
      </c>
      <c r="Q166" s="39" t="s">
        <v>357</v>
      </c>
    </row>
    <row r="167" spans="4:17" ht="14.25">
      <c r="D167" s="179" t="s">
        <v>358</v>
      </c>
      <c r="E167" s="139"/>
      <c r="F167" s="179" t="s">
        <v>359</v>
      </c>
      <c r="L167" s="140">
        <v>40820.83</v>
      </c>
      <c r="M167" s="76">
        <f t="shared" si="30"/>
        <v>8.0690800574321798E-3</v>
      </c>
      <c r="O167" s="63">
        <f>+O165+O166</f>
        <v>5058581.1600000011</v>
      </c>
    </row>
    <row r="168" spans="4:17" ht="14.25">
      <c r="D168" s="179" t="s">
        <v>360</v>
      </c>
      <c r="E168" s="139"/>
      <c r="F168" s="179" t="s">
        <v>361</v>
      </c>
      <c r="L168" s="140">
        <v>71433.490000000005</v>
      </c>
      <c r="M168" s="76">
        <f t="shared" si="30"/>
        <v>1.4120304501201495E-2</v>
      </c>
      <c r="O168" s="141"/>
    </row>
    <row r="169" spans="4:17" ht="14.25">
      <c r="D169" s="179" t="s">
        <v>362</v>
      </c>
      <c r="E169" s="139"/>
      <c r="F169" s="179" t="s">
        <v>363</v>
      </c>
      <c r="L169" s="140">
        <v>3379.37</v>
      </c>
      <c r="M169" s="76">
        <f t="shared" si="30"/>
        <v>6.6800226927489178E-4</v>
      </c>
      <c r="O169" s="143">
        <f>-K181</f>
        <v>-5058919.9400000004</v>
      </c>
      <c r="Q169" s="39" t="s">
        <v>364</v>
      </c>
    </row>
    <row r="170" spans="4:17" ht="14.25">
      <c r="D170" s="179" t="s">
        <v>365</v>
      </c>
      <c r="E170" s="139"/>
      <c r="F170" s="179" t="s">
        <v>366</v>
      </c>
      <c r="L170" s="140">
        <v>12186.96</v>
      </c>
      <c r="M170" s="76">
        <f t="shared" si="30"/>
        <v>2.4090043219778643E-3</v>
      </c>
      <c r="O170" s="104">
        <f>+O167+O169</f>
        <v>-338.77999999932945</v>
      </c>
      <c r="Q170" s="39" t="s">
        <v>367</v>
      </c>
    </row>
    <row r="171" spans="4:17" ht="14.25">
      <c r="D171" s="179" t="s">
        <v>368</v>
      </c>
      <c r="E171" s="139"/>
      <c r="F171" s="179" t="s">
        <v>369</v>
      </c>
      <c r="L171" s="140">
        <v>73518.91</v>
      </c>
      <c r="M171" s="76">
        <f t="shared" si="30"/>
        <v>1.4532530831076959E-2</v>
      </c>
    </row>
    <row r="172" spans="4:17" ht="14.25">
      <c r="D172" s="179" t="s">
        <v>370</v>
      </c>
      <c r="E172" s="139"/>
      <c r="F172" s="179" t="s">
        <v>371</v>
      </c>
      <c r="L172" s="140">
        <v>175.38</v>
      </c>
      <c r="M172" s="76">
        <f t="shared" si="30"/>
        <v>3.4667478845296766E-5</v>
      </c>
    </row>
    <row r="173" spans="4:17" ht="14.25">
      <c r="D173" s="179" t="s">
        <v>372</v>
      </c>
      <c r="E173" s="139"/>
      <c r="F173" s="179" t="s">
        <v>373</v>
      </c>
      <c r="L173" s="140">
        <v>41672.94</v>
      </c>
      <c r="M173" s="76">
        <f t="shared" si="30"/>
        <v>8.237517196210067E-3</v>
      </c>
    </row>
    <row r="174" spans="4:17" ht="14.25">
      <c r="D174" s="179" t="s">
        <v>374</v>
      </c>
      <c r="E174" s="139"/>
      <c r="F174" s="179" t="s">
        <v>375</v>
      </c>
      <c r="L174" s="140">
        <v>286593.63</v>
      </c>
      <c r="M174" s="76">
        <f t="shared" si="30"/>
        <v>5.6651149533708568E-2</v>
      </c>
    </row>
    <row r="175" spans="4:17" ht="14.25">
      <c r="D175" s="179" t="s">
        <v>376</v>
      </c>
      <c r="E175" s="139"/>
      <c r="F175" s="179" t="s">
        <v>377</v>
      </c>
      <c r="L175" s="140">
        <v>148778.93</v>
      </c>
      <c r="M175" s="76">
        <f t="shared" si="30"/>
        <v>2.9409228010040415E-2</v>
      </c>
    </row>
    <row r="176" spans="4:17" ht="14.25">
      <c r="D176" s="179" t="s">
        <v>378</v>
      </c>
      <c r="E176" s="139"/>
      <c r="F176" s="179" t="s">
        <v>379</v>
      </c>
      <c r="L176" s="140">
        <v>18818.849999999999</v>
      </c>
      <c r="M176" s="76">
        <f t="shared" si="30"/>
        <v>3.7199343383955584E-3</v>
      </c>
    </row>
    <row r="177" spans="4:19" ht="14.25">
      <c r="D177" s="179" t="s">
        <v>380</v>
      </c>
      <c r="E177" s="139"/>
      <c r="F177" s="179" t="s">
        <v>381</v>
      </c>
      <c r="L177" s="140">
        <v>29468.38</v>
      </c>
      <c r="M177" s="76">
        <f t="shared" si="30"/>
        <v>5.8250338707672841E-3</v>
      </c>
    </row>
    <row r="178" spans="4:19" ht="14.25">
      <c r="D178" s="179" t="s">
        <v>382</v>
      </c>
      <c r="E178" s="139"/>
      <c r="F178" s="179" t="s">
        <v>383</v>
      </c>
      <c r="L178" s="140">
        <v>21847.29</v>
      </c>
      <c r="M178" s="76">
        <f t="shared" si="30"/>
        <v>4.3185680459691166E-3</v>
      </c>
    </row>
    <row r="179" spans="4:19" ht="14.25">
      <c r="D179" s="179" t="s">
        <v>384</v>
      </c>
      <c r="E179" s="144"/>
      <c r="F179" s="179" t="s">
        <v>385</v>
      </c>
      <c r="L179" s="140">
        <v>6587.01</v>
      </c>
      <c r="M179" s="76">
        <f t="shared" si="30"/>
        <v>1.3020585575821545E-3</v>
      </c>
    </row>
    <row r="180" spans="4:19" ht="14.25">
      <c r="D180" s="181" t="s">
        <v>386</v>
      </c>
      <c r="E180" s="139"/>
      <c r="F180" s="181" t="s">
        <v>387</v>
      </c>
      <c r="L180" s="140">
        <v>2775.3</v>
      </c>
      <c r="M180" s="76">
        <f t="shared" si="30"/>
        <v>5.4859535887417108E-4</v>
      </c>
      <c r="S180" s="102"/>
    </row>
    <row r="181" spans="4:19" ht="15" customHeight="1">
      <c r="D181" s="33"/>
      <c r="E181" s="57"/>
      <c r="F181" s="57"/>
      <c r="G181" s="33"/>
      <c r="H181" s="57"/>
      <c r="I181" s="57"/>
      <c r="J181" s="57"/>
      <c r="K181" s="429">
        <f>SUM(L139:L180)</f>
        <v>5058919.9400000004</v>
      </c>
      <c r="L181" s="429"/>
      <c r="M181" s="145">
        <f>SUM(M139:M180)</f>
        <v>1</v>
      </c>
    </row>
  </sheetData>
  <mergeCells count="29">
    <mergeCell ref="K181:L181"/>
    <mergeCell ref="X55:X56"/>
    <mergeCell ref="H111:V111"/>
    <mergeCell ref="C113:V113"/>
    <mergeCell ref="K122:L122"/>
    <mergeCell ref="K128:L128"/>
    <mergeCell ref="C102:F102"/>
    <mergeCell ref="H102:J102"/>
    <mergeCell ref="L102:O102"/>
    <mergeCell ref="Q102:Q103"/>
    <mergeCell ref="S102:V102"/>
    <mergeCell ref="X102:X103"/>
    <mergeCell ref="S12:V12"/>
    <mergeCell ref="H13:J13"/>
    <mergeCell ref="S13:T13"/>
    <mergeCell ref="C55:F55"/>
    <mergeCell ref="H55:J55"/>
    <mergeCell ref="L55:O55"/>
    <mergeCell ref="Q55:Q56"/>
    <mergeCell ref="S55:V55"/>
    <mergeCell ref="A3:X3"/>
    <mergeCell ref="A4:X4"/>
    <mergeCell ref="A6:X6"/>
    <mergeCell ref="C8:F8"/>
    <mergeCell ref="H8:J8"/>
    <mergeCell ref="L8:O8"/>
    <mergeCell ref="Q8:Q9"/>
    <mergeCell ref="S8:V8"/>
    <mergeCell ref="X8:X9"/>
  </mergeCells>
  <printOptions horizontalCentered="1"/>
  <pageMargins left="0.25" right="0.25" top="0.75" bottom="0.5" header="0.5" footer="0.5"/>
  <pageSetup scale="71" fitToHeight="3" orientation="landscape" r:id="rId1"/>
  <headerFooter alignWithMargins="0">
    <oddFooter>&amp;RExhibit JW-2
Page &amp;P of &amp;N</oddFooter>
  </headerFooter>
  <rowBreaks count="2" manualBreakCount="2">
    <brk id="54" max="23" man="1"/>
    <brk id="100" max="23" man="1"/>
  </rowBreaks>
  <ignoredErrors>
    <ignoredError sqref="U27 U46" formula="1"/>
    <ignoredError sqref="L117:L121" formulaRange="1"/>
  </ignoredError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U26"/>
  <sheetViews>
    <sheetView zoomScaleNormal="100" workbookViewId="0">
      <selection activeCell="H23" sqref="H23"/>
    </sheetView>
  </sheetViews>
  <sheetFormatPr defaultColWidth="9.140625" defaultRowHeight="12.75"/>
  <cols>
    <col min="1" max="1" width="4" style="2" customWidth="1"/>
    <col min="2" max="2" width="48" style="2" customWidth="1"/>
    <col min="3" max="3" width="11.28515625" style="2" bestFit="1" customWidth="1"/>
    <col min="4" max="4" width="12.28515625" style="2" bestFit="1" customWidth="1"/>
    <col min="5" max="5" width="13.28515625" style="2" customWidth="1"/>
    <col min="6" max="6" width="9" style="2" bestFit="1" customWidth="1"/>
    <col min="7" max="7" width="12.28515625" style="2" bestFit="1" customWidth="1"/>
    <col min="8" max="8" width="15" style="2" customWidth="1"/>
    <col min="9" max="12" width="18.140625" style="2" customWidth="1"/>
    <col min="13" max="13" width="10.5703125" style="2" bestFit="1" customWidth="1"/>
    <col min="14" max="16384" width="9.140625" style="2"/>
  </cols>
  <sheetData>
    <row r="1" spans="1:15" ht="15" customHeight="1">
      <c r="E1" s="27"/>
      <c r="F1" s="27"/>
      <c r="G1" s="27"/>
      <c r="H1" s="27" t="s">
        <v>608</v>
      </c>
    </row>
    <row r="2" spans="1:15" ht="10.5" customHeight="1">
      <c r="G2" s="27"/>
      <c r="H2" s="27"/>
    </row>
    <row r="3" spans="1:15">
      <c r="G3" s="27"/>
      <c r="H3" s="27"/>
    </row>
    <row r="4" spans="1:15">
      <c r="B4" s="410" t="s">
        <v>0</v>
      </c>
      <c r="C4" s="410"/>
      <c r="D4" s="410"/>
      <c r="E4" s="410"/>
      <c r="F4" s="410"/>
      <c r="G4" s="410"/>
      <c r="H4" s="410"/>
      <c r="I4" s="190"/>
      <c r="J4" s="190"/>
      <c r="K4" s="190"/>
      <c r="L4" s="190"/>
      <c r="M4" s="190"/>
      <c r="N4" s="190"/>
      <c r="O4" s="190"/>
    </row>
    <row r="5" spans="1:15">
      <c r="B5" s="410" t="s">
        <v>2</v>
      </c>
      <c r="C5" s="410"/>
      <c r="D5" s="410"/>
      <c r="E5" s="410"/>
      <c r="F5" s="410"/>
      <c r="G5" s="410"/>
      <c r="H5" s="410"/>
      <c r="I5" s="190"/>
      <c r="J5" s="190"/>
      <c r="K5" s="190"/>
      <c r="L5" s="190"/>
    </row>
    <row r="7" spans="1:15" s="28" customFormat="1" ht="15" customHeight="1">
      <c r="B7" s="408" t="s">
        <v>531</v>
      </c>
      <c r="C7" s="408"/>
      <c r="D7" s="408"/>
      <c r="E7" s="408"/>
      <c r="F7" s="408"/>
      <c r="G7" s="408"/>
      <c r="H7" s="408"/>
      <c r="I7" s="96"/>
      <c r="J7" s="96"/>
      <c r="K7" s="96"/>
      <c r="L7" s="96"/>
    </row>
    <row r="10" spans="1:15">
      <c r="H10" s="194"/>
      <c r="I10" s="194"/>
      <c r="J10" s="194"/>
      <c r="K10" s="194"/>
      <c r="L10" s="194"/>
    </row>
    <row r="11" spans="1:15">
      <c r="C11" s="1" t="s">
        <v>532</v>
      </c>
      <c r="D11" s="1" t="s">
        <v>533</v>
      </c>
      <c r="E11" s="1" t="s">
        <v>534</v>
      </c>
      <c r="F11" s="1" t="s">
        <v>535</v>
      </c>
      <c r="G11" s="1" t="s">
        <v>536</v>
      </c>
      <c r="H11" s="1" t="s">
        <v>537</v>
      </c>
      <c r="I11" s="196"/>
      <c r="J11" s="196"/>
      <c r="K11" s="196"/>
      <c r="L11" s="196"/>
    </row>
    <row r="12" spans="1:15">
      <c r="H12" s="196" t="s">
        <v>550</v>
      </c>
      <c r="I12" s="197"/>
      <c r="J12" s="197"/>
      <c r="K12" s="197"/>
      <c r="L12" s="197"/>
      <c r="M12" s="197"/>
    </row>
    <row r="13" spans="1:15" ht="30" customHeight="1">
      <c r="A13" s="220" t="s">
        <v>11</v>
      </c>
      <c r="B13" s="220" t="s">
        <v>546</v>
      </c>
      <c r="C13" s="220" t="s">
        <v>538</v>
      </c>
      <c r="D13" s="221" t="s">
        <v>539</v>
      </c>
      <c r="E13" s="221" t="s">
        <v>540</v>
      </c>
      <c r="F13" s="221" t="s">
        <v>541</v>
      </c>
      <c r="G13" s="221" t="s">
        <v>542</v>
      </c>
      <c r="H13" s="221" t="s">
        <v>140</v>
      </c>
      <c r="I13" s="197"/>
      <c r="J13" s="197"/>
      <c r="K13" s="197"/>
      <c r="L13" s="197"/>
    </row>
    <row r="14" spans="1:15">
      <c r="A14" s="192">
        <v>1</v>
      </c>
      <c r="B14" s="192" t="s">
        <v>543</v>
      </c>
      <c r="C14" s="32">
        <v>22013</v>
      </c>
      <c r="D14" s="227">
        <v>413531.2</v>
      </c>
      <c r="E14" s="228">
        <f>C14+D14</f>
        <v>435544.2</v>
      </c>
      <c r="F14" s="222">
        <v>0.12</v>
      </c>
      <c r="G14" s="228">
        <f>F14*E14</f>
        <v>52265.303999999996</v>
      </c>
      <c r="H14" s="41">
        <f>C14-G14</f>
        <v>-30252.303999999996</v>
      </c>
      <c r="I14" s="197"/>
      <c r="J14" s="197"/>
      <c r="K14" s="197"/>
      <c r="L14" s="197"/>
    </row>
    <row r="15" spans="1:15">
      <c r="A15" s="192">
        <f>A14+1</f>
        <v>2</v>
      </c>
      <c r="B15" s="192" t="s">
        <v>544</v>
      </c>
      <c r="C15" s="229">
        <v>39971</v>
      </c>
      <c r="D15" s="227">
        <v>362500.8</v>
      </c>
      <c r="E15" s="228">
        <f>C15+D15</f>
        <v>402471.8</v>
      </c>
      <c r="F15" s="222">
        <v>0.12</v>
      </c>
      <c r="G15" s="228">
        <f>F15*E15</f>
        <v>48296.615999999995</v>
      </c>
      <c r="H15" s="41">
        <f>C15-G15</f>
        <v>-8325.6159999999945</v>
      </c>
      <c r="I15" s="197"/>
      <c r="J15" s="197"/>
      <c r="K15" s="197"/>
      <c r="L15" s="197"/>
    </row>
    <row r="16" spans="1:15">
      <c r="A16" s="192">
        <f t="shared" ref="A16:A21" si="0">A15+1</f>
        <v>3</v>
      </c>
      <c r="B16" s="9" t="s">
        <v>100</v>
      </c>
      <c r="C16" s="230">
        <f>SUM(C14:C15)</f>
        <v>61984</v>
      </c>
      <c r="D16" s="230">
        <f t="shared" ref="D16:H16" si="1">SUM(D14:D15)</f>
        <v>776032</v>
      </c>
      <c r="E16" s="230">
        <f t="shared" si="1"/>
        <v>838016</v>
      </c>
      <c r="F16" s="226"/>
      <c r="G16" s="230">
        <f t="shared" si="1"/>
        <v>100561.91999999998</v>
      </c>
      <c r="H16" s="230">
        <f t="shared" si="1"/>
        <v>-38577.919999999991</v>
      </c>
      <c r="I16" s="197"/>
      <c r="J16" s="197"/>
      <c r="K16" s="197"/>
      <c r="L16" s="197"/>
    </row>
    <row r="17" spans="1:21">
      <c r="A17" s="192">
        <f t="shared" si="0"/>
        <v>4</v>
      </c>
      <c r="G17" s="41"/>
      <c r="H17" s="231"/>
      <c r="I17" s="197"/>
      <c r="J17" s="197"/>
      <c r="K17" s="197"/>
      <c r="L17" s="197"/>
    </row>
    <row r="18" spans="1:21">
      <c r="A18" s="192">
        <f t="shared" si="0"/>
        <v>5</v>
      </c>
      <c r="B18" s="2" t="s">
        <v>547</v>
      </c>
      <c r="F18" s="224">
        <f>'1.xx Wages'!M122</f>
        <v>0.53768550446758012</v>
      </c>
      <c r="G18" s="41"/>
      <c r="H18" s="41">
        <f>F18*H16</f>
        <v>-20742.788376509943</v>
      </c>
      <c r="I18" s="197"/>
      <c r="J18" s="197"/>
      <c r="K18" s="197"/>
      <c r="L18" s="197"/>
    </row>
    <row r="19" spans="1:21">
      <c r="A19" s="192">
        <f t="shared" si="0"/>
        <v>6</v>
      </c>
      <c r="B19" s="2" t="s">
        <v>548</v>
      </c>
      <c r="F19" s="224">
        <f>'1.xx Wages'!M124</f>
        <v>0.46231449553241988</v>
      </c>
      <c r="G19" s="41"/>
      <c r="H19" s="41">
        <f>F19*H16</f>
        <v>-17835.131623490048</v>
      </c>
      <c r="I19" s="197"/>
      <c r="J19" s="197"/>
      <c r="K19" s="197"/>
      <c r="L19" s="197"/>
    </row>
    <row r="20" spans="1:21">
      <c r="A20" s="192">
        <f t="shared" si="0"/>
        <v>7</v>
      </c>
      <c r="F20" s="225">
        <f>SUM(F18:F19)</f>
        <v>1</v>
      </c>
      <c r="G20" s="41"/>
      <c r="H20" s="41"/>
      <c r="I20" s="197"/>
      <c r="J20" s="197"/>
      <c r="K20" s="197"/>
      <c r="L20" s="197"/>
    </row>
    <row r="21" spans="1:21">
      <c r="A21" s="192">
        <f t="shared" si="0"/>
        <v>8</v>
      </c>
      <c r="B21" s="2" t="s">
        <v>549</v>
      </c>
      <c r="G21" s="41"/>
      <c r="H21" s="232">
        <f>H18</f>
        <v>-20742.788376509943</v>
      </c>
      <c r="I21" s="197"/>
      <c r="J21" s="197"/>
      <c r="K21" s="197"/>
      <c r="L21" s="197"/>
    </row>
    <row r="22" spans="1:21">
      <c r="H22" s="223"/>
      <c r="I22" s="197"/>
      <c r="J22" s="197"/>
      <c r="K22" s="197"/>
      <c r="L22" s="197"/>
    </row>
    <row r="23" spans="1:21">
      <c r="H23" s="223"/>
      <c r="I23" s="197"/>
      <c r="J23" s="197"/>
      <c r="K23" s="197"/>
      <c r="L23" s="197"/>
    </row>
    <row r="24" spans="1:21" ht="12.75" customHeight="1">
      <c r="B24" s="409" t="s">
        <v>545</v>
      </c>
      <c r="C24" s="409"/>
      <c r="D24" s="409"/>
      <c r="E24" s="409"/>
      <c r="F24" s="409"/>
      <c r="G24" s="409"/>
      <c r="H24" s="409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6" spans="1:21" ht="81.75" customHeight="1">
      <c r="B26" s="412" t="s">
        <v>551</v>
      </c>
      <c r="C26" s="412"/>
      <c r="D26" s="412"/>
      <c r="E26" s="412"/>
      <c r="F26" s="412"/>
      <c r="G26" s="412"/>
      <c r="H26" s="412"/>
      <c r="I26" s="219"/>
      <c r="J26" s="219"/>
      <c r="K26" s="219"/>
      <c r="L26" s="219"/>
    </row>
  </sheetData>
  <mergeCells count="5">
    <mergeCell ref="B4:H4"/>
    <mergeCell ref="B5:H5"/>
    <mergeCell ref="B7:H7"/>
    <mergeCell ref="B26:H26"/>
    <mergeCell ref="B24:H24"/>
  </mergeCells>
  <printOptions horizontalCentered="1"/>
  <pageMargins left="0.7" right="0.7" top="0.75" bottom="0.75" header="0.3" footer="0.3"/>
  <pageSetup orientation="landscape" r:id="rId1"/>
  <headerFooter>
    <oddFooter>&amp;RExhibit JW-2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9"/>
  <sheetViews>
    <sheetView view="pageBreakPreview" zoomScale="60" zoomScaleNormal="100" workbookViewId="0">
      <selection activeCell="J5" sqref="J5"/>
    </sheetView>
  </sheetViews>
  <sheetFormatPr defaultColWidth="9.140625" defaultRowHeight="14.25"/>
  <cols>
    <col min="1" max="1" width="9.140625" style="172"/>
    <col min="2" max="2" width="1.5703125" style="172" customWidth="1"/>
    <col min="3" max="3" width="38.42578125" style="170" bestFit="1" customWidth="1"/>
    <col min="4" max="4" width="15.5703125" style="187" bestFit="1" customWidth="1"/>
    <col min="5" max="5" width="17" style="188" customWidth="1"/>
    <col min="6" max="6" width="19.7109375" style="170" customWidth="1"/>
    <col min="7" max="7" width="4.5703125" style="170" customWidth="1"/>
    <col min="8" max="8" width="13.42578125" style="170" bestFit="1" customWidth="1"/>
    <col min="9" max="9" width="5.85546875" style="170" customWidth="1"/>
    <col min="10" max="10" width="9.140625" style="170"/>
    <col min="11" max="11" width="16.28515625" style="170" bestFit="1" customWidth="1"/>
    <col min="12" max="12" width="11.28515625" style="170" bestFit="1" customWidth="1"/>
    <col min="13" max="16384" width="9.140625" style="170"/>
  </cols>
  <sheetData>
    <row r="1" spans="1:15" ht="15">
      <c r="A1" s="37" t="s">
        <v>0</v>
      </c>
      <c r="B1" s="162"/>
      <c r="C1" s="162"/>
      <c r="D1" s="162"/>
      <c r="E1" s="162"/>
      <c r="F1" s="162"/>
      <c r="G1" s="37"/>
    </row>
    <row r="2" spans="1:15" ht="15">
      <c r="A2" s="37" t="s">
        <v>408</v>
      </c>
      <c r="B2" s="162"/>
      <c r="C2" s="162"/>
      <c r="D2" s="162"/>
      <c r="E2" s="162"/>
      <c r="F2" s="162"/>
      <c r="G2" s="37"/>
    </row>
    <row r="3" spans="1:15">
      <c r="A3" s="37"/>
      <c r="B3" s="37"/>
      <c r="C3" s="37"/>
      <c r="D3" s="114"/>
      <c r="E3" s="152"/>
      <c r="F3" s="37"/>
      <c r="G3" s="37"/>
    </row>
    <row r="4" spans="1:15">
      <c r="A4" s="4"/>
      <c r="B4" s="4"/>
      <c r="C4" s="2"/>
      <c r="D4" s="97"/>
      <c r="E4" s="153"/>
      <c r="F4" s="1"/>
      <c r="G4" s="3"/>
    </row>
    <row r="5" spans="1:15">
      <c r="A5" s="1" t="s">
        <v>7</v>
      </c>
      <c r="B5" s="1"/>
      <c r="C5" s="1" t="s">
        <v>8</v>
      </c>
      <c r="D5" s="97" t="s">
        <v>9</v>
      </c>
      <c r="E5" s="153" t="s">
        <v>409</v>
      </c>
      <c r="F5" s="1" t="s">
        <v>410</v>
      </c>
      <c r="G5" s="3"/>
    </row>
    <row r="6" spans="1:15" s="175" customFormat="1" ht="15">
      <c r="A6" s="5" t="s">
        <v>11</v>
      </c>
      <c r="B6" s="5"/>
      <c r="C6" s="6">
        <v>1</v>
      </c>
      <c r="D6" s="6">
        <f>C6+1</f>
        <v>2</v>
      </c>
      <c r="E6" s="6">
        <f>D6+1</f>
        <v>3</v>
      </c>
      <c r="F6" s="6" t="s">
        <v>12</v>
      </c>
      <c r="K6" s="170"/>
      <c r="L6" s="170"/>
      <c r="M6" s="170"/>
      <c r="N6" s="170"/>
      <c r="O6" s="170"/>
    </row>
    <row r="7" spans="1:15">
      <c r="A7" s="4">
        <v>1</v>
      </c>
      <c r="B7" s="154" t="s">
        <v>411</v>
      </c>
      <c r="C7" s="2"/>
      <c r="D7" s="39"/>
      <c r="E7" s="7"/>
      <c r="F7" s="2"/>
    </row>
    <row r="8" spans="1:15">
      <c r="A8" s="4">
        <f>A7+1</f>
        <v>2</v>
      </c>
      <c r="B8" s="4"/>
      <c r="C8" s="2" t="s">
        <v>412</v>
      </c>
      <c r="D8" s="155">
        <v>208827089</v>
      </c>
      <c r="E8" s="155">
        <v>0</v>
      </c>
      <c r="F8" s="155">
        <f>D8+E8</f>
        <v>208827089</v>
      </c>
    </row>
    <row r="9" spans="1:15">
      <c r="A9" s="4">
        <f t="shared" ref="A9:A64" si="0">A8+1</f>
        <v>3</v>
      </c>
      <c r="B9" s="4"/>
      <c r="C9" s="2" t="s">
        <v>413</v>
      </c>
      <c r="D9" s="155">
        <v>6172076</v>
      </c>
      <c r="E9" s="155">
        <v>0</v>
      </c>
      <c r="F9" s="155">
        <f>D9+E9</f>
        <v>6172076</v>
      </c>
    </row>
    <row r="10" spans="1:15">
      <c r="A10" s="4">
        <f t="shared" si="0"/>
        <v>4</v>
      </c>
      <c r="B10" s="4"/>
      <c r="C10" s="2" t="s">
        <v>414</v>
      </c>
      <c r="D10" s="155">
        <f>D8+D9</f>
        <v>214999165</v>
      </c>
      <c r="E10" s="155">
        <v>0</v>
      </c>
      <c r="F10" s="155">
        <f>D10+E10</f>
        <v>214999165</v>
      </c>
    </row>
    <row r="11" spans="1:15">
      <c r="A11" s="4">
        <f t="shared" si="0"/>
        <v>5</v>
      </c>
      <c r="B11" s="4"/>
      <c r="C11" s="2" t="s">
        <v>415</v>
      </c>
      <c r="D11" s="155">
        <v>-81565220</v>
      </c>
      <c r="E11" s="155">
        <v>0</v>
      </c>
      <c r="F11" s="155">
        <f>D11+E11</f>
        <v>-81565220</v>
      </c>
    </row>
    <row r="12" spans="1:15">
      <c r="A12" s="4">
        <f t="shared" si="0"/>
        <v>6</v>
      </c>
      <c r="B12" s="4"/>
      <c r="C12" s="9" t="s">
        <v>416</v>
      </c>
      <c r="D12" s="156">
        <f>SUM(D10:D11)</f>
        <v>133433945</v>
      </c>
      <c r="E12" s="156">
        <f t="shared" ref="E12:F12" si="1">SUM(E10:E11)</f>
        <v>0</v>
      </c>
      <c r="F12" s="156">
        <f t="shared" si="1"/>
        <v>133433945</v>
      </c>
    </row>
    <row r="13" spans="1:15">
      <c r="A13" s="4">
        <f t="shared" si="0"/>
        <v>7</v>
      </c>
      <c r="B13" s="4"/>
      <c r="C13" s="2"/>
      <c r="D13" s="155"/>
      <c r="E13" s="155"/>
      <c r="F13" s="155"/>
    </row>
    <row r="14" spans="1:15">
      <c r="A14" s="4">
        <f t="shared" si="0"/>
        <v>8</v>
      </c>
      <c r="B14" s="4"/>
      <c r="C14" s="2" t="s">
        <v>417</v>
      </c>
      <c r="D14" s="155">
        <v>2023791</v>
      </c>
      <c r="E14" s="155">
        <v>0</v>
      </c>
      <c r="F14" s="155">
        <f>D14+E14</f>
        <v>2023791</v>
      </c>
    </row>
    <row r="15" spans="1:15">
      <c r="A15" s="4">
        <f t="shared" si="0"/>
        <v>9</v>
      </c>
      <c r="B15" s="4"/>
      <c r="C15" s="2" t="s">
        <v>418</v>
      </c>
      <c r="D15" s="155">
        <v>0</v>
      </c>
      <c r="E15" s="155">
        <v>0</v>
      </c>
      <c r="F15" s="155">
        <f>D15+E15</f>
        <v>0</v>
      </c>
    </row>
    <row r="16" spans="1:15">
      <c r="A16" s="4">
        <f t="shared" si="0"/>
        <v>10</v>
      </c>
      <c r="B16" s="4"/>
      <c r="C16" s="2" t="s">
        <v>419</v>
      </c>
      <c r="D16" s="155">
        <v>2040064</v>
      </c>
      <c r="E16" s="155">
        <v>0</v>
      </c>
      <c r="F16" s="155">
        <f>D16+E16</f>
        <v>2040064</v>
      </c>
    </row>
    <row r="17" spans="1:8">
      <c r="A17" s="4">
        <f t="shared" si="0"/>
        <v>11</v>
      </c>
      <c r="B17" s="4"/>
      <c r="C17" s="2" t="s">
        <v>420</v>
      </c>
      <c r="D17" s="155">
        <v>0</v>
      </c>
      <c r="E17" s="155">
        <v>0</v>
      </c>
      <c r="F17" s="155">
        <f>D17+E17</f>
        <v>0</v>
      </c>
    </row>
    <row r="18" spans="1:8">
      <c r="A18" s="4">
        <f t="shared" si="0"/>
        <v>12</v>
      </c>
      <c r="B18" s="4"/>
      <c r="C18" s="9" t="s">
        <v>421</v>
      </c>
      <c r="D18" s="156">
        <f>SUM(D14:D17)</f>
        <v>4063855</v>
      </c>
      <c r="E18" s="156">
        <f t="shared" ref="E18:F18" si="2">SUM(E14:E17)</f>
        <v>0</v>
      </c>
      <c r="F18" s="156">
        <f t="shared" si="2"/>
        <v>4063855</v>
      </c>
    </row>
    <row r="19" spans="1:8">
      <c r="A19" s="4">
        <f t="shared" si="0"/>
        <v>13</v>
      </c>
      <c r="B19" s="4"/>
      <c r="C19" s="2"/>
      <c r="D19" s="155"/>
      <c r="E19" s="155"/>
      <c r="F19" s="155"/>
    </row>
    <row r="20" spans="1:8">
      <c r="A20" s="4">
        <f t="shared" si="0"/>
        <v>14</v>
      </c>
      <c r="B20" s="4"/>
      <c r="C20" s="2" t="s">
        <v>422</v>
      </c>
      <c r="D20" s="155">
        <v>3506855</v>
      </c>
      <c r="E20" s="155">
        <v>0</v>
      </c>
      <c r="F20" s="155">
        <f t="shared" ref="F20:F29" si="3">D20+E20</f>
        <v>3506855</v>
      </c>
    </row>
    <row r="21" spans="1:8">
      <c r="A21" s="4">
        <f t="shared" si="0"/>
        <v>15</v>
      </c>
      <c r="B21" s="4"/>
      <c r="C21" s="2" t="s">
        <v>423</v>
      </c>
      <c r="D21" s="155">
        <v>0</v>
      </c>
      <c r="E21" s="155">
        <v>0</v>
      </c>
      <c r="F21" s="155">
        <f t="shared" si="3"/>
        <v>0</v>
      </c>
    </row>
    <row r="22" spans="1:8">
      <c r="A22" s="4">
        <f t="shared" si="0"/>
        <v>16</v>
      </c>
      <c r="B22" s="4"/>
      <c r="C22" s="2" t="s">
        <v>424</v>
      </c>
      <c r="D22" s="155">
        <v>0</v>
      </c>
      <c r="E22" s="155">
        <v>0</v>
      </c>
      <c r="F22" s="155">
        <f t="shared" si="3"/>
        <v>0</v>
      </c>
    </row>
    <row r="23" spans="1:8">
      <c r="A23" s="4">
        <f t="shared" si="0"/>
        <v>17</v>
      </c>
      <c r="B23" s="4"/>
      <c r="C23" s="2" t="s">
        <v>425</v>
      </c>
      <c r="D23" s="155">
        <v>0</v>
      </c>
      <c r="E23" s="155">
        <v>0</v>
      </c>
      <c r="F23" s="155">
        <f t="shared" si="3"/>
        <v>0</v>
      </c>
    </row>
    <row r="24" spans="1:8">
      <c r="A24" s="4">
        <f t="shared" si="0"/>
        <v>18</v>
      </c>
      <c r="B24" s="4"/>
      <c r="C24" s="2" t="s">
        <v>426</v>
      </c>
      <c r="D24" s="155">
        <v>6563251</v>
      </c>
      <c r="E24" s="155">
        <v>0</v>
      </c>
      <c r="F24" s="155">
        <f t="shared" si="3"/>
        <v>6563251</v>
      </c>
      <c r="H24" s="390"/>
    </row>
    <row r="25" spans="1:8">
      <c r="A25" s="4">
        <f t="shared" si="0"/>
        <v>19</v>
      </c>
      <c r="B25" s="4"/>
      <c r="C25" s="2" t="s">
        <v>427</v>
      </c>
      <c r="D25" s="155">
        <v>187507</v>
      </c>
      <c r="E25" s="155">
        <v>0</v>
      </c>
      <c r="F25" s="155">
        <f t="shared" si="3"/>
        <v>187507</v>
      </c>
    </row>
    <row r="26" spans="1:8">
      <c r="A26" s="4">
        <f t="shared" si="0"/>
        <v>20</v>
      </c>
      <c r="B26" s="4"/>
      <c r="C26" s="2" t="s">
        <v>428</v>
      </c>
      <c r="D26" s="157">
        <v>0</v>
      </c>
      <c r="E26" s="155">
        <v>0</v>
      </c>
      <c r="F26" s="155">
        <f t="shared" si="3"/>
        <v>0</v>
      </c>
    </row>
    <row r="27" spans="1:8">
      <c r="A27" s="4">
        <f t="shared" si="0"/>
        <v>21</v>
      </c>
      <c r="B27" s="4"/>
      <c r="C27" s="2" t="s">
        <v>429</v>
      </c>
      <c r="D27" s="155">
        <v>4645711</v>
      </c>
      <c r="E27" s="155">
        <v>0</v>
      </c>
      <c r="F27" s="155">
        <f t="shared" si="3"/>
        <v>4645711</v>
      </c>
    </row>
    <row r="28" spans="1:8">
      <c r="A28" s="4">
        <f t="shared" si="0"/>
        <v>22</v>
      </c>
      <c r="B28" s="4"/>
      <c r="C28" s="2" t="s">
        <v>430</v>
      </c>
      <c r="D28" s="155">
        <v>722539</v>
      </c>
      <c r="E28" s="155">
        <v>0</v>
      </c>
      <c r="F28" s="155">
        <f t="shared" si="3"/>
        <v>722539</v>
      </c>
    </row>
    <row r="29" spans="1:8">
      <c r="A29" s="4">
        <f t="shared" si="0"/>
        <v>23</v>
      </c>
      <c r="B29" s="4"/>
      <c r="C29" s="2" t="s">
        <v>431</v>
      </c>
      <c r="D29" s="155">
        <v>5731904</v>
      </c>
      <c r="E29" s="155">
        <v>0</v>
      </c>
      <c r="F29" s="155">
        <f t="shared" si="3"/>
        <v>5731904</v>
      </c>
    </row>
    <row r="30" spans="1:8">
      <c r="A30" s="4">
        <f t="shared" si="0"/>
        <v>24</v>
      </c>
      <c r="B30" s="4"/>
      <c r="C30" s="9" t="s">
        <v>432</v>
      </c>
      <c r="D30" s="156">
        <v>21357766</v>
      </c>
      <c r="E30" s="156">
        <f t="shared" ref="E30:F30" si="4">SUM(E20:E29)</f>
        <v>0</v>
      </c>
      <c r="F30" s="156">
        <f t="shared" si="4"/>
        <v>21357767</v>
      </c>
    </row>
    <row r="31" spans="1:8">
      <c r="A31" s="4">
        <f t="shared" si="0"/>
        <v>25</v>
      </c>
      <c r="B31" s="4"/>
      <c r="C31" s="2"/>
      <c r="D31" s="155"/>
      <c r="E31" s="155"/>
      <c r="F31" s="155"/>
    </row>
    <row r="32" spans="1:8">
      <c r="A32" s="4">
        <f t="shared" si="0"/>
        <v>26</v>
      </c>
      <c r="B32" s="4"/>
      <c r="C32" s="2" t="s">
        <v>433</v>
      </c>
      <c r="D32" s="155">
        <v>0</v>
      </c>
      <c r="E32" s="155">
        <v>0</v>
      </c>
      <c r="F32" s="155">
        <f>D32+E32</f>
        <v>0</v>
      </c>
    </row>
    <row r="33" spans="1:6">
      <c r="A33" s="4">
        <f t="shared" si="0"/>
        <v>27</v>
      </c>
      <c r="B33" s="4"/>
      <c r="C33" s="2" t="s">
        <v>434</v>
      </c>
      <c r="D33" s="155">
        <v>49992</v>
      </c>
      <c r="E33" s="155">
        <v>0</v>
      </c>
      <c r="F33" s="155">
        <f>D33+E33</f>
        <v>49992</v>
      </c>
    </row>
    <row r="34" spans="1:6">
      <c r="A34" s="4">
        <f t="shared" si="0"/>
        <v>28</v>
      </c>
      <c r="B34" s="4"/>
      <c r="C34" s="2"/>
      <c r="D34" s="8"/>
      <c r="E34" s="155"/>
      <c r="F34" s="155"/>
    </row>
    <row r="35" spans="1:6" ht="15" thickBot="1">
      <c r="A35" s="4">
        <f t="shared" si="0"/>
        <v>29</v>
      </c>
      <c r="B35" s="4"/>
      <c r="C35" s="13" t="s">
        <v>435</v>
      </c>
      <c r="D35" s="158">
        <f>D33+D32+D30+D18+D12</f>
        <v>158905558</v>
      </c>
      <c r="E35" s="158">
        <f t="shared" ref="E35:F35" si="5">E33+E32+E30+E18+E12</f>
        <v>0</v>
      </c>
      <c r="F35" s="158">
        <f t="shared" si="5"/>
        <v>158905559</v>
      </c>
    </row>
    <row r="36" spans="1:6" ht="15" thickTop="1">
      <c r="A36" s="4">
        <f t="shared" si="0"/>
        <v>30</v>
      </c>
      <c r="B36" s="4"/>
      <c r="C36" s="2"/>
      <c r="D36" s="159"/>
      <c r="E36" s="155"/>
      <c r="F36" s="155"/>
    </row>
    <row r="37" spans="1:6">
      <c r="A37" s="4">
        <f t="shared" si="0"/>
        <v>31</v>
      </c>
      <c r="B37" s="160" t="s">
        <v>436</v>
      </c>
      <c r="C37" s="2"/>
      <c r="D37" s="155"/>
      <c r="E37" s="155"/>
      <c r="F37" s="155"/>
    </row>
    <row r="38" spans="1:6">
      <c r="A38" s="4">
        <f t="shared" si="0"/>
        <v>32</v>
      </c>
      <c r="B38" s="4"/>
      <c r="C38" s="2" t="s">
        <v>437</v>
      </c>
      <c r="D38" s="155">
        <v>97715</v>
      </c>
      <c r="E38" s="7">
        <v>0</v>
      </c>
      <c r="F38" s="155">
        <f>D38+E38</f>
        <v>97715</v>
      </c>
    </row>
    <row r="39" spans="1:6">
      <c r="A39" s="4">
        <f t="shared" si="0"/>
        <v>33</v>
      </c>
      <c r="B39" s="4"/>
      <c r="C39" s="2" t="s">
        <v>438</v>
      </c>
      <c r="D39" s="155">
        <v>50105393</v>
      </c>
      <c r="E39" s="155">
        <v>0</v>
      </c>
      <c r="F39" s="155">
        <f>D39+E39</f>
        <v>50105393</v>
      </c>
    </row>
    <row r="40" spans="1:6">
      <c r="A40" s="4">
        <f t="shared" si="0"/>
        <v>34</v>
      </c>
      <c r="B40" s="4"/>
      <c r="C40" s="2" t="s">
        <v>439</v>
      </c>
      <c r="D40" s="155">
        <v>-199168</v>
      </c>
      <c r="E40" s="155">
        <v>0</v>
      </c>
      <c r="F40" s="155">
        <f>D40+E40</f>
        <v>-199168</v>
      </c>
    </row>
    <row r="41" spans="1:6">
      <c r="A41" s="4">
        <f t="shared" si="0"/>
        <v>35</v>
      </c>
      <c r="B41" s="4"/>
      <c r="C41" s="2" t="s">
        <v>440</v>
      </c>
      <c r="D41" s="155">
        <v>328763</v>
      </c>
      <c r="E41" s="155">
        <v>0</v>
      </c>
      <c r="F41" s="155">
        <f>D41+E41</f>
        <v>328763</v>
      </c>
    </row>
    <row r="42" spans="1:6">
      <c r="A42" s="4">
        <f t="shared" si="0"/>
        <v>36</v>
      </c>
      <c r="B42" s="4"/>
      <c r="C42" s="2" t="s">
        <v>441</v>
      </c>
      <c r="D42" s="155">
        <v>77039</v>
      </c>
      <c r="E42" s="155">
        <v>0</v>
      </c>
      <c r="F42" s="155">
        <f>D42+E42</f>
        <v>77039</v>
      </c>
    </row>
    <row r="43" spans="1:6">
      <c r="A43" s="4">
        <f t="shared" si="0"/>
        <v>37</v>
      </c>
      <c r="B43" s="4"/>
      <c r="C43" s="9" t="s">
        <v>442</v>
      </c>
      <c r="D43" s="156">
        <f>SUM(D38:D42)</f>
        <v>50409742</v>
      </c>
      <c r="E43" s="156">
        <f t="shared" ref="E43:F43" si="6">SUM(E38:E42)</f>
        <v>0</v>
      </c>
      <c r="F43" s="156">
        <f t="shared" si="6"/>
        <v>50409742</v>
      </c>
    </row>
    <row r="44" spans="1:6">
      <c r="A44" s="4">
        <f t="shared" si="0"/>
        <v>38</v>
      </c>
      <c r="B44" s="4"/>
      <c r="C44" s="2"/>
      <c r="D44" s="155"/>
      <c r="E44" s="155"/>
      <c r="F44" s="155"/>
    </row>
    <row r="45" spans="1:6">
      <c r="A45" s="4">
        <f t="shared" si="0"/>
        <v>39</v>
      </c>
      <c r="B45" s="4"/>
      <c r="C45" s="2" t="s">
        <v>443</v>
      </c>
      <c r="D45" s="159">
        <v>0</v>
      </c>
      <c r="E45" s="155">
        <v>0</v>
      </c>
      <c r="F45" s="155">
        <f t="shared" ref="F45:F50" si="7">D45+E45</f>
        <v>0</v>
      </c>
    </row>
    <row r="46" spans="1:6">
      <c r="A46" s="4">
        <f t="shared" si="0"/>
        <v>40</v>
      </c>
      <c r="B46" s="4"/>
      <c r="C46" s="2" t="s">
        <v>444</v>
      </c>
      <c r="D46" s="159">
        <v>66100260</v>
      </c>
      <c r="E46" s="155">
        <v>0</v>
      </c>
      <c r="F46" s="155">
        <f t="shared" si="7"/>
        <v>66100260</v>
      </c>
    </row>
    <row r="47" spans="1:6">
      <c r="A47" s="4">
        <f t="shared" si="0"/>
        <v>41</v>
      </c>
      <c r="B47" s="4"/>
      <c r="C47" s="2" t="s">
        <v>445</v>
      </c>
      <c r="D47" s="159">
        <v>0</v>
      </c>
      <c r="E47" s="155">
        <v>0</v>
      </c>
      <c r="F47" s="155">
        <f t="shared" si="7"/>
        <v>0</v>
      </c>
    </row>
    <row r="48" spans="1:6">
      <c r="A48" s="4">
        <f t="shared" si="0"/>
        <v>42</v>
      </c>
      <c r="B48" s="4"/>
      <c r="C48" s="2" t="s">
        <v>446</v>
      </c>
      <c r="D48" s="159">
        <v>23141579</v>
      </c>
      <c r="E48" s="155">
        <v>0</v>
      </c>
      <c r="F48" s="155">
        <f t="shared" si="7"/>
        <v>23141579</v>
      </c>
    </row>
    <row r="49" spans="1:6">
      <c r="A49" s="4">
        <f t="shared" si="0"/>
        <v>43</v>
      </c>
      <c r="B49" s="4"/>
      <c r="C49" s="2" t="s">
        <v>447</v>
      </c>
      <c r="D49" s="159">
        <v>0</v>
      </c>
      <c r="E49" s="155">
        <v>0</v>
      </c>
      <c r="F49" s="155">
        <f t="shared" si="7"/>
        <v>0</v>
      </c>
    </row>
    <row r="50" spans="1:6">
      <c r="A50" s="4">
        <f t="shared" si="0"/>
        <v>44</v>
      </c>
      <c r="B50" s="4"/>
      <c r="C50" s="2" t="s">
        <v>480</v>
      </c>
      <c r="D50" s="159">
        <v>0</v>
      </c>
      <c r="E50" s="155">
        <v>0</v>
      </c>
      <c r="F50" s="155">
        <f t="shared" si="7"/>
        <v>0</v>
      </c>
    </row>
    <row r="51" spans="1:6">
      <c r="A51" s="4">
        <f t="shared" si="0"/>
        <v>45</v>
      </c>
      <c r="B51" s="4"/>
      <c r="C51" s="9" t="s">
        <v>448</v>
      </c>
      <c r="D51" s="156">
        <v>89241838</v>
      </c>
      <c r="E51" s="156">
        <f t="shared" ref="E51:F51" si="8">SUM(E45:E50)</f>
        <v>0</v>
      </c>
      <c r="F51" s="156">
        <f t="shared" si="8"/>
        <v>89241839</v>
      </c>
    </row>
    <row r="52" spans="1:6">
      <c r="A52" s="4">
        <f t="shared" si="0"/>
        <v>46</v>
      </c>
      <c r="B52" s="4"/>
      <c r="C52" s="2"/>
      <c r="D52" s="155"/>
      <c r="E52" s="155"/>
      <c r="F52" s="155"/>
    </row>
    <row r="53" spans="1:6">
      <c r="A53" s="4">
        <f t="shared" si="0"/>
        <v>47</v>
      </c>
      <c r="B53" s="4"/>
      <c r="C53" s="2" t="s">
        <v>449</v>
      </c>
      <c r="D53" s="155">
        <v>3163678</v>
      </c>
      <c r="E53" s="155">
        <v>0</v>
      </c>
      <c r="F53" s="155">
        <f>D53+E53</f>
        <v>3163678</v>
      </c>
    </row>
    <row r="54" spans="1:6">
      <c r="A54" s="4">
        <f t="shared" si="0"/>
        <v>48</v>
      </c>
      <c r="B54" s="4"/>
      <c r="C54" s="2"/>
      <c r="D54" s="155"/>
      <c r="E54" s="155"/>
      <c r="F54" s="155"/>
    </row>
    <row r="55" spans="1:6">
      <c r="A55" s="4">
        <f t="shared" si="0"/>
        <v>49</v>
      </c>
      <c r="B55" s="4"/>
      <c r="C55" s="2" t="s">
        <v>450</v>
      </c>
      <c r="D55" s="155">
        <v>2000000</v>
      </c>
      <c r="E55" s="155">
        <v>0</v>
      </c>
      <c r="F55" s="155">
        <f>D55+E55</f>
        <v>2000000</v>
      </c>
    </row>
    <row r="56" spans="1:6">
      <c r="A56" s="4">
        <f t="shared" si="0"/>
        <v>50</v>
      </c>
      <c r="B56" s="4"/>
      <c r="C56" s="2" t="s">
        <v>451</v>
      </c>
      <c r="D56" s="155">
        <v>8560971</v>
      </c>
      <c r="E56" s="155">
        <v>0</v>
      </c>
      <c r="F56" s="155">
        <f>D56+E56</f>
        <v>8560971</v>
      </c>
    </row>
    <row r="57" spans="1:6">
      <c r="A57" s="4">
        <f t="shared" si="0"/>
        <v>51</v>
      </c>
      <c r="B57" s="4"/>
      <c r="C57" s="2" t="s">
        <v>452</v>
      </c>
      <c r="D57" s="155">
        <v>3242780</v>
      </c>
      <c r="E57" s="155">
        <v>0</v>
      </c>
      <c r="F57" s="155">
        <f>D57+E57</f>
        <v>3242780</v>
      </c>
    </row>
    <row r="58" spans="1:6">
      <c r="A58" s="4">
        <f t="shared" si="0"/>
        <v>52</v>
      </c>
      <c r="B58" s="4"/>
      <c r="C58" s="2" t="s">
        <v>481</v>
      </c>
      <c r="D58" s="155">
        <v>0</v>
      </c>
      <c r="E58" s="155">
        <v>0</v>
      </c>
      <c r="F58" s="155">
        <f>D58+E58</f>
        <v>0</v>
      </c>
    </row>
    <row r="59" spans="1:6">
      <c r="A59" s="4">
        <f t="shared" si="0"/>
        <v>53</v>
      </c>
      <c r="B59" s="4"/>
      <c r="C59" s="2" t="s">
        <v>453</v>
      </c>
      <c r="D59" s="155">
        <v>2244275</v>
      </c>
      <c r="E59" s="155">
        <v>0</v>
      </c>
      <c r="F59" s="155">
        <f>D59+E59</f>
        <v>2244275</v>
      </c>
    </row>
    <row r="60" spans="1:6">
      <c r="A60" s="4">
        <f t="shared" si="0"/>
        <v>54</v>
      </c>
      <c r="B60" s="4"/>
      <c r="C60" s="9" t="s">
        <v>454</v>
      </c>
      <c r="D60" s="156">
        <f>SUM(D55:D59)</f>
        <v>16048026</v>
      </c>
      <c r="E60" s="156">
        <f t="shared" ref="E60:F60" si="9">SUM(E55:E59)</f>
        <v>0</v>
      </c>
      <c r="F60" s="156">
        <f t="shared" si="9"/>
        <v>16048026</v>
      </c>
    </row>
    <row r="61" spans="1:6">
      <c r="A61" s="4">
        <f t="shared" si="0"/>
        <v>55</v>
      </c>
      <c r="B61" s="4"/>
      <c r="C61" s="2"/>
      <c r="D61" s="155"/>
      <c r="E61" s="155"/>
      <c r="F61" s="155"/>
    </row>
    <row r="62" spans="1:6">
      <c r="A62" s="4">
        <f t="shared" si="0"/>
        <v>56</v>
      </c>
      <c r="B62" s="4"/>
      <c r="C62" s="2" t="s">
        <v>455</v>
      </c>
      <c r="D62" s="155">
        <v>42274</v>
      </c>
      <c r="E62" s="155">
        <v>0</v>
      </c>
      <c r="F62" s="155">
        <f>D62+E62</f>
        <v>42274</v>
      </c>
    </row>
    <row r="63" spans="1:6">
      <c r="A63" s="4">
        <f t="shared" si="0"/>
        <v>57</v>
      </c>
      <c r="B63" s="4"/>
      <c r="C63" s="2" t="s">
        <v>456</v>
      </c>
      <c r="D63" s="155">
        <v>0</v>
      </c>
      <c r="E63" s="155">
        <v>0</v>
      </c>
      <c r="F63" s="155">
        <f>D63+E63</f>
        <v>0</v>
      </c>
    </row>
    <row r="64" spans="1:6" ht="15" thickBot="1">
      <c r="A64" s="4">
        <f t="shared" si="0"/>
        <v>58</v>
      </c>
      <c r="B64" s="4"/>
      <c r="C64" s="13" t="s">
        <v>457</v>
      </c>
      <c r="D64" s="158">
        <f>D63+D62+D60+D53+D51+D43</f>
        <v>158905558</v>
      </c>
      <c r="E64" s="158">
        <f t="shared" ref="E64:F64" si="10">E63+E62+E60+E53+E51+E43</f>
        <v>0</v>
      </c>
      <c r="F64" s="158">
        <f t="shared" si="10"/>
        <v>158905559</v>
      </c>
    </row>
    <row r="65" spans="1:6" ht="15" thickTop="1">
      <c r="A65" s="4"/>
      <c r="B65" s="4"/>
      <c r="C65" s="2"/>
      <c r="D65" s="155"/>
      <c r="E65" s="155"/>
      <c r="F65" s="155"/>
    </row>
    <row r="66" spans="1:6">
      <c r="A66" s="4"/>
      <c r="B66" s="4"/>
      <c r="C66" s="2"/>
      <c r="D66" s="8"/>
      <c r="E66" s="155"/>
      <c r="F66" s="155"/>
    </row>
    <row r="67" spans="1:6">
      <c r="A67" s="4"/>
      <c r="B67" s="4"/>
      <c r="C67" s="2"/>
      <c r="D67" s="8"/>
      <c r="E67" s="155"/>
      <c r="F67" s="155"/>
    </row>
    <row r="68" spans="1:6">
      <c r="A68" s="4"/>
      <c r="B68" s="4"/>
      <c r="C68" s="2"/>
      <c r="D68" s="8"/>
      <c r="E68" s="155"/>
      <c r="F68" s="155"/>
    </row>
    <row r="69" spans="1:6">
      <c r="A69" s="4"/>
      <c r="B69" s="4"/>
      <c r="C69" s="2"/>
      <c r="D69" s="8"/>
      <c r="E69" s="155"/>
      <c r="F69" s="155"/>
    </row>
  </sheetData>
  <printOptions horizontalCentered="1"/>
  <pageMargins left="1" right="0.75" top="0.75" bottom="0.75" header="0.3" footer="0.3"/>
  <pageSetup scale="76" orientation="portrait" r:id="rId1"/>
  <headerFooter>
    <oddFooter>&amp;RExhibit  JW-2
Page &amp;P of &amp;N</oddFooter>
  </headerFooter>
  <ignoredErrors>
    <ignoredError sqref="E12" formulaRange="1"/>
    <ignoredError sqref="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theme="9" tint="0.79998168889431442"/>
    <pageSetUpPr fitToPage="1"/>
  </sheetPr>
  <dimension ref="A1:AE49"/>
  <sheetViews>
    <sheetView defaultGridColor="0" view="pageBreakPreview" colorId="22" zoomScale="60" zoomScaleNormal="75" workbookViewId="0">
      <selection activeCell="S1" sqref="S1"/>
    </sheetView>
  </sheetViews>
  <sheetFormatPr defaultColWidth="12.5703125" defaultRowHeight="14.25"/>
  <cols>
    <col min="1" max="1" width="6.140625" style="363" customWidth="1"/>
    <col min="2" max="2" width="33.140625" style="366" customWidth="1"/>
    <col min="3" max="3" width="13.5703125" style="366" customWidth="1"/>
    <col min="4" max="4" width="12.42578125" style="366" customWidth="1"/>
    <col min="5" max="5" width="11.85546875" style="366" customWidth="1"/>
    <col min="6" max="6" width="14" style="366" customWidth="1"/>
    <col min="7" max="7" width="12.140625" style="366" customWidth="1"/>
    <col min="8" max="8" width="15.140625" style="366" customWidth="1"/>
    <col min="9" max="9" width="12.42578125" style="366" customWidth="1"/>
    <col min="10" max="10" width="10.28515625" style="366" customWidth="1"/>
    <col min="11" max="11" width="12.42578125" style="366" customWidth="1"/>
    <col min="12" max="12" width="13" style="366" customWidth="1"/>
    <col min="13" max="13" width="13.5703125" style="366" customWidth="1"/>
    <col min="14" max="14" width="14.28515625" style="366" customWidth="1"/>
    <col min="15" max="18" width="12.42578125" style="366" customWidth="1"/>
    <col min="19" max="19" width="15.5703125" style="366" customWidth="1"/>
    <col min="20" max="20" width="3.5703125" style="366" customWidth="1"/>
    <col min="21" max="21" width="15.5703125" style="366" bestFit="1" customWidth="1"/>
    <col min="22" max="22" width="12.7109375" style="366" bestFit="1" customWidth="1"/>
    <col min="23" max="16384" width="12.5703125" style="366"/>
  </cols>
  <sheetData>
    <row r="1" spans="1:31">
      <c r="B1" s="163" t="s">
        <v>0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402" t="s">
        <v>693</v>
      </c>
      <c r="T1" s="365"/>
    </row>
    <row r="2" spans="1:31">
      <c r="B2" s="37" t="s">
        <v>458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5"/>
    </row>
    <row r="3" spans="1:31" s="363" customFormat="1"/>
    <row r="4" spans="1:31">
      <c r="B4" s="365" t="s">
        <v>478</v>
      </c>
      <c r="C4" s="367">
        <f>'Adj List'!B8</f>
        <v>1.01</v>
      </c>
      <c r="D4" s="367">
        <f>'Adj List'!B9</f>
        <v>1.02</v>
      </c>
      <c r="E4" s="367">
        <f>'Adj List'!B10</f>
        <v>1.03</v>
      </c>
      <c r="F4" s="367">
        <f>'Adj List'!B11</f>
        <v>1.04</v>
      </c>
      <c r="G4" s="367">
        <f>'Adj List'!B12</f>
        <v>1.05</v>
      </c>
      <c r="H4" s="367">
        <f>'Adj List'!B13</f>
        <v>1.06</v>
      </c>
      <c r="I4" s="367">
        <f>'Adj List'!B14</f>
        <v>1.07</v>
      </c>
      <c r="J4" s="367">
        <f>'Adj List'!B15</f>
        <v>1.08</v>
      </c>
      <c r="K4" s="368">
        <f>'Adj List'!B16</f>
        <v>1.0900000000000001</v>
      </c>
      <c r="L4" s="368">
        <f>'Adj List'!B17</f>
        <v>1.1000000000000001</v>
      </c>
      <c r="M4" s="367">
        <f>'Adj List'!B18</f>
        <v>1.1100000000000001</v>
      </c>
      <c r="N4" s="367">
        <f>'Adj List'!B19</f>
        <v>1.1200000000000001</v>
      </c>
      <c r="O4" s="367">
        <f>'Adj List'!B20</f>
        <v>1.1299999999999999</v>
      </c>
      <c r="P4" s="367">
        <f>'Adj List'!B21</f>
        <v>1.1399999999999999</v>
      </c>
      <c r="Q4" s="368">
        <f>'Adj List'!B22</f>
        <v>1.1499999999999999</v>
      </c>
      <c r="R4" s="397">
        <f>'Adj List'!B23</f>
        <v>1.1599999999999999</v>
      </c>
      <c r="S4" s="367"/>
    </row>
    <row r="5" spans="1:31" s="369" customFormat="1" ht="44.25" customHeight="1">
      <c r="B5" s="365" t="s">
        <v>479</v>
      </c>
      <c r="C5" s="370" t="str">
        <f>'Adj List'!C8</f>
        <v>FAC</v>
      </c>
      <c r="D5" s="370" t="str">
        <f>'Adj List'!C9</f>
        <v>ES</v>
      </c>
      <c r="E5" s="370" t="str">
        <f>'Adj List'!C10</f>
        <v>MRSM</v>
      </c>
      <c r="F5" s="370" t="str">
        <f>'Adj List'!C11</f>
        <v>Non-FAC PPA</v>
      </c>
      <c r="G5" s="370" t="str">
        <f>'Adj List'!C12</f>
        <v>Donations, Promo Ads &amp; Dues</v>
      </c>
      <c r="H5" s="370" t="str">
        <f>'Adj List'!C13</f>
        <v>401k Contributions</v>
      </c>
      <c r="I5" s="370" t="str">
        <f>'Adj List'!C14</f>
        <v>Life Insurance</v>
      </c>
      <c r="J5" s="370" t="str">
        <f>'Adj List'!C15</f>
        <v>Rate Case Costs</v>
      </c>
      <c r="K5" s="370" t="str">
        <f>'Adj List'!C16</f>
        <v>Interest Expense</v>
      </c>
      <c r="L5" s="370" t="str">
        <f>'Adj List'!C17</f>
        <v>Year End Customers</v>
      </c>
      <c r="M5" s="370" t="str">
        <f>'Adj List'!C18</f>
        <v>Wages &amp; Salaries</v>
      </c>
      <c r="N5" s="370" t="str">
        <f>'Adj List'!C19</f>
        <v>Depreciation Normalization</v>
      </c>
      <c r="O5" s="370" t="str">
        <f>'Adj List'!C20</f>
        <v>Directors Expenses</v>
      </c>
      <c r="P5" s="370" t="str">
        <f>'Adj List'!C21</f>
        <v xml:space="preserve">Right of Way </v>
      </c>
      <c r="Q5" s="370" t="str">
        <f>'Adj List'!C22</f>
        <v>Health Care Costs</v>
      </c>
      <c r="R5" s="398" t="str">
        <f>'Adj List'!C23</f>
        <v>Retirement Plans</v>
      </c>
      <c r="S5" s="370" t="s">
        <v>71</v>
      </c>
    </row>
    <row r="6" spans="1:31">
      <c r="A6" s="363">
        <v>1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W6" s="371"/>
      <c r="X6" s="371"/>
      <c r="Y6" s="371"/>
      <c r="Z6" s="371"/>
      <c r="AA6" s="371"/>
      <c r="AB6" s="371"/>
      <c r="AC6" s="371"/>
      <c r="AD6" s="371"/>
      <c r="AE6" s="371"/>
    </row>
    <row r="7" spans="1:31">
      <c r="A7" s="363">
        <f t="shared" ref="A7:A40" si="0">(A6+1)</f>
        <v>2</v>
      </c>
      <c r="B7" s="372" t="s">
        <v>459</v>
      </c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W7" s="371"/>
      <c r="X7" s="371"/>
      <c r="Y7" s="371"/>
      <c r="Z7" s="371"/>
      <c r="AA7" s="371"/>
      <c r="AB7" s="371"/>
      <c r="AC7" s="371"/>
      <c r="AD7" s="371"/>
      <c r="AE7" s="371"/>
    </row>
    <row r="8" spans="1:31">
      <c r="A8" s="363">
        <f t="shared" si="0"/>
        <v>3</v>
      </c>
      <c r="B8" s="366" t="s">
        <v>460</v>
      </c>
      <c r="C8" s="165">
        <v>0</v>
      </c>
      <c r="D8" s="165">
        <v>0</v>
      </c>
      <c r="E8" s="165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f>'Adj List'!D17</f>
        <v>446314.9</v>
      </c>
      <c r="M8" s="165">
        <v>0</v>
      </c>
      <c r="N8" s="165">
        <v>0</v>
      </c>
      <c r="O8" s="165">
        <v>0</v>
      </c>
      <c r="P8" s="165">
        <v>0</v>
      </c>
      <c r="Q8" s="165">
        <v>0</v>
      </c>
      <c r="R8" s="165">
        <v>0</v>
      </c>
      <c r="S8" s="165">
        <f t="shared" ref="S8:S40" si="1">SUM(C8:R8)</f>
        <v>446314.9</v>
      </c>
      <c r="W8" s="371"/>
      <c r="X8" s="371"/>
      <c r="Y8" s="371"/>
      <c r="Z8" s="371"/>
      <c r="AA8" s="371"/>
      <c r="AB8" s="371"/>
      <c r="AC8" s="371"/>
      <c r="AD8" s="371"/>
      <c r="AE8" s="371"/>
    </row>
    <row r="9" spans="1:31">
      <c r="A9" s="363">
        <f t="shared" si="0"/>
        <v>4</v>
      </c>
      <c r="B9" s="366" t="s">
        <v>471</v>
      </c>
      <c r="C9" s="165">
        <f>'Adj List'!D8</f>
        <v>-9297926.6999999993</v>
      </c>
      <c r="D9" s="165">
        <f>'Adj List'!D9</f>
        <v>-3734412.78</v>
      </c>
      <c r="E9" s="165">
        <f>'Adj List'!D10</f>
        <v>3156156.07</v>
      </c>
      <c r="F9" s="165">
        <f>'Adj List'!D11</f>
        <v>-3640327.19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  <c r="M9" s="165">
        <v>0</v>
      </c>
      <c r="N9" s="165">
        <v>0</v>
      </c>
      <c r="O9" s="165">
        <v>0</v>
      </c>
      <c r="P9" s="165">
        <v>0</v>
      </c>
      <c r="Q9" s="165">
        <v>0</v>
      </c>
      <c r="R9" s="165">
        <v>0</v>
      </c>
      <c r="S9" s="165">
        <f t="shared" si="1"/>
        <v>-13516510.599999998</v>
      </c>
      <c r="U9" s="161"/>
      <c r="V9" s="161"/>
      <c r="W9" s="371"/>
      <c r="X9" s="371"/>
      <c r="Y9" s="371"/>
      <c r="Z9" s="371"/>
      <c r="AA9" s="371"/>
      <c r="AB9" s="371"/>
      <c r="AC9" s="371"/>
      <c r="AD9" s="371"/>
      <c r="AE9" s="371"/>
    </row>
    <row r="10" spans="1:31">
      <c r="A10" s="363">
        <f t="shared" si="0"/>
        <v>5</v>
      </c>
      <c r="B10" s="366" t="s">
        <v>17</v>
      </c>
      <c r="C10" s="165">
        <v>0</v>
      </c>
      <c r="D10" s="165">
        <v>0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65">
        <v>0</v>
      </c>
      <c r="M10" s="165">
        <v>0</v>
      </c>
      <c r="N10" s="165">
        <v>0</v>
      </c>
      <c r="O10" s="165">
        <v>0</v>
      </c>
      <c r="P10" s="165">
        <v>0</v>
      </c>
      <c r="Q10" s="165">
        <v>0</v>
      </c>
      <c r="R10" s="165">
        <v>0</v>
      </c>
      <c r="S10" s="165">
        <f t="shared" si="1"/>
        <v>0</v>
      </c>
      <c r="W10" s="371"/>
      <c r="X10" s="371"/>
      <c r="Y10" s="371"/>
      <c r="Z10" s="371"/>
      <c r="AA10" s="371"/>
      <c r="AB10" s="371"/>
      <c r="AC10" s="371"/>
      <c r="AD10" s="371"/>
      <c r="AE10" s="371"/>
    </row>
    <row r="11" spans="1:31">
      <c r="A11" s="363">
        <f t="shared" si="0"/>
        <v>6</v>
      </c>
      <c r="B11" s="373" t="s">
        <v>461</v>
      </c>
      <c r="C11" s="166">
        <f t="shared" ref="C11:O11" si="2">SUM(C6:C10)</f>
        <v>-9297926.6999999993</v>
      </c>
      <c r="D11" s="166">
        <f t="shared" si="2"/>
        <v>-3734412.78</v>
      </c>
      <c r="E11" s="166">
        <f t="shared" si="2"/>
        <v>3156156.07</v>
      </c>
      <c r="F11" s="166">
        <f t="shared" si="2"/>
        <v>-3640327.19</v>
      </c>
      <c r="G11" s="166">
        <f t="shared" si="2"/>
        <v>0</v>
      </c>
      <c r="H11" s="166">
        <f t="shared" si="2"/>
        <v>0</v>
      </c>
      <c r="I11" s="166">
        <f t="shared" si="2"/>
        <v>0</v>
      </c>
      <c r="J11" s="166">
        <f t="shared" si="2"/>
        <v>0</v>
      </c>
      <c r="K11" s="166">
        <f t="shared" si="2"/>
        <v>0</v>
      </c>
      <c r="L11" s="166">
        <f t="shared" si="2"/>
        <v>446314.9</v>
      </c>
      <c r="M11" s="166">
        <f t="shared" si="2"/>
        <v>0</v>
      </c>
      <c r="N11" s="166">
        <f t="shared" si="2"/>
        <v>0</v>
      </c>
      <c r="O11" s="166">
        <f t="shared" si="2"/>
        <v>0</v>
      </c>
      <c r="P11" s="166">
        <f t="shared" ref="P11" si="3">SUM(P6:P10)</f>
        <v>0</v>
      </c>
      <c r="Q11" s="166">
        <f t="shared" ref="Q11:R11" si="4">SUM(Q6:Q10)</f>
        <v>0</v>
      </c>
      <c r="R11" s="166">
        <f t="shared" si="4"/>
        <v>0</v>
      </c>
      <c r="S11" s="166">
        <f t="shared" si="1"/>
        <v>-13070195.699999997</v>
      </c>
      <c r="W11" s="371"/>
      <c r="X11" s="371"/>
      <c r="Y11" s="371"/>
      <c r="Z11" s="371"/>
      <c r="AA11" s="371"/>
      <c r="AB11" s="371"/>
      <c r="AC11" s="371"/>
      <c r="AD11" s="371"/>
      <c r="AE11" s="371"/>
    </row>
    <row r="12" spans="1:31">
      <c r="A12" s="363">
        <f t="shared" si="0"/>
        <v>7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>
        <f t="shared" si="1"/>
        <v>0</v>
      </c>
      <c r="W12" s="371"/>
      <c r="X12" s="371"/>
      <c r="Y12" s="371"/>
      <c r="Z12" s="371"/>
      <c r="AA12" s="371"/>
      <c r="AB12" s="371"/>
      <c r="AC12" s="371"/>
      <c r="AD12" s="371"/>
      <c r="AE12" s="371"/>
    </row>
    <row r="13" spans="1:31">
      <c r="A13" s="363">
        <f t="shared" si="0"/>
        <v>8</v>
      </c>
      <c r="B13" s="37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>
        <f t="shared" si="1"/>
        <v>0</v>
      </c>
      <c r="W13" s="371"/>
      <c r="X13" s="371"/>
      <c r="Y13" s="371"/>
      <c r="Z13" s="371"/>
      <c r="AA13" s="371"/>
      <c r="AB13" s="371"/>
      <c r="AC13" s="371"/>
      <c r="AD13" s="371"/>
      <c r="AE13" s="371"/>
    </row>
    <row r="14" spans="1:31">
      <c r="A14" s="363">
        <f t="shared" si="0"/>
        <v>9</v>
      </c>
      <c r="B14" s="366" t="s">
        <v>20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65">
        <v>0</v>
      </c>
      <c r="P14" s="165">
        <v>0</v>
      </c>
      <c r="Q14" s="165">
        <v>0</v>
      </c>
      <c r="R14" s="165">
        <v>0</v>
      </c>
      <c r="S14" s="165">
        <f t="shared" si="1"/>
        <v>0</v>
      </c>
      <c r="W14" s="371"/>
      <c r="X14" s="371"/>
      <c r="Y14" s="371"/>
      <c r="Z14" s="371"/>
      <c r="AA14" s="371"/>
      <c r="AB14" s="371"/>
      <c r="AC14" s="371"/>
      <c r="AD14" s="371"/>
      <c r="AE14" s="371"/>
    </row>
    <row r="15" spans="1:31">
      <c r="A15" s="363">
        <f t="shared" si="0"/>
        <v>10</v>
      </c>
      <c r="B15" s="366" t="s">
        <v>462</v>
      </c>
      <c r="C15" s="165">
        <v>0</v>
      </c>
      <c r="D15" s="165">
        <v>0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f>'Adj List'!E17</f>
        <v>531332.03</v>
      </c>
      <c r="M15" s="165">
        <v>0</v>
      </c>
      <c r="N15" s="165">
        <v>0</v>
      </c>
      <c r="O15" s="165">
        <v>0</v>
      </c>
      <c r="P15" s="165">
        <v>0</v>
      </c>
      <c r="Q15" s="165">
        <v>0</v>
      </c>
      <c r="R15" s="165">
        <v>0</v>
      </c>
      <c r="S15" s="165">
        <f t="shared" si="1"/>
        <v>531332.03</v>
      </c>
      <c r="W15" s="371"/>
      <c r="X15" s="371"/>
      <c r="Y15" s="371"/>
      <c r="Z15" s="371"/>
      <c r="AA15" s="371"/>
      <c r="AB15" s="371"/>
      <c r="AC15" s="371"/>
      <c r="AD15" s="371"/>
      <c r="AE15" s="371"/>
    </row>
    <row r="16" spans="1:31">
      <c r="A16" s="363">
        <f t="shared" si="0"/>
        <v>11</v>
      </c>
      <c r="B16" s="366" t="s">
        <v>472</v>
      </c>
      <c r="C16" s="165">
        <f>'Adj List'!E8</f>
        <v>-8969611.2899999991</v>
      </c>
      <c r="D16" s="165">
        <f>'Adj List'!E9</f>
        <v>-3623000.46</v>
      </c>
      <c r="E16" s="165">
        <f>'Adj List'!E10</f>
        <v>3141244.79</v>
      </c>
      <c r="F16" s="165">
        <f>'Adj List'!E11</f>
        <v>-4012567.81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f t="shared" si="1"/>
        <v>-13463934.770000001</v>
      </c>
      <c r="W16" s="371"/>
      <c r="X16" s="371"/>
      <c r="Y16" s="371"/>
      <c r="Z16" s="371"/>
      <c r="AA16" s="371"/>
      <c r="AB16" s="371"/>
      <c r="AC16" s="371"/>
      <c r="AD16" s="371"/>
      <c r="AE16" s="371"/>
    </row>
    <row r="17" spans="1:31">
      <c r="A17" s="363">
        <f t="shared" si="0"/>
        <v>12</v>
      </c>
      <c r="B17" s="366" t="s">
        <v>463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f t="shared" si="1"/>
        <v>0</v>
      </c>
      <c r="W17" s="371"/>
      <c r="X17" s="371"/>
      <c r="Y17" s="371"/>
      <c r="Z17" s="371"/>
      <c r="AA17" s="371"/>
      <c r="AB17" s="371"/>
      <c r="AC17" s="371"/>
      <c r="AD17" s="371"/>
      <c r="AE17" s="371"/>
    </row>
    <row r="18" spans="1:31">
      <c r="A18" s="363">
        <f t="shared" si="0"/>
        <v>13</v>
      </c>
      <c r="B18" s="366" t="s">
        <v>464</v>
      </c>
      <c r="C18" s="165">
        <v>0</v>
      </c>
      <c r="D18" s="165">
        <v>0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  <c r="O18" s="165">
        <v>0</v>
      </c>
      <c r="P18" s="165">
        <f>'Adj List'!E21</f>
        <v>758989.28000000026</v>
      </c>
      <c r="Q18" s="165">
        <v>0</v>
      </c>
      <c r="R18" s="165">
        <v>0</v>
      </c>
      <c r="S18" s="165">
        <f t="shared" si="1"/>
        <v>758989.28000000026</v>
      </c>
      <c r="W18" s="371"/>
      <c r="X18" s="371"/>
      <c r="Y18" s="371"/>
      <c r="Z18" s="371"/>
      <c r="AA18" s="371"/>
      <c r="AB18" s="371"/>
      <c r="AC18" s="371"/>
      <c r="AD18" s="371"/>
      <c r="AE18" s="371"/>
    </row>
    <row r="19" spans="1:31">
      <c r="A19" s="363">
        <f t="shared" si="0"/>
        <v>14</v>
      </c>
      <c r="B19" s="366" t="s">
        <v>165</v>
      </c>
      <c r="C19" s="165">
        <v>0</v>
      </c>
      <c r="D19" s="165">
        <v>0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165">
        <f t="shared" si="1"/>
        <v>0</v>
      </c>
      <c r="W19" s="371"/>
      <c r="X19" s="371"/>
      <c r="Y19" s="371"/>
      <c r="Z19" s="371"/>
      <c r="AA19" s="371"/>
      <c r="AB19" s="371"/>
      <c r="AC19" s="371"/>
      <c r="AD19" s="371"/>
      <c r="AE19" s="371"/>
    </row>
    <row r="20" spans="1:31">
      <c r="A20" s="363">
        <f t="shared" si="0"/>
        <v>15</v>
      </c>
      <c r="B20" s="366" t="s">
        <v>24</v>
      </c>
      <c r="C20" s="165">
        <v>0</v>
      </c>
      <c r="D20" s="165">
        <v>0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  <c r="O20" s="165">
        <v>0</v>
      </c>
      <c r="P20" s="165">
        <v>0</v>
      </c>
      <c r="Q20" s="165">
        <v>0</v>
      </c>
      <c r="R20" s="165">
        <v>0</v>
      </c>
      <c r="S20" s="165">
        <f t="shared" si="1"/>
        <v>0</v>
      </c>
      <c r="W20" s="371"/>
      <c r="X20" s="371"/>
      <c r="Y20" s="371"/>
      <c r="Z20" s="371"/>
      <c r="AA20" s="371"/>
      <c r="AB20" s="371"/>
      <c r="AC20" s="371"/>
      <c r="AD20" s="371"/>
      <c r="AE20" s="371"/>
    </row>
    <row r="21" spans="1:31">
      <c r="A21" s="363">
        <f t="shared" si="0"/>
        <v>16</v>
      </c>
      <c r="B21" s="366" t="s">
        <v>465</v>
      </c>
      <c r="C21" s="165">
        <v>0</v>
      </c>
      <c r="D21" s="165">
        <v>0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f>0</f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f t="shared" si="1"/>
        <v>0</v>
      </c>
      <c r="W21" s="371"/>
      <c r="X21" s="371"/>
      <c r="Y21" s="371"/>
      <c r="Z21" s="371"/>
      <c r="AA21" s="371"/>
      <c r="AB21" s="371"/>
      <c r="AC21" s="371"/>
      <c r="AD21" s="371"/>
      <c r="AE21" s="371"/>
    </row>
    <row r="22" spans="1:31">
      <c r="A22" s="363">
        <f t="shared" si="0"/>
        <v>17</v>
      </c>
      <c r="B22" s="366" t="s">
        <v>466</v>
      </c>
      <c r="C22" s="165">
        <v>0</v>
      </c>
      <c r="D22" s="165">
        <v>0</v>
      </c>
      <c r="E22" s="165">
        <v>0</v>
      </c>
      <c r="F22" s="165">
        <v>0</v>
      </c>
      <c r="G22" s="165">
        <f>'Adj List'!E12</f>
        <v>-455665.61</v>
      </c>
      <c r="H22" s="165">
        <f>'Adj List'!E13</f>
        <v>-22063.62</v>
      </c>
      <c r="I22" s="165">
        <f>'Adj List'!E14</f>
        <v>-14628.007454393639</v>
      </c>
      <c r="J22" s="165">
        <f>'Adj List'!E15</f>
        <v>9123.243333333332</v>
      </c>
      <c r="K22" s="165">
        <v>0</v>
      </c>
      <c r="L22" s="165">
        <v>0</v>
      </c>
      <c r="M22" s="165">
        <f>'Adj List'!E18</f>
        <v>519574.37302131724</v>
      </c>
      <c r="N22" s="165">
        <v>0</v>
      </c>
      <c r="O22" s="165">
        <f>'Adj List'!E20</f>
        <v>-29986.87</v>
      </c>
      <c r="P22" s="165">
        <f>'Adj List'!J20</f>
        <v>0</v>
      </c>
      <c r="Q22" s="165">
        <f>'Adj List'!E22</f>
        <v>-6487.9840000000549</v>
      </c>
      <c r="R22" s="165">
        <f>'Adj List'!E23</f>
        <v>-23390</v>
      </c>
      <c r="S22" s="165">
        <f t="shared" si="1"/>
        <v>-23524.475099743115</v>
      </c>
      <c r="W22" s="371"/>
      <c r="X22" s="371"/>
      <c r="Y22" s="371"/>
      <c r="Z22" s="371"/>
      <c r="AA22" s="371"/>
      <c r="AB22" s="371"/>
      <c r="AC22" s="371"/>
      <c r="AD22" s="371"/>
      <c r="AE22" s="371"/>
    </row>
    <row r="23" spans="1:31">
      <c r="A23" s="363">
        <f t="shared" si="0"/>
        <v>18</v>
      </c>
      <c r="B23" s="373" t="s">
        <v>467</v>
      </c>
      <c r="C23" s="166">
        <f t="shared" ref="C23:O23" si="5">SUM(C14:C22)</f>
        <v>-8969611.2899999991</v>
      </c>
      <c r="D23" s="166">
        <f t="shared" si="5"/>
        <v>-3623000.46</v>
      </c>
      <c r="E23" s="166">
        <f t="shared" si="5"/>
        <v>3141244.79</v>
      </c>
      <c r="F23" s="166">
        <f t="shared" si="5"/>
        <v>-4012567.81</v>
      </c>
      <c r="G23" s="166">
        <f t="shared" si="5"/>
        <v>-455665.61</v>
      </c>
      <c r="H23" s="166">
        <f t="shared" si="5"/>
        <v>-22063.62</v>
      </c>
      <c r="I23" s="166">
        <f t="shared" si="5"/>
        <v>-14628.007454393639</v>
      </c>
      <c r="J23" s="166">
        <f t="shared" si="5"/>
        <v>9123.243333333332</v>
      </c>
      <c r="K23" s="166">
        <f t="shared" si="5"/>
        <v>0</v>
      </c>
      <c r="L23" s="166">
        <f t="shared" si="5"/>
        <v>531332.03</v>
      </c>
      <c r="M23" s="166">
        <f t="shared" si="5"/>
        <v>519574.37302131724</v>
      </c>
      <c r="N23" s="166">
        <f t="shared" si="5"/>
        <v>0</v>
      </c>
      <c r="O23" s="166">
        <f t="shared" si="5"/>
        <v>-29986.87</v>
      </c>
      <c r="P23" s="166">
        <f t="shared" ref="P23" si="6">SUM(P14:P22)</f>
        <v>758989.28000000026</v>
      </c>
      <c r="Q23" s="166">
        <f t="shared" ref="Q23:R23" si="7">SUM(Q14:Q22)</f>
        <v>-6487.9840000000549</v>
      </c>
      <c r="R23" s="166">
        <f t="shared" si="7"/>
        <v>-23390</v>
      </c>
      <c r="S23" s="166">
        <f t="shared" si="1"/>
        <v>-12197137.935099741</v>
      </c>
      <c r="W23" s="371"/>
      <c r="X23" s="371"/>
      <c r="Y23" s="371"/>
      <c r="Z23" s="371"/>
      <c r="AA23" s="371"/>
      <c r="AB23" s="371"/>
      <c r="AC23" s="371"/>
      <c r="AD23" s="371"/>
      <c r="AE23" s="371"/>
    </row>
    <row r="24" spans="1:31">
      <c r="A24" s="363">
        <f t="shared" si="0"/>
        <v>19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>
        <f t="shared" si="1"/>
        <v>0</v>
      </c>
      <c r="W24" s="371"/>
      <c r="X24" s="371"/>
      <c r="Y24" s="371"/>
      <c r="Z24" s="371"/>
      <c r="AA24" s="371"/>
      <c r="AB24" s="371"/>
      <c r="AC24" s="371"/>
      <c r="AD24" s="371"/>
      <c r="AE24" s="371"/>
    </row>
    <row r="25" spans="1:31">
      <c r="A25" s="363">
        <f t="shared" si="0"/>
        <v>20</v>
      </c>
      <c r="B25" s="366" t="s">
        <v>59</v>
      </c>
      <c r="C25" s="165">
        <v>0</v>
      </c>
      <c r="D25" s="165">
        <v>0</v>
      </c>
      <c r="E25" s="165">
        <v>0</v>
      </c>
      <c r="F25" s="165">
        <v>0</v>
      </c>
      <c r="G25" s="165">
        <v>0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5">
        <v>0</v>
      </c>
      <c r="N25" s="165">
        <f>'Adj List'!E19</f>
        <v>-16250.454999999783</v>
      </c>
      <c r="O25" s="165">
        <v>0</v>
      </c>
      <c r="P25" s="165">
        <v>0</v>
      </c>
      <c r="Q25" s="165">
        <v>0</v>
      </c>
      <c r="R25" s="165">
        <v>0</v>
      </c>
      <c r="S25" s="165">
        <f t="shared" si="1"/>
        <v>-16250.454999999783</v>
      </c>
      <c r="W25" s="371"/>
      <c r="X25" s="371"/>
      <c r="Y25" s="371"/>
      <c r="Z25" s="371"/>
      <c r="AA25" s="371"/>
      <c r="AB25" s="371"/>
      <c r="AC25" s="371"/>
      <c r="AD25" s="371"/>
      <c r="AE25" s="371"/>
    </row>
    <row r="26" spans="1:31">
      <c r="A26" s="363">
        <f t="shared" si="0"/>
        <v>21</v>
      </c>
      <c r="B26" s="366" t="s">
        <v>29</v>
      </c>
      <c r="C26" s="165">
        <v>0</v>
      </c>
      <c r="D26" s="165">
        <v>0</v>
      </c>
      <c r="E26" s="165">
        <v>0</v>
      </c>
      <c r="F26" s="165">
        <v>0</v>
      </c>
      <c r="G26" s="165">
        <v>0</v>
      </c>
      <c r="H26" s="165">
        <v>0</v>
      </c>
      <c r="I26" s="165">
        <v>0</v>
      </c>
      <c r="J26" s="165">
        <v>0</v>
      </c>
      <c r="K26" s="165">
        <v>0</v>
      </c>
      <c r="L26" s="165">
        <v>0</v>
      </c>
      <c r="M26" s="165">
        <v>0</v>
      </c>
      <c r="N26" s="165">
        <v>0</v>
      </c>
      <c r="O26" s="165">
        <v>0</v>
      </c>
      <c r="P26" s="165">
        <v>0</v>
      </c>
      <c r="Q26" s="165">
        <v>0</v>
      </c>
      <c r="R26" s="165">
        <v>0</v>
      </c>
      <c r="S26" s="165">
        <f t="shared" si="1"/>
        <v>0</v>
      </c>
      <c r="W26" s="371"/>
      <c r="X26" s="371"/>
      <c r="Y26" s="371"/>
      <c r="Z26" s="371"/>
      <c r="AA26" s="371"/>
      <c r="AB26" s="371"/>
      <c r="AC26" s="371"/>
      <c r="AD26" s="371"/>
      <c r="AE26" s="371"/>
    </row>
    <row r="27" spans="1:31">
      <c r="A27" s="363">
        <f t="shared" si="0"/>
        <v>22</v>
      </c>
      <c r="B27" s="366" t="s">
        <v>60</v>
      </c>
      <c r="C27" s="165">
        <v>0</v>
      </c>
      <c r="D27" s="165">
        <v>0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  <c r="J27" s="165">
        <v>0</v>
      </c>
      <c r="K27" s="165">
        <f>'1.09 Int Exp'!F53</f>
        <v>288997.69555349974</v>
      </c>
      <c r="L27" s="165">
        <v>0</v>
      </c>
      <c r="M27" s="165">
        <v>0</v>
      </c>
      <c r="N27" s="165">
        <v>0</v>
      </c>
      <c r="O27" s="165">
        <v>0</v>
      </c>
      <c r="P27" s="165">
        <v>0</v>
      </c>
      <c r="Q27" s="165">
        <v>0</v>
      </c>
      <c r="R27" s="165">
        <v>0</v>
      </c>
      <c r="S27" s="165">
        <f t="shared" si="1"/>
        <v>288997.69555349974</v>
      </c>
      <c r="W27" s="371"/>
      <c r="X27" s="371"/>
      <c r="Y27" s="371"/>
      <c r="Z27" s="371"/>
      <c r="AA27" s="371"/>
      <c r="AB27" s="371"/>
      <c r="AC27" s="371"/>
      <c r="AD27" s="371"/>
      <c r="AE27" s="371"/>
    </row>
    <row r="28" spans="1:31">
      <c r="A28" s="363">
        <f>(A27+1)</f>
        <v>23</v>
      </c>
      <c r="B28" s="366" t="s">
        <v>468</v>
      </c>
      <c r="C28" s="165">
        <v>0</v>
      </c>
      <c r="D28" s="165">
        <v>0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f>'1.09 Int Exp'!F62</f>
        <v>-3575.34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f t="shared" si="1"/>
        <v>-3575.34</v>
      </c>
      <c r="W28" s="371"/>
      <c r="X28" s="371"/>
      <c r="Y28" s="371"/>
      <c r="Z28" s="371"/>
      <c r="AA28" s="371"/>
      <c r="AB28" s="371"/>
      <c r="AC28" s="371"/>
      <c r="AD28" s="371"/>
      <c r="AE28" s="371"/>
    </row>
    <row r="29" spans="1:31">
      <c r="A29" s="363">
        <f>(A28+1)</f>
        <v>24</v>
      </c>
      <c r="B29" s="366" t="s">
        <v>32</v>
      </c>
      <c r="C29" s="165">
        <v>0</v>
      </c>
      <c r="D29" s="165">
        <v>0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  <c r="Q29" s="165">
        <v>0</v>
      </c>
      <c r="R29" s="165">
        <v>0</v>
      </c>
      <c r="S29" s="165">
        <f t="shared" si="1"/>
        <v>0</v>
      </c>
      <c r="W29" s="371"/>
      <c r="X29" s="371"/>
      <c r="Y29" s="371"/>
      <c r="Z29" s="371"/>
      <c r="AA29" s="371"/>
      <c r="AB29" s="371"/>
      <c r="AC29" s="371"/>
      <c r="AD29" s="371"/>
      <c r="AE29" s="371"/>
    </row>
    <row r="30" spans="1:31">
      <c r="A30" s="363">
        <f t="shared" si="0"/>
        <v>25</v>
      </c>
      <c r="B30" s="373" t="s">
        <v>33</v>
      </c>
      <c r="C30" s="166">
        <f t="shared" ref="C30:O30" si="8">SUM(C23:C29)</f>
        <v>-8969611.2899999991</v>
      </c>
      <c r="D30" s="166">
        <f t="shared" si="8"/>
        <v>-3623000.46</v>
      </c>
      <c r="E30" s="166">
        <f t="shared" si="8"/>
        <v>3141244.79</v>
      </c>
      <c r="F30" s="166">
        <f t="shared" si="8"/>
        <v>-4012567.81</v>
      </c>
      <c r="G30" s="166">
        <f t="shared" si="8"/>
        <v>-455665.61</v>
      </c>
      <c r="H30" s="166">
        <f t="shared" si="8"/>
        <v>-22063.62</v>
      </c>
      <c r="I30" s="166">
        <f t="shared" si="8"/>
        <v>-14628.007454393639</v>
      </c>
      <c r="J30" s="166">
        <f t="shared" si="8"/>
        <v>9123.243333333332</v>
      </c>
      <c r="K30" s="166">
        <f t="shared" si="8"/>
        <v>285422.35555349971</v>
      </c>
      <c r="L30" s="166">
        <f t="shared" si="8"/>
        <v>531332.03</v>
      </c>
      <c r="M30" s="166">
        <f t="shared" si="8"/>
        <v>519574.37302131724</v>
      </c>
      <c r="N30" s="166">
        <f t="shared" si="8"/>
        <v>-16250.454999999783</v>
      </c>
      <c r="O30" s="166">
        <f t="shared" si="8"/>
        <v>-29986.87</v>
      </c>
      <c r="P30" s="166">
        <f t="shared" ref="P30" si="9">SUM(P23:P29)</f>
        <v>758989.28000000026</v>
      </c>
      <c r="Q30" s="166">
        <f t="shared" ref="Q30:R30" si="10">SUM(Q23:Q29)</f>
        <v>-6487.9840000000549</v>
      </c>
      <c r="R30" s="166">
        <f t="shared" si="10"/>
        <v>-23390</v>
      </c>
      <c r="S30" s="166">
        <f t="shared" si="1"/>
        <v>-11927966.034546239</v>
      </c>
      <c r="W30" s="371"/>
      <c r="X30" s="371"/>
      <c r="Y30" s="371"/>
      <c r="Z30" s="371"/>
      <c r="AA30" s="371"/>
      <c r="AB30" s="371"/>
      <c r="AC30" s="371"/>
      <c r="AD30" s="371"/>
      <c r="AE30" s="371"/>
    </row>
    <row r="31" spans="1:31">
      <c r="A31" s="363">
        <f t="shared" si="0"/>
        <v>26</v>
      </c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>
        <f t="shared" si="1"/>
        <v>0</v>
      </c>
      <c r="W31" s="371"/>
      <c r="X31" s="371"/>
      <c r="Y31" s="371"/>
      <c r="Z31" s="371"/>
      <c r="AA31" s="371"/>
      <c r="AB31" s="371"/>
      <c r="AC31" s="371"/>
      <c r="AD31" s="371"/>
      <c r="AE31" s="371"/>
    </row>
    <row r="32" spans="1:31">
      <c r="A32" s="363">
        <f t="shared" si="0"/>
        <v>27</v>
      </c>
      <c r="B32" s="366" t="s">
        <v>34</v>
      </c>
      <c r="C32" s="165">
        <f t="shared" ref="C32:O32" si="11">(+C11-C30)</f>
        <v>-328315.41000000015</v>
      </c>
      <c r="D32" s="165">
        <f t="shared" si="11"/>
        <v>-111412.31999999983</v>
      </c>
      <c r="E32" s="165">
        <f t="shared" si="11"/>
        <v>14911.279999999795</v>
      </c>
      <c r="F32" s="165">
        <f t="shared" si="11"/>
        <v>372240.62000000011</v>
      </c>
      <c r="G32" s="165">
        <f t="shared" si="11"/>
        <v>455665.61</v>
      </c>
      <c r="H32" s="165">
        <f t="shared" si="11"/>
        <v>22063.62</v>
      </c>
      <c r="I32" s="165">
        <f t="shared" si="11"/>
        <v>14628.007454393639</v>
      </c>
      <c r="J32" s="165">
        <f t="shared" si="11"/>
        <v>-9123.243333333332</v>
      </c>
      <c r="K32" s="165">
        <f t="shared" si="11"/>
        <v>-285422.35555349971</v>
      </c>
      <c r="L32" s="165">
        <f t="shared" si="11"/>
        <v>-85017.13</v>
      </c>
      <c r="M32" s="165">
        <f t="shared" si="11"/>
        <v>-519574.37302131724</v>
      </c>
      <c r="N32" s="165">
        <f t="shared" si="11"/>
        <v>16250.454999999783</v>
      </c>
      <c r="O32" s="165">
        <f t="shared" si="11"/>
        <v>29986.87</v>
      </c>
      <c r="P32" s="165">
        <f t="shared" ref="P32" si="12">(+P11-P30)</f>
        <v>-758989.28000000026</v>
      </c>
      <c r="Q32" s="165">
        <f t="shared" ref="Q32:R32" si="13">(+Q11-Q30)</f>
        <v>6487.9840000000549</v>
      </c>
      <c r="R32" s="165">
        <f t="shared" si="13"/>
        <v>23390</v>
      </c>
      <c r="S32" s="165">
        <f t="shared" si="1"/>
        <v>-1142229.6654537572</v>
      </c>
      <c r="W32" s="371"/>
      <c r="X32" s="371"/>
      <c r="Y32" s="371"/>
      <c r="Z32" s="371"/>
      <c r="AA32" s="371"/>
      <c r="AB32" s="371"/>
      <c r="AC32" s="371"/>
      <c r="AD32" s="371"/>
      <c r="AE32" s="371"/>
    </row>
    <row r="33" spans="1:31">
      <c r="A33" s="363">
        <f t="shared" si="0"/>
        <v>28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>
        <f t="shared" si="1"/>
        <v>0</v>
      </c>
      <c r="W33" s="371"/>
      <c r="X33" s="371"/>
      <c r="Y33" s="371"/>
      <c r="Z33" s="371"/>
      <c r="AA33" s="371"/>
      <c r="AB33" s="371"/>
      <c r="AC33" s="371"/>
      <c r="AD33" s="371"/>
      <c r="AE33" s="371"/>
    </row>
    <row r="34" spans="1:31">
      <c r="A34" s="363">
        <f t="shared" si="0"/>
        <v>29</v>
      </c>
      <c r="B34" s="366" t="s">
        <v>35</v>
      </c>
      <c r="C34" s="165">
        <v>0</v>
      </c>
      <c r="D34" s="165">
        <v>0</v>
      </c>
      <c r="E34" s="165">
        <v>0</v>
      </c>
      <c r="F34" s="165">
        <v>0</v>
      </c>
      <c r="G34" s="165">
        <v>0</v>
      </c>
      <c r="H34" s="165">
        <v>0</v>
      </c>
      <c r="I34" s="165">
        <v>0</v>
      </c>
      <c r="J34" s="165">
        <v>0</v>
      </c>
      <c r="K34" s="165">
        <v>0</v>
      </c>
      <c r="L34" s="165">
        <v>0</v>
      </c>
      <c r="M34" s="165">
        <v>0</v>
      </c>
      <c r="N34" s="165">
        <v>0</v>
      </c>
      <c r="O34" s="165">
        <v>0</v>
      </c>
      <c r="P34" s="165">
        <v>0</v>
      </c>
      <c r="Q34" s="165">
        <v>0</v>
      </c>
      <c r="R34" s="165">
        <v>0</v>
      </c>
      <c r="S34" s="165">
        <f t="shared" si="1"/>
        <v>0</v>
      </c>
      <c r="W34" s="371"/>
      <c r="X34" s="371"/>
      <c r="Y34" s="371"/>
      <c r="Z34" s="371"/>
      <c r="AA34" s="371"/>
      <c r="AB34" s="371"/>
      <c r="AC34" s="371"/>
      <c r="AD34" s="371"/>
      <c r="AE34" s="371"/>
    </row>
    <row r="35" spans="1:31">
      <c r="A35" s="363">
        <f t="shared" si="0"/>
        <v>30</v>
      </c>
      <c r="B35" s="366" t="s">
        <v>38</v>
      </c>
      <c r="C35" s="165">
        <v>0</v>
      </c>
      <c r="D35" s="165">
        <v>0</v>
      </c>
      <c r="E35" s="165">
        <v>0</v>
      </c>
      <c r="F35" s="165">
        <v>0</v>
      </c>
      <c r="G35" s="165">
        <v>0</v>
      </c>
      <c r="H35" s="165">
        <v>0</v>
      </c>
      <c r="I35" s="165">
        <v>0</v>
      </c>
      <c r="J35" s="165">
        <v>0</v>
      </c>
      <c r="K35" s="165">
        <v>0</v>
      </c>
      <c r="L35" s="165">
        <v>0</v>
      </c>
      <c r="M35" s="165">
        <v>0</v>
      </c>
      <c r="N35" s="165">
        <v>0</v>
      </c>
      <c r="O35" s="165">
        <v>0</v>
      </c>
      <c r="P35" s="165">
        <v>0</v>
      </c>
      <c r="Q35" s="165">
        <v>0</v>
      </c>
      <c r="R35" s="165">
        <v>0</v>
      </c>
      <c r="S35" s="165">
        <f t="shared" si="1"/>
        <v>0</v>
      </c>
      <c r="W35" s="371"/>
      <c r="X35" s="371"/>
      <c r="Y35" s="371"/>
      <c r="Z35" s="371"/>
      <c r="AA35" s="371"/>
      <c r="AB35" s="371"/>
      <c r="AC35" s="371"/>
      <c r="AD35" s="371"/>
      <c r="AE35" s="371"/>
    </row>
    <row r="36" spans="1:31">
      <c r="A36" s="363">
        <f t="shared" si="0"/>
        <v>31</v>
      </c>
      <c r="B36" s="366" t="s">
        <v>39</v>
      </c>
      <c r="C36" s="165">
        <v>0</v>
      </c>
      <c r="D36" s="165">
        <v>0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f t="shared" si="1"/>
        <v>0</v>
      </c>
      <c r="W36" s="371"/>
      <c r="X36" s="371"/>
      <c r="Y36" s="371"/>
      <c r="Z36" s="371"/>
      <c r="AA36" s="371"/>
      <c r="AB36" s="371"/>
      <c r="AC36" s="371"/>
      <c r="AD36" s="371"/>
      <c r="AE36" s="371"/>
    </row>
    <row r="37" spans="1:31">
      <c r="A37" s="363">
        <f t="shared" si="0"/>
        <v>32</v>
      </c>
      <c r="B37" s="366" t="s">
        <v>40</v>
      </c>
      <c r="C37" s="165">
        <v>0</v>
      </c>
      <c r="D37" s="165">
        <v>0</v>
      </c>
      <c r="E37" s="165">
        <v>0</v>
      </c>
      <c r="F37" s="165">
        <v>0</v>
      </c>
      <c r="G37" s="165">
        <v>0</v>
      </c>
      <c r="H37" s="165">
        <v>0</v>
      </c>
      <c r="I37" s="165">
        <v>0</v>
      </c>
      <c r="J37" s="165">
        <v>0</v>
      </c>
      <c r="K37" s="165">
        <v>0</v>
      </c>
      <c r="L37" s="165">
        <v>0</v>
      </c>
      <c r="M37" s="165">
        <v>0</v>
      </c>
      <c r="N37" s="165">
        <v>0</v>
      </c>
      <c r="O37" s="165">
        <v>0</v>
      </c>
      <c r="P37" s="165">
        <v>0</v>
      </c>
      <c r="Q37" s="165">
        <v>0</v>
      </c>
      <c r="R37" s="165">
        <v>0</v>
      </c>
      <c r="S37" s="165">
        <f t="shared" si="1"/>
        <v>0</v>
      </c>
      <c r="W37" s="371"/>
      <c r="X37" s="371"/>
      <c r="Y37" s="371"/>
      <c r="Z37" s="371"/>
      <c r="AA37" s="371"/>
      <c r="AB37" s="371"/>
      <c r="AC37" s="371"/>
      <c r="AD37" s="371"/>
      <c r="AE37" s="371"/>
    </row>
    <row r="38" spans="1:31">
      <c r="A38" s="363">
        <f t="shared" si="0"/>
        <v>33</v>
      </c>
      <c r="B38" s="373" t="s">
        <v>469</v>
      </c>
      <c r="C38" s="166">
        <f t="shared" ref="C38:O38" si="14">SUM(C34:C37)</f>
        <v>0</v>
      </c>
      <c r="D38" s="166">
        <f t="shared" si="14"/>
        <v>0</v>
      </c>
      <c r="E38" s="166">
        <f t="shared" si="14"/>
        <v>0</v>
      </c>
      <c r="F38" s="166">
        <f t="shared" si="14"/>
        <v>0</v>
      </c>
      <c r="G38" s="166">
        <f t="shared" si="14"/>
        <v>0</v>
      </c>
      <c r="H38" s="166">
        <f t="shared" si="14"/>
        <v>0</v>
      </c>
      <c r="I38" s="166">
        <f t="shared" si="14"/>
        <v>0</v>
      </c>
      <c r="J38" s="166">
        <f t="shared" si="14"/>
        <v>0</v>
      </c>
      <c r="K38" s="166">
        <f t="shared" si="14"/>
        <v>0</v>
      </c>
      <c r="L38" s="166">
        <f t="shared" si="14"/>
        <v>0</v>
      </c>
      <c r="M38" s="166">
        <f t="shared" si="14"/>
        <v>0</v>
      </c>
      <c r="N38" s="166">
        <f t="shared" si="14"/>
        <v>0</v>
      </c>
      <c r="O38" s="166">
        <f t="shared" si="14"/>
        <v>0</v>
      </c>
      <c r="P38" s="166">
        <f t="shared" ref="P38" si="15">SUM(P34:P37)</f>
        <v>0</v>
      </c>
      <c r="Q38" s="166">
        <f t="shared" ref="Q38:R38" si="16">SUM(Q34:Q37)</f>
        <v>0</v>
      </c>
      <c r="R38" s="166">
        <f t="shared" si="16"/>
        <v>0</v>
      </c>
      <c r="S38" s="166">
        <f t="shared" si="1"/>
        <v>0</v>
      </c>
      <c r="W38" s="371"/>
      <c r="X38" s="371"/>
      <c r="Y38" s="371"/>
      <c r="Z38" s="371"/>
      <c r="AA38" s="371"/>
      <c r="AB38" s="371"/>
      <c r="AC38" s="371"/>
      <c r="AD38" s="371"/>
      <c r="AE38" s="371"/>
    </row>
    <row r="39" spans="1:31">
      <c r="A39" s="363">
        <f t="shared" si="0"/>
        <v>34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 t="shared" si="1"/>
        <v>0</v>
      </c>
      <c r="W39" s="371"/>
      <c r="X39" s="371"/>
      <c r="Y39" s="371"/>
      <c r="Z39" s="371"/>
      <c r="AA39" s="371"/>
      <c r="AB39" s="371"/>
      <c r="AC39" s="371"/>
      <c r="AD39" s="371"/>
      <c r="AE39" s="371"/>
    </row>
    <row r="40" spans="1:31" ht="15" thickBot="1">
      <c r="A40" s="363">
        <f t="shared" si="0"/>
        <v>35</v>
      </c>
      <c r="B40" s="374" t="s">
        <v>41</v>
      </c>
      <c r="C40" s="168">
        <f t="shared" ref="C40:O40" si="17">+C32+C38</f>
        <v>-328315.41000000015</v>
      </c>
      <c r="D40" s="168">
        <f t="shared" si="17"/>
        <v>-111412.31999999983</v>
      </c>
      <c r="E40" s="168">
        <f t="shared" si="17"/>
        <v>14911.279999999795</v>
      </c>
      <c r="F40" s="168">
        <f t="shared" si="17"/>
        <v>372240.62000000011</v>
      </c>
      <c r="G40" s="168">
        <f t="shared" si="17"/>
        <v>455665.61</v>
      </c>
      <c r="H40" s="168">
        <f t="shared" si="17"/>
        <v>22063.62</v>
      </c>
      <c r="I40" s="168">
        <f t="shared" si="17"/>
        <v>14628.007454393639</v>
      </c>
      <c r="J40" s="168">
        <f t="shared" si="17"/>
        <v>-9123.243333333332</v>
      </c>
      <c r="K40" s="168">
        <f t="shared" si="17"/>
        <v>-285422.35555349971</v>
      </c>
      <c r="L40" s="168">
        <f t="shared" si="17"/>
        <v>-85017.13</v>
      </c>
      <c r="M40" s="168">
        <f t="shared" si="17"/>
        <v>-519574.37302131724</v>
      </c>
      <c r="N40" s="168">
        <f t="shared" si="17"/>
        <v>16250.454999999783</v>
      </c>
      <c r="O40" s="168">
        <f t="shared" si="17"/>
        <v>29986.87</v>
      </c>
      <c r="P40" s="168">
        <f t="shared" ref="P40" si="18">+P32+P38</f>
        <v>-758989.28000000026</v>
      </c>
      <c r="Q40" s="168">
        <f t="shared" ref="Q40:R40" si="19">+Q32+Q38</f>
        <v>6487.9840000000549</v>
      </c>
      <c r="R40" s="168">
        <f t="shared" si="19"/>
        <v>23390</v>
      </c>
      <c r="S40" s="168">
        <f t="shared" si="1"/>
        <v>-1142229.6654537572</v>
      </c>
      <c r="W40" s="371"/>
      <c r="X40" s="371"/>
      <c r="Y40" s="371"/>
      <c r="Z40" s="371"/>
      <c r="AA40" s="371"/>
      <c r="AB40" s="371"/>
      <c r="AC40" s="371"/>
      <c r="AD40" s="371"/>
      <c r="AE40" s="371"/>
    </row>
    <row r="41" spans="1:31" ht="15" thickTop="1"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W41" s="371"/>
      <c r="X41" s="371"/>
      <c r="Y41" s="371"/>
      <c r="Z41" s="371"/>
      <c r="AA41" s="371"/>
      <c r="AB41" s="371"/>
      <c r="AC41" s="371"/>
      <c r="AD41" s="371"/>
      <c r="AE41" s="371"/>
    </row>
    <row r="42" spans="1:31"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W42" s="371"/>
      <c r="X42" s="371"/>
      <c r="Y42" s="371"/>
      <c r="Z42" s="371"/>
      <c r="AA42" s="371"/>
      <c r="AB42" s="371"/>
      <c r="AC42" s="371"/>
      <c r="AD42" s="371"/>
      <c r="AE42" s="371"/>
    </row>
    <row r="43" spans="1:31" ht="18" customHeight="1">
      <c r="U43" s="406"/>
      <c r="V43" s="406"/>
    </row>
    <row r="44" spans="1:31" ht="18" customHeight="1"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U44" s="371"/>
      <c r="V44" s="371"/>
    </row>
    <row r="45" spans="1:31" ht="18" customHeight="1"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U45" s="371"/>
      <c r="V45" s="371"/>
    </row>
    <row r="46" spans="1:31" ht="18" customHeight="1"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U46" s="371"/>
      <c r="V46" s="371"/>
    </row>
    <row r="47" spans="1:31" ht="18" customHeight="1"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U47" s="371"/>
      <c r="V47" s="371"/>
    </row>
    <row r="48" spans="1:31" ht="18" customHeight="1"/>
    <row r="49" ht="18" customHeight="1"/>
  </sheetData>
  <mergeCells count="1">
    <mergeCell ref="U43:V43"/>
  </mergeCells>
  <printOptions horizontalCentered="1"/>
  <pageMargins left="0.25" right="0.25" top="0.75" bottom="0.75" header="0.3" footer="0.3"/>
  <pageSetup scale="52" orientation="landscape" r:id="rId1"/>
  <headerFooter>
    <oddFooter>&amp;RExhibit  JW-2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6"/>
  <sheetViews>
    <sheetView view="pageBreakPreview" topLeftCell="A25" zoomScaleNormal="100" zoomScaleSheetLayoutView="100" workbookViewId="0">
      <selection activeCell="H24" sqref="H24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16384" width="9.140625" style="39"/>
  </cols>
  <sheetData>
    <row r="1" spans="1:13">
      <c r="E1" s="62"/>
      <c r="F1" s="62" t="s">
        <v>493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407" t="s">
        <v>0</v>
      </c>
      <c r="B4" s="407"/>
      <c r="C4" s="407"/>
      <c r="D4" s="407"/>
      <c r="E4" s="407"/>
      <c r="F4" s="407"/>
      <c r="H4" s="313"/>
      <c r="I4" s="313"/>
      <c r="J4" s="313"/>
      <c r="K4" s="313"/>
      <c r="L4" s="313"/>
      <c r="M4" s="313"/>
    </row>
    <row r="5" spans="1:13">
      <c r="A5" s="407" t="str">
        <f>RevReq!A3</f>
        <v>For the 12 Months Ended August 31, 2023</v>
      </c>
      <c r="B5" s="407"/>
      <c r="C5" s="407"/>
      <c r="D5" s="407"/>
      <c r="E5" s="407"/>
      <c r="F5" s="407"/>
    </row>
    <row r="7" spans="1:13" s="64" customFormat="1" ht="15" customHeight="1">
      <c r="A7" s="408" t="s">
        <v>611</v>
      </c>
      <c r="B7" s="408"/>
      <c r="C7" s="408"/>
      <c r="D7" s="408"/>
      <c r="E7" s="408"/>
      <c r="F7" s="408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674</v>
      </c>
      <c r="D13" s="63">
        <v>1905264.19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1817088.7993720002</v>
      </c>
      <c r="E14" s="63"/>
      <c r="F14" s="63">
        <v>861304.2</v>
      </c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1410984.0257969999</v>
      </c>
      <c r="E15" s="63"/>
      <c r="F15" s="63">
        <v>396277.09</v>
      </c>
    </row>
    <row r="16" spans="1:13">
      <c r="A16" s="31">
        <f t="shared" si="0"/>
        <v>4</v>
      </c>
      <c r="B16" s="31">
        <v>2023</v>
      </c>
      <c r="C16" s="31" t="s">
        <v>74</v>
      </c>
      <c r="D16" s="63">
        <v>334481.68385600002</v>
      </c>
      <c r="E16" s="63"/>
      <c r="F16" s="63">
        <v>68381.73</v>
      </c>
    </row>
    <row r="17" spans="1:6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41933.635545999998</v>
      </c>
      <c r="E17" s="63"/>
      <c r="F17" s="63">
        <v>171002.63</v>
      </c>
    </row>
    <row r="18" spans="1:6">
      <c r="A18" s="31">
        <f t="shared" si="0"/>
        <v>6</v>
      </c>
      <c r="B18" s="31">
        <f t="shared" si="1"/>
        <v>2023</v>
      </c>
      <c r="C18" s="31" t="s">
        <v>63</v>
      </c>
      <c r="D18" s="63">
        <v>208394.10842700003</v>
      </c>
      <c r="E18" s="63"/>
      <c r="F18" s="63">
        <v>256484.63</v>
      </c>
    </row>
    <row r="19" spans="1:6">
      <c r="A19" s="31">
        <f t="shared" si="0"/>
        <v>7</v>
      </c>
      <c r="B19" s="31">
        <f t="shared" si="1"/>
        <v>2023</v>
      </c>
      <c r="C19" s="31" t="s">
        <v>76</v>
      </c>
      <c r="D19" s="63">
        <v>315344.49404799996</v>
      </c>
      <c r="E19" s="63"/>
      <c r="F19" s="63">
        <v>367862.58999999997</v>
      </c>
    </row>
    <row r="20" spans="1:6">
      <c r="A20" s="31">
        <f t="shared" si="0"/>
        <v>8</v>
      </c>
      <c r="B20" s="31">
        <f t="shared" si="1"/>
        <v>2023</v>
      </c>
      <c r="C20" s="31" t="s">
        <v>77</v>
      </c>
      <c r="D20" s="63">
        <v>351034.13845199998</v>
      </c>
      <c r="E20" s="63"/>
      <c r="F20" s="63">
        <v>618747.30000000005</v>
      </c>
    </row>
    <row r="21" spans="1:6">
      <c r="A21" s="31">
        <f t="shared" si="0"/>
        <v>9</v>
      </c>
      <c r="B21" s="31">
        <f t="shared" si="1"/>
        <v>2023</v>
      </c>
      <c r="C21" s="31" t="s">
        <v>78</v>
      </c>
      <c r="D21" s="63">
        <v>441275.59822699998</v>
      </c>
      <c r="E21" s="63"/>
      <c r="F21" s="63">
        <v>496961.3</v>
      </c>
    </row>
    <row r="22" spans="1:6">
      <c r="A22" s="31">
        <f t="shared" si="0"/>
        <v>10</v>
      </c>
      <c r="B22" s="31">
        <v>2022</v>
      </c>
      <c r="C22" s="31" t="s">
        <v>79</v>
      </c>
      <c r="D22" s="63">
        <v>1207720.0100100003</v>
      </c>
      <c r="E22" s="63"/>
      <c r="F22" s="63">
        <v>1894560.59</v>
      </c>
    </row>
    <row r="23" spans="1:6">
      <c r="A23" s="31">
        <f t="shared" si="0"/>
        <v>11</v>
      </c>
      <c r="B23" s="31">
        <f t="shared" si="1"/>
        <v>2022</v>
      </c>
      <c r="C23" s="31" t="s">
        <v>80</v>
      </c>
      <c r="D23" s="63">
        <v>893358.62968000001</v>
      </c>
      <c r="E23" s="63"/>
      <c r="F23" s="63">
        <v>1292348.1300000001</v>
      </c>
    </row>
    <row r="24" spans="1:6">
      <c r="A24" s="31">
        <f t="shared" si="0"/>
        <v>12</v>
      </c>
      <c r="B24" s="31">
        <f t="shared" si="1"/>
        <v>2022</v>
      </c>
      <c r="C24" s="31" t="s">
        <v>81</v>
      </c>
      <c r="D24" s="63">
        <v>1457475.2685839999</v>
      </c>
      <c r="E24" s="63"/>
      <c r="F24" s="63">
        <v>1240115.18</v>
      </c>
    </row>
    <row r="25" spans="1:6">
      <c r="A25" s="31">
        <f t="shared" si="0"/>
        <v>13</v>
      </c>
      <c r="B25" s="31">
        <f t="shared" si="1"/>
        <v>2022</v>
      </c>
      <c r="C25" s="31" t="s">
        <v>82</v>
      </c>
      <c r="D25" s="63">
        <v>1831507.1069560002</v>
      </c>
      <c r="E25" s="63"/>
      <c r="F25" s="63">
        <v>1305565.92</v>
      </c>
    </row>
    <row r="26" spans="1:6">
      <c r="A26" s="31">
        <f t="shared" si="0"/>
        <v>14</v>
      </c>
      <c r="B26" s="101" t="s">
        <v>675</v>
      </c>
      <c r="C26" s="31"/>
      <c r="D26" s="63">
        <v>-2917934.99</v>
      </c>
      <c r="E26" s="63"/>
      <c r="F26" s="63"/>
    </row>
    <row r="27" spans="1:6">
      <c r="A27" s="31">
        <f t="shared" si="0"/>
        <v>15</v>
      </c>
      <c r="B27" s="57"/>
      <c r="C27" s="33" t="s">
        <v>71</v>
      </c>
      <c r="D27" s="110">
        <f>SUM(D13:D26)</f>
        <v>9297926.6989549994</v>
      </c>
      <c r="E27" s="110"/>
      <c r="F27" s="110">
        <f>SUM(F14:F25)</f>
        <v>8969611.2899999991</v>
      </c>
    </row>
    <row r="28" spans="1:6">
      <c r="A28" s="31">
        <f t="shared" si="0"/>
        <v>16</v>
      </c>
      <c r="D28" s="257"/>
      <c r="E28" s="257"/>
    </row>
    <row r="29" spans="1:6">
      <c r="A29" s="31">
        <f t="shared" si="0"/>
        <v>17</v>
      </c>
      <c r="B29" s="39" t="s">
        <v>89</v>
      </c>
      <c r="D29" s="323">
        <f>D27</f>
        <v>9297926.6989549994</v>
      </c>
      <c r="E29" s="323"/>
      <c r="F29" s="323">
        <f>F27</f>
        <v>8969611.2899999991</v>
      </c>
    </row>
    <row r="30" spans="1:6">
      <c r="A30" s="31">
        <f t="shared" si="0"/>
        <v>18</v>
      </c>
      <c r="D30" s="257"/>
      <c r="E30" s="257"/>
    </row>
    <row r="31" spans="1:6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6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-9297926.6999999993</v>
      </c>
      <c r="E33" s="324"/>
      <c r="F33" s="325">
        <f>ROUND(F31-F29,2)</f>
        <v>-8969611.2899999991</v>
      </c>
    </row>
    <row r="34" spans="1:6" ht="13.5" thickTop="1">
      <c r="A34" s="31">
        <f t="shared" si="0"/>
        <v>22</v>
      </c>
      <c r="D34" s="333" t="s">
        <v>676</v>
      </c>
      <c r="E34" s="333"/>
      <c r="F34" s="104">
        <f>+D33-F33</f>
        <v>-328315.41000000015</v>
      </c>
    </row>
    <row r="35" spans="1:6">
      <c r="D35" s="104"/>
      <c r="F35" s="104"/>
    </row>
    <row r="36" spans="1:6" ht="30" customHeight="1">
      <c r="B36" s="409" t="s">
        <v>492</v>
      </c>
      <c r="C36" s="409"/>
      <c r="D36" s="409"/>
      <c r="E36" s="409"/>
      <c r="F36" s="409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view="pageBreakPreview" topLeftCell="A12" zoomScaleNormal="100" zoomScaleSheetLayoutView="100" workbookViewId="0">
      <selection activeCell="H15" sqref="H15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8" width="9.140625" style="39"/>
    <col min="9" max="9" width="10" style="39" bestFit="1" customWidth="1"/>
    <col min="10" max="16384" width="9.140625" style="39"/>
  </cols>
  <sheetData>
    <row r="1" spans="1:13">
      <c r="E1" s="62"/>
      <c r="F1" s="62" t="s">
        <v>494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407" t="s">
        <v>0</v>
      </c>
      <c r="B4" s="407"/>
      <c r="C4" s="407"/>
      <c r="D4" s="407"/>
      <c r="E4" s="407"/>
      <c r="F4" s="407"/>
      <c r="H4" s="313"/>
      <c r="I4" s="313"/>
      <c r="J4" s="313"/>
      <c r="K4" s="313"/>
      <c r="L4" s="313"/>
      <c r="M4" s="313"/>
    </row>
    <row r="5" spans="1:13">
      <c r="A5" s="407" t="str">
        <f>RevReq!A3</f>
        <v>For the 12 Months Ended August 31, 2023</v>
      </c>
      <c r="B5" s="407"/>
      <c r="C5" s="407"/>
      <c r="D5" s="407"/>
      <c r="E5" s="407"/>
      <c r="F5" s="407"/>
    </row>
    <row r="7" spans="1:13" s="64" customFormat="1" ht="15" customHeight="1">
      <c r="A7" s="408" t="s">
        <v>497</v>
      </c>
      <c r="B7" s="408"/>
      <c r="C7" s="408"/>
      <c r="D7" s="408"/>
      <c r="E7" s="408"/>
      <c r="F7" s="408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674</v>
      </c>
      <c r="D13" s="63">
        <v>763163.17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320482.06845600007</v>
      </c>
      <c r="E14" s="63"/>
      <c r="F14" s="63">
        <v>579153.78</v>
      </c>
      <c r="I14" s="104"/>
      <c r="J14" s="104"/>
      <c r="K14" s="104"/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284327.79612699995</v>
      </c>
      <c r="E15" s="63"/>
      <c r="F15" s="63">
        <v>224065.66</v>
      </c>
      <c r="I15" s="104"/>
      <c r="J15" s="104"/>
      <c r="K15" s="104"/>
    </row>
    <row r="16" spans="1:13">
      <c r="A16" s="31">
        <f t="shared" si="0"/>
        <v>4</v>
      </c>
      <c r="B16" s="31">
        <v>2023</v>
      </c>
      <c r="C16" s="31" t="s">
        <v>74</v>
      </c>
      <c r="D16" s="63">
        <v>420285.56371299992</v>
      </c>
      <c r="E16" s="63"/>
      <c r="F16" s="63">
        <v>186653.23</v>
      </c>
      <c r="I16" s="104"/>
      <c r="J16" s="104"/>
      <c r="K16" s="104"/>
    </row>
    <row r="17" spans="1:11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174572.31364200002</v>
      </c>
      <c r="E17" s="63"/>
      <c r="F17" s="63">
        <v>217799.15000000002</v>
      </c>
      <c r="I17" s="104"/>
      <c r="J17" s="104"/>
      <c r="K17" s="104"/>
    </row>
    <row r="18" spans="1:11">
      <c r="A18" s="31">
        <f t="shared" si="0"/>
        <v>6</v>
      </c>
      <c r="B18" s="31">
        <f t="shared" si="1"/>
        <v>2023</v>
      </c>
      <c r="C18" s="31" t="s">
        <v>63</v>
      </c>
      <c r="D18" s="63">
        <v>208506.948087</v>
      </c>
      <c r="E18" s="63"/>
      <c r="F18" s="63">
        <v>271747.74</v>
      </c>
      <c r="I18" s="104"/>
      <c r="J18" s="104"/>
      <c r="K18" s="104"/>
    </row>
    <row r="19" spans="1:11">
      <c r="A19" s="31">
        <f t="shared" si="0"/>
        <v>7</v>
      </c>
      <c r="B19" s="31">
        <f t="shared" si="1"/>
        <v>2023</v>
      </c>
      <c r="C19" s="31" t="s">
        <v>76</v>
      </c>
      <c r="D19" s="63">
        <v>401850.53988600004</v>
      </c>
      <c r="E19" s="63"/>
      <c r="F19" s="63">
        <v>410897.52</v>
      </c>
      <c r="I19" s="104"/>
      <c r="J19" s="104"/>
      <c r="K19" s="104"/>
    </row>
    <row r="20" spans="1:11">
      <c r="A20" s="31">
        <f t="shared" si="0"/>
        <v>8</v>
      </c>
      <c r="B20" s="31">
        <f t="shared" si="1"/>
        <v>2023</v>
      </c>
      <c r="C20" s="31" t="s">
        <v>77</v>
      </c>
      <c r="D20" s="63">
        <v>366114.66837799997</v>
      </c>
      <c r="E20" s="63"/>
      <c r="F20" s="63">
        <v>452657.81</v>
      </c>
      <c r="I20" s="104"/>
      <c r="J20" s="104"/>
      <c r="K20" s="104"/>
    </row>
    <row r="21" spans="1:11">
      <c r="A21" s="31">
        <f t="shared" si="0"/>
        <v>9</v>
      </c>
      <c r="B21" s="31">
        <f t="shared" si="1"/>
        <v>2023</v>
      </c>
      <c r="C21" s="31" t="s">
        <v>78</v>
      </c>
      <c r="D21" s="63">
        <v>492704.23027499998</v>
      </c>
      <c r="E21" s="63"/>
      <c r="F21" s="63">
        <v>432101.64</v>
      </c>
      <c r="I21" s="104"/>
      <c r="J21" s="104"/>
      <c r="K21" s="104"/>
    </row>
    <row r="22" spans="1:11">
      <c r="A22" s="31">
        <f t="shared" si="0"/>
        <v>10</v>
      </c>
      <c r="B22" s="31">
        <v>2022</v>
      </c>
      <c r="C22" s="31" t="s">
        <v>79</v>
      </c>
      <c r="D22" s="63">
        <v>209061.81193800003</v>
      </c>
      <c r="E22" s="63"/>
      <c r="F22" s="63">
        <v>203254.56</v>
      </c>
      <c r="I22" s="104"/>
      <c r="J22" s="104"/>
      <c r="K22" s="104"/>
    </row>
    <row r="23" spans="1:11">
      <c r="A23" s="31">
        <f t="shared" si="0"/>
        <v>11</v>
      </c>
      <c r="B23" s="31">
        <f t="shared" si="1"/>
        <v>2022</v>
      </c>
      <c r="C23" s="31" t="s">
        <v>80</v>
      </c>
      <c r="D23" s="63">
        <v>162862.61515068714</v>
      </c>
      <c r="E23" s="63"/>
      <c r="F23" s="63">
        <v>194817.52</v>
      </c>
      <c r="I23" s="104"/>
      <c r="J23" s="104"/>
      <c r="K23" s="104"/>
    </row>
    <row r="24" spans="1:11">
      <c r="A24" s="31">
        <f t="shared" si="0"/>
        <v>12</v>
      </c>
      <c r="B24" s="31">
        <f t="shared" si="1"/>
        <v>2022</v>
      </c>
      <c r="C24" s="31" t="s">
        <v>81</v>
      </c>
      <c r="D24" s="63">
        <v>129763.89862599999</v>
      </c>
      <c r="E24" s="63"/>
      <c r="F24" s="63">
        <v>177098.00999999998</v>
      </c>
      <c r="I24" s="104"/>
      <c r="J24" s="104"/>
      <c r="K24" s="104"/>
    </row>
    <row r="25" spans="1:11">
      <c r="A25" s="31">
        <f t="shared" si="0"/>
        <v>13</v>
      </c>
      <c r="B25" s="31">
        <f t="shared" si="1"/>
        <v>2022</v>
      </c>
      <c r="C25" s="31" t="s">
        <v>82</v>
      </c>
      <c r="D25" s="63">
        <v>302665.19454600004</v>
      </c>
      <c r="E25" s="63"/>
      <c r="F25" s="63">
        <v>272753.83999999997</v>
      </c>
      <c r="I25" s="104"/>
      <c r="J25" s="104"/>
      <c r="K25" s="104"/>
    </row>
    <row r="26" spans="1:11">
      <c r="A26" s="31">
        <f t="shared" si="0"/>
        <v>14</v>
      </c>
      <c r="B26" s="101" t="s">
        <v>675</v>
      </c>
      <c r="C26" s="31"/>
      <c r="D26" s="63">
        <v>-501948.04</v>
      </c>
      <c r="E26" s="63"/>
      <c r="F26" s="63"/>
      <c r="I26" s="104"/>
      <c r="J26" s="104"/>
      <c r="K26" s="104"/>
    </row>
    <row r="27" spans="1:11">
      <c r="A27" s="31">
        <f t="shared" si="0"/>
        <v>15</v>
      </c>
      <c r="B27" s="57"/>
      <c r="C27" s="33" t="s">
        <v>71</v>
      </c>
      <c r="D27" s="110">
        <f>SUM(D13:D26)</f>
        <v>3734412.778824687</v>
      </c>
      <c r="E27" s="110"/>
      <c r="F27" s="110">
        <f>SUM(F14:F25)</f>
        <v>3623000.46</v>
      </c>
    </row>
    <row r="28" spans="1:11">
      <c r="A28" s="31">
        <f t="shared" si="0"/>
        <v>16</v>
      </c>
      <c r="D28" s="257"/>
      <c r="E28" s="257"/>
    </row>
    <row r="29" spans="1:11">
      <c r="A29" s="31">
        <f t="shared" si="0"/>
        <v>17</v>
      </c>
      <c r="B29" s="39" t="s">
        <v>89</v>
      </c>
      <c r="D29" s="323">
        <f>D27</f>
        <v>3734412.778824687</v>
      </c>
      <c r="E29" s="323"/>
      <c r="F29" s="323">
        <f>F27</f>
        <v>3623000.46</v>
      </c>
    </row>
    <row r="30" spans="1:11">
      <c r="A30" s="31">
        <f t="shared" si="0"/>
        <v>18</v>
      </c>
      <c r="D30" s="257"/>
      <c r="E30" s="257"/>
    </row>
    <row r="31" spans="1:11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11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-3734412.78</v>
      </c>
      <c r="E33" s="324"/>
      <c r="F33" s="325">
        <f>ROUND(F31-F29,2)</f>
        <v>-3623000.46</v>
      </c>
    </row>
    <row r="34" spans="1:6" ht="13.5" thickTop="1">
      <c r="A34" s="31">
        <f t="shared" si="0"/>
        <v>22</v>
      </c>
      <c r="D34" s="333" t="s">
        <v>676</v>
      </c>
      <c r="F34" s="104">
        <f>+D33-F33</f>
        <v>-111412.31999999983</v>
      </c>
    </row>
    <row r="36" spans="1:6" ht="30" customHeight="1">
      <c r="B36" s="409" t="s">
        <v>498</v>
      </c>
      <c r="C36" s="409"/>
      <c r="D36" s="409"/>
      <c r="E36" s="409"/>
      <c r="F36" s="409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6"/>
  <sheetViews>
    <sheetView view="pageBreakPreview" zoomScaleNormal="100" zoomScaleSheetLayoutView="100" workbookViewId="0">
      <selection activeCell="H24" sqref="H24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8" width="9.140625" style="39"/>
    <col min="9" max="10" width="10.7109375" style="39" bestFit="1" customWidth="1"/>
    <col min="11" max="16384" width="9.140625" style="39"/>
  </cols>
  <sheetData>
    <row r="1" spans="1:13">
      <c r="E1" s="62"/>
      <c r="F1" s="62" t="s">
        <v>495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407" t="s">
        <v>0</v>
      </c>
      <c r="B4" s="407"/>
      <c r="C4" s="407"/>
      <c r="D4" s="407"/>
      <c r="E4" s="407"/>
      <c r="F4" s="407"/>
      <c r="H4" s="313"/>
      <c r="I4" s="313"/>
      <c r="J4" s="313"/>
      <c r="K4" s="313"/>
      <c r="L4" s="313"/>
      <c r="M4" s="313"/>
    </row>
    <row r="5" spans="1:13">
      <c r="A5" s="407" t="str">
        <f>RevReq!A3</f>
        <v>For the 12 Months Ended August 31, 2023</v>
      </c>
      <c r="B5" s="407"/>
      <c r="C5" s="407"/>
      <c r="D5" s="407"/>
      <c r="E5" s="407"/>
      <c r="F5" s="407"/>
    </row>
    <row r="7" spans="1:13" s="64" customFormat="1" ht="15" customHeight="1">
      <c r="A7" s="408" t="s">
        <v>502</v>
      </c>
      <c r="B7" s="408"/>
      <c r="C7" s="408"/>
      <c r="D7" s="408"/>
      <c r="E7" s="408"/>
      <c r="F7" s="408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674</v>
      </c>
      <c r="D13" s="63">
        <v>-480050.06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-471013.13906599995</v>
      </c>
      <c r="E14" s="63"/>
      <c r="F14" s="63">
        <v>-215649.62900000002</v>
      </c>
      <c r="I14" s="104"/>
      <c r="J14" s="104"/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-364224.14322599996</v>
      </c>
      <c r="E15" s="63"/>
      <c r="F15" s="63">
        <v>-217709.93000000002</v>
      </c>
      <c r="I15" s="104"/>
      <c r="J15" s="104"/>
    </row>
    <row r="16" spans="1:13">
      <c r="A16" s="31">
        <f t="shared" si="0"/>
        <v>4</v>
      </c>
      <c r="B16" s="31">
        <v>2023</v>
      </c>
      <c r="C16" s="31" t="s">
        <v>74</v>
      </c>
      <c r="D16" s="63">
        <v>-112691.770112</v>
      </c>
      <c r="E16" s="63"/>
      <c r="F16" s="63">
        <v>-214857.24</v>
      </c>
      <c r="I16" s="104"/>
      <c r="J16" s="104"/>
    </row>
    <row r="17" spans="1:10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-151131.39324599999</v>
      </c>
      <c r="E17" s="63"/>
      <c r="F17" s="63">
        <v>-217367.66</v>
      </c>
      <c r="I17" s="104"/>
      <c r="J17" s="104"/>
    </row>
    <row r="18" spans="1:10">
      <c r="A18" s="31">
        <f t="shared" si="0"/>
        <v>6</v>
      </c>
      <c r="B18" s="31">
        <f t="shared" si="1"/>
        <v>2023</v>
      </c>
      <c r="C18" s="31" t="s">
        <v>63</v>
      </c>
      <c r="D18" s="63">
        <v>-244567.10956300001</v>
      </c>
      <c r="E18" s="63"/>
      <c r="F18" s="63">
        <v>-229500.98</v>
      </c>
      <c r="I18" s="104"/>
      <c r="J18" s="104"/>
    </row>
    <row r="19" spans="1:10">
      <c r="A19" s="31">
        <f t="shared" si="0"/>
        <v>7</v>
      </c>
      <c r="B19" s="31">
        <f t="shared" si="1"/>
        <v>2023</v>
      </c>
      <c r="C19" s="31" t="s">
        <v>76</v>
      </c>
      <c r="D19" s="63">
        <v>-324289.89495199994</v>
      </c>
      <c r="E19" s="63"/>
      <c r="F19" s="63">
        <v>-236878.02</v>
      </c>
      <c r="I19" s="104"/>
      <c r="J19" s="104"/>
    </row>
    <row r="20" spans="1:10">
      <c r="A20" s="31">
        <f t="shared" si="0"/>
        <v>8</v>
      </c>
      <c r="B20" s="31">
        <f t="shared" si="1"/>
        <v>2023</v>
      </c>
      <c r="C20" s="31" t="s">
        <v>77</v>
      </c>
      <c r="D20" s="63">
        <v>-322415.06131900003</v>
      </c>
      <c r="E20" s="63"/>
      <c r="F20" s="63">
        <v>-237724.50999999998</v>
      </c>
      <c r="I20" s="104"/>
      <c r="J20" s="104"/>
    </row>
    <row r="21" spans="1:10">
      <c r="A21" s="31">
        <f t="shared" si="0"/>
        <v>9</v>
      </c>
      <c r="B21" s="31">
        <f t="shared" si="1"/>
        <v>2023</v>
      </c>
      <c r="C21" s="31" t="s">
        <v>78</v>
      </c>
      <c r="D21" s="63">
        <v>-315165.90294000006</v>
      </c>
      <c r="E21" s="63"/>
      <c r="F21" s="63">
        <v>-225354.81</v>
      </c>
      <c r="I21" s="104"/>
      <c r="J21" s="104"/>
    </row>
    <row r="22" spans="1:10">
      <c r="A22" s="31">
        <f t="shared" si="0"/>
        <v>10</v>
      </c>
      <c r="B22" s="31">
        <v>2022</v>
      </c>
      <c r="C22" s="31" t="s">
        <v>79</v>
      </c>
      <c r="D22" s="63">
        <v>-208950.16531499996</v>
      </c>
      <c r="E22" s="63"/>
      <c r="F22" s="63">
        <v>-346316.60000000003</v>
      </c>
      <c r="I22" s="104"/>
      <c r="J22" s="104"/>
    </row>
    <row r="23" spans="1:10">
      <c r="A23" s="31">
        <f t="shared" si="0"/>
        <v>11</v>
      </c>
      <c r="B23" s="31">
        <f t="shared" si="1"/>
        <v>2022</v>
      </c>
      <c r="C23" s="31" t="s">
        <v>80</v>
      </c>
      <c r="D23" s="63">
        <v>-140237.3423950164</v>
      </c>
      <c r="E23" s="63"/>
      <c r="F23" s="63">
        <v>-332925.22000000003</v>
      </c>
      <c r="I23" s="104"/>
      <c r="J23" s="104"/>
    </row>
    <row r="24" spans="1:10">
      <c r="A24" s="31">
        <f t="shared" si="0"/>
        <v>12</v>
      </c>
      <c r="B24" s="31">
        <f t="shared" si="1"/>
        <v>2022</v>
      </c>
      <c r="C24" s="31" t="s">
        <v>81</v>
      </c>
      <c r="D24" s="63">
        <v>-267217.18988900003</v>
      </c>
      <c r="E24" s="63"/>
      <c r="F24" s="63">
        <v>-335318</v>
      </c>
      <c r="I24" s="104"/>
      <c r="J24" s="104"/>
    </row>
    <row r="25" spans="1:10">
      <c r="A25" s="31">
        <f t="shared" si="0"/>
        <v>13</v>
      </c>
      <c r="B25" s="31">
        <f t="shared" si="1"/>
        <v>2022</v>
      </c>
      <c r="C25" s="31" t="s">
        <v>82</v>
      </c>
      <c r="D25" s="63">
        <v>-492199.87168000004</v>
      </c>
      <c r="E25" s="63"/>
      <c r="F25" s="63">
        <v>-331642.19</v>
      </c>
      <c r="I25" s="104"/>
      <c r="J25" s="104"/>
    </row>
    <row r="26" spans="1:10">
      <c r="A26" s="31">
        <f t="shared" si="0"/>
        <v>14</v>
      </c>
      <c r="B26" s="101" t="s">
        <v>675</v>
      </c>
      <c r="C26" s="31"/>
      <c r="D26" s="63">
        <v>737996.97</v>
      </c>
      <c r="E26" s="63"/>
      <c r="F26" s="63"/>
      <c r="I26" s="104"/>
      <c r="J26" s="104"/>
    </row>
    <row r="27" spans="1:10">
      <c r="A27" s="31">
        <f t="shared" si="0"/>
        <v>15</v>
      </c>
      <c r="B27" s="57"/>
      <c r="C27" s="33" t="s">
        <v>71</v>
      </c>
      <c r="D27" s="110">
        <f>SUM(D13:D26)</f>
        <v>-3156156.0737030162</v>
      </c>
      <c r="E27" s="110"/>
      <c r="F27" s="110">
        <f>SUM(F14:F25)</f>
        <v>-3141244.7890000003</v>
      </c>
    </row>
    <row r="28" spans="1:10">
      <c r="A28" s="31">
        <f t="shared" si="0"/>
        <v>16</v>
      </c>
      <c r="D28" s="257"/>
      <c r="E28" s="257"/>
    </row>
    <row r="29" spans="1:10">
      <c r="A29" s="31">
        <f t="shared" si="0"/>
        <v>17</v>
      </c>
      <c r="B29" s="39" t="s">
        <v>89</v>
      </c>
      <c r="D29" s="323">
        <f>D27</f>
        <v>-3156156.0737030162</v>
      </c>
      <c r="E29" s="323"/>
      <c r="F29" s="323">
        <f>F27</f>
        <v>-3141244.7890000003</v>
      </c>
    </row>
    <row r="30" spans="1:10">
      <c r="A30" s="31">
        <f t="shared" si="0"/>
        <v>18</v>
      </c>
      <c r="D30" s="257"/>
      <c r="E30" s="257"/>
    </row>
    <row r="31" spans="1:10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10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3156156.07</v>
      </c>
      <c r="E33" s="324"/>
      <c r="F33" s="325">
        <f>ROUND(F31-F29,2)</f>
        <v>3141244.79</v>
      </c>
    </row>
    <row r="34" spans="1:6" ht="13.5" thickTop="1">
      <c r="A34" s="31">
        <f t="shared" si="0"/>
        <v>22</v>
      </c>
      <c r="D34" s="333" t="s">
        <v>676</v>
      </c>
      <c r="F34" s="104">
        <f>+D33-F33</f>
        <v>14911.279999999795</v>
      </c>
    </row>
    <row r="36" spans="1:6" ht="30" customHeight="1">
      <c r="B36" s="409" t="s">
        <v>501</v>
      </c>
      <c r="C36" s="409"/>
      <c r="D36" s="409"/>
      <c r="E36" s="409"/>
      <c r="F36" s="409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6"/>
  <sheetViews>
    <sheetView view="pageBreakPreview" zoomScaleNormal="100" zoomScaleSheetLayoutView="100" workbookViewId="0">
      <selection activeCell="I30" sqref="I30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7" width="9.140625" style="39"/>
    <col min="8" max="8" width="10" style="39" bestFit="1" customWidth="1"/>
    <col min="9" max="16384" width="9.140625" style="39"/>
  </cols>
  <sheetData>
    <row r="1" spans="1:13">
      <c r="E1" s="62"/>
      <c r="F1" s="62" t="s">
        <v>496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407" t="s">
        <v>0</v>
      </c>
      <c r="B4" s="407"/>
      <c r="C4" s="407"/>
      <c r="D4" s="407"/>
      <c r="E4" s="407"/>
      <c r="F4" s="407"/>
      <c r="H4" s="313"/>
      <c r="I4" s="313"/>
      <c r="J4" s="313"/>
      <c r="K4" s="313"/>
      <c r="L4" s="313"/>
      <c r="M4" s="313"/>
    </row>
    <row r="5" spans="1:13">
      <c r="A5" s="407" t="str">
        <f>RevReq!A3</f>
        <v>For the 12 Months Ended August 31, 2023</v>
      </c>
      <c r="B5" s="407"/>
      <c r="C5" s="407"/>
      <c r="D5" s="407"/>
      <c r="E5" s="407"/>
      <c r="F5" s="407"/>
    </row>
    <row r="7" spans="1:13" s="64" customFormat="1" ht="15" customHeight="1">
      <c r="A7" s="408" t="s">
        <v>499</v>
      </c>
      <c r="B7" s="408"/>
      <c r="C7" s="408"/>
      <c r="D7" s="408"/>
      <c r="E7" s="408"/>
      <c r="F7" s="408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674</v>
      </c>
      <c r="D13" s="63">
        <v>660677.43000000005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422327.41093399998</v>
      </c>
      <c r="E14" s="63"/>
      <c r="F14" s="63">
        <v>357875.88</v>
      </c>
      <c r="H14" s="104"/>
      <c r="J14" s="104"/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403498.58353299997</v>
      </c>
      <c r="E15" s="63"/>
      <c r="F15" s="63">
        <v>304544.40999999997</v>
      </c>
      <c r="H15" s="104"/>
      <c r="J15" s="104"/>
    </row>
    <row r="16" spans="1:13">
      <c r="A16" s="31">
        <f t="shared" si="0"/>
        <v>4</v>
      </c>
      <c r="B16" s="31">
        <v>2023</v>
      </c>
      <c r="C16" s="31" t="s">
        <v>74</v>
      </c>
      <c r="D16" s="63">
        <v>241021.50962099998</v>
      </c>
      <c r="E16" s="63"/>
      <c r="F16" s="63">
        <v>310399.43</v>
      </c>
      <c r="H16" s="104"/>
      <c r="J16" s="104"/>
    </row>
    <row r="17" spans="1:10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216475.87322100002</v>
      </c>
      <c r="E17" s="63"/>
      <c r="F17" s="63">
        <v>259130.12</v>
      </c>
      <c r="H17" s="104"/>
      <c r="J17" s="104"/>
    </row>
    <row r="18" spans="1:10">
      <c r="A18" s="31">
        <f t="shared" si="0"/>
        <v>6</v>
      </c>
      <c r="B18" s="31">
        <f t="shared" si="1"/>
        <v>2023</v>
      </c>
      <c r="C18" s="31" t="s">
        <v>63</v>
      </c>
      <c r="D18" s="63">
        <v>314510.86400100001</v>
      </c>
      <c r="E18" s="63"/>
      <c r="F18" s="63">
        <v>304613.45</v>
      </c>
      <c r="H18" s="104"/>
      <c r="J18" s="104"/>
    </row>
    <row r="19" spans="1:10">
      <c r="A19" s="31">
        <f t="shared" si="0"/>
        <v>7</v>
      </c>
      <c r="B19" s="31">
        <f t="shared" si="1"/>
        <v>2023</v>
      </c>
      <c r="C19" s="31" t="s">
        <v>76</v>
      </c>
      <c r="D19" s="63">
        <v>383743.80468799995</v>
      </c>
      <c r="E19" s="63"/>
      <c r="F19" s="63">
        <v>362205.94</v>
      </c>
      <c r="H19" s="104"/>
      <c r="J19" s="104"/>
    </row>
    <row r="20" spans="1:10">
      <c r="A20" s="31">
        <f t="shared" si="0"/>
        <v>8</v>
      </c>
      <c r="B20" s="31">
        <f t="shared" si="1"/>
        <v>2023</v>
      </c>
      <c r="C20" s="31" t="s">
        <v>77</v>
      </c>
      <c r="D20" s="63">
        <v>402657.87188999995</v>
      </c>
      <c r="E20" s="63"/>
      <c r="F20" s="63">
        <v>413070.1</v>
      </c>
      <c r="H20" s="104"/>
      <c r="J20" s="104"/>
    </row>
    <row r="21" spans="1:10">
      <c r="A21" s="31">
        <f t="shared" si="0"/>
        <v>9</v>
      </c>
      <c r="B21" s="31">
        <f t="shared" si="1"/>
        <v>2023</v>
      </c>
      <c r="C21" s="31" t="s">
        <v>78</v>
      </c>
      <c r="D21" s="63">
        <v>443819.47843099997</v>
      </c>
      <c r="E21" s="63"/>
      <c r="F21" s="63">
        <v>392392.77</v>
      </c>
      <c r="H21" s="104"/>
      <c r="J21" s="104"/>
    </row>
    <row r="22" spans="1:10">
      <c r="A22" s="31">
        <f t="shared" si="0"/>
        <v>10</v>
      </c>
      <c r="B22" s="31">
        <v>2022</v>
      </c>
      <c r="C22" s="31" t="s">
        <v>79</v>
      </c>
      <c r="D22" s="63">
        <v>148213.47624299998</v>
      </c>
      <c r="E22" s="63"/>
      <c r="F22" s="63">
        <v>329006.35000000003</v>
      </c>
      <c r="H22" s="104"/>
      <c r="J22" s="104"/>
    </row>
    <row r="23" spans="1:10">
      <c r="A23" s="31">
        <f t="shared" si="0"/>
        <v>11</v>
      </c>
      <c r="B23" s="31">
        <f t="shared" si="1"/>
        <v>2022</v>
      </c>
      <c r="C23" s="31" t="s">
        <v>80</v>
      </c>
      <c r="D23" s="63">
        <v>107505.13609999999</v>
      </c>
      <c r="E23" s="63"/>
      <c r="F23" s="63">
        <v>269399.57</v>
      </c>
      <c r="H23" s="104"/>
      <c r="J23" s="104"/>
    </row>
    <row r="24" spans="1:10">
      <c r="A24" s="31">
        <f t="shared" si="0"/>
        <v>12</v>
      </c>
      <c r="B24" s="31">
        <f t="shared" si="1"/>
        <v>2022</v>
      </c>
      <c r="C24" s="31" t="s">
        <v>81</v>
      </c>
      <c r="D24" s="63">
        <v>253967.01925500002</v>
      </c>
      <c r="E24" s="63"/>
      <c r="F24" s="63">
        <v>317627.8</v>
      </c>
      <c r="H24" s="104"/>
      <c r="J24" s="104"/>
    </row>
    <row r="25" spans="1:10">
      <c r="A25" s="31">
        <f t="shared" si="0"/>
        <v>13</v>
      </c>
      <c r="B25" s="31">
        <f t="shared" si="1"/>
        <v>2022</v>
      </c>
      <c r="C25" s="31" t="s">
        <v>82</v>
      </c>
      <c r="D25" s="63">
        <v>368396.78818199999</v>
      </c>
      <c r="E25" s="63"/>
      <c r="F25" s="63">
        <v>392301.99</v>
      </c>
      <c r="H25" s="104"/>
      <c r="J25" s="104"/>
    </row>
    <row r="26" spans="1:10">
      <c r="A26" s="31">
        <f t="shared" si="0"/>
        <v>14</v>
      </c>
      <c r="B26" s="101" t="s">
        <v>675</v>
      </c>
      <c r="C26" s="31"/>
      <c r="D26" s="63">
        <v>-726488.06</v>
      </c>
      <c r="E26" s="63"/>
      <c r="F26" s="63"/>
      <c r="H26" s="104"/>
      <c r="J26" s="104"/>
    </row>
    <row r="27" spans="1:10">
      <c r="A27" s="31">
        <f t="shared" si="0"/>
        <v>15</v>
      </c>
      <c r="B27" s="57"/>
      <c r="C27" s="33" t="s">
        <v>71</v>
      </c>
      <c r="D27" s="110">
        <f>SUM(D13:D26)</f>
        <v>3640327.1860989998</v>
      </c>
      <c r="E27" s="110"/>
      <c r="F27" s="110">
        <f>SUM(F14:F25)</f>
        <v>4012567.8099999996</v>
      </c>
    </row>
    <row r="28" spans="1:10">
      <c r="A28" s="31">
        <f t="shared" si="0"/>
        <v>16</v>
      </c>
      <c r="D28" s="257"/>
      <c r="E28" s="257"/>
    </row>
    <row r="29" spans="1:10">
      <c r="A29" s="31">
        <f t="shared" si="0"/>
        <v>17</v>
      </c>
      <c r="B29" s="39" t="s">
        <v>89</v>
      </c>
      <c r="D29" s="323">
        <f>D27</f>
        <v>3640327.1860989998</v>
      </c>
      <c r="E29" s="323"/>
      <c r="F29" s="323">
        <f>F27</f>
        <v>4012567.8099999996</v>
      </c>
    </row>
    <row r="30" spans="1:10">
      <c r="A30" s="31">
        <f t="shared" si="0"/>
        <v>18</v>
      </c>
      <c r="D30" s="257"/>
      <c r="E30" s="257"/>
    </row>
    <row r="31" spans="1:10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10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-3640327.19</v>
      </c>
      <c r="E33" s="324"/>
      <c r="F33" s="325">
        <f>ROUND(F31-F29,2)</f>
        <v>-4012567.81</v>
      </c>
    </row>
    <row r="34" spans="1:6" ht="13.5" thickTop="1">
      <c r="A34" s="31">
        <f t="shared" si="0"/>
        <v>22</v>
      </c>
      <c r="D34" s="333" t="s">
        <v>676</v>
      </c>
      <c r="F34" s="104">
        <f>+D33-F33</f>
        <v>372240.62000000011</v>
      </c>
    </row>
    <row r="36" spans="1:6" ht="30" customHeight="1">
      <c r="B36" s="409" t="s">
        <v>500</v>
      </c>
      <c r="C36" s="409"/>
      <c r="D36" s="409"/>
      <c r="E36" s="409"/>
      <c r="F36" s="409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2E3B-D9C9-4DBB-BE65-23B41FBB6C7A}">
  <sheetPr>
    <pageSetUpPr fitToPage="1"/>
  </sheetPr>
  <dimension ref="A1:R46"/>
  <sheetViews>
    <sheetView view="pageBreakPreview" zoomScale="72" zoomScaleNormal="75" zoomScaleSheetLayoutView="75" workbookViewId="0">
      <selection activeCell="H23" sqref="H23"/>
    </sheetView>
  </sheetViews>
  <sheetFormatPr defaultColWidth="9.140625" defaultRowHeight="14.25"/>
  <cols>
    <col min="1" max="1" width="8" style="170" bestFit="1" customWidth="1"/>
    <col min="2" max="2" width="37" style="170" bestFit="1" customWidth="1"/>
    <col min="3" max="3" width="14.5703125" style="170" customWidth="1"/>
    <col min="4" max="4" width="19.28515625" style="187" customWidth="1"/>
    <col min="5" max="5" width="15.28515625" style="170" customWidth="1"/>
    <col min="6" max="6" width="13.140625" style="170" customWidth="1"/>
    <col min="7" max="7" width="14.28515625" style="170" customWidth="1"/>
    <col min="8" max="8" width="17.5703125" style="170" customWidth="1"/>
    <col min="9" max="9" width="12.5703125" style="170" customWidth="1"/>
    <col min="10" max="10" width="10.5703125" style="170" customWidth="1"/>
    <col min="11" max="11" width="11.140625" style="170" customWidth="1"/>
    <col min="12" max="12" width="13.28515625" style="170" customWidth="1"/>
    <col min="13" max="15" width="9.140625" style="170"/>
    <col min="16" max="16" width="33.140625" style="170" bestFit="1" customWidth="1"/>
    <col min="17" max="17" width="11.28515625" style="170" bestFit="1" customWidth="1"/>
    <col min="18" max="18" width="16.7109375" style="170" customWidth="1"/>
    <col min="19" max="16384" width="9.140625" style="170"/>
  </cols>
  <sheetData>
    <row r="1" spans="1:18" s="2" customFormat="1" ht="15" customHeight="1">
      <c r="D1" s="62" t="s">
        <v>503</v>
      </c>
      <c r="G1" s="27"/>
    </row>
    <row r="2" spans="1:18" s="2" customFormat="1" ht="20.25" customHeight="1">
      <c r="D2" s="39"/>
      <c r="G2" s="27"/>
      <c r="H2" s="27"/>
    </row>
    <row r="3" spans="1:18" s="2" customFormat="1" ht="12.75">
      <c r="D3" s="39"/>
      <c r="G3" s="27"/>
      <c r="H3" s="27"/>
    </row>
    <row r="4" spans="1:18" s="2" customFormat="1" ht="12.75">
      <c r="A4" s="410" t="s">
        <v>0</v>
      </c>
      <c r="B4" s="410"/>
      <c r="C4" s="410"/>
      <c r="D4" s="41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8" s="2" customFormat="1" ht="12.75">
      <c r="A5" s="410" t="str">
        <f>RevReq!A3</f>
        <v>For the 12 Months Ended August 31, 2023</v>
      </c>
      <c r="B5" s="410"/>
      <c r="C5" s="410"/>
      <c r="D5" s="410"/>
      <c r="E5" s="190"/>
      <c r="F5" s="190"/>
      <c r="G5" s="190"/>
      <c r="H5" s="190"/>
      <c r="I5" s="190"/>
      <c r="J5" s="190"/>
      <c r="K5" s="190"/>
      <c r="L5" s="190"/>
    </row>
    <row r="6" spans="1:18" s="2" customFormat="1" ht="12.75">
      <c r="A6" s="4"/>
      <c r="D6" s="39"/>
    </row>
    <row r="7" spans="1:18" s="28" customFormat="1" ht="15" customHeight="1">
      <c r="A7" s="408" t="s">
        <v>505</v>
      </c>
      <c r="B7" s="408"/>
      <c r="C7" s="408"/>
      <c r="D7" s="408"/>
      <c r="E7" s="96"/>
      <c r="F7" s="96"/>
      <c r="G7" s="96"/>
      <c r="H7" s="96"/>
      <c r="I7" s="96"/>
      <c r="J7" s="96"/>
      <c r="K7" s="96"/>
      <c r="L7" s="96"/>
    </row>
    <row r="8" spans="1:18" s="28" customFormat="1" ht="15" customHeight="1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1:18" ht="15">
      <c r="B9" s="297"/>
      <c r="C9" s="297"/>
      <c r="D9" s="381" t="s">
        <v>554</v>
      </c>
      <c r="E9" s="176"/>
      <c r="F9" s="176"/>
      <c r="G9" s="176"/>
      <c r="H9" s="176"/>
      <c r="I9" s="176"/>
      <c r="J9" s="176"/>
      <c r="K9" s="176"/>
      <c r="L9" s="176"/>
    </row>
    <row r="10" spans="1:18" s="171" customFormat="1" ht="15">
      <c r="A10" s="172" t="s">
        <v>7</v>
      </c>
      <c r="B10" s="172" t="s">
        <v>52</v>
      </c>
      <c r="C10" s="172" t="s">
        <v>84</v>
      </c>
      <c r="D10" s="382" t="s">
        <v>489</v>
      </c>
      <c r="E10" s="176"/>
      <c r="F10" s="176"/>
      <c r="G10" s="176"/>
      <c r="H10" s="176"/>
      <c r="I10" s="176"/>
      <c r="J10" s="176"/>
      <c r="K10" s="176"/>
      <c r="L10" s="176"/>
    </row>
    <row r="11" spans="1:18" s="171" customFormat="1" ht="15">
      <c r="A11" s="298" t="s">
        <v>11</v>
      </c>
      <c r="B11" s="30" t="s">
        <v>102</v>
      </c>
      <c r="C11" s="30" t="s">
        <v>103</v>
      </c>
      <c r="D11" s="314" t="s">
        <v>104</v>
      </c>
      <c r="E11" s="176"/>
      <c r="F11" s="176"/>
      <c r="G11" s="176"/>
      <c r="H11" s="176"/>
      <c r="I11" s="176"/>
      <c r="J11" s="176"/>
      <c r="K11" s="176"/>
      <c r="L11" s="176"/>
    </row>
    <row r="12" spans="1:18" ht="15">
      <c r="B12" s="191"/>
      <c r="C12" s="191"/>
      <c r="D12" s="383"/>
      <c r="E12" s="176"/>
      <c r="F12" s="176"/>
      <c r="G12" s="176"/>
      <c r="H12" s="176"/>
      <c r="I12" s="176"/>
      <c r="J12" s="176"/>
      <c r="K12" s="176"/>
      <c r="L12" s="176"/>
      <c r="Q12" s="235"/>
      <c r="R12" s="173"/>
    </row>
    <row r="13" spans="1:18" ht="15">
      <c r="A13" s="189">
        <v>1</v>
      </c>
      <c r="B13" s="170" t="s">
        <v>68</v>
      </c>
      <c r="C13" s="299">
        <v>426.1</v>
      </c>
      <c r="D13" s="384">
        <v>1700</v>
      </c>
      <c r="E13" s="176"/>
      <c r="F13" s="380"/>
      <c r="G13" s="176"/>
      <c r="H13" s="176"/>
      <c r="I13" s="176"/>
      <c r="J13" s="176"/>
      <c r="K13" s="176"/>
      <c r="L13" s="176"/>
      <c r="Q13" s="236"/>
      <c r="R13" s="173"/>
    </row>
    <row r="14" spans="1:18" ht="15">
      <c r="A14" s="189">
        <f>A13+1</f>
        <v>2</v>
      </c>
      <c r="B14" s="170" t="s">
        <v>684</v>
      </c>
      <c r="C14" s="299" t="s">
        <v>685</v>
      </c>
      <c r="D14" s="384">
        <v>4365.63</v>
      </c>
      <c r="E14" s="176"/>
      <c r="F14" s="380"/>
      <c r="G14" s="176"/>
      <c r="H14" s="176"/>
      <c r="I14" s="176"/>
      <c r="J14" s="176"/>
      <c r="K14" s="176"/>
      <c r="L14" s="176"/>
      <c r="Q14" s="236"/>
      <c r="R14" s="173"/>
    </row>
    <row r="15" spans="1:18" ht="15">
      <c r="A15" s="189">
        <f t="shared" ref="A15:A30" si="0">A14+1</f>
        <v>3</v>
      </c>
      <c r="B15" s="170" t="s">
        <v>679</v>
      </c>
      <c r="C15" s="299">
        <v>921</v>
      </c>
      <c r="D15" s="384">
        <v>187514.53</v>
      </c>
      <c r="E15" s="176"/>
      <c r="F15" s="380"/>
      <c r="G15" s="176"/>
      <c r="H15" s="176"/>
      <c r="I15" s="176"/>
      <c r="J15" s="176"/>
      <c r="K15" s="176"/>
      <c r="L15" s="176"/>
      <c r="Q15" s="236"/>
      <c r="R15" s="173"/>
    </row>
    <row r="16" spans="1:18" ht="15">
      <c r="A16" s="189">
        <f t="shared" si="0"/>
        <v>4</v>
      </c>
      <c r="B16" s="170" t="s">
        <v>679</v>
      </c>
      <c r="C16" s="299">
        <v>921.1</v>
      </c>
      <c r="D16" s="384">
        <v>5015.5</v>
      </c>
      <c r="E16" s="176"/>
      <c r="F16" s="380"/>
      <c r="G16" s="176"/>
      <c r="H16" s="176"/>
      <c r="I16" s="176"/>
      <c r="J16" s="176"/>
      <c r="K16" s="176"/>
      <c r="L16" s="176"/>
      <c r="Q16" s="236"/>
      <c r="R16" s="173"/>
    </row>
    <row r="17" spans="1:18" ht="15">
      <c r="A17" s="189">
        <f t="shared" si="0"/>
        <v>5</v>
      </c>
      <c r="B17" s="170" t="s">
        <v>686</v>
      </c>
      <c r="C17" s="299">
        <v>925</v>
      </c>
      <c r="D17" s="384">
        <v>286.16999999999996</v>
      </c>
      <c r="E17" s="176"/>
      <c r="F17" s="380"/>
      <c r="G17" s="176"/>
      <c r="H17" s="176"/>
      <c r="I17" s="176"/>
      <c r="J17" s="176"/>
      <c r="K17" s="176"/>
      <c r="L17" s="176"/>
      <c r="Q17" s="236"/>
      <c r="R17" s="173"/>
    </row>
    <row r="18" spans="1:18" ht="15">
      <c r="A18" s="189">
        <f t="shared" si="0"/>
        <v>6</v>
      </c>
      <c r="B18" s="170" t="str">
        <f>B15</f>
        <v>Donations/Employee Events/Misc</v>
      </c>
      <c r="C18" s="299">
        <v>930.41</v>
      </c>
      <c r="D18" s="384">
        <v>3104.92</v>
      </c>
      <c r="E18" s="176"/>
      <c r="F18" s="380"/>
      <c r="G18" s="176"/>
      <c r="H18" s="176"/>
      <c r="I18" s="176"/>
      <c r="J18" s="176"/>
      <c r="K18" s="176"/>
      <c r="L18" s="176"/>
      <c r="Q18" s="236"/>
      <c r="R18" s="173"/>
    </row>
    <row r="19" spans="1:18" ht="15">
      <c r="A19" s="189">
        <f t="shared" si="0"/>
        <v>7</v>
      </c>
      <c r="B19" s="170" t="str">
        <f t="shared" ref="B19" si="1">B18</f>
        <v>Donations/Employee Events/Misc</v>
      </c>
      <c r="C19" s="299">
        <v>930.42</v>
      </c>
      <c r="D19" s="384">
        <v>9550</v>
      </c>
      <c r="E19" s="176"/>
      <c r="F19" s="380"/>
      <c r="G19" s="176"/>
      <c r="H19" s="176"/>
      <c r="I19" s="176"/>
      <c r="J19" s="176"/>
      <c r="K19" s="176"/>
      <c r="L19" s="176"/>
      <c r="Q19" s="236"/>
      <c r="R19" s="173"/>
    </row>
    <row r="20" spans="1:18" ht="15">
      <c r="A20" s="189">
        <f t="shared" si="0"/>
        <v>8</v>
      </c>
      <c r="B20" s="170" t="s">
        <v>687</v>
      </c>
      <c r="C20" s="299">
        <v>923</v>
      </c>
      <c r="D20" s="384">
        <v>12716.08</v>
      </c>
      <c r="E20" s="176"/>
      <c r="F20" s="380"/>
      <c r="G20" s="176"/>
      <c r="H20" s="176"/>
      <c r="I20" s="176"/>
      <c r="J20" s="176"/>
      <c r="K20" s="176"/>
      <c r="L20" s="176"/>
      <c r="Q20" s="236"/>
      <c r="R20" s="173"/>
    </row>
    <row r="21" spans="1:18" ht="15">
      <c r="A21" s="189">
        <f t="shared" si="0"/>
        <v>9</v>
      </c>
      <c r="B21" s="170" t="s">
        <v>678</v>
      </c>
      <c r="C21" s="299">
        <v>930.22</v>
      </c>
      <c r="D21" s="384">
        <v>25556.210000000003</v>
      </c>
      <c r="E21" s="176"/>
      <c r="F21" s="380"/>
      <c r="G21" s="176"/>
      <c r="H21" s="176"/>
      <c r="I21" s="176"/>
      <c r="J21" s="176"/>
      <c r="K21" s="176"/>
      <c r="L21" s="176"/>
      <c r="Q21" s="236"/>
      <c r="R21" s="173"/>
    </row>
    <row r="22" spans="1:18" ht="15">
      <c r="A22" s="189">
        <f t="shared" si="0"/>
        <v>10</v>
      </c>
      <c r="B22" s="170" t="s">
        <v>680</v>
      </c>
      <c r="C22" s="299">
        <v>930.2</v>
      </c>
      <c r="D22" s="384">
        <v>6203.46</v>
      </c>
      <c r="E22" s="176"/>
      <c r="F22" s="380"/>
      <c r="G22" s="176"/>
      <c r="H22" s="176"/>
      <c r="I22" s="176"/>
      <c r="J22" s="176"/>
      <c r="K22" s="176"/>
      <c r="L22" s="176"/>
      <c r="Q22" s="236"/>
      <c r="R22" s="173"/>
    </row>
    <row r="23" spans="1:18" ht="15">
      <c r="A23" s="189">
        <f t="shared" si="0"/>
        <v>11</v>
      </c>
      <c r="B23" s="170" t="s">
        <v>683</v>
      </c>
      <c r="C23" s="299">
        <v>930.20699999999999</v>
      </c>
      <c r="D23" s="384">
        <v>50973.22</v>
      </c>
      <c r="E23" s="176"/>
      <c r="F23" s="380"/>
      <c r="G23" s="176"/>
      <c r="H23" s="176"/>
      <c r="I23" s="176"/>
      <c r="J23" s="176"/>
      <c r="K23" s="176"/>
      <c r="L23" s="176"/>
      <c r="Q23" s="236"/>
      <c r="R23" s="173"/>
    </row>
    <row r="24" spans="1:18" ht="15">
      <c r="A24" s="189">
        <f t="shared" si="0"/>
        <v>12</v>
      </c>
      <c r="B24" s="170" t="s">
        <v>688</v>
      </c>
      <c r="C24" s="299">
        <v>930.3</v>
      </c>
      <c r="D24" s="384">
        <v>14312.83</v>
      </c>
      <c r="E24" s="176"/>
      <c r="F24" s="380"/>
      <c r="G24" s="176"/>
      <c r="H24" s="176"/>
      <c r="I24" s="176"/>
      <c r="J24" s="176"/>
      <c r="K24" s="176"/>
      <c r="L24" s="176"/>
      <c r="Q24" s="236"/>
      <c r="R24" s="173"/>
    </row>
    <row r="25" spans="1:18" ht="15">
      <c r="A25" s="189">
        <f t="shared" si="0"/>
        <v>13</v>
      </c>
      <c r="B25" s="170" t="s">
        <v>69</v>
      </c>
      <c r="C25" s="299">
        <v>930.2</v>
      </c>
      <c r="D25" s="384">
        <v>43510</v>
      </c>
      <c r="E25" s="176"/>
      <c r="F25" s="380"/>
      <c r="G25" s="176"/>
      <c r="H25" s="176"/>
      <c r="I25" s="176"/>
      <c r="J25" s="176"/>
      <c r="K25" s="176"/>
      <c r="L25" s="176"/>
      <c r="Q25" s="236"/>
      <c r="R25" s="173"/>
    </row>
    <row r="26" spans="1:18" ht="15">
      <c r="A26" s="189">
        <f t="shared" si="0"/>
        <v>14</v>
      </c>
      <c r="B26" s="170" t="s">
        <v>681</v>
      </c>
      <c r="C26" s="299" t="s">
        <v>682</v>
      </c>
      <c r="D26" s="384">
        <v>5284.2</v>
      </c>
      <c r="E26" s="176"/>
      <c r="F26" s="380"/>
      <c r="G26" s="176"/>
      <c r="H26" s="176"/>
      <c r="I26" s="176"/>
      <c r="J26" s="176"/>
      <c r="K26" s="176"/>
      <c r="L26" s="176"/>
      <c r="Q26" s="236"/>
      <c r="R26" s="173"/>
    </row>
    <row r="27" spans="1:18" ht="15">
      <c r="A27" s="189">
        <f t="shared" si="0"/>
        <v>15</v>
      </c>
      <c r="B27" s="170" t="str">
        <f>B26</f>
        <v>Other dues</v>
      </c>
      <c r="C27" s="299">
        <v>930.2</v>
      </c>
      <c r="D27" s="384">
        <v>64991.7</v>
      </c>
      <c r="E27" s="176"/>
      <c r="F27" s="380"/>
      <c r="G27" s="176"/>
      <c r="H27" s="176"/>
      <c r="I27" s="176"/>
      <c r="J27" s="176"/>
      <c r="K27" s="176"/>
      <c r="L27" s="176"/>
      <c r="Q27" s="236"/>
      <c r="R27" s="173"/>
    </row>
    <row r="28" spans="1:18" ht="15">
      <c r="A28" s="189">
        <f t="shared" si="0"/>
        <v>16</v>
      </c>
      <c r="B28" s="170" t="s">
        <v>552</v>
      </c>
      <c r="C28" s="299">
        <v>930.20799999999997</v>
      </c>
      <c r="D28" s="384">
        <v>11000</v>
      </c>
      <c r="E28" s="176"/>
      <c r="F28" s="380"/>
      <c r="G28" s="176"/>
      <c r="H28" s="176"/>
      <c r="I28" s="176"/>
      <c r="J28" s="176"/>
      <c r="K28" s="176"/>
      <c r="L28" s="176"/>
      <c r="Q28" s="236"/>
      <c r="R28" s="173"/>
    </row>
    <row r="29" spans="1:18" ht="15">
      <c r="A29" s="189">
        <f t="shared" si="0"/>
        <v>17</v>
      </c>
      <c r="B29" s="170" t="s">
        <v>553</v>
      </c>
      <c r="C29" s="299">
        <v>930.20899999999995</v>
      </c>
      <c r="D29" s="384">
        <v>9581.16</v>
      </c>
      <c r="E29" s="178"/>
      <c r="F29" s="380"/>
      <c r="G29" s="178"/>
      <c r="H29" s="178"/>
      <c r="I29" s="178"/>
      <c r="J29" s="178"/>
      <c r="K29" s="178"/>
      <c r="R29" s="174"/>
    </row>
    <row r="30" spans="1:18" s="239" customFormat="1" ht="31.15" customHeight="1">
      <c r="A30" s="237">
        <f t="shared" si="0"/>
        <v>18</v>
      </c>
      <c r="B30" s="238" t="s">
        <v>57</v>
      </c>
      <c r="C30" s="238"/>
      <c r="D30" s="385">
        <f>SUM(D13:D29)</f>
        <v>455665.61</v>
      </c>
      <c r="F30" s="380"/>
    </row>
    <row r="31" spans="1:18">
      <c r="B31" s="178"/>
      <c r="C31" s="178"/>
      <c r="D31" s="386"/>
      <c r="E31" s="178"/>
      <c r="F31" s="178"/>
      <c r="G31" s="178"/>
      <c r="H31" s="178"/>
      <c r="I31" s="178"/>
      <c r="J31" s="178"/>
      <c r="K31" s="178"/>
    </row>
    <row r="32" spans="1:18" ht="46.15" customHeight="1">
      <c r="B32" s="411" t="s">
        <v>506</v>
      </c>
      <c r="C32" s="411"/>
      <c r="D32" s="411"/>
      <c r="E32" s="178"/>
      <c r="F32" s="178"/>
      <c r="G32" s="178"/>
      <c r="H32" s="178"/>
      <c r="I32" s="178"/>
      <c r="J32" s="178"/>
      <c r="K32" s="178"/>
    </row>
    <row r="33" spans="2:11">
      <c r="B33" s="178"/>
      <c r="C33" s="178"/>
      <c r="D33" s="386"/>
      <c r="E33" s="178"/>
      <c r="F33" s="178"/>
      <c r="G33" s="178"/>
      <c r="H33" s="178"/>
      <c r="I33" s="178"/>
      <c r="J33" s="178"/>
      <c r="K33" s="178"/>
    </row>
    <row r="34" spans="2:11">
      <c r="E34" s="178"/>
      <c r="F34" s="178"/>
      <c r="G34" s="178"/>
      <c r="H34" s="178"/>
      <c r="I34" s="178"/>
      <c r="J34" s="178"/>
      <c r="K34" s="178"/>
    </row>
    <row r="35" spans="2:11">
      <c r="B35" s="178"/>
      <c r="C35" s="178"/>
      <c r="D35" s="386"/>
      <c r="E35" s="178"/>
      <c r="F35" s="178"/>
      <c r="G35" s="178"/>
      <c r="H35" s="178"/>
      <c r="I35" s="178"/>
      <c r="J35" s="178"/>
      <c r="K35" s="178"/>
    </row>
    <row r="36" spans="2:11">
      <c r="B36" s="178"/>
      <c r="C36" s="178"/>
      <c r="D36" s="386"/>
    </row>
    <row r="37" spans="2:11">
      <c r="B37" s="178"/>
      <c r="C37" s="178"/>
      <c r="D37" s="386"/>
    </row>
    <row r="38" spans="2:11">
      <c r="B38" s="178"/>
      <c r="C38" s="178"/>
      <c r="D38" s="386"/>
    </row>
    <row r="39" spans="2:11">
      <c r="B39" s="178"/>
      <c r="C39" s="178"/>
      <c r="D39" s="386"/>
    </row>
    <row r="40" spans="2:11">
      <c r="B40" s="178"/>
      <c r="C40" s="178"/>
      <c r="D40" s="386"/>
    </row>
    <row r="41" spans="2:11">
      <c r="B41" s="178"/>
      <c r="C41" s="178"/>
      <c r="D41" s="386"/>
    </row>
    <row r="42" spans="2:11">
      <c r="B42" s="178"/>
      <c r="C42" s="178"/>
      <c r="D42" s="386"/>
    </row>
    <row r="43" spans="2:11">
      <c r="B43" s="178"/>
      <c r="C43" s="178"/>
      <c r="D43" s="386"/>
    </row>
    <row r="44" spans="2:11">
      <c r="B44" s="178"/>
      <c r="C44" s="178"/>
      <c r="D44" s="386"/>
    </row>
    <row r="45" spans="2:11">
      <c r="B45" s="178"/>
    </row>
    <row r="46" spans="2:11">
      <c r="B46" s="178"/>
    </row>
  </sheetData>
  <mergeCells count="4">
    <mergeCell ref="A4:D4"/>
    <mergeCell ref="A7:D7"/>
    <mergeCell ref="B32:D32"/>
    <mergeCell ref="A5:D5"/>
  </mergeCells>
  <printOptions horizontalCentered="1"/>
  <pageMargins left="0.7" right="0.7" top="0.75" bottom="0.75" header="0.3" footer="0.3"/>
  <pageSetup scale="99" orientation="landscape" r:id="rId1"/>
  <headerFooter>
    <oddFooter>&amp;RExhibit JW-2
Page &amp;P of &amp;N</oddFooter>
  </headerFooter>
  <ignoredErrors>
    <ignoredError sqref="B11: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25</vt:i4>
      </vt:variant>
    </vt:vector>
  </HeadingPairs>
  <TitlesOfParts>
    <vt:vector size="47" baseType="lpstr">
      <vt:lpstr>RevReq</vt:lpstr>
      <vt:lpstr>Adj List</vt:lpstr>
      <vt:lpstr>Adj BS</vt:lpstr>
      <vt:lpstr>Adj IS</vt:lpstr>
      <vt:lpstr>1.01 FAC</vt:lpstr>
      <vt:lpstr>1.02 ES</vt:lpstr>
      <vt:lpstr>1.03 MRSM</vt:lpstr>
      <vt:lpstr>1.04 NonFACPPA</vt:lpstr>
      <vt:lpstr>1.05 DonaAdsDues</vt:lpstr>
      <vt:lpstr>1.06 401k</vt:lpstr>
      <vt:lpstr>1.07 LifeInsur</vt:lpstr>
      <vt:lpstr>1.08 RC</vt:lpstr>
      <vt:lpstr>1.09 Int Exp</vt:lpstr>
      <vt:lpstr>1.10 YearEndCust</vt:lpstr>
      <vt:lpstr>1.11 Wages and Salaries</vt:lpstr>
      <vt:lpstr>1.12 Depr</vt:lpstr>
      <vt:lpstr>1.13 Dir</vt:lpstr>
      <vt:lpstr>1.14 Right of Way</vt:lpstr>
      <vt:lpstr>1.15 Healthcare</vt:lpstr>
      <vt:lpstr>1.16 Retirement</vt:lpstr>
      <vt:lpstr>1.xx Wages</vt:lpstr>
      <vt:lpstr>1.xx Health</vt:lpstr>
      <vt:lpstr>'1.01 FAC'!Print_Area</vt:lpstr>
      <vt:lpstr>'1.02 ES'!Print_Area</vt:lpstr>
      <vt:lpstr>'1.03 MRSM'!Print_Area</vt:lpstr>
      <vt:lpstr>'1.04 NonFACPPA'!Print_Area</vt:lpstr>
      <vt:lpstr>'1.05 DonaAdsDues'!Print_Area</vt:lpstr>
      <vt:lpstr>'1.06 401k'!Print_Area</vt:lpstr>
      <vt:lpstr>'1.07 LifeInsur'!Print_Area</vt:lpstr>
      <vt:lpstr>'1.08 RC'!Print_Area</vt:lpstr>
      <vt:lpstr>'1.09 Int Exp'!Print_Area</vt:lpstr>
      <vt:lpstr>'1.10 YearEndCust'!Print_Area</vt:lpstr>
      <vt:lpstr>'1.11 Wages and Salaries'!Print_Area</vt:lpstr>
      <vt:lpstr>'1.12 Depr'!Print_Area</vt:lpstr>
      <vt:lpstr>'1.13 Dir'!Print_Area</vt:lpstr>
      <vt:lpstr>'1.14 Right of Way'!Print_Area</vt:lpstr>
      <vt:lpstr>'1.15 Healthcare'!Print_Area</vt:lpstr>
      <vt:lpstr>'1.16 Retirement'!Print_Area</vt:lpstr>
      <vt:lpstr>'1.xx Health'!Print_Area</vt:lpstr>
      <vt:lpstr>'1.xx Wages'!Print_Area</vt:lpstr>
      <vt:lpstr>'Adj BS'!Print_Area</vt:lpstr>
      <vt:lpstr>'Adj IS'!Print_Area</vt:lpstr>
      <vt:lpstr>'Adj List'!Print_Area</vt:lpstr>
      <vt:lpstr>RevReq!Print_Area</vt:lpstr>
      <vt:lpstr>'1.07 LifeInsur'!Print_Titles</vt:lpstr>
      <vt:lpstr>'1.10 YearEndCust'!Print_Titles</vt:lpstr>
      <vt:lpstr>'1.xx Wages'!Print_Titles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2024-04-18T16:27:51Z</cp:lastPrinted>
  <dcterms:created xsi:type="dcterms:W3CDTF">2019-01-18T23:17:06Z</dcterms:created>
  <dcterms:modified xsi:type="dcterms:W3CDTF">2024-12-07T18:51:47Z</dcterms:modified>
</cp:coreProperties>
</file>