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43" documentId="8_{020FF233-9DEF-4D67-8E2E-B1E144CF9616}" xr6:coauthVersionLast="47" xr6:coauthVersionMax="47" xr10:uidLastSave="{C9AA4D68-9495-4983-82B5-A2B29D1F535D}"/>
  <bookViews>
    <workbookView xWindow="-108" yWindow="-108" windowWidth="23256" windowHeight="12456" tabRatio="741" activeTab="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Returns'!$A$1:$O$650</definedName>
    <definedName name="_xlnm.Print_Area" localSheetId="4">'Billing Det'!$A$1:$T$201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Power'!$A$1:$O$60</definedName>
    <definedName name="_xlnm.Print_Area" localSheetId="7">Services!$A$1:$G$33</definedName>
    <definedName name="_xlnm.Print_Area" localSheetId="1">'Summary of Rates'!$A$1:$F$13</definedName>
    <definedName name="_xlnm.Print_Area" localSheetId="0">'Summary of Returns'!$A$1:$H$48</definedName>
    <definedName name="_xlnm.Print_Area" localSheetId="9">ZeroInt!$A$1:$M$166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2" l="1"/>
  <c r="E514" i="2"/>
  <c r="AI378" i="2"/>
  <c r="E362" i="2" l="1"/>
  <c r="E331" i="2" l="1"/>
  <c r="E330" i="2"/>
  <c r="D56" i="16"/>
  <c r="E56" i="16"/>
  <c r="F56" i="16"/>
  <c r="G56" i="16"/>
  <c r="H56" i="16"/>
  <c r="I56" i="16"/>
  <c r="J56" i="16"/>
  <c r="K56" i="16"/>
  <c r="L56" i="16"/>
  <c r="M56" i="16"/>
  <c r="N56" i="16"/>
  <c r="C56" i="16"/>
  <c r="A54" i="16"/>
  <c r="A55" i="16" s="1"/>
  <c r="A56" i="16" s="1"/>
  <c r="A57" i="16" s="1"/>
  <c r="A58" i="16" s="1"/>
  <c r="A59" i="16" s="1"/>
  <c r="A60" i="16" s="1"/>
  <c r="AJ355" i="2" l="1"/>
  <c r="L348" i="2"/>
  <c r="K348" i="2" l="1"/>
  <c r="E341" i="2"/>
  <c r="E358" i="2"/>
  <c r="AI359" i="2"/>
  <c r="AI360" i="2" s="1"/>
  <c r="AI342" i="2"/>
  <c r="AI343" i="2" s="1"/>
  <c r="AI344" i="2" s="1"/>
  <c r="AI346" i="2" s="1"/>
  <c r="F346" i="2" s="1"/>
  <c r="E343" i="2" l="1"/>
  <c r="E344" i="2"/>
  <c r="E346" i="2"/>
  <c r="G346" i="2"/>
  <c r="H346" i="2"/>
  <c r="I346" i="2"/>
  <c r="E342" i="2"/>
  <c r="AI361" i="2"/>
  <c r="E360" i="2"/>
  <c r="E359" i="2"/>
  <c r="AI362" i="2" l="1"/>
  <c r="E361" i="2"/>
  <c r="AI363" i="2" l="1"/>
  <c r="AI364" i="2" l="1"/>
  <c r="E363" i="2"/>
  <c r="AI365" i="2" l="1"/>
  <c r="E364" i="2"/>
  <c r="AI366" i="2" l="1"/>
  <c r="AI367" i="2" s="1"/>
  <c r="AI368" i="2" s="1"/>
  <c r="AI369" i="2" l="1"/>
  <c r="I368" i="2"/>
  <c r="H368" i="2"/>
  <c r="G368" i="2"/>
  <c r="F368" i="2"/>
  <c r="E368" i="2"/>
  <c r="AI370" i="2" l="1"/>
  <c r="E369" i="2"/>
  <c r="AI371" i="2" l="1"/>
  <c r="E370" i="2"/>
  <c r="AI372" i="2" l="1"/>
  <c r="AI373" i="2" s="1"/>
  <c r="AI374" i="2" s="1"/>
  <c r="AI375" i="2" s="1"/>
  <c r="E375" i="2" s="1"/>
  <c r="E371" i="2"/>
  <c r="AI376" i="2" l="1"/>
  <c r="AI377" i="2" s="1"/>
  <c r="AI379" i="2" l="1"/>
  <c r="AI380" i="2" s="1"/>
  <c r="AI381" i="2" s="1"/>
  <c r="E377" i="2"/>
  <c r="I348" i="2" l="1"/>
  <c r="H348" i="2"/>
  <c r="G348" i="2"/>
  <c r="F348" i="2"/>
  <c r="E348" i="2"/>
  <c r="D57" i="16" l="1"/>
  <c r="E57" i="16"/>
  <c r="F57" i="16"/>
  <c r="G57" i="16"/>
  <c r="H57" i="16"/>
  <c r="I57" i="16"/>
  <c r="J57" i="16"/>
  <c r="K57" i="16"/>
  <c r="L57" i="16"/>
  <c r="M57" i="16"/>
  <c r="N57" i="16"/>
  <c r="D58" i="16"/>
  <c r="E58" i="16"/>
  <c r="F58" i="16"/>
  <c r="G58" i="16"/>
  <c r="H58" i="16"/>
  <c r="I58" i="16"/>
  <c r="J58" i="16"/>
  <c r="K58" i="16"/>
  <c r="L58" i="16"/>
  <c r="M58" i="16"/>
  <c r="N58" i="16"/>
  <c r="D59" i="16"/>
  <c r="E59" i="16"/>
  <c r="F59" i="16"/>
  <c r="G59" i="16"/>
  <c r="H59" i="16"/>
  <c r="I59" i="16"/>
  <c r="J59" i="16"/>
  <c r="K59" i="16"/>
  <c r="L59" i="16"/>
  <c r="M59" i="16"/>
  <c r="N59" i="16"/>
  <c r="D60" i="16"/>
  <c r="E60" i="16"/>
  <c r="F60" i="16"/>
  <c r="G60" i="16"/>
  <c r="H60" i="16"/>
  <c r="I60" i="16"/>
  <c r="J60" i="16"/>
  <c r="K60" i="16"/>
  <c r="L60" i="16"/>
  <c r="M60" i="16"/>
  <c r="N60" i="16"/>
  <c r="C60" i="16"/>
  <c r="C59" i="16"/>
  <c r="C58" i="16"/>
  <c r="C57" i="16"/>
  <c r="M146" i="18" l="1"/>
  <c r="L146" i="18"/>
  <c r="J146" i="18"/>
  <c r="I146" i="18"/>
  <c r="F146" i="18"/>
  <c r="H146" i="18" s="1"/>
  <c r="L140" i="18"/>
  <c r="M140" i="18" s="1"/>
  <c r="J140" i="18"/>
  <c r="I140" i="18"/>
  <c r="F140" i="18"/>
  <c r="H140" i="18" s="1"/>
  <c r="H64" i="15" l="1"/>
  <c r="I64" i="15"/>
  <c r="J64" i="15"/>
  <c r="K64" i="15"/>
  <c r="L64" i="15"/>
  <c r="M64" i="15"/>
  <c r="N64" i="15"/>
  <c r="G64" i="15"/>
  <c r="E11" i="9" l="1"/>
  <c r="C81" i="15" l="1"/>
  <c r="C86" i="15" l="1"/>
  <c r="C82" i="15" s="1"/>
  <c r="C83" i="15" s="1"/>
  <c r="C85" i="15" s="1"/>
  <c r="F456" i="1" l="1"/>
  <c r="F448" i="1"/>
  <c r="F421" i="1"/>
  <c r="F408" i="1"/>
  <c r="F407" i="1"/>
  <c r="F404" i="1"/>
  <c r="F403" i="1"/>
  <c r="F391" i="1"/>
  <c r="F388" i="1"/>
  <c r="F385" i="1"/>
  <c r="F384" i="1"/>
  <c r="D26" i="16" l="1"/>
  <c r="E26" i="16"/>
  <c r="F26" i="16"/>
  <c r="G26" i="16"/>
  <c r="H26" i="16"/>
  <c r="I26" i="16"/>
  <c r="J26" i="16"/>
  <c r="K26" i="16"/>
  <c r="L26" i="16"/>
  <c r="M26" i="16"/>
  <c r="N26" i="16"/>
  <c r="C26" i="16"/>
  <c r="O25" i="16"/>
  <c r="O34" i="16"/>
  <c r="O35" i="16"/>
  <c r="O36" i="16"/>
  <c r="O37" i="16"/>
  <c r="O38" i="16"/>
  <c r="E12" i="9" l="1"/>
  <c r="E349" i="2" l="1"/>
  <c r="K11" i="4"/>
  <c r="K12" i="4"/>
  <c r="K13" i="4"/>
  <c r="K15" i="4"/>
  <c r="K10" i="4"/>
  <c r="J429" i="2" l="1"/>
  <c r="E429" i="2"/>
  <c r="F345" i="2" l="1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1" i="15"/>
  <c r="N117" i="15" s="1"/>
  <c r="M111" i="15"/>
  <c r="M117" i="15" s="1"/>
  <c r="L111" i="15"/>
  <c r="L117" i="15" s="1"/>
  <c r="K111" i="15"/>
  <c r="K117" i="15" s="1"/>
  <c r="J111" i="15"/>
  <c r="J117" i="15" s="1"/>
  <c r="I111" i="15"/>
  <c r="I117" i="15" s="1"/>
  <c r="H111" i="15"/>
  <c r="H117" i="15" s="1"/>
  <c r="G111" i="15"/>
  <c r="G117" i="15" s="1"/>
  <c r="F111" i="15"/>
  <c r="F117" i="15" s="1"/>
  <c r="E111" i="15"/>
  <c r="E117" i="15" s="1"/>
  <c r="D111" i="15"/>
  <c r="D117" i="15" s="1"/>
  <c r="C111" i="15"/>
  <c r="C117" i="15" s="1"/>
  <c r="E106" i="15"/>
  <c r="F106" i="15" s="1"/>
  <c r="D106" i="15"/>
  <c r="E102" i="15"/>
  <c r="F102" i="15" s="1"/>
  <c r="G102" i="15" s="1"/>
  <c r="H102" i="15" s="1"/>
  <c r="I102" i="15" s="1"/>
  <c r="D102" i="15"/>
  <c r="N101" i="15"/>
  <c r="M101" i="15"/>
  <c r="L101" i="15"/>
  <c r="K101" i="15"/>
  <c r="J101" i="15"/>
  <c r="I101" i="15"/>
  <c r="H101" i="15"/>
  <c r="H103" i="15" s="1"/>
  <c r="H105" i="15" s="1"/>
  <c r="G101" i="15"/>
  <c r="G103" i="15" s="1"/>
  <c r="G105" i="15" s="1"/>
  <c r="F101" i="15"/>
  <c r="F103" i="15" s="1"/>
  <c r="F105" i="15" s="1"/>
  <c r="E101" i="15"/>
  <c r="E107" i="15" s="1"/>
  <c r="D101" i="15"/>
  <c r="D107" i="15" s="1"/>
  <c r="C101" i="15"/>
  <c r="C107" i="15" s="1"/>
  <c r="D103" i="15" l="1"/>
  <c r="D105" i="15" s="1"/>
  <c r="F107" i="15"/>
  <c r="G106" i="15"/>
  <c r="J102" i="15"/>
  <c r="I103" i="15"/>
  <c r="I105" i="15" s="1"/>
  <c r="C103" i="15"/>
  <c r="C105" i="15" s="1"/>
  <c r="E103" i="15"/>
  <c r="E105" i="15" s="1"/>
  <c r="K102" i="15" l="1"/>
  <c r="J103" i="15"/>
  <c r="J105" i="15" s="1"/>
  <c r="H106" i="15"/>
  <c r="G107" i="15"/>
  <c r="I106" i="15" l="1"/>
  <c r="H107" i="15"/>
  <c r="L102" i="15"/>
  <c r="K103" i="15"/>
  <c r="K105" i="15" s="1"/>
  <c r="J106" i="15" l="1"/>
  <c r="I107" i="15"/>
  <c r="L103" i="15"/>
  <c r="L105" i="15" s="1"/>
  <c r="M102" i="15"/>
  <c r="N102" i="15" l="1"/>
  <c r="N103" i="15" s="1"/>
  <c r="N105" i="15" s="1"/>
  <c r="M103" i="15"/>
  <c r="M105" i="15" s="1"/>
  <c r="K106" i="15"/>
  <c r="J107" i="15"/>
  <c r="L106" i="15" l="1"/>
  <c r="K107" i="15"/>
  <c r="M106" i="15" l="1"/>
  <c r="L107" i="15"/>
  <c r="N106" i="15" l="1"/>
  <c r="N107" i="15" s="1"/>
  <c r="M107" i="15"/>
  <c r="C13" i="15" l="1"/>
  <c r="C12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L9" i="15" s="1"/>
  <c r="B10" i="15"/>
  <c r="L10" i="15" s="1"/>
  <c r="B11" i="15"/>
  <c r="L11" i="15" s="1"/>
  <c r="B12" i="15"/>
  <c r="L12" i="15" s="1"/>
  <c r="B13" i="15"/>
  <c r="L13" i="15" s="1"/>
  <c r="B14" i="15"/>
  <c r="L14" i="15" s="1"/>
  <c r="B15" i="15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O52" i="16"/>
  <c r="O22" i="16" l="1"/>
  <c r="L115" i="18" l="1"/>
  <c r="M115" i="18" s="1"/>
  <c r="J115" i="18"/>
  <c r="I115" i="18"/>
  <c r="F115" i="18"/>
  <c r="H115" i="18" s="1"/>
  <c r="L145" i="18"/>
  <c r="M145" i="18" s="1"/>
  <c r="J145" i="18"/>
  <c r="I145" i="18"/>
  <c r="F145" i="18"/>
  <c r="H145" i="18" s="1"/>
  <c r="H173" i="18" l="1"/>
  <c r="H172" i="18"/>
  <c r="H171" i="18"/>
  <c r="N91" i="15"/>
  <c r="M91" i="15"/>
  <c r="L91" i="15"/>
  <c r="K91" i="15"/>
  <c r="J91" i="15"/>
  <c r="I91" i="15"/>
  <c r="H91" i="15"/>
  <c r="G91" i="15"/>
  <c r="F91" i="15"/>
  <c r="E91" i="15"/>
  <c r="D91" i="15"/>
  <c r="C91" i="15"/>
  <c r="C96" i="15" s="1"/>
  <c r="N81" i="15"/>
  <c r="N86" i="15" s="1"/>
  <c r="N82" i="15" s="1"/>
  <c r="N83" i="15" s="1"/>
  <c r="N85" i="15" s="1"/>
  <c r="M81" i="15"/>
  <c r="M86" i="15" s="1"/>
  <c r="M82" i="15" s="1"/>
  <c r="M83" i="15" s="1"/>
  <c r="M85" i="15" s="1"/>
  <c r="L81" i="15"/>
  <c r="L86" i="15" s="1"/>
  <c r="L82" i="15" s="1"/>
  <c r="L83" i="15" s="1"/>
  <c r="L85" i="15" s="1"/>
  <c r="K81" i="15"/>
  <c r="K86" i="15" s="1"/>
  <c r="K82" i="15" s="1"/>
  <c r="K83" i="15" s="1"/>
  <c r="K85" i="15" s="1"/>
  <c r="J81" i="15"/>
  <c r="J86" i="15" s="1"/>
  <c r="J82" i="15" s="1"/>
  <c r="J83" i="15" s="1"/>
  <c r="J85" i="15" s="1"/>
  <c r="I81" i="15"/>
  <c r="I86" i="15" s="1"/>
  <c r="I82" i="15" s="1"/>
  <c r="I83" i="15" s="1"/>
  <c r="I85" i="15" s="1"/>
  <c r="H81" i="15"/>
  <c r="H86" i="15" s="1"/>
  <c r="H82" i="15" s="1"/>
  <c r="H83" i="15" s="1"/>
  <c r="H85" i="15" s="1"/>
  <c r="G81" i="15"/>
  <c r="G86" i="15" s="1"/>
  <c r="G82" i="15" s="1"/>
  <c r="G83" i="15" s="1"/>
  <c r="G85" i="15" s="1"/>
  <c r="F81" i="15"/>
  <c r="F86" i="15" s="1"/>
  <c r="F82" i="15" s="1"/>
  <c r="F83" i="15" s="1"/>
  <c r="F85" i="15" s="1"/>
  <c r="E81" i="15"/>
  <c r="E86" i="15" s="1"/>
  <c r="E82" i="15" s="1"/>
  <c r="E83" i="15" s="1"/>
  <c r="E85" i="15" s="1"/>
  <c r="D81" i="15"/>
  <c r="D86" i="15" s="1"/>
  <c r="D82" i="15" s="1"/>
  <c r="D83" i="15" s="1"/>
  <c r="D85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I41" i="15"/>
  <c r="H41" i="15"/>
  <c r="D41" i="15"/>
  <c r="C41" i="15"/>
  <c r="S513" i="2" l="1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AG346" i="2"/>
  <c r="L114" i="18" l="1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M139" i="18" s="1"/>
  <c r="L141" i="18"/>
  <c r="L142" i="18"/>
  <c r="M142" i="18" s="1"/>
  <c r="L143" i="18"/>
  <c r="M143" i="18" s="1"/>
  <c r="L144" i="18"/>
  <c r="M144" i="18" s="1"/>
  <c r="L147" i="18"/>
  <c r="L113" i="18"/>
  <c r="J144" i="18"/>
  <c r="I144" i="18"/>
  <c r="F144" i="18"/>
  <c r="H144" i="18" s="1"/>
  <c r="J143" i="18"/>
  <c r="I143" i="18"/>
  <c r="F143" i="18"/>
  <c r="H143" i="18" s="1"/>
  <c r="J142" i="18"/>
  <c r="I142" i="18"/>
  <c r="F142" i="18"/>
  <c r="H142" i="18" s="1"/>
  <c r="M141" i="18"/>
  <c r="J141" i="18"/>
  <c r="I141" i="18"/>
  <c r="F141" i="18"/>
  <c r="H141" i="18" s="1"/>
  <c r="J139" i="18"/>
  <c r="I139" i="18"/>
  <c r="F139" i="18"/>
  <c r="H139" i="18" s="1"/>
  <c r="K414" i="2"/>
  <c r="C64" i="15"/>
  <c r="D64" i="15"/>
  <c r="D96" i="15" l="1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E6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2" i="15"/>
  <c r="C93" i="15" s="1"/>
  <c r="C95" i="15" s="1"/>
  <c r="J95" i="15"/>
  <c r="E95" i="15"/>
  <c r="F64" i="15" l="1"/>
  <c r="C67" i="15" l="1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C63" i="15" l="1"/>
  <c r="C65" i="15" s="1"/>
  <c r="C53" i="15"/>
  <c r="C55" i="15" s="1"/>
  <c r="O109" i="15" l="1"/>
  <c r="C15" i="15" s="1"/>
  <c r="O99" i="15"/>
  <c r="C14" i="15" s="1"/>
  <c r="O89" i="15"/>
  <c r="O79" i="15"/>
  <c r="O69" i="15"/>
  <c r="C11" i="15" s="1"/>
  <c r="O59" i="15"/>
  <c r="C10" i="15" s="1"/>
  <c r="O49" i="15"/>
  <c r="C9" i="15" s="1"/>
  <c r="O39" i="15"/>
  <c r="C8" i="15" s="1"/>
  <c r="C85" i="18" l="1"/>
  <c r="J85" i="18" s="1"/>
  <c r="C84" i="18"/>
  <c r="J84" i="18" s="1"/>
  <c r="C83" i="18"/>
  <c r="J83" i="18" s="1"/>
  <c r="I85" i="18"/>
  <c r="F85" i="18"/>
  <c r="H85" i="18" s="1"/>
  <c r="I84" i="18"/>
  <c r="F84" i="18"/>
  <c r="H84" i="18" s="1"/>
  <c r="I83" i="18"/>
  <c r="F83" i="18"/>
  <c r="H83" i="18" s="1"/>
  <c r="J66" i="18"/>
  <c r="I66" i="18"/>
  <c r="F66" i="18"/>
  <c r="J74" i="18"/>
  <c r="I74" i="18"/>
  <c r="F74" i="18"/>
  <c r="H74" i="18" s="1"/>
  <c r="J73" i="18"/>
  <c r="I73" i="18"/>
  <c r="F73" i="18"/>
  <c r="H73" i="18" s="1"/>
  <c r="J72" i="18"/>
  <c r="I72" i="18"/>
  <c r="F72" i="18"/>
  <c r="H72" i="18" s="1"/>
  <c r="J71" i="18"/>
  <c r="I71" i="18"/>
  <c r="F71" i="18"/>
  <c r="H71" i="18" s="1"/>
  <c r="J70" i="18"/>
  <c r="I70" i="18"/>
  <c r="F70" i="18"/>
  <c r="H70" i="18" s="1"/>
  <c r="J69" i="18"/>
  <c r="I69" i="18"/>
  <c r="F69" i="18"/>
  <c r="H69" i="18" s="1"/>
  <c r="J68" i="18"/>
  <c r="I68" i="18"/>
  <c r="F68" i="18"/>
  <c r="H68" i="18" s="1"/>
  <c r="J82" i="18"/>
  <c r="I82" i="18"/>
  <c r="F82" i="18"/>
  <c r="H82" i="18" s="1"/>
  <c r="J81" i="18"/>
  <c r="I81" i="18"/>
  <c r="F81" i="18"/>
  <c r="H81" i="18" s="1"/>
  <c r="J80" i="18"/>
  <c r="I80" i="18"/>
  <c r="F80" i="18"/>
  <c r="H80" i="18" s="1"/>
  <c r="J79" i="18"/>
  <c r="I79" i="18"/>
  <c r="F79" i="18"/>
  <c r="H79" i="18" s="1"/>
  <c r="J78" i="18"/>
  <c r="I78" i="18"/>
  <c r="F78" i="18"/>
  <c r="H78" i="18" s="1"/>
  <c r="J77" i="18"/>
  <c r="I77" i="18"/>
  <c r="F77" i="18"/>
  <c r="H77" i="18" s="1"/>
  <c r="J76" i="18"/>
  <c r="I76" i="18"/>
  <c r="F76" i="18"/>
  <c r="H76" i="18" s="1"/>
  <c r="J75" i="18"/>
  <c r="I75" i="18"/>
  <c r="F75" i="18"/>
  <c r="H75" i="18" s="1"/>
  <c r="J88" i="18"/>
  <c r="I88" i="18"/>
  <c r="F88" i="18"/>
  <c r="H88" i="18" s="1"/>
  <c r="J87" i="18"/>
  <c r="I87" i="18"/>
  <c r="F87" i="18"/>
  <c r="H87" i="18" s="1"/>
  <c r="J86" i="18"/>
  <c r="I86" i="18"/>
  <c r="F86" i="18"/>
  <c r="H86" i="18" s="1"/>
  <c r="J67" i="18"/>
  <c r="I67" i="18"/>
  <c r="F67" i="18"/>
  <c r="H67" i="18" s="1"/>
  <c r="H66" i="18" l="1"/>
  <c r="H18" i="18"/>
  <c r="I18" i="18"/>
  <c r="J18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E41" i="18"/>
  <c r="D51" i="18" s="1"/>
  <c r="D41" i="18"/>
  <c r="D56" i="18" s="1"/>
  <c r="I40" i="18"/>
  <c r="F40" i="18"/>
  <c r="H40" i="18" s="1"/>
  <c r="J40" i="18"/>
  <c r="J39" i="18"/>
  <c r="I39" i="18"/>
  <c r="F39" i="18"/>
  <c r="H39" i="18" s="1"/>
  <c r="J38" i="18"/>
  <c r="I38" i="18"/>
  <c r="F38" i="18"/>
  <c r="H38" i="18" s="1"/>
  <c r="J37" i="18"/>
  <c r="I37" i="18"/>
  <c r="H37" i="18"/>
  <c r="J36" i="18"/>
  <c r="I36" i="18"/>
  <c r="H36" i="18"/>
  <c r="J35" i="18"/>
  <c r="I35" i="18"/>
  <c r="H35" i="18"/>
  <c r="J34" i="18"/>
  <c r="I34" i="18"/>
  <c r="F34" i="18"/>
  <c r="H34" i="18" s="1"/>
  <c r="J33" i="18"/>
  <c r="I33" i="18"/>
  <c r="F33" i="18"/>
  <c r="H33" i="18" s="1"/>
  <c r="J32" i="18"/>
  <c r="I32" i="18"/>
  <c r="H32" i="18"/>
  <c r="J31" i="18"/>
  <c r="I31" i="18"/>
  <c r="H31" i="18"/>
  <c r="J30" i="18"/>
  <c r="I30" i="18"/>
  <c r="H30" i="18"/>
  <c r="J8" i="18"/>
  <c r="I8" i="18"/>
  <c r="F8" i="18"/>
  <c r="D53" i="18" l="1"/>
  <c r="H8" i="18"/>
  <c r="H45" i="18" s="1" a="1"/>
  <c r="H46" i="18" l="1"/>
  <c r="I47" i="18"/>
  <c r="I45" i="18"/>
  <c r="D46" i="18" s="1"/>
  <c r="D52" i="18" s="1"/>
  <c r="D55" i="18" s="1"/>
  <c r="D57" i="18" s="1"/>
  <c r="D58" i="18" s="1"/>
  <c r="D59" i="18" s="1"/>
  <c r="H47" i="18"/>
  <c r="D47" i="18" s="1"/>
  <c r="H45" i="18"/>
  <c r="D45" i="18" s="1"/>
  <c r="I46" i="18"/>
  <c r="E12" i="8" l="1"/>
  <c r="O39" i="16" l="1"/>
  <c r="O33" i="16"/>
  <c r="O32" i="16"/>
  <c r="O31" i="16"/>
  <c r="O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O28" i="16"/>
  <c r="O27" i="16"/>
  <c r="O24" i="16"/>
  <c r="O23" i="16"/>
  <c r="O18" i="16"/>
  <c r="O59" i="16" s="1"/>
  <c r="O17" i="16"/>
  <c r="O58" i="16" s="1"/>
  <c r="O16" i="16"/>
  <c r="O60" i="16" s="1"/>
  <c r="O15" i="16"/>
  <c r="O14" i="16"/>
  <c r="O13" i="16"/>
  <c r="N12" i="16"/>
  <c r="M12" i="16"/>
  <c r="L12" i="16"/>
  <c r="K12" i="16"/>
  <c r="J12" i="16"/>
  <c r="J45" i="16" s="1"/>
  <c r="I12" i="16"/>
  <c r="I45" i="16" s="1"/>
  <c r="H12" i="16"/>
  <c r="G12" i="16"/>
  <c r="F12" i="16"/>
  <c r="E12" i="16"/>
  <c r="D12" i="16"/>
  <c r="C12" i="16"/>
  <c r="O11" i="16"/>
  <c r="N10" i="16"/>
  <c r="N44" i="16" s="1"/>
  <c r="M10" i="16"/>
  <c r="M44" i="16" s="1"/>
  <c r="L10" i="16"/>
  <c r="L44" i="16" s="1"/>
  <c r="K10" i="16"/>
  <c r="K44" i="16" s="1"/>
  <c r="J10" i="16"/>
  <c r="J44" i="16" s="1"/>
  <c r="I10" i="16"/>
  <c r="I44" i="16" s="1"/>
  <c r="H10" i="16"/>
  <c r="H44" i="16" s="1"/>
  <c r="G10" i="16"/>
  <c r="G44" i="16" s="1"/>
  <c r="F10" i="16"/>
  <c r="F44" i="16" s="1"/>
  <c r="E10" i="16"/>
  <c r="E44" i="16" s="1"/>
  <c r="D10" i="16"/>
  <c r="D44" i="16" s="1"/>
  <c r="C10" i="16"/>
  <c r="C44" i="16" s="1"/>
  <c r="O9" i="16"/>
  <c r="O8" i="16"/>
  <c r="O56" i="16" s="1"/>
  <c r="O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O57" i="16" l="1"/>
  <c r="C45" i="16"/>
  <c r="K45" i="16"/>
  <c r="F45" i="16"/>
  <c r="G45" i="16"/>
  <c r="L45" i="16"/>
  <c r="E45" i="16"/>
  <c r="M45" i="16"/>
  <c r="N45" i="16"/>
  <c r="D45" i="16"/>
  <c r="H45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F40" i="16"/>
  <c r="J40" i="16"/>
  <c r="N40" i="16"/>
  <c r="D40" i="16"/>
  <c r="H40" i="16"/>
  <c r="L40" i="16"/>
  <c r="J19" i="16"/>
  <c r="F19" i="16"/>
  <c r="O29" i="16"/>
  <c r="G19" i="16"/>
  <c r="C19" i="16"/>
  <c r="K19" i="16"/>
  <c r="C40" i="16"/>
  <c r="G40" i="16"/>
  <c r="K40" i="16"/>
  <c r="E40" i="16"/>
  <c r="I40" i="16"/>
  <c r="M40" i="16"/>
  <c r="O10" i="16"/>
  <c r="N19" i="16"/>
  <c r="H19" i="16"/>
  <c r="D19" i="16"/>
  <c r="L19" i="16"/>
  <c r="O26" i="16"/>
  <c r="O12" i="16"/>
  <c r="E19" i="16"/>
  <c r="I19" i="16"/>
  <c r="M19" i="16"/>
  <c r="J495" i="2" l="1"/>
  <c r="E495" i="2" s="1"/>
  <c r="J488" i="2"/>
  <c r="E488" i="2" s="1"/>
  <c r="O40" i="16"/>
  <c r="A37" i="16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N46" i="16"/>
  <c r="N49" i="16" s="1"/>
  <c r="L42" i="16"/>
  <c r="G46" i="16"/>
  <c r="G48" i="16" s="1"/>
  <c r="D42" i="16"/>
  <c r="J42" i="16"/>
  <c r="N42" i="16"/>
  <c r="H42" i="16"/>
  <c r="F42" i="16"/>
  <c r="I46" i="16"/>
  <c r="I49" i="16" s="1"/>
  <c r="M46" i="16"/>
  <c r="M48" i="16" s="1"/>
  <c r="I42" i="16"/>
  <c r="E42" i="16"/>
  <c r="E46" i="16"/>
  <c r="E49" i="16" s="1"/>
  <c r="M42" i="16"/>
  <c r="K42" i="16"/>
  <c r="G42" i="16"/>
  <c r="C42" i="16"/>
  <c r="O19" i="16"/>
  <c r="K46" i="16"/>
  <c r="F46" i="16"/>
  <c r="D46" i="16"/>
  <c r="D48" i="16" s="1"/>
  <c r="H46" i="16"/>
  <c r="L46" i="16"/>
  <c r="J46" i="16"/>
  <c r="N48" i="16" l="1"/>
  <c r="N47" i="16"/>
  <c r="G47" i="16"/>
  <c r="G49" i="16"/>
  <c r="I47" i="16"/>
  <c r="M49" i="16"/>
  <c r="I48" i="16"/>
  <c r="M47" i="16"/>
  <c r="O42" i="16"/>
  <c r="O51" i="16" s="1"/>
  <c r="E48" i="16"/>
  <c r="E47" i="16"/>
  <c r="J47" i="16"/>
  <c r="J49" i="16"/>
  <c r="H47" i="16"/>
  <c r="H49" i="16"/>
  <c r="F47" i="16"/>
  <c r="F49" i="16"/>
  <c r="J48" i="16"/>
  <c r="H48" i="16"/>
  <c r="K47" i="16"/>
  <c r="K49" i="16"/>
  <c r="L47" i="16"/>
  <c r="L49" i="16"/>
  <c r="K48" i="16"/>
  <c r="L48" i="16"/>
  <c r="F48" i="16"/>
  <c r="D47" i="16"/>
  <c r="D49" i="16"/>
  <c r="L2" i="2" l="1"/>
  <c r="B9" i="17"/>
  <c r="L23" i="15" l="1"/>
  <c r="L22" i="15"/>
  <c r="L21" i="15"/>
  <c r="L20" i="15"/>
  <c r="L19" i="15"/>
  <c r="L18" i="15"/>
  <c r="L17" i="15"/>
  <c r="L16" i="15"/>
  <c r="E148" i="18"/>
  <c r="D148" i="18"/>
  <c r="D163" i="18" s="1"/>
  <c r="M147" i="18"/>
  <c r="J147" i="18"/>
  <c r="I147" i="18"/>
  <c r="F147" i="18"/>
  <c r="H147" i="18" s="1"/>
  <c r="M138" i="18"/>
  <c r="J138" i="18"/>
  <c r="I138" i="18"/>
  <c r="F138" i="18"/>
  <c r="H138" i="18" s="1"/>
  <c r="M137" i="18"/>
  <c r="J137" i="18"/>
  <c r="I137" i="18"/>
  <c r="F137" i="18"/>
  <c r="H137" i="18" s="1"/>
  <c r="M136" i="18"/>
  <c r="J136" i="18"/>
  <c r="I136" i="18"/>
  <c r="F136" i="18"/>
  <c r="H136" i="18" s="1"/>
  <c r="M135" i="18"/>
  <c r="J135" i="18"/>
  <c r="I135" i="18"/>
  <c r="F135" i="18"/>
  <c r="H135" i="18" s="1"/>
  <c r="M134" i="18"/>
  <c r="J134" i="18"/>
  <c r="I134" i="18"/>
  <c r="F134" i="18"/>
  <c r="H134" i="18" s="1"/>
  <c r="M133" i="18"/>
  <c r="J133" i="18"/>
  <c r="I133" i="18"/>
  <c r="F133" i="18"/>
  <c r="H133" i="18" s="1"/>
  <c r="M132" i="18"/>
  <c r="J132" i="18"/>
  <c r="I132" i="18"/>
  <c r="F132" i="18"/>
  <c r="H132" i="18" s="1"/>
  <c r="M131" i="18"/>
  <c r="J131" i="18"/>
  <c r="I131" i="18"/>
  <c r="F131" i="18"/>
  <c r="H131" i="18" s="1"/>
  <c r="M130" i="18"/>
  <c r="J130" i="18"/>
  <c r="I130" i="18"/>
  <c r="F130" i="18"/>
  <c r="H130" i="18" s="1"/>
  <c r="M129" i="18"/>
  <c r="J129" i="18"/>
  <c r="I129" i="18"/>
  <c r="F129" i="18"/>
  <c r="H129" i="18" s="1"/>
  <c r="M128" i="18"/>
  <c r="J128" i="18"/>
  <c r="I128" i="18"/>
  <c r="F128" i="18"/>
  <c r="H128" i="18" s="1"/>
  <c r="M127" i="18"/>
  <c r="J127" i="18"/>
  <c r="I127" i="18"/>
  <c r="F127" i="18"/>
  <c r="H127" i="18" s="1"/>
  <c r="M126" i="18"/>
  <c r="J126" i="18"/>
  <c r="I126" i="18"/>
  <c r="F126" i="18"/>
  <c r="H126" i="18" s="1"/>
  <c r="M125" i="18"/>
  <c r="J125" i="18"/>
  <c r="I125" i="18"/>
  <c r="F125" i="18"/>
  <c r="H125" i="18" s="1"/>
  <c r="M124" i="18"/>
  <c r="J124" i="18"/>
  <c r="I124" i="18"/>
  <c r="F124" i="18"/>
  <c r="H124" i="18" s="1"/>
  <c r="M123" i="18"/>
  <c r="J123" i="18"/>
  <c r="I123" i="18"/>
  <c r="F123" i="18"/>
  <c r="H123" i="18" s="1"/>
  <c r="M122" i="18"/>
  <c r="J122" i="18"/>
  <c r="I122" i="18"/>
  <c r="F122" i="18"/>
  <c r="H122" i="18" s="1"/>
  <c r="M121" i="18"/>
  <c r="J121" i="18"/>
  <c r="I121" i="18"/>
  <c r="F121" i="18"/>
  <c r="H121" i="18" s="1"/>
  <c r="M120" i="18"/>
  <c r="J120" i="18"/>
  <c r="I120" i="18"/>
  <c r="F120" i="18"/>
  <c r="H120" i="18" s="1"/>
  <c r="M119" i="18"/>
  <c r="J119" i="18"/>
  <c r="I119" i="18"/>
  <c r="F119" i="18"/>
  <c r="H119" i="18" s="1"/>
  <c r="M118" i="18"/>
  <c r="J118" i="18"/>
  <c r="I118" i="18"/>
  <c r="F118" i="18"/>
  <c r="H118" i="18" s="1"/>
  <c r="M117" i="18"/>
  <c r="J117" i="18"/>
  <c r="I117" i="18"/>
  <c r="F117" i="18"/>
  <c r="H117" i="18" s="1"/>
  <c r="M116" i="18"/>
  <c r="J116" i="18"/>
  <c r="I116" i="18"/>
  <c r="F116" i="18"/>
  <c r="H116" i="18" s="1"/>
  <c r="M114" i="18"/>
  <c r="J114" i="18"/>
  <c r="I114" i="18"/>
  <c r="F114" i="18"/>
  <c r="H114" i="18" s="1"/>
  <c r="M113" i="18"/>
  <c r="J113" i="18"/>
  <c r="I113" i="18"/>
  <c r="F113" i="18"/>
  <c r="H113" i="18" s="1"/>
  <c r="E89" i="18"/>
  <c r="D99" i="18" s="1"/>
  <c r="D89" i="18"/>
  <c r="D104" i="18" s="1"/>
  <c r="J65" i="18"/>
  <c r="I65" i="18"/>
  <c r="F65" i="18"/>
  <c r="H65" i="18" s="1"/>
  <c r="D84" i="15"/>
  <c r="AG345" i="2"/>
  <c r="AH345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N121" i="15"/>
  <c r="N127" i="15" s="1"/>
  <c r="M121" i="15"/>
  <c r="M127" i="15" s="1"/>
  <c r="L121" i="15"/>
  <c r="L127" i="15" s="1"/>
  <c r="K121" i="15"/>
  <c r="K127" i="15" s="1"/>
  <c r="J121" i="15"/>
  <c r="J127" i="15" s="1"/>
  <c r="I121" i="15"/>
  <c r="I127" i="15" s="1"/>
  <c r="H121" i="15"/>
  <c r="H127" i="15" s="1"/>
  <c r="G121" i="15"/>
  <c r="G127" i="15" s="1"/>
  <c r="F121" i="15"/>
  <c r="F127" i="15" s="1"/>
  <c r="E121" i="15"/>
  <c r="E127" i="15" s="1"/>
  <c r="D121" i="15"/>
  <c r="D127" i="15" s="1"/>
  <c r="C121" i="15"/>
  <c r="C127" i="15" s="1"/>
  <c r="N76" i="15"/>
  <c r="N72" i="15" s="1"/>
  <c r="N73" i="15" s="1"/>
  <c r="L76" i="15"/>
  <c r="L72" i="15" s="1"/>
  <c r="L73" i="15" s="1"/>
  <c r="K76" i="15"/>
  <c r="K72" i="15" s="1"/>
  <c r="K73" i="15" s="1"/>
  <c r="J76" i="15"/>
  <c r="J72" i="15" s="1"/>
  <c r="J73" i="15" s="1"/>
  <c r="I76" i="15"/>
  <c r="I72" i="15" s="1"/>
  <c r="H76" i="15"/>
  <c r="H72" i="15" s="1"/>
  <c r="H73" i="15" s="1"/>
  <c r="G76" i="15"/>
  <c r="G72" i="15" s="1"/>
  <c r="G73" i="15" s="1"/>
  <c r="F76" i="15"/>
  <c r="F72" i="15" s="1"/>
  <c r="F73" i="15" s="1"/>
  <c r="D76" i="15"/>
  <c r="D72" i="15" s="1"/>
  <c r="D73" i="15" s="1"/>
  <c r="I43" i="15"/>
  <c r="I45" i="15" s="1"/>
  <c r="D47" i="15"/>
  <c r="E316" i="2"/>
  <c r="E338" i="2" s="1"/>
  <c r="E351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23" i="2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A8" i="15"/>
  <c r="O3" i="2"/>
  <c r="N3" i="2"/>
  <c r="M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34" i="2" s="1"/>
  <c r="T439" i="2" s="1"/>
  <c r="T446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34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34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34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34" i="2" s="1"/>
  <c r="O143" i="15"/>
  <c r="O140" i="15"/>
  <c r="D18" i="15" s="1"/>
  <c r="P420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34" i="2" s="1"/>
  <c r="O133" i="15"/>
  <c r="O130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Q123" i="15"/>
  <c r="H16" i="15" s="1"/>
  <c r="N434" i="2" s="1"/>
  <c r="O123" i="15"/>
  <c r="O120" i="15"/>
  <c r="O121" i="15" s="1"/>
  <c r="Q113" i="15"/>
  <c r="H15" i="15" s="1"/>
  <c r="M434" i="2" s="1"/>
  <c r="O113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Q287" i="1"/>
  <c r="S646" i="2"/>
  <c r="S636" i="2"/>
  <c r="S634" i="2"/>
  <c r="P427" i="2"/>
  <c r="AG427" i="2" s="1"/>
  <c r="AH427" i="2" s="1"/>
  <c r="Z414" i="2"/>
  <c r="U423" i="2"/>
  <c r="U424" i="2" s="1"/>
  <c r="U426" i="2" s="1"/>
  <c r="T423" i="2"/>
  <c r="T424" i="2" s="1"/>
  <c r="S423" i="2"/>
  <c r="S424" i="2" s="1"/>
  <c r="R423" i="2"/>
  <c r="R428" i="2" s="1"/>
  <c r="Q423" i="2"/>
  <c r="Q428" i="2" s="1"/>
  <c r="P423" i="2"/>
  <c r="P424" i="2" s="1"/>
  <c r="O423" i="2"/>
  <c r="O424" i="2" s="1"/>
  <c r="N423" i="2"/>
  <c r="M423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O199" i="15"/>
  <c r="V422" i="2"/>
  <c r="W422" i="2"/>
  <c r="X422" i="2"/>
  <c r="Y422" i="2"/>
  <c r="Z422" i="2"/>
  <c r="AA422" i="2"/>
  <c r="AB422" i="2"/>
  <c r="AB400" i="2" s="1"/>
  <c r="AC422" i="2"/>
  <c r="AD422" i="2"/>
  <c r="AD400" i="2" s="1"/>
  <c r="AE422" i="2"/>
  <c r="AF422" i="2"/>
  <c r="V406" i="2"/>
  <c r="V407" i="2" s="1"/>
  <c r="W406" i="2"/>
  <c r="W407" i="2" s="1"/>
  <c r="X406" i="2"/>
  <c r="X407" i="2" s="1"/>
  <c r="Y406" i="2"/>
  <c r="Y407" i="2" s="1"/>
  <c r="Z406" i="2"/>
  <c r="Z407" i="2" s="1"/>
  <c r="AA406" i="2"/>
  <c r="AA407" i="2" s="1"/>
  <c r="AB406" i="2"/>
  <c r="AB407" i="2" s="1"/>
  <c r="AC406" i="2"/>
  <c r="AC407" i="2" s="1"/>
  <c r="AD406" i="2"/>
  <c r="AD407" i="2" s="1"/>
  <c r="AE406" i="2"/>
  <c r="AE407" i="2" s="1"/>
  <c r="AF406" i="2"/>
  <c r="AF407" i="2" s="1"/>
  <c r="V439" i="2"/>
  <c r="V446" i="2" s="1"/>
  <c r="V453" i="2"/>
  <c r="V460" i="2" s="1"/>
  <c r="V467" i="2"/>
  <c r="V474" i="2" s="1"/>
  <c r="V486" i="2"/>
  <c r="V493" i="2"/>
  <c r="V559" i="2"/>
  <c r="V561" i="2"/>
  <c r="V570" i="2"/>
  <c r="V575" i="2"/>
  <c r="V595" i="2"/>
  <c r="V621" i="2" s="1"/>
  <c r="V600" i="2"/>
  <c r="V626" i="2" s="1"/>
  <c r="Q328" i="1"/>
  <c r="Q330" i="1"/>
  <c r="F356" i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4" i="2"/>
  <c r="AE610" i="2" s="1"/>
  <c r="AE585" i="2"/>
  <c r="AE611" i="2" s="1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F448" i="2"/>
  <c r="E448" i="2"/>
  <c r="F419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52" i="15"/>
  <c r="N62" i="15" s="1"/>
  <c r="N63" i="15" s="1"/>
  <c r="N65" i="15" s="1"/>
  <c r="M52" i="15"/>
  <c r="M62" i="15" s="1"/>
  <c r="M63" i="15" s="1"/>
  <c r="M65" i="15" s="1"/>
  <c r="L52" i="15"/>
  <c r="L62" i="15" s="1"/>
  <c r="L63" i="15" s="1"/>
  <c r="L65" i="15" s="1"/>
  <c r="K52" i="15"/>
  <c r="K62" i="15" s="1"/>
  <c r="K63" i="15" s="1"/>
  <c r="K65" i="15" s="1"/>
  <c r="J52" i="15"/>
  <c r="J62" i="15" s="1"/>
  <c r="J63" i="15" s="1"/>
  <c r="J65" i="15" s="1"/>
  <c r="I52" i="15"/>
  <c r="I62" i="15" s="1"/>
  <c r="I63" i="15" s="1"/>
  <c r="I65" i="15" s="1"/>
  <c r="H52" i="15"/>
  <c r="H62" i="15" s="1"/>
  <c r="H63" i="15" s="1"/>
  <c r="H65" i="15" s="1"/>
  <c r="G52" i="15"/>
  <c r="G62" i="15" s="1"/>
  <c r="G63" i="15" s="1"/>
  <c r="G65" i="15" s="1"/>
  <c r="F52" i="15"/>
  <c r="F62" i="15" s="1"/>
  <c r="F63" i="15" s="1"/>
  <c r="F65" i="15" s="1"/>
  <c r="E52" i="15"/>
  <c r="E62" i="15" s="1"/>
  <c r="E63" i="15" s="1"/>
  <c r="E65" i="15" s="1"/>
  <c r="D52" i="15"/>
  <c r="D62" i="15" s="1"/>
  <c r="D63" i="15" s="1"/>
  <c r="D65" i="15" s="1"/>
  <c r="O50" i="15"/>
  <c r="O51" i="15" s="1"/>
  <c r="N41" i="15"/>
  <c r="N43" i="15" s="1"/>
  <c r="N45" i="15" s="1"/>
  <c r="M41" i="15"/>
  <c r="M47" i="15" s="1"/>
  <c r="L41" i="15"/>
  <c r="L47" i="15" s="1"/>
  <c r="K41" i="15"/>
  <c r="K43" i="15" s="1"/>
  <c r="K45" i="15" s="1"/>
  <c r="J41" i="15"/>
  <c r="J47" i="15" s="1"/>
  <c r="G41" i="15"/>
  <c r="G47" i="15" s="1"/>
  <c r="F41" i="15"/>
  <c r="F43" i="15" s="1"/>
  <c r="F45" i="15" s="1"/>
  <c r="E41" i="15"/>
  <c r="E47" i="15" s="1"/>
  <c r="O40" i="15"/>
  <c r="O41" i="15" s="1"/>
  <c r="E25" i="15"/>
  <c r="M40" i="1"/>
  <c r="L54" i="1"/>
  <c r="L56" i="1" s="1"/>
  <c r="L58" i="1" s="1"/>
  <c r="F54" i="1"/>
  <c r="F394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5" i="2"/>
  <c r="AG455" i="2" s="1"/>
  <c r="AH455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AG488" i="2"/>
  <c r="AH488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3" i="2"/>
  <c r="AD460" i="2" s="1"/>
  <c r="AC453" i="2"/>
  <c r="AC460" i="2" s="1"/>
  <c r="AA453" i="2"/>
  <c r="AA483" i="2" s="1"/>
  <c r="Z424" i="2"/>
  <c r="Z425" i="2" s="1"/>
  <c r="AB424" i="2"/>
  <c r="AB426" i="2" s="1"/>
  <c r="AD424" i="2"/>
  <c r="AD425" i="2" s="1"/>
  <c r="AA424" i="2"/>
  <c r="AA426" i="2" s="1"/>
  <c r="AC424" i="2"/>
  <c r="AC426" i="2" s="1"/>
  <c r="AE424" i="2"/>
  <c r="AE425" i="2" s="1"/>
  <c r="AF424" i="2"/>
  <c r="AF426" i="2" s="1"/>
  <c r="AE439" i="2"/>
  <c r="AE446" i="2" s="1"/>
  <c r="AF439" i="2"/>
  <c r="AF446" i="2" s="1"/>
  <c r="AG441" i="2"/>
  <c r="AH441" i="2" s="1"/>
  <c r="AE453" i="2"/>
  <c r="AE483" i="2" s="1"/>
  <c r="AF453" i="2"/>
  <c r="AF483" i="2" s="1"/>
  <c r="E460" i="2"/>
  <c r="AD462" i="2"/>
  <c r="AG462" i="2" s="1"/>
  <c r="AH462" i="2" s="1"/>
  <c r="AF467" i="2"/>
  <c r="AF474" i="2" s="1"/>
  <c r="AG469" i="2"/>
  <c r="AH469" i="2" s="1"/>
  <c r="AE474" i="2"/>
  <c r="AG476" i="2"/>
  <c r="AH476" i="2" s="1"/>
  <c r="E483" i="2"/>
  <c r="AF486" i="2"/>
  <c r="AF493" i="2"/>
  <c r="AF621" i="2"/>
  <c r="AF626" i="2"/>
  <c r="AE627" i="2"/>
  <c r="Z453" i="2"/>
  <c r="Z483" i="2" s="1"/>
  <c r="Z467" i="2"/>
  <c r="Z474" i="2" s="1"/>
  <c r="AD474" i="2"/>
  <c r="AB439" i="2"/>
  <c r="AB446" i="2" s="1"/>
  <c r="AB467" i="2"/>
  <c r="AB474" i="2" s="1"/>
  <c r="K28" i="1"/>
  <c r="K29" i="1"/>
  <c r="K30" i="1"/>
  <c r="K31" i="1"/>
  <c r="K32" i="1"/>
  <c r="K33" i="1"/>
  <c r="M41" i="1"/>
  <c r="M109" i="1" s="1"/>
  <c r="M42" i="1"/>
  <c r="M383" i="1" s="1"/>
  <c r="M43" i="1"/>
  <c r="M111" i="1" s="1"/>
  <c r="M44" i="1"/>
  <c r="M205" i="1" s="1"/>
  <c r="M45" i="1"/>
  <c r="M299" i="1" s="1"/>
  <c r="M46" i="1"/>
  <c r="M223" i="1" s="1"/>
  <c r="M47" i="1"/>
  <c r="M405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90" i="1" s="1"/>
  <c r="O49" i="1"/>
  <c r="O117" i="1" s="1"/>
  <c r="O50" i="1"/>
  <c r="O387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5" i="1" s="1"/>
  <c r="U45" i="1"/>
  <c r="U113" i="1" s="1"/>
  <c r="U46" i="1"/>
  <c r="U404" i="1" s="1"/>
  <c r="U47" i="1"/>
  <c r="U301" i="1" s="1"/>
  <c r="U48" i="1"/>
  <c r="U302" i="1" s="1"/>
  <c r="U49" i="1"/>
  <c r="U303" i="1" s="1"/>
  <c r="U50" i="1"/>
  <c r="U51" i="1"/>
  <c r="U52" i="1"/>
  <c r="U406" i="1" s="1"/>
  <c r="S27" i="1"/>
  <c r="S28" i="1"/>
  <c r="S29" i="1"/>
  <c r="S30" i="1"/>
  <c r="S31" i="1"/>
  <c r="S32" i="1"/>
  <c r="S33" i="1"/>
  <c r="S40" i="1"/>
  <c r="S41" i="1"/>
  <c r="S42" i="1"/>
  <c r="S384" i="1" s="1"/>
  <c r="S43" i="1"/>
  <c r="S111" i="1" s="1"/>
  <c r="S44" i="1"/>
  <c r="S403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90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4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90" i="1" s="1"/>
  <c r="Y49" i="1"/>
  <c r="Y388" i="1" s="1"/>
  <c r="Y50" i="1"/>
  <c r="Y118" i="1" s="1"/>
  <c r="Y52" i="1"/>
  <c r="Y406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90" i="1" s="1"/>
  <c r="AA157" i="1"/>
  <c r="AA49" i="1"/>
  <c r="AA303" i="1" s="1"/>
  <c r="AA50" i="1"/>
  <c r="AA207" i="1" s="1"/>
  <c r="AA154" i="1"/>
  <c r="AA51" i="1"/>
  <c r="AA52" i="1"/>
  <c r="AA406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8" i="1" s="1"/>
  <c r="P50" i="1"/>
  <c r="P387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4" i="1" s="1"/>
  <c r="W43" i="1"/>
  <c r="W44" i="1"/>
  <c r="W298" i="1" s="1"/>
  <c r="W45" i="1"/>
  <c r="W299" i="1" s="1"/>
  <c r="W46" i="1"/>
  <c r="W300" i="1" s="1"/>
  <c r="W47" i="1"/>
  <c r="W224" i="1" s="1"/>
  <c r="W48" i="1"/>
  <c r="W390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204" i="1" s="1"/>
  <c r="K44" i="1"/>
  <c r="K385" i="1" s="1"/>
  <c r="K46" i="1"/>
  <c r="K114" i="1" s="1"/>
  <c r="K50" i="1"/>
  <c r="K387" i="1" s="1"/>
  <c r="K49" i="1"/>
  <c r="K388" i="1" s="1"/>
  <c r="K209" i="1"/>
  <c r="K48" i="1"/>
  <c r="K390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295" i="1" s="1"/>
  <c r="K43" i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6" i="1" s="1"/>
  <c r="I47" i="1"/>
  <c r="I405" i="1" s="1"/>
  <c r="I48" i="1"/>
  <c r="I390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42" i="1"/>
  <c r="H402" i="1" s="1"/>
  <c r="H43" i="1"/>
  <c r="H111" i="1" s="1"/>
  <c r="H44" i="1"/>
  <c r="H222" i="1" s="1"/>
  <c r="H45" i="1"/>
  <c r="H299" i="1" s="1"/>
  <c r="H46" i="1"/>
  <c r="H300" i="1" s="1"/>
  <c r="H47" i="1"/>
  <c r="H405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G12" i="1"/>
  <c r="G35" i="1"/>
  <c r="G56" i="1" s="1"/>
  <c r="K40" i="1"/>
  <c r="K51" i="1"/>
  <c r="G54" i="1"/>
  <c r="G75" i="1"/>
  <c r="G91" i="1"/>
  <c r="G99" i="1" s="1"/>
  <c r="G101" i="1" s="1"/>
  <c r="G124" i="1"/>
  <c r="G133" i="1"/>
  <c r="G199" i="1"/>
  <c r="G215" i="1"/>
  <c r="G229" i="1"/>
  <c r="G246" i="1"/>
  <c r="G262" i="1"/>
  <c r="G283" i="1"/>
  <c r="F367" i="1"/>
  <c r="G379" i="1"/>
  <c r="G394" i="1"/>
  <c r="G410" i="1"/>
  <c r="G425" i="1"/>
  <c r="G440" i="1"/>
  <c r="F461" i="1"/>
  <c r="G461" i="1"/>
  <c r="G465" i="1"/>
  <c r="F312" i="1"/>
  <c r="F328" i="1" s="1"/>
  <c r="G330" i="1"/>
  <c r="T328" i="1"/>
  <c r="T330" i="1" s="1"/>
  <c r="V328" i="1"/>
  <c r="V330" i="1" s="1"/>
  <c r="X328" i="1"/>
  <c r="X330" i="1"/>
  <c r="Z328" i="1"/>
  <c r="Z330" i="1" s="1"/>
  <c r="AB469" i="1"/>
  <c r="AC469" i="1" s="1"/>
  <c r="AB474" i="1"/>
  <c r="AC474" i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/>
  <c r="AB487" i="1"/>
  <c r="AC487" i="1" s="1"/>
  <c r="AB488" i="1"/>
  <c r="AC488" i="1" s="1"/>
  <c r="AA467" i="2"/>
  <c r="AA474" i="2" s="1"/>
  <c r="AA439" i="2"/>
  <c r="AA446" i="2" s="1"/>
  <c r="F440" i="1"/>
  <c r="Z439" i="2"/>
  <c r="Z446" i="2" s="1"/>
  <c r="AB453" i="2"/>
  <c r="AB460" i="2" s="1"/>
  <c r="AC439" i="2"/>
  <c r="AC446" i="2" s="1"/>
  <c r="AC467" i="2"/>
  <c r="AC474" i="2" s="1"/>
  <c r="AD439" i="2"/>
  <c r="AD446" i="2" s="1"/>
  <c r="K365" i="1"/>
  <c r="K364" i="1"/>
  <c r="K178" i="1"/>
  <c r="Z493" i="2"/>
  <c r="Z486" i="2"/>
  <c r="X493" i="2"/>
  <c r="Y493" i="2"/>
  <c r="W493" i="2"/>
  <c r="Y453" i="2"/>
  <c r="Y483" i="2" s="1"/>
  <c r="W467" i="2"/>
  <c r="W474" i="2" s="1"/>
  <c r="Y439" i="2"/>
  <c r="Y446" i="2" s="1"/>
  <c r="W453" i="2"/>
  <c r="W460" i="2" s="1"/>
  <c r="X453" i="2"/>
  <c r="X460" i="2" s="1"/>
  <c r="Y486" i="2"/>
  <c r="AG495" i="2"/>
  <c r="AH495" i="2" s="1"/>
  <c r="X486" i="2"/>
  <c r="X467" i="2"/>
  <c r="X474" i="2" s="1"/>
  <c r="W486" i="2"/>
  <c r="X439" i="2"/>
  <c r="X446" i="2" s="1"/>
  <c r="Y467" i="2"/>
  <c r="Y474" i="2" s="1"/>
  <c r="W439" i="2"/>
  <c r="W446" i="2" s="1"/>
  <c r="G8" i="10"/>
  <c r="P7" i="10"/>
  <c r="P8" i="10"/>
  <c r="AF600" i="2"/>
  <c r="AF575" i="2"/>
  <c r="AF571" i="2"/>
  <c r="AE561" i="2"/>
  <c r="Z561" i="2"/>
  <c r="AA561" i="2"/>
  <c r="U561" i="2"/>
  <c r="Y561" i="2"/>
  <c r="AD561" i="2"/>
  <c r="T561" i="2"/>
  <c r="AB561" i="2"/>
  <c r="AC561" i="2"/>
  <c r="AF561" i="2"/>
  <c r="AF585" i="2"/>
  <c r="AF611" i="2" s="1"/>
  <c r="X561" i="2"/>
  <c r="W561" i="2"/>
  <c r="E446" i="2"/>
  <c r="E474" i="2" s="1"/>
  <c r="U570" i="2"/>
  <c r="U595" i="2"/>
  <c r="U621" i="2" s="1"/>
  <c r="W570" i="2"/>
  <c r="W595" i="2"/>
  <c r="W621" i="2" s="1"/>
  <c r="AB595" i="2"/>
  <c r="AB621" i="2" s="1"/>
  <c r="AB570" i="2"/>
  <c r="AD575" i="2"/>
  <c r="AD600" i="2"/>
  <c r="AD626" i="2" s="1"/>
  <c r="AA570" i="2"/>
  <c r="AA595" i="2"/>
  <c r="AA621" i="2" s="1"/>
  <c r="AC600" i="2"/>
  <c r="AC626" i="2" s="1"/>
  <c r="AC575" i="2"/>
  <c r="Y600" i="2"/>
  <c r="Y626" i="2" s="1"/>
  <c r="Y575" i="2"/>
  <c r="T600" i="2"/>
  <c r="T626" i="2" s="1"/>
  <c r="T575" i="2"/>
  <c r="X575" i="2"/>
  <c r="X600" i="2"/>
  <c r="X626" i="2" s="1"/>
  <c r="Z575" i="2"/>
  <c r="Z600" i="2"/>
  <c r="Z626" i="2" s="1"/>
  <c r="AE570" i="2"/>
  <c r="AE595" i="2"/>
  <c r="AE621" i="2" s="1"/>
  <c r="AF576" i="2"/>
  <c r="AA575" i="2"/>
  <c r="AA600" i="2"/>
  <c r="AA626" i="2" s="1"/>
  <c r="Y570" i="2"/>
  <c r="Y595" i="2"/>
  <c r="Y621" i="2" s="1"/>
  <c r="X595" i="2"/>
  <c r="X621" i="2" s="1"/>
  <c r="X570" i="2"/>
  <c r="Z595" i="2"/>
  <c r="Z621" i="2" s="1"/>
  <c r="Z570" i="2"/>
  <c r="AE600" i="2"/>
  <c r="AE626" i="2" s="1"/>
  <c r="AE575" i="2"/>
  <c r="AF595" i="2"/>
  <c r="AF570" i="2"/>
  <c r="AC595" i="2"/>
  <c r="AC621" i="2" s="1"/>
  <c r="AC570" i="2"/>
  <c r="U600" i="2"/>
  <c r="U575" i="2"/>
  <c r="W575" i="2"/>
  <c r="W600" i="2"/>
  <c r="W626" i="2" s="1"/>
  <c r="AB600" i="2"/>
  <c r="AB626" i="2" s="1"/>
  <c r="AB575" i="2"/>
  <c r="AD570" i="2"/>
  <c r="AD595" i="2"/>
  <c r="AD621" i="2" s="1"/>
  <c r="U626" i="2"/>
  <c r="T595" i="2"/>
  <c r="T621" i="2" s="1"/>
  <c r="T570" i="2"/>
  <c r="AD559" i="2"/>
  <c r="AC559" i="2"/>
  <c r="AF559" i="2"/>
  <c r="AF584" i="2"/>
  <c r="AF610" i="2" s="1"/>
  <c r="T559" i="2"/>
  <c r="U559" i="2"/>
  <c r="X559" i="2"/>
  <c r="AE559" i="2"/>
  <c r="AA559" i="2"/>
  <c r="W559" i="2"/>
  <c r="Y559" i="2"/>
  <c r="AB559" i="2"/>
  <c r="Z559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7" i="2"/>
  <c r="L195" i="15"/>
  <c r="D195" i="15"/>
  <c r="J195" i="15"/>
  <c r="O193" i="15"/>
  <c r="Q193" i="15"/>
  <c r="H23" i="15" s="1"/>
  <c r="U434" i="2" s="1"/>
  <c r="O67" i="15"/>
  <c r="F10" i="15" s="1"/>
  <c r="H435" i="2" s="1"/>
  <c r="P67" i="15"/>
  <c r="G10" i="15" s="1"/>
  <c r="P77" i="15"/>
  <c r="G11" i="15" s="1"/>
  <c r="O77" i="15"/>
  <c r="F11" i="15" s="1"/>
  <c r="I435" i="2" s="1"/>
  <c r="I453" i="2" s="1"/>
  <c r="S407" i="2"/>
  <c r="T407" i="2"/>
  <c r="K139" i="1"/>
  <c r="F229" i="1"/>
  <c r="F35" i="1"/>
  <c r="F199" i="1"/>
  <c r="F215" i="1"/>
  <c r="F246" i="1"/>
  <c r="F283" i="1"/>
  <c r="Y244" i="1"/>
  <c r="K89" i="1"/>
  <c r="K137" i="1"/>
  <c r="K138" i="1"/>
  <c r="K105" i="1"/>
  <c r="G412" i="1"/>
  <c r="G414" i="1" s="1"/>
  <c r="G442" i="1" s="1"/>
  <c r="G231" i="1"/>
  <c r="G233" i="1" s="1"/>
  <c r="AA258" i="1"/>
  <c r="F170" i="1"/>
  <c r="F358" i="1"/>
  <c r="AF414" i="2"/>
  <c r="V414" i="2"/>
  <c r="Q414" i="2"/>
  <c r="N414" i="2"/>
  <c r="I414" i="2"/>
  <c r="AC414" i="2"/>
  <c r="J414" i="2"/>
  <c r="S414" i="2"/>
  <c r="X414" i="2"/>
  <c r="H414" i="2"/>
  <c r="G414" i="2"/>
  <c r="AA414" i="2"/>
  <c r="AE414" i="2"/>
  <c r="R414" i="2"/>
  <c r="Y414" i="2"/>
  <c r="AD414" i="2"/>
  <c r="W414" i="2"/>
  <c r="O414" i="2"/>
  <c r="U414" i="2"/>
  <c r="G421" i="2"/>
  <c r="T414" i="2"/>
  <c r="AB414" i="2"/>
  <c r="F414" i="2"/>
  <c r="P57" i="15"/>
  <c r="G9" i="15" s="1"/>
  <c r="O57" i="15"/>
  <c r="F9" i="15" s="1"/>
  <c r="G435" i="2" s="1"/>
  <c r="N421" i="2"/>
  <c r="O421" i="2" s="1"/>
  <c r="AF460" i="2"/>
  <c r="W483" i="2"/>
  <c r="AB425" i="2"/>
  <c r="AA460" i="2"/>
  <c r="O90" i="15"/>
  <c r="D13" i="15" s="1"/>
  <c r="G82" i="1"/>
  <c r="G93" i="1" s="1"/>
  <c r="X483" i="2"/>
  <c r="AE460" i="2"/>
  <c r="D9" i="15"/>
  <c r="D43" i="15"/>
  <c r="D7" i="8"/>
  <c r="F7" i="8" s="1"/>
  <c r="B39" i="15" l="1"/>
  <c r="L8" i="15"/>
  <c r="F424" i="2"/>
  <c r="F425" i="2" s="1"/>
  <c r="E28" i="15"/>
  <c r="E29" i="15" s="1"/>
  <c r="N10" i="15"/>
  <c r="N9" i="15"/>
  <c r="AA425" i="2"/>
  <c r="H453" i="2"/>
  <c r="H460" i="2" s="1"/>
  <c r="Z426" i="2"/>
  <c r="G453" i="2"/>
  <c r="G483" i="2" s="1"/>
  <c r="G484" i="2" s="1"/>
  <c r="X484" i="2"/>
  <c r="B119" i="15"/>
  <c r="B109" i="15"/>
  <c r="F99" i="1"/>
  <c r="G264" i="1"/>
  <c r="A99" i="15"/>
  <c r="S7" i="10"/>
  <c r="T7" i="10" s="1"/>
  <c r="AB344" i="2"/>
  <c r="AB341" i="2"/>
  <c r="AB358" i="2" s="1"/>
  <c r="AB343" i="2"/>
  <c r="AB342" i="2"/>
  <c r="AB359" i="2" s="1"/>
  <c r="L15" i="15"/>
  <c r="AA400" i="2"/>
  <c r="AA342" i="2"/>
  <c r="AA359" i="2" s="1"/>
  <c r="AA344" i="2"/>
  <c r="AA341" i="2"/>
  <c r="AA358" i="2" s="1"/>
  <c r="AA343" i="2"/>
  <c r="V341" i="2"/>
  <c r="V358" i="2" s="1"/>
  <c r="V343" i="2"/>
  <c r="V344" i="2"/>
  <c r="V342" i="2"/>
  <c r="V359" i="2" s="1"/>
  <c r="Z460" i="2"/>
  <c r="S8" i="10"/>
  <c r="T8" i="10" s="1"/>
  <c r="AF400" i="2"/>
  <c r="AF341" i="2"/>
  <c r="AF358" i="2" s="1"/>
  <c r="AF343" i="2"/>
  <c r="AF342" i="2"/>
  <c r="AF359" i="2" s="1"/>
  <c r="AF344" i="2"/>
  <c r="Z400" i="2"/>
  <c r="Z343" i="2"/>
  <c r="Z342" i="2"/>
  <c r="Z359" i="2" s="1"/>
  <c r="Z344" i="2"/>
  <c r="Z341" i="2"/>
  <c r="Z358" i="2" s="1"/>
  <c r="Y460" i="2"/>
  <c r="AB483" i="2"/>
  <c r="AB484" i="2" s="1"/>
  <c r="P356" i="1"/>
  <c r="AE400" i="2"/>
  <c r="AE344" i="2"/>
  <c r="AE343" i="2"/>
  <c r="AE341" i="2"/>
  <c r="AE358" i="2" s="1"/>
  <c r="AE342" i="2"/>
  <c r="AE359" i="2" s="1"/>
  <c r="Y400" i="2"/>
  <c r="Y342" i="2"/>
  <c r="Y359" i="2" s="1"/>
  <c r="Y341" i="2"/>
  <c r="Y358" i="2" s="1"/>
  <c r="Y344" i="2"/>
  <c r="Y343" i="2"/>
  <c r="X400" i="2"/>
  <c r="X341" i="2"/>
  <c r="X358" i="2" s="1"/>
  <c r="X343" i="2"/>
  <c r="X342" i="2"/>
  <c r="X359" i="2" s="1"/>
  <c r="X344" i="2"/>
  <c r="F56" i="1"/>
  <c r="F58" i="1" s="1"/>
  <c r="AD344" i="2"/>
  <c r="AD341" i="2"/>
  <c r="AD358" i="2" s="1"/>
  <c r="AD343" i="2"/>
  <c r="AD342" i="2"/>
  <c r="AD359" i="2" s="1"/>
  <c r="W400" i="2"/>
  <c r="W344" i="2"/>
  <c r="W341" i="2"/>
  <c r="W358" i="2" s="1"/>
  <c r="W343" i="2"/>
  <c r="W342" i="2"/>
  <c r="W359" i="2" s="1"/>
  <c r="AC400" i="2"/>
  <c r="AC342" i="2"/>
  <c r="AC359" i="2" s="1"/>
  <c r="AC344" i="2"/>
  <c r="AC341" i="2"/>
  <c r="AC358" i="2" s="1"/>
  <c r="AC343" i="2"/>
  <c r="V400" i="2"/>
  <c r="U356" i="1"/>
  <c r="AE628" i="2"/>
  <c r="AG448" i="2"/>
  <c r="AH448" i="2" s="1"/>
  <c r="AF484" i="2"/>
  <c r="Y484" i="2"/>
  <c r="AE426" i="2"/>
  <c r="AF572" i="2"/>
  <c r="AF577" i="2"/>
  <c r="AD483" i="2"/>
  <c r="AD484" i="2" s="1"/>
  <c r="AF425" i="2"/>
  <c r="AC483" i="2"/>
  <c r="AC484" i="2" s="1"/>
  <c r="AC425" i="2"/>
  <c r="AA484" i="2"/>
  <c r="AE484" i="2"/>
  <c r="W484" i="2"/>
  <c r="V483" i="2"/>
  <c r="V484" i="2" s="1"/>
  <c r="AD426" i="2"/>
  <c r="F47" i="15"/>
  <c r="Q103" i="15"/>
  <c r="H14" i="15" s="1"/>
  <c r="L434" i="2" s="1"/>
  <c r="D16" i="15"/>
  <c r="N420" i="2" s="1"/>
  <c r="N493" i="2" s="1"/>
  <c r="K47" i="15"/>
  <c r="Q10" i="15"/>
  <c r="D101" i="18"/>
  <c r="D160" i="18"/>
  <c r="M148" i="18"/>
  <c r="D158" i="18" s="1"/>
  <c r="F412" i="1"/>
  <c r="F414" i="1" s="1"/>
  <c r="F416" i="1" s="1"/>
  <c r="F463" i="1" s="1"/>
  <c r="F465" i="1" s="1"/>
  <c r="F82" i="1"/>
  <c r="F98" i="1" s="1"/>
  <c r="AA356" i="1"/>
  <c r="Y356" i="1"/>
  <c r="W356" i="1"/>
  <c r="F231" i="1"/>
  <c r="F235" i="1" s="1"/>
  <c r="U299" i="1"/>
  <c r="M224" i="1"/>
  <c r="U407" i="1"/>
  <c r="S388" i="1"/>
  <c r="K115" i="1"/>
  <c r="Y302" i="1"/>
  <c r="W402" i="1"/>
  <c r="P210" i="1"/>
  <c r="M301" i="1"/>
  <c r="U208" i="1"/>
  <c r="I406" i="1"/>
  <c r="S208" i="1"/>
  <c r="K118" i="1"/>
  <c r="M367" i="1"/>
  <c r="M24" i="1"/>
  <c r="M293" i="1" s="1"/>
  <c r="S24" i="1"/>
  <c r="S85" i="1" s="1"/>
  <c r="AA24" i="1"/>
  <c r="AA293" i="1" s="1"/>
  <c r="F426" i="2"/>
  <c r="R406" i="1"/>
  <c r="R116" i="1"/>
  <c r="O208" i="1"/>
  <c r="W222" i="1"/>
  <c r="P402" i="1"/>
  <c r="H115" i="1"/>
  <c r="W112" i="1"/>
  <c r="W116" i="1"/>
  <c r="H301" i="1"/>
  <c r="O303" i="1"/>
  <c r="M208" i="1"/>
  <c r="U119" i="1"/>
  <c r="AA403" i="1"/>
  <c r="W385" i="1"/>
  <c r="P207" i="1"/>
  <c r="I356" i="1"/>
  <c r="H387" i="1"/>
  <c r="K367" i="1"/>
  <c r="H206" i="1"/>
  <c r="M385" i="1"/>
  <c r="U223" i="1"/>
  <c r="W115" i="1"/>
  <c r="M407" i="1"/>
  <c r="M206" i="1"/>
  <c r="Y203" i="1"/>
  <c r="AA298" i="1"/>
  <c r="H223" i="1"/>
  <c r="M226" i="1"/>
  <c r="Y304" i="1"/>
  <c r="Y206" i="1"/>
  <c r="W301" i="1"/>
  <c r="H383" i="1"/>
  <c r="M117" i="1"/>
  <c r="AA205" i="1"/>
  <c r="H114" i="1"/>
  <c r="W225" i="1"/>
  <c r="AA367" i="1"/>
  <c r="M388" i="1"/>
  <c r="Y223" i="1"/>
  <c r="U225" i="1"/>
  <c r="W405" i="1"/>
  <c r="P407" i="1"/>
  <c r="O407" i="1"/>
  <c r="O226" i="1"/>
  <c r="O388" i="1"/>
  <c r="AA302" i="1"/>
  <c r="I118" i="1"/>
  <c r="H304" i="1"/>
  <c r="I301" i="1"/>
  <c r="AA407" i="1"/>
  <c r="H207" i="1"/>
  <c r="AB249" i="1"/>
  <c r="AC249" i="1" s="1"/>
  <c r="O180" i="1"/>
  <c r="H117" i="1"/>
  <c r="AA404" i="1"/>
  <c r="Y117" i="1"/>
  <c r="K208" i="1"/>
  <c r="AB240" i="1"/>
  <c r="AC240" i="1" s="1"/>
  <c r="O246" i="1"/>
  <c r="R425" i="1"/>
  <c r="H407" i="1"/>
  <c r="I407" i="1"/>
  <c r="U224" i="1"/>
  <c r="AA110" i="1"/>
  <c r="H403" i="1"/>
  <c r="P302" i="1"/>
  <c r="AA405" i="1"/>
  <c r="K402" i="1"/>
  <c r="W203" i="1"/>
  <c r="U405" i="1"/>
  <c r="K407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6" i="1"/>
  <c r="I299" i="1"/>
  <c r="H297" i="1"/>
  <c r="Y407" i="1"/>
  <c r="AA225" i="1"/>
  <c r="R367" i="1"/>
  <c r="P262" i="1"/>
  <c r="M180" i="1"/>
  <c r="P117" i="1"/>
  <c r="I300" i="1"/>
  <c r="W206" i="1"/>
  <c r="Y303" i="1"/>
  <c r="I383" i="1"/>
  <c r="AA115" i="1"/>
  <c r="Y113" i="1"/>
  <c r="Y367" i="1"/>
  <c r="Y24" i="1"/>
  <c r="Y293" i="1" s="1"/>
  <c r="AB344" i="1"/>
  <c r="AC344" i="1" s="1"/>
  <c r="H224" i="1"/>
  <c r="M406" i="1"/>
  <c r="AA226" i="1"/>
  <c r="AA388" i="1"/>
  <c r="AA119" i="1"/>
  <c r="K110" i="1"/>
  <c r="AA117" i="1"/>
  <c r="R405" i="1"/>
  <c r="K304" i="1"/>
  <c r="U115" i="1"/>
  <c r="P390" i="1"/>
  <c r="Y208" i="1"/>
  <c r="AA301" i="1"/>
  <c r="AA208" i="1"/>
  <c r="S297" i="1"/>
  <c r="Y226" i="1"/>
  <c r="P168" i="1"/>
  <c r="O168" i="1"/>
  <c r="H168" i="1"/>
  <c r="R304" i="1"/>
  <c r="R207" i="1"/>
  <c r="R383" i="1"/>
  <c r="R203" i="1"/>
  <c r="R296" i="1"/>
  <c r="S223" i="1"/>
  <c r="S404" i="1"/>
  <c r="S206" i="1"/>
  <c r="U118" i="1"/>
  <c r="U304" i="1"/>
  <c r="AA299" i="1"/>
  <c r="AA113" i="1"/>
  <c r="S295" i="1"/>
  <c r="S109" i="1"/>
  <c r="M118" i="1"/>
  <c r="M387" i="1"/>
  <c r="M207" i="1"/>
  <c r="P110" i="1"/>
  <c r="O109" i="1"/>
  <c r="U388" i="1"/>
  <c r="Y111" i="1"/>
  <c r="AA295" i="1"/>
  <c r="S226" i="1"/>
  <c r="R384" i="1"/>
  <c r="R110" i="1"/>
  <c r="Y225" i="1"/>
  <c r="M297" i="1"/>
  <c r="I303" i="1"/>
  <c r="I117" i="1"/>
  <c r="I114" i="1"/>
  <c r="I223" i="1"/>
  <c r="I404" i="1"/>
  <c r="I110" i="1"/>
  <c r="I221" i="1"/>
  <c r="I402" i="1"/>
  <c r="I296" i="1"/>
  <c r="I204" i="1"/>
  <c r="I384" i="1"/>
  <c r="K406" i="1"/>
  <c r="K305" i="1"/>
  <c r="K226" i="1"/>
  <c r="K303" i="1"/>
  <c r="K117" i="1"/>
  <c r="K296" i="1"/>
  <c r="K383" i="1"/>
  <c r="K203" i="1"/>
  <c r="K221" i="1"/>
  <c r="K384" i="1"/>
  <c r="R206" i="1"/>
  <c r="R223" i="1"/>
  <c r="S118" i="1"/>
  <c r="S387" i="1"/>
  <c r="S203" i="1"/>
  <c r="S296" i="1"/>
  <c r="U206" i="1"/>
  <c r="U386" i="1"/>
  <c r="U114" i="1"/>
  <c r="O110" i="1"/>
  <c r="O296" i="1"/>
  <c r="S402" i="1"/>
  <c r="S204" i="1"/>
  <c r="U300" i="1"/>
  <c r="R118" i="1"/>
  <c r="M112" i="1"/>
  <c r="Y224" i="1"/>
  <c r="Y405" i="1"/>
  <c r="Y115" i="1"/>
  <c r="R117" i="1"/>
  <c r="R407" i="1"/>
  <c r="U117" i="1"/>
  <c r="U226" i="1"/>
  <c r="M115" i="1"/>
  <c r="S110" i="1"/>
  <c r="R404" i="1"/>
  <c r="R387" i="1"/>
  <c r="R208" i="1"/>
  <c r="AB429" i="1"/>
  <c r="AC429" i="1" s="1"/>
  <c r="H225" i="1"/>
  <c r="H305" i="1"/>
  <c r="H406" i="1"/>
  <c r="H388" i="1"/>
  <c r="AB49" i="1"/>
  <c r="AC49" i="1" s="1"/>
  <c r="AB41" i="1"/>
  <c r="AC41" i="1" s="1"/>
  <c r="O425" i="1"/>
  <c r="M440" i="1"/>
  <c r="AB33" i="1"/>
  <c r="AC33" i="1" s="1"/>
  <c r="AA246" i="1"/>
  <c r="K299" i="1"/>
  <c r="K113" i="1"/>
  <c r="K262" i="1"/>
  <c r="K205" i="1"/>
  <c r="K222" i="1"/>
  <c r="K403" i="1"/>
  <c r="W246" i="1"/>
  <c r="W305" i="1"/>
  <c r="W406" i="1"/>
  <c r="P118" i="1"/>
  <c r="P304" i="1"/>
  <c r="AA116" i="1"/>
  <c r="AA210" i="1"/>
  <c r="AA112" i="1"/>
  <c r="AA385" i="1"/>
  <c r="Y207" i="1"/>
  <c r="Y387" i="1"/>
  <c r="Y300" i="1"/>
  <c r="Y404" i="1"/>
  <c r="Y386" i="1"/>
  <c r="Y402" i="1"/>
  <c r="Y204" i="1"/>
  <c r="Y110" i="1"/>
  <c r="Y383" i="1"/>
  <c r="Y296" i="1"/>
  <c r="Y221" i="1"/>
  <c r="R305" i="1"/>
  <c r="R119" i="1"/>
  <c r="AB254" i="1"/>
  <c r="AC254" i="1" s="1"/>
  <c r="I262" i="1"/>
  <c r="AB40" i="1"/>
  <c r="AC40" i="1" s="1"/>
  <c r="AB435" i="1"/>
  <c r="AC435" i="1" s="1"/>
  <c r="AB430" i="1"/>
  <c r="AC430" i="1" s="1"/>
  <c r="W367" i="1"/>
  <c r="U367" i="1"/>
  <c r="U246" i="1"/>
  <c r="Y425" i="1"/>
  <c r="S180" i="1"/>
  <c r="K24" i="1"/>
  <c r="K80" i="1" s="1"/>
  <c r="AB17" i="1"/>
  <c r="AC17" i="1" s="1"/>
  <c r="AB22" i="1"/>
  <c r="AC22" i="1" s="1"/>
  <c r="AB242" i="1"/>
  <c r="AC242" i="1" s="1"/>
  <c r="P406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403" i="1"/>
  <c r="P384" i="1"/>
  <c r="P204" i="1"/>
  <c r="R386" i="1"/>
  <c r="R114" i="1"/>
  <c r="R402" i="1"/>
  <c r="R204" i="1"/>
  <c r="S114" i="1"/>
  <c r="S300" i="1"/>
  <c r="S383" i="1"/>
  <c r="S221" i="1"/>
  <c r="S54" i="1"/>
  <c r="S136" i="1" s="1"/>
  <c r="U207" i="1"/>
  <c r="U387" i="1"/>
  <c r="O384" i="1"/>
  <c r="O383" i="1"/>
  <c r="H384" i="1"/>
  <c r="H204" i="1"/>
  <c r="H203" i="1"/>
  <c r="H221" i="1"/>
  <c r="AB166" i="1"/>
  <c r="AC166" i="1" s="1"/>
  <c r="H113" i="1"/>
  <c r="M425" i="1"/>
  <c r="I425" i="1"/>
  <c r="I35" i="1"/>
  <c r="I370" i="1" s="1"/>
  <c r="S440" i="1"/>
  <c r="K298" i="1"/>
  <c r="O116" i="1"/>
  <c r="H208" i="1"/>
  <c r="AB422" i="1"/>
  <c r="AC422" i="1" s="1"/>
  <c r="M390" i="1"/>
  <c r="AA402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52" i="1"/>
  <c r="AC352" i="1" s="1"/>
  <c r="AB51" i="1"/>
  <c r="AC51" i="1" s="1"/>
  <c r="R35" i="1"/>
  <c r="R376" i="1" s="1"/>
  <c r="S35" i="1"/>
  <c r="S86" i="1" s="1"/>
  <c r="K35" i="1"/>
  <c r="K86" i="1" s="1"/>
  <c r="AB255" i="1"/>
  <c r="AC255" i="1" s="1"/>
  <c r="AB434" i="1"/>
  <c r="AC434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8" i="1"/>
  <c r="AC338" i="1" s="1"/>
  <c r="AB339" i="1"/>
  <c r="AC339" i="1" s="1"/>
  <c r="AB340" i="1"/>
  <c r="AC340" i="1" s="1"/>
  <c r="AB341" i="1"/>
  <c r="AC341" i="1" s="1"/>
  <c r="AB342" i="1"/>
  <c r="AC342" i="1" s="1"/>
  <c r="AB343" i="1"/>
  <c r="AC343" i="1" s="1"/>
  <c r="AB345" i="1"/>
  <c r="AC345" i="1" s="1"/>
  <c r="AB350" i="1"/>
  <c r="AC350" i="1" s="1"/>
  <c r="O356" i="1"/>
  <c r="U109" i="1"/>
  <c r="U295" i="1"/>
  <c r="R403" i="1"/>
  <c r="R112" i="1"/>
  <c r="S210" i="1"/>
  <c r="S390" i="1"/>
  <c r="S302" i="1"/>
  <c r="U205" i="1"/>
  <c r="U222" i="1"/>
  <c r="U403" i="1"/>
  <c r="M203" i="1"/>
  <c r="M110" i="1"/>
  <c r="M402" i="1"/>
  <c r="M384" i="1"/>
  <c r="H24" i="1"/>
  <c r="AB21" i="1"/>
  <c r="AC21" i="1" s="1"/>
  <c r="AB353" i="1"/>
  <c r="AC353" i="1" s="1"/>
  <c r="AB15" i="1"/>
  <c r="AC15" i="1" s="1"/>
  <c r="I222" i="1"/>
  <c r="I403" i="1"/>
  <c r="I385" i="1"/>
  <c r="AA262" i="1"/>
  <c r="AB212" i="1"/>
  <c r="AC212" i="1" s="1"/>
  <c r="Y246" i="1"/>
  <c r="AB30" i="1"/>
  <c r="AC30" i="1" s="1"/>
  <c r="AA204" i="1"/>
  <c r="AA384" i="1"/>
  <c r="AA296" i="1"/>
  <c r="AA383" i="1"/>
  <c r="Y116" i="1"/>
  <c r="Y210" i="1"/>
  <c r="Y403" i="1"/>
  <c r="Y112" i="1"/>
  <c r="Y385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83" i="1"/>
  <c r="W54" i="1"/>
  <c r="W138" i="1" s="1"/>
  <c r="R302" i="1"/>
  <c r="R210" i="1"/>
  <c r="R54" i="1"/>
  <c r="R310" i="1" s="1"/>
  <c r="S406" i="1"/>
  <c r="S305" i="1"/>
  <c r="S119" i="1"/>
  <c r="U210" i="1"/>
  <c r="U116" i="1"/>
  <c r="U390" i="1"/>
  <c r="M404" i="1"/>
  <c r="M114" i="1"/>
  <c r="M386" i="1"/>
  <c r="M300" i="1"/>
  <c r="S356" i="1"/>
  <c r="AB354" i="1"/>
  <c r="AC354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O53" i="16"/>
  <c r="AB162" i="1"/>
  <c r="AC162" i="1" s="1"/>
  <c r="H205" i="1"/>
  <c r="H385" i="1"/>
  <c r="H112" i="1"/>
  <c r="H298" i="1"/>
  <c r="H109" i="1"/>
  <c r="H295" i="1"/>
  <c r="O262" i="1"/>
  <c r="AB389" i="1"/>
  <c r="AC389" i="1" s="1"/>
  <c r="I224" i="1"/>
  <c r="I115" i="1"/>
  <c r="P440" i="1"/>
  <c r="S262" i="1"/>
  <c r="AB438" i="1"/>
  <c r="AC438" i="1" s="1"/>
  <c r="AB433" i="1"/>
  <c r="AC433" i="1" s="1"/>
  <c r="AB421" i="1"/>
  <c r="AC421" i="1" s="1"/>
  <c r="P367" i="1"/>
  <c r="I440" i="1"/>
  <c r="AB260" i="1"/>
  <c r="AC260" i="1" s="1"/>
  <c r="AB250" i="1"/>
  <c r="AC250" i="1" s="1"/>
  <c r="I246" i="1"/>
  <c r="I388" i="1"/>
  <c r="I226" i="1"/>
  <c r="P203" i="1"/>
  <c r="P221" i="1"/>
  <c r="P383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5" i="1"/>
  <c r="K224" i="1"/>
  <c r="W118" i="1"/>
  <c r="W387" i="1"/>
  <c r="W207" i="1"/>
  <c r="W404" i="1"/>
  <c r="W114" i="1"/>
  <c r="R109" i="1"/>
  <c r="R295" i="1"/>
  <c r="S407" i="1"/>
  <c r="S117" i="1"/>
  <c r="S299" i="1"/>
  <c r="S113" i="1"/>
  <c r="K356" i="1"/>
  <c r="O367" i="1"/>
  <c r="AA180" i="1"/>
  <c r="S425" i="1"/>
  <c r="AA305" i="1"/>
  <c r="H356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7" i="1"/>
  <c r="AC437" i="1" s="1"/>
  <c r="AB432" i="1"/>
  <c r="AC432" i="1" s="1"/>
  <c r="AB428" i="1"/>
  <c r="AC428" i="1" s="1"/>
  <c r="H54" i="1"/>
  <c r="H202" i="1" s="1"/>
  <c r="AB50" i="1"/>
  <c r="AC50" i="1" s="1"/>
  <c r="AB244" i="1"/>
  <c r="AC244" i="1" s="1"/>
  <c r="AA54" i="1"/>
  <c r="AA220" i="1" s="1"/>
  <c r="AB29" i="1"/>
  <c r="AC29" i="1" s="1"/>
  <c r="Y54" i="1"/>
  <c r="Y382" i="1" s="1"/>
  <c r="AB32" i="1"/>
  <c r="AC32" i="1" s="1"/>
  <c r="AB28" i="1"/>
  <c r="AC28" i="1" s="1"/>
  <c r="R356" i="1"/>
  <c r="K440" i="1"/>
  <c r="AB243" i="1"/>
  <c r="AC243" i="1" s="1"/>
  <c r="K246" i="1"/>
  <c r="K302" i="1"/>
  <c r="K210" i="1"/>
  <c r="K116" i="1"/>
  <c r="K404" i="1"/>
  <c r="K206" i="1"/>
  <c r="K386" i="1"/>
  <c r="K223" i="1"/>
  <c r="K300" i="1"/>
  <c r="R262" i="1"/>
  <c r="R440" i="1"/>
  <c r="U440" i="1"/>
  <c r="U262" i="1"/>
  <c r="W440" i="1"/>
  <c r="Y440" i="1"/>
  <c r="W226" i="1"/>
  <c r="W117" i="1"/>
  <c r="W208" i="1"/>
  <c r="W407" i="1"/>
  <c r="W303" i="1"/>
  <c r="W388" i="1"/>
  <c r="P109" i="1"/>
  <c r="P35" i="1"/>
  <c r="AB351" i="1"/>
  <c r="AC351" i="1" s="1"/>
  <c r="M356" i="1"/>
  <c r="AB258" i="1"/>
  <c r="AC258" i="1" s="1"/>
  <c r="M262" i="1"/>
  <c r="AB155" i="1"/>
  <c r="AC155" i="1" s="1"/>
  <c r="U168" i="1"/>
  <c r="AB163" i="1"/>
  <c r="AC163" i="1" s="1"/>
  <c r="AB164" i="1"/>
  <c r="AC164" i="1" s="1"/>
  <c r="AB420" i="1"/>
  <c r="AC420" i="1" s="1"/>
  <c r="H425" i="1"/>
  <c r="AB259" i="1"/>
  <c r="AC259" i="1" s="1"/>
  <c r="AB241" i="1"/>
  <c r="AC241" i="1" s="1"/>
  <c r="AB31" i="1"/>
  <c r="AC31" i="1" s="1"/>
  <c r="AB27" i="1"/>
  <c r="AC27" i="1" s="1"/>
  <c r="I387" i="1"/>
  <c r="I207" i="1"/>
  <c r="I302" i="1"/>
  <c r="I210" i="1"/>
  <c r="I116" i="1"/>
  <c r="I109" i="1"/>
  <c r="I54" i="1"/>
  <c r="P425" i="1"/>
  <c r="AA111" i="1"/>
  <c r="AA297" i="1"/>
  <c r="AA35" i="1"/>
  <c r="AA194" i="1" s="1"/>
  <c r="R303" i="1"/>
  <c r="R388" i="1"/>
  <c r="R226" i="1"/>
  <c r="R299" i="1"/>
  <c r="R113" i="1"/>
  <c r="S207" i="1"/>
  <c r="S304" i="1"/>
  <c r="U203" i="1"/>
  <c r="U110" i="1"/>
  <c r="U296" i="1"/>
  <c r="U204" i="1"/>
  <c r="U221" i="1"/>
  <c r="U383" i="1"/>
  <c r="U384" i="1"/>
  <c r="U402" i="1"/>
  <c r="AB42" i="1"/>
  <c r="AC42" i="1" s="1"/>
  <c r="U35" i="1"/>
  <c r="AA168" i="1"/>
  <c r="AB154" i="1"/>
  <c r="AC154" i="1" s="1"/>
  <c r="AB152" i="1"/>
  <c r="AC152" i="1" s="1"/>
  <c r="AB436" i="1"/>
  <c r="AC436" i="1" s="1"/>
  <c r="AB431" i="1"/>
  <c r="AC431" i="1" s="1"/>
  <c r="AB423" i="1"/>
  <c r="AC423" i="1" s="1"/>
  <c r="AB419" i="1"/>
  <c r="AC419" i="1" s="1"/>
  <c r="AB257" i="1"/>
  <c r="AC257" i="1" s="1"/>
  <c r="AB252" i="1"/>
  <c r="AC252" i="1" s="1"/>
  <c r="H246" i="1"/>
  <c r="H302" i="1"/>
  <c r="H390" i="1"/>
  <c r="AB48" i="1"/>
  <c r="AC48" i="1" s="1"/>
  <c r="H116" i="1"/>
  <c r="AA386" i="1"/>
  <c r="AA114" i="1"/>
  <c r="AA206" i="1"/>
  <c r="AA223" i="1"/>
  <c r="R205" i="1"/>
  <c r="R385" i="1"/>
  <c r="R298" i="1"/>
  <c r="R222" i="1"/>
  <c r="H404" i="1"/>
  <c r="H386" i="1"/>
  <c r="O440" i="1"/>
  <c r="P246" i="1"/>
  <c r="S367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7" i="1"/>
  <c r="S405" i="1"/>
  <c r="S224" i="1"/>
  <c r="S301" i="1"/>
  <c r="S115" i="1"/>
  <c r="O225" i="1"/>
  <c r="O305" i="1"/>
  <c r="O406" i="1"/>
  <c r="O119" i="1"/>
  <c r="M298" i="1"/>
  <c r="M403" i="1"/>
  <c r="M222" i="1"/>
  <c r="AB209" i="1"/>
  <c r="AC209" i="1" s="1"/>
  <c r="I112" i="1"/>
  <c r="I298" i="1"/>
  <c r="AA440" i="1"/>
  <c r="W297" i="1"/>
  <c r="W111" i="1"/>
  <c r="U180" i="1"/>
  <c r="M246" i="1"/>
  <c r="I225" i="1"/>
  <c r="I305" i="1"/>
  <c r="U425" i="1"/>
  <c r="S385" i="1"/>
  <c r="S112" i="1"/>
  <c r="S298" i="1"/>
  <c r="S205" i="1"/>
  <c r="S222" i="1"/>
  <c r="O118" i="1"/>
  <c r="O304" i="1"/>
  <c r="O402" i="1"/>
  <c r="O204" i="1"/>
  <c r="O203" i="1"/>
  <c r="K168" i="1"/>
  <c r="S168" i="1"/>
  <c r="H440" i="1"/>
  <c r="AA425" i="1"/>
  <c r="S246" i="1"/>
  <c r="K425" i="1"/>
  <c r="W425" i="1"/>
  <c r="W180" i="1"/>
  <c r="K109" i="1"/>
  <c r="R246" i="1"/>
  <c r="O35" i="1"/>
  <c r="W35" i="1"/>
  <c r="G420" i="2"/>
  <c r="G493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33" i="2" s="1"/>
  <c r="Q20" i="15"/>
  <c r="O428" i="2"/>
  <c r="T467" i="2"/>
  <c r="T474" i="2" s="1"/>
  <c r="R424" i="2"/>
  <c r="R426" i="2" s="1"/>
  <c r="Q21" i="15"/>
  <c r="AG419" i="2"/>
  <c r="J43" i="15"/>
  <c r="J45" i="15" s="1"/>
  <c r="D6" i="9"/>
  <c r="F6" i="9" s="1"/>
  <c r="E43" i="15"/>
  <c r="E45" i="15" s="1"/>
  <c r="Q9" i="15"/>
  <c r="P414" i="2"/>
  <c r="AG414" i="2" s="1"/>
  <c r="AH414" i="2" s="1"/>
  <c r="L53" i="15"/>
  <c r="L55" i="15" s="1"/>
  <c r="O81" i="15"/>
  <c r="G423" i="2"/>
  <c r="G424" i="2" s="1"/>
  <c r="G425" i="2" s="1"/>
  <c r="M43" i="15"/>
  <c r="M45" i="15" s="1"/>
  <c r="Q17" i="15"/>
  <c r="Q12" i="15"/>
  <c r="L43" i="15"/>
  <c r="L45" i="15" s="1"/>
  <c r="Q22" i="15"/>
  <c r="D15" i="15"/>
  <c r="M420" i="2" s="1"/>
  <c r="O155" i="15"/>
  <c r="R155" i="15" s="1"/>
  <c r="I19" i="15" s="1"/>
  <c r="Q433" i="2" s="1"/>
  <c r="G53" i="15"/>
  <c r="G55" i="15" s="1"/>
  <c r="G460" i="2"/>
  <c r="Q15" i="15"/>
  <c r="Q14" i="15"/>
  <c r="D53" i="15"/>
  <c r="D55" i="15" s="1"/>
  <c r="H53" i="15"/>
  <c r="H55" i="15" s="1"/>
  <c r="E419" i="2"/>
  <c r="Q18" i="15"/>
  <c r="O141" i="15"/>
  <c r="S175" i="15"/>
  <c r="J21" i="15" s="1"/>
  <c r="S432" i="2" s="1"/>
  <c r="A59" i="15"/>
  <c r="J420" i="2"/>
  <c r="N12" i="15"/>
  <c r="A69" i="15"/>
  <c r="O145" i="15"/>
  <c r="R145" i="15" s="1"/>
  <c r="I18" i="15" s="1"/>
  <c r="P433" i="2" s="1"/>
  <c r="O165" i="15"/>
  <c r="R165" i="15" s="1"/>
  <c r="I20" i="15" s="1"/>
  <c r="R433" i="2" s="1"/>
  <c r="O175" i="15"/>
  <c r="R175" i="15" s="1"/>
  <c r="O107" i="15"/>
  <c r="F14" i="15" s="1"/>
  <c r="L435" i="2" s="1"/>
  <c r="P25" i="15"/>
  <c r="Q8" i="15"/>
  <c r="Q23" i="15"/>
  <c r="C47" i="15"/>
  <c r="AH429" i="2"/>
  <c r="Q424" i="2"/>
  <c r="Q426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20" i="2"/>
  <c r="D8" i="15"/>
  <c r="N47" i="15"/>
  <c r="O61" i="15"/>
  <c r="S195" i="15"/>
  <c r="J23" i="15" s="1"/>
  <c r="U432" i="2" s="1"/>
  <c r="P426" i="2"/>
  <c r="P425" i="2"/>
  <c r="P429" i="2" s="1"/>
  <c r="S426" i="2"/>
  <c r="S425" i="2"/>
  <c r="S429" i="2" s="1"/>
  <c r="O187" i="15"/>
  <c r="F22" i="15" s="1"/>
  <c r="T435" i="2" s="1"/>
  <c r="T453" i="2" s="1"/>
  <c r="T460" i="2" s="1"/>
  <c r="U425" i="2"/>
  <c r="N75" i="15"/>
  <c r="O177" i="15"/>
  <c r="F21" i="15" s="1"/>
  <c r="S435" i="2" s="1"/>
  <c r="S453" i="2" s="1"/>
  <c r="U428" i="2"/>
  <c r="P147" i="15"/>
  <c r="G18" i="15" s="1"/>
  <c r="P167" i="15"/>
  <c r="G20" i="15" s="1"/>
  <c r="O71" i="15"/>
  <c r="D11" i="15"/>
  <c r="O125" i="15"/>
  <c r="R125" i="15" s="1"/>
  <c r="I16" i="15" s="1"/>
  <c r="N433" i="2" s="1"/>
  <c r="F53" i="15"/>
  <c r="F55" i="15" s="1"/>
  <c r="S145" i="15"/>
  <c r="J18" i="15" s="1"/>
  <c r="P432" i="2" s="1"/>
  <c r="O185" i="15"/>
  <c r="R185" i="15" s="1"/>
  <c r="I22" i="15" s="1"/>
  <c r="T433" i="2" s="1"/>
  <c r="T486" i="2" s="1"/>
  <c r="A39" i="15"/>
  <c r="F75" i="15"/>
  <c r="J75" i="15"/>
  <c r="P107" i="15"/>
  <c r="G14" i="15" s="1"/>
  <c r="C25" i="15"/>
  <c r="M8" i="15"/>
  <c r="K53" i="15"/>
  <c r="K55" i="15" s="1"/>
  <c r="S165" i="15"/>
  <c r="J20" i="15" s="1"/>
  <c r="R432" i="2" s="1"/>
  <c r="E53" i="15"/>
  <c r="E55" i="15" s="1"/>
  <c r="I53" i="15"/>
  <c r="I55" i="15" s="1"/>
  <c r="M53" i="15"/>
  <c r="M55" i="15" s="1"/>
  <c r="P137" i="15"/>
  <c r="G17" i="15" s="1"/>
  <c r="O137" i="15"/>
  <c r="F17" i="15" s="1"/>
  <c r="O435" i="2" s="1"/>
  <c r="O453" i="2" s="1"/>
  <c r="D45" i="15"/>
  <c r="H483" i="2"/>
  <c r="H484" i="2" s="1"/>
  <c r="D17" i="15"/>
  <c r="O131" i="15"/>
  <c r="O151" i="15"/>
  <c r="D19" i="15"/>
  <c r="O161" i="15"/>
  <c r="D20" i="15"/>
  <c r="I423" i="2"/>
  <c r="M11" i="15"/>
  <c r="O117" i="15"/>
  <c r="F15" i="15" s="1"/>
  <c r="M435" i="2" s="1"/>
  <c r="M453" i="2" s="1"/>
  <c r="M483" i="2" s="1"/>
  <c r="M484" i="2" s="1"/>
  <c r="P117" i="15"/>
  <c r="G15" i="15" s="1"/>
  <c r="P127" i="15"/>
  <c r="G16" i="15" s="1"/>
  <c r="C76" i="15"/>
  <c r="C72" i="15" s="1"/>
  <c r="C73" i="15" s="1"/>
  <c r="C75" i="15" s="1"/>
  <c r="C200" i="15" s="1"/>
  <c r="D14" i="15"/>
  <c r="O195" i="15"/>
  <c r="R195" i="15" s="1"/>
  <c r="I23" i="15" s="1"/>
  <c r="U433" i="2" s="1"/>
  <c r="U486" i="2" s="1"/>
  <c r="P197" i="15"/>
  <c r="G23" i="15" s="1"/>
  <c r="O197" i="15"/>
  <c r="F23" i="15" s="1"/>
  <c r="U435" i="2" s="1"/>
  <c r="U453" i="2" s="1"/>
  <c r="U483" i="2" s="1"/>
  <c r="U484" i="2" s="1"/>
  <c r="M424" i="2"/>
  <c r="M426" i="2" s="1"/>
  <c r="M428" i="2" s="1"/>
  <c r="T425" i="2"/>
  <c r="T426" i="2"/>
  <c r="H43" i="15"/>
  <c r="H47" i="15"/>
  <c r="O147" i="15"/>
  <c r="F18" i="15" s="1"/>
  <c r="P435" i="2" s="1"/>
  <c r="P453" i="2" s="1"/>
  <c r="P177" i="15"/>
  <c r="G21" i="15" s="1"/>
  <c r="N424" i="2"/>
  <c r="N428" i="2"/>
  <c r="O157" i="15"/>
  <c r="F19" i="15" s="1"/>
  <c r="Q435" i="2" s="1"/>
  <c r="Q453" i="2" s="1"/>
  <c r="Q483" i="2" s="1"/>
  <c r="Q484" i="2" s="1"/>
  <c r="O171" i="15"/>
  <c r="D21" i="15"/>
  <c r="P187" i="15"/>
  <c r="G22" i="15" s="1"/>
  <c r="O127" i="15"/>
  <c r="F16" i="15" s="1"/>
  <c r="N435" i="2" s="1"/>
  <c r="N453" i="2" s="1"/>
  <c r="N483" i="2" s="1"/>
  <c r="N484" i="2" s="1"/>
  <c r="O425" i="2"/>
  <c r="O429" i="2" s="1"/>
  <c r="O426" i="2"/>
  <c r="G75" i="15"/>
  <c r="K75" i="15"/>
  <c r="O115" i="15"/>
  <c r="R115" i="15" s="1"/>
  <c r="S115" i="15"/>
  <c r="J15" i="15" s="1"/>
  <c r="M432" i="2" s="1"/>
  <c r="S135" i="15"/>
  <c r="J17" i="15" s="1"/>
  <c r="O432" i="2" s="1"/>
  <c r="P157" i="15"/>
  <c r="G19" i="15" s="1"/>
  <c r="S155" i="15"/>
  <c r="J19" i="15" s="1"/>
  <c r="Q432" i="2" s="1"/>
  <c r="O167" i="15"/>
  <c r="F20" i="15" s="1"/>
  <c r="R435" i="2" s="1"/>
  <c r="R453" i="2" s="1"/>
  <c r="R483" i="2" s="1"/>
  <c r="R484" i="2" s="1"/>
  <c r="S185" i="15"/>
  <c r="J22" i="15" s="1"/>
  <c r="T432" i="2" s="1"/>
  <c r="D11" i="9"/>
  <c r="F11" i="9" s="1"/>
  <c r="M13" i="15"/>
  <c r="K423" i="2"/>
  <c r="K424" i="2" s="1"/>
  <c r="K426" i="2" s="1"/>
  <c r="L423" i="2"/>
  <c r="M14" i="15"/>
  <c r="E76" i="15"/>
  <c r="E72" i="15" s="1"/>
  <c r="E73" i="15" s="1"/>
  <c r="E75" i="15" s="1"/>
  <c r="L75" i="15"/>
  <c r="D10" i="8"/>
  <c r="F10" i="8" s="1"/>
  <c r="M12" i="15"/>
  <c r="M76" i="15"/>
  <c r="M72" i="15" s="1"/>
  <c r="M73" i="15" s="1"/>
  <c r="M75" i="15" s="1"/>
  <c r="E84" i="15"/>
  <c r="H75" i="15"/>
  <c r="S125" i="15"/>
  <c r="J16" i="15" s="1"/>
  <c r="N432" i="2" s="1"/>
  <c r="D75" i="15"/>
  <c r="K420" i="2"/>
  <c r="K493" i="2" s="1"/>
  <c r="N13" i="15"/>
  <c r="P422" i="2"/>
  <c r="P493" i="2"/>
  <c r="U439" i="2"/>
  <c r="U467" i="2"/>
  <c r="G126" i="1"/>
  <c r="I483" i="2"/>
  <c r="I460" i="2"/>
  <c r="N18" i="15"/>
  <c r="G416" i="1"/>
  <c r="H423" i="2"/>
  <c r="A89" i="15"/>
  <c r="D9" i="8"/>
  <c r="D9" i="9"/>
  <c r="F9" i="9" s="1"/>
  <c r="F8" i="8"/>
  <c r="I73" i="15"/>
  <c r="I75" i="15" s="1"/>
  <c r="H152" i="18" a="1"/>
  <c r="S386" i="1"/>
  <c r="A49" i="15"/>
  <c r="D8" i="9"/>
  <c r="F8" i="9" s="1"/>
  <c r="Z484" i="2"/>
  <c r="M10" i="15"/>
  <c r="A79" i="15"/>
  <c r="D10" i="9"/>
  <c r="F10" i="9" s="1"/>
  <c r="D11" i="8"/>
  <c r="F11" i="8" s="1"/>
  <c r="H93" i="18" a="1"/>
  <c r="F420" i="2" l="1"/>
  <c r="M26" i="15"/>
  <c r="K428" i="2"/>
  <c r="K429" i="2"/>
  <c r="F429" i="2"/>
  <c r="L453" i="2"/>
  <c r="L460" i="2" s="1"/>
  <c r="F442" i="1"/>
  <c r="F237" i="1"/>
  <c r="F285" i="1" s="1"/>
  <c r="F330" i="1" s="1"/>
  <c r="P400" i="2"/>
  <c r="P344" i="2"/>
  <c r="P341" i="2"/>
  <c r="P358" i="2" s="1"/>
  <c r="P343" i="2"/>
  <c r="P360" i="2" s="1"/>
  <c r="P342" i="2"/>
  <c r="P359" i="2" s="1"/>
  <c r="U139" i="1"/>
  <c r="G422" i="2"/>
  <c r="M460" i="2"/>
  <c r="O103" i="15"/>
  <c r="N422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7" i="1"/>
  <c r="S347" i="1" s="1"/>
  <c r="S358" i="1" s="1"/>
  <c r="S106" i="1"/>
  <c r="AA149" i="1"/>
  <c r="AA159" i="1" s="1"/>
  <c r="AA170" i="1" s="1"/>
  <c r="AA85" i="1"/>
  <c r="M337" i="1"/>
  <c r="M347" i="1" s="1"/>
  <c r="M149" i="1"/>
  <c r="M159" i="1" s="1"/>
  <c r="M80" i="1"/>
  <c r="M85" i="1"/>
  <c r="AA80" i="1"/>
  <c r="R337" i="1"/>
  <c r="R347" i="1" s="1"/>
  <c r="R358" i="1" s="1"/>
  <c r="AA106" i="1"/>
  <c r="AA337" i="1"/>
  <c r="AA347" i="1" s="1"/>
  <c r="AA358" i="1" s="1"/>
  <c r="T483" i="2"/>
  <c r="T484" i="2" s="1"/>
  <c r="S65" i="15"/>
  <c r="J10" i="15" s="1"/>
  <c r="H432" i="2" s="1"/>
  <c r="F428" i="2"/>
  <c r="I194" i="1"/>
  <c r="I376" i="1"/>
  <c r="W136" i="1"/>
  <c r="U89" i="1"/>
  <c r="U401" i="1"/>
  <c r="H185" i="1"/>
  <c r="R188" i="1"/>
  <c r="U137" i="1"/>
  <c r="Y408" i="1"/>
  <c r="U138" i="1"/>
  <c r="U78" i="1"/>
  <c r="U310" i="1"/>
  <c r="R86" i="1"/>
  <c r="U391" i="1"/>
  <c r="M391" i="1"/>
  <c r="K188" i="1"/>
  <c r="AA136" i="1"/>
  <c r="H196" i="1"/>
  <c r="M211" i="1"/>
  <c r="H188" i="1"/>
  <c r="AA196" i="1"/>
  <c r="M382" i="1"/>
  <c r="R85" i="1"/>
  <c r="M310" i="1"/>
  <c r="S107" i="1"/>
  <c r="I183" i="1"/>
  <c r="M306" i="1"/>
  <c r="AA189" i="1"/>
  <c r="Y85" i="1"/>
  <c r="M202" i="1"/>
  <c r="S183" i="1"/>
  <c r="AA373" i="1"/>
  <c r="H306" i="1"/>
  <c r="AA192" i="1"/>
  <c r="R192" i="1"/>
  <c r="M183" i="1"/>
  <c r="W106" i="1"/>
  <c r="P170" i="1"/>
  <c r="Y337" i="1"/>
  <c r="Y347" i="1" s="1"/>
  <c r="Y358" i="1" s="1"/>
  <c r="M89" i="1"/>
  <c r="M105" i="1"/>
  <c r="I375" i="1"/>
  <c r="I191" i="1"/>
  <c r="R294" i="1"/>
  <c r="M196" i="1"/>
  <c r="R194" i="1"/>
  <c r="Y80" i="1"/>
  <c r="Y149" i="1"/>
  <c r="Y159" i="1" s="1"/>
  <c r="Y170" i="1" s="1"/>
  <c r="H187" i="1"/>
  <c r="H183" i="1"/>
  <c r="P80" i="1"/>
  <c r="K371" i="1"/>
  <c r="H190" i="1"/>
  <c r="H189" i="1"/>
  <c r="P337" i="1"/>
  <c r="P347" i="1" s="1"/>
  <c r="P358" i="1" s="1"/>
  <c r="M392" i="1"/>
  <c r="H191" i="1"/>
  <c r="R193" i="1"/>
  <c r="Y106" i="1"/>
  <c r="H186" i="1"/>
  <c r="K190" i="1"/>
  <c r="H194" i="1"/>
  <c r="H376" i="1"/>
  <c r="AB304" i="1"/>
  <c r="AC304" i="1" s="1"/>
  <c r="Y189" i="1"/>
  <c r="K394" i="1"/>
  <c r="I372" i="1"/>
  <c r="S186" i="1"/>
  <c r="I189" i="1"/>
  <c r="S370" i="1"/>
  <c r="I186" i="1"/>
  <c r="U136" i="1"/>
  <c r="Y227" i="1"/>
  <c r="I196" i="1"/>
  <c r="I197" i="1"/>
  <c r="I185" i="1"/>
  <c r="U202" i="1"/>
  <c r="U392" i="1"/>
  <c r="U56" i="1"/>
  <c r="U64" i="1" s="1"/>
  <c r="R375" i="1"/>
  <c r="R370" i="1"/>
  <c r="W382" i="1"/>
  <c r="S202" i="1"/>
  <c r="U105" i="1"/>
  <c r="U220" i="1"/>
  <c r="W149" i="1"/>
  <c r="W159" i="1" s="1"/>
  <c r="W170" i="1" s="1"/>
  <c r="I190" i="1"/>
  <c r="R377" i="1"/>
  <c r="K85" i="1"/>
  <c r="I192" i="1"/>
  <c r="I373" i="1"/>
  <c r="I188" i="1"/>
  <c r="S189" i="1"/>
  <c r="S191" i="1"/>
  <c r="W401" i="1"/>
  <c r="W391" i="1"/>
  <c r="I377" i="1"/>
  <c r="U227" i="1"/>
  <c r="I86" i="1"/>
  <c r="I107" i="1"/>
  <c r="I374" i="1"/>
  <c r="I195" i="1"/>
  <c r="U306" i="1"/>
  <c r="I56" i="1"/>
  <c r="I10" i="1" s="1"/>
  <c r="R374" i="1"/>
  <c r="U87" i="1"/>
  <c r="S306" i="1"/>
  <c r="U408" i="1"/>
  <c r="R195" i="1"/>
  <c r="AB203" i="1"/>
  <c r="AC203" i="1" s="1"/>
  <c r="K196" i="1"/>
  <c r="Y89" i="1"/>
  <c r="R371" i="1"/>
  <c r="R373" i="1"/>
  <c r="R186" i="1"/>
  <c r="M191" i="1"/>
  <c r="M194" i="1"/>
  <c r="S139" i="1"/>
  <c r="R184" i="1"/>
  <c r="R293" i="1"/>
  <c r="W337" i="1"/>
  <c r="W347" i="1" s="1"/>
  <c r="W358" i="1" s="1"/>
  <c r="R185" i="1"/>
  <c r="R191" i="1"/>
  <c r="R149" i="1"/>
  <c r="R159" i="1" s="1"/>
  <c r="R170" i="1" s="1"/>
  <c r="R80" i="1"/>
  <c r="I106" i="1"/>
  <c r="AB117" i="1"/>
  <c r="AC117" i="1" s="1"/>
  <c r="Y391" i="1"/>
  <c r="K376" i="1"/>
  <c r="M188" i="1"/>
  <c r="Y87" i="1"/>
  <c r="R190" i="1"/>
  <c r="R107" i="1"/>
  <c r="R197" i="1"/>
  <c r="R372" i="1"/>
  <c r="M186" i="1"/>
  <c r="R183" i="1"/>
  <c r="R187" i="1"/>
  <c r="AB110" i="1"/>
  <c r="AC110" i="1" s="1"/>
  <c r="K183" i="1"/>
  <c r="K372" i="1"/>
  <c r="R227" i="1"/>
  <c r="R401" i="1"/>
  <c r="M189" i="1"/>
  <c r="M377" i="1"/>
  <c r="M371" i="1"/>
  <c r="M107" i="1"/>
  <c r="M184" i="1"/>
  <c r="I293" i="1"/>
  <c r="K189" i="1"/>
  <c r="AA186" i="1"/>
  <c r="H139" i="1"/>
  <c r="Y220" i="1"/>
  <c r="K184" i="1"/>
  <c r="K374" i="1"/>
  <c r="K192" i="1"/>
  <c r="K197" i="1"/>
  <c r="S197" i="1"/>
  <c r="K191" i="1"/>
  <c r="M190" i="1"/>
  <c r="S377" i="1"/>
  <c r="H87" i="1"/>
  <c r="Y213" i="1"/>
  <c r="AA188" i="1"/>
  <c r="AA376" i="1"/>
  <c r="AA86" i="1"/>
  <c r="AB204" i="1"/>
  <c r="AC204" i="1" s="1"/>
  <c r="Y306" i="1"/>
  <c r="H89" i="1"/>
  <c r="Y197" i="1"/>
  <c r="K410" i="1"/>
  <c r="M376" i="1"/>
  <c r="M187" i="1"/>
  <c r="M86" i="1"/>
  <c r="M193" i="1"/>
  <c r="I80" i="1"/>
  <c r="K375" i="1"/>
  <c r="AB221" i="1"/>
  <c r="AC221" i="1" s="1"/>
  <c r="O85" i="1"/>
  <c r="K373" i="1"/>
  <c r="AA294" i="1"/>
  <c r="Y78" i="1"/>
  <c r="K185" i="1"/>
  <c r="K187" i="1"/>
  <c r="M375" i="1"/>
  <c r="AA107" i="1"/>
  <c r="Y211" i="1"/>
  <c r="AA191" i="1"/>
  <c r="AA184" i="1"/>
  <c r="AA183" i="1"/>
  <c r="AA195" i="1"/>
  <c r="K377" i="1"/>
  <c r="AB119" i="1"/>
  <c r="AC119" i="1" s="1"/>
  <c r="K337" i="1"/>
  <c r="K347" i="1" s="1"/>
  <c r="K358" i="1" s="1"/>
  <c r="K293" i="1"/>
  <c r="K106" i="1"/>
  <c r="K193" i="1"/>
  <c r="AA190" i="1"/>
  <c r="S187" i="1"/>
  <c r="H227" i="1"/>
  <c r="Y139" i="1"/>
  <c r="K186" i="1"/>
  <c r="K107" i="1"/>
  <c r="K195" i="1"/>
  <c r="E440" i="2"/>
  <c r="E447" i="2" s="1"/>
  <c r="S184" i="1"/>
  <c r="AA185" i="1"/>
  <c r="H108" i="1"/>
  <c r="Y401" i="1"/>
  <c r="AA372" i="1"/>
  <c r="AA187" i="1"/>
  <c r="K370" i="1"/>
  <c r="H78" i="1"/>
  <c r="R56" i="1"/>
  <c r="R65" i="1" s="1"/>
  <c r="M370" i="1"/>
  <c r="M372" i="1"/>
  <c r="M185" i="1"/>
  <c r="S376" i="1"/>
  <c r="K194" i="1"/>
  <c r="S188" i="1"/>
  <c r="K149" i="1"/>
  <c r="K159" i="1" s="1"/>
  <c r="K170" i="1" s="1"/>
  <c r="S213" i="1"/>
  <c r="S89" i="1"/>
  <c r="S391" i="1"/>
  <c r="H377" i="1"/>
  <c r="S190" i="1"/>
  <c r="H391" i="1"/>
  <c r="H372" i="1"/>
  <c r="H197" i="1"/>
  <c r="H375" i="1"/>
  <c r="S372" i="1"/>
  <c r="S195" i="1"/>
  <c r="S373" i="1"/>
  <c r="H136" i="1"/>
  <c r="P85" i="1"/>
  <c r="H138" i="1"/>
  <c r="Y374" i="1"/>
  <c r="R220" i="1"/>
  <c r="AB356" i="1"/>
  <c r="AC356" i="1" s="1"/>
  <c r="R392" i="1"/>
  <c r="S108" i="1"/>
  <c r="S310" i="1"/>
  <c r="S78" i="1"/>
  <c r="S220" i="1"/>
  <c r="H373" i="1"/>
  <c r="H192" i="1"/>
  <c r="S371" i="1"/>
  <c r="S87" i="1"/>
  <c r="U149" i="1"/>
  <c r="U159" i="1" s="1"/>
  <c r="U170" i="1" s="1"/>
  <c r="U85" i="1"/>
  <c r="U293" i="1"/>
  <c r="U337" i="1"/>
  <c r="U347" i="1" s="1"/>
  <c r="U358" i="1" s="1"/>
  <c r="U80" i="1"/>
  <c r="I149" i="1"/>
  <c r="I159" i="1" s="1"/>
  <c r="I170" i="1" s="1"/>
  <c r="I337" i="1"/>
  <c r="I347" i="1" s="1"/>
  <c r="I358" i="1" s="1"/>
  <c r="K56" i="1"/>
  <c r="K294" i="1"/>
  <c r="Y294" i="1"/>
  <c r="Y188" i="1"/>
  <c r="R136" i="1"/>
  <c r="R108" i="1"/>
  <c r="R408" i="1"/>
  <c r="H107" i="1"/>
  <c r="S227" i="1"/>
  <c r="S392" i="1"/>
  <c r="S105" i="1"/>
  <c r="S211" i="1"/>
  <c r="S138" i="1"/>
  <c r="H56" i="1"/>
  <c r="H66" i="1" s="1"/>
  <c r="H86" i="1"/>
  <c r="AB407" i="1"/>
  <c r="AC407" i="1" s="1"/>
  <c r="P106" i="1"/>
  <c r="S382" i="1"/>
  <c r="O106" i="1"/>
  <c r="O293" i="1"/>
  <c r="O149" i="1"/>
  <c r="O159" i="1" s="1"/>
  <c r="O170" i="1" s="1"/>
  <c r="S294" i="1"/>
  <c r="S193" i="1"/>
  <c r="S196" i="1"/>
  <c r="S192" i="1"/>
  <c r="H370" i="1"/>
  <c r="S56" i="1"/>
  <c r="S73" i="1" s="1"/>
  <c r="H220" i="1"/>
  <c r="H374" i="1"/>
  <c r="H371" i="1"/>
  <c r="H184" i="1"/>
  <c r="S185" i="1"/>
  <c r="H193" i="1"/>
  <c r="S374" i="1"/>
  <c r="H382" i="1"/>
  <c r="H105" i="1"/>
  <c r="AB402" i="1"/>
  <c r="AC402" i="1" s="1"/>
  <c r="AB406" i="1"/>
  <c r="AC406" i="1" s="1"/>
  <c r="P293" i="1"/>
  <c r="AB384" i="1"/>
  <c r="AC384" i="1" s="1"/>
  <c r="AB296" i="1"/>
  <c r="AC296" i="1" s="1"/>
  <c r="AB207" i="1"/>
  <c r="AC207" i="1" s="1"/>
  <c r="AB388" i="1"/>
  <c r="AC388" i="1" s="1"/>
  <c r="AB116" i="1"/>
  <c r="AC116" i="1" s="1"/>
  <c r="AB387" i="1"/>
  <c r="AC387" i="1" s="1"/>
  <c r="Y56" i="1"/>
  <c r="Y10" i="1" s="1"/>
  <c r="Y107" i="1"/>
  <c r="R202" i="1"/>
  <c r="S401" i="1"/>
  <c r="S408" i="1"/>
  <c r="S137" i="1"/>
  <c r="H294" i="1"/>
  <c r="AB295" i="1"/>
  <c r="AC295" i="1" s="1"/>
  <c r="AB262" i="1"/>
  <c r="AC262" i="1" s="1"/>
  <c r="S194" i="1"/>
  <c r="S375" i="1"/>
  <c r="O337" i="1"/>
  <c r="O347" i="1" s="1"/>
  <c r="O358" i="1" s="1"/>
  <c r="W293" i="1"/>
  <c r="W85" i="1"/>
  <c r="R189" i="1"/>
  <c r="R196" i="1"/>
  <c r="I184" i="1"/>
  <c r="I371" i="1"/>
  <c r="I193" i="1"/>
  <c r="I294" i="1"/>
  <c r="I187" i="1"/>
  <c r="H337" i="1"/>
  <c r="H347" i="1" s="1"/>
  <c r="H358" i="1" s="1"/>
  <c r="H80" i="1"/>
  <c r="H85" i="1"/>
  <c r="H293" i="1"/>
  <c r="H149" i="1"/>
  <c r="H159" i="1" s="1"/>
  <c r="H170" i="1" s="1"/>
  <c r="H106" i="1"/>
  <c r="AB305" i="1"/>
  <c r="AC305" i="1" s="1"/>
  <c r="AB390" i="1"/>
  <c r="AC390" i="1" s="1"/>
  <c r="AB210" i="1"/>
  <c r="AC210" i="1" s="1"/>
  <c r="AB425" i="1"/>
  <c r="AC425" i="1" s="1"/>
  <c r="AA138" i="1"/>
  <c r="AB24" i="1"/>
  <c r="AC24" i="1" s="1"/>
  <c r="W392" i="1"/>
  <c r="W105" i="1"/>
  <c r="W137" i="1"/>
  <c r="W227" i="1"/>
  <c r="W213" i="1"/>
  <c r="W211" i="1"/>
  <c r="W78" i="1"/>
  <c r="W202" i="1"/>
  <c r="W89" i="1"/>
  <c r="W310" i="1"/>
  <c r="W306" i="1"/>
  <c r="M408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92" i="1"/>
  <c r="Y137" i="1"/>
  <c r="R211" i="1"/>
  <c r="R306" i="1"/>
  <c r="R105" i="1"/>
  <c r="R137" i="1"/>
  <c r="R89" i="1"/>
  <c r="R391" i="1"/>
  <c r="R78" i="1"/>
  <c r="R87" i="1"/>
  <c r="R382" i="1"/>
  <c r="R138" i="1"/>
  <c r="R139" i="1"/>
  <c r="R213" i="1"/>
  <c r="M374" i="1"/>
  <c r="M192" i="1"/>
  <c r="M195" i="1"/>
  <c r="M373" i="1"/>
  <c r="M197" i="1"/>
  <c r="AA202" i="1"/>
  <c r="AA89" i="1"/>
  <c r="AA137" i="1"/>
  <c r="AA310" i="1"/>
  <c r="AA392" i="1"/>
  <c r="AA105" i="1"/>
  <c r="AA139" i="1"/>
  <c r="AA213" i="1"/>
  <c r="AA401" i="1"/>
  <c r="AA108" i="1"/>
  <c r="AA408" i="1"/>
  <c r="AA391" i="1"/>
  <c r="AA78" i="1"/>
  <c r="AA227" i="1"/>
  <c r="AA229" i="1" s="1"/>
  <c r="AB383" i="1"/>
  <c r="AC383" i="1" s="1"/>
  <c r="AA211" i="1"/>
  <c r="M139" i="1"/>
  <c r="M401" i="1"/>
  <c r="M136" i="1"/>
  <c r="M137" i="1"/>
  <c r="M213" i="1"/>
  <c r="M108" i="1"/>
  <c r="M56" i="1"/>
  <c r="M66" i="1" s="1"/>
  <c r="AB440" i="1"/>
  <c r="AC440" i="1" s="1"/>
  <c r="AB226" i="1"/>
  <c r="AC226" i="1" s="1"/>
  <c r="AA382" i="1"/>
  <c r="AA306" i="1"/>
  <c r="W108" i="1"/>
  <c r="K229" i="1"/>
  <c r="W408" i="1"/>
  <c r="W220" i="1"/>
  <c r="M78" i="1"/>
  <c r="M227" i="1"/>
  <c r="H137" i="1"/>
  <c r="H408" i="1"/>
  <c r="H310" i="1"/>
  <c r="H401" i="1"/>
  <c r="H211" i="1"/>
  <c r="H392" i="1"/>
  <c r="H213" i="1"/>
  <c r="U108" i="1"/>
  <c r="U211" i="1"/>
  <c r="U382" i="1"/>
  <c r="Y86" i="1"/>
  <c r="Y196" i="1"/>
  <c r="Y373" i="1"/>
  <c r="Y370" i="1"/>
  <c r="Y195" i="1"/>
  <c r="Y184" i="1"/>
  <c r="Y192" i="1"/>
  <c r="Y376" i="1"/>
  <c r="Y375" i="1"/>
  <c r="Y186" i="1"/>
  <c r="Y187" i="1"/>
  <c r="Y183" i="1"/>
  <c r="Y194" i="1"/>
  <c r="Y377" i="1"/>
  <c r="Y193" i="1"/>
  <c r="Y371" i="1"/>
  <c r="Y185" i="1"/>
  <c r="Y191" i="1"/>
  <c r="Y372" i="1"/>
  <c r="AB168" i="1"/>
  <c r="AC168" i="1" s="1"/>
  <c r="O192" i="1"/>
  <c r="O189" i="1"/>
  <c r="O190" i="1"/>
  <c r="O373" i="1"/>
  <c r="O375" i="1"/>
  <c r="O86" i="1"/>
  <c r="O191" i="1"/>
  <c r="O183" i="1"/>
  <c r="O376" i="1"/>
  <c r="O186" i="1"/>
  <c r="O107" i="1"/>
  <c r="O370" i="1"/>
  <c r="O188" i="1"/>
  <c r="O195" i="1"/>
  <c r="O294" i="1"/>
  <c r="O196" i="1"/>
  <c r="O194" i="1"/>
  <c r="O185" i="1"/>
  <c r="O374" i="1"/>
  <c r="O187" i="1"/>
  <c r="O193" i="1"/>
  <c r="O377" i="1"/>
  <c r="O197" i="1"/>
  <c r="O184" i="1"/>
  <c r="O372" i="1"/>
  <c r="O371" i="1"/>
  <c r="AB246" i="1"/>
  <c r="AC246" i="1" s="1"/>
  <c r="AA371" i="1"/>
  <c r="AA374" i="1"/>
  <c r="AA377" i="1"/>
  <c r="AA197" i="1"/>
  <c r="AA375" i="1"/>
  <c r="AA193" i="1"/>
  <c r="AA370" i="1"/>
  <c r="I139" i="1"/>
  <c r="I213" i="1"/>
  <c r="I391" i="1"/>
  <c r="I211" i="1"/>
  <c r="I310" i="1"/>
  <c r="I136" i="1"/>
  <c r="I382" i="1"/>
  <c r="I227" i="1"/>
  <c r="I138" i="1"/>
  <c r="I78" i="1"/>
  <c r="I392" i="1"/>
  <c r="I306" i="1"/>
  <c r="I87" i="1"/>
  <c r="I105" i="1"/>
  <c r="I108" i="1"/>
  <c r="I137" i="1"/>
  <c r="I220" i="1"/>
  <c r="I202" i="1"/>
  <c r="I89" i="1"/>
  <c r="I401" i="1"/>
  <c r="I408" i="1"/>
  <c r="P186" i="1"/>
  <c r="P194" i="1"/>
  <c r="P197" i="1"/>
  <c r="P86" i="1"/>
  <c r="P372" i="1"/>
  <c r="P189" i="1"/>
  <c r="P183" i="1"/>
  <c r="P188" i="1"/>
  <c r="P370" i="1"/>
  <c r="P371" i="1"/>
  <c r="P375" i="1"/>
  <c r="P185" i="1"/>
  <c r="P373" i="1"/>
  <c r="P377" i="1"/>
  <c r="P187" i="1"/>
  <c r="P376" i="1"/>
  <c r="P196" i="1"/>
  <c r="P374" i="1"/>
  <c r="P191" i="1"/>
  <c r="P294" i="1"/>
  <c r="P107" i="1"/>
  <c r="P190" i="1"/>
  <c r="P193" i="1"/>
  <c r="P192" i="1"/>
  <c r="P184" i="1"/>
  <c r="P195" i="1"/>
  <c r="W196" i="1"/>
  <c r="W86" i="1"/>
  <c r="W371" i="1"/>
  <c r="W192" i="1"/>
  <c r="W194" i="1"/>
  <c r="W372" i="1"/>
  <c r="W189" i="1"/>
  <c r="W183" i="1"/>
  <c r="W188" i="1"/>
  <c r="W374" i="1"/>
  <c r="W193" i="1"/>
  <c r="W375" i="1"/>
  <c r="W195" i="1"/>
  <c r="W197" i="1"/>
  <c r="W190" i="1"/>
  <c r="W191" i="1"/>
  <c r="W373" i="1"/>
  <c r="W294" i="1"/>
  <c r="W370" i="1"/>
  <c r="W186" i="1"/>
  <c r="W187" i="1"/>
  <c r="W56" i="1"/>
  <c r="W185" i="1"/>
  <c r="W377" i="1"/>
  <c r="W107" i="1"/>
  <c r="W184" i="1"/>
  <c r="W376" i="1"/>
  <c r="U86" i="1"/>
  <c r="U375" i="1"/>
  <c r="U192" i="1"/>
  <c r="U184" i="1"/>
  <c r="U185" i="1"/>
  <c r="U190" i="1"/>
  <c r="U194" i="1"/>
  <c r="U187" i="1"/>
  <c r="U196" i="1"/>
  <c r="U188" i="1"/>
  <c r="U191" i="1"/>
  <c r="U294" i="1"/>
  <c r="U377" i="1"/>
  <c r="U376" i="1"/>
  <c r="U371" i="1"/>
  <c r="U193" i="1"/>
  <c r="U372" i="1"/>
  <c r="U370" i="1"/>
  <c r="U107" i="1"/>
  <c r="U374" i="1"/>
  <c r="U186" i="1"/>
  <c r="U373" i="1"/>
  <c r="U195" i="1"/>
  <c r="U183" i="1"/>
  <c r="U189" i="1"/>
  <c r="U197" i="1"/>
  <c r="AB109" i="1"/>
  <c r="AC109" i="1" s="1"/>
  <c r="AB35" i="1"/>
  <c r="AC35" i="1" s="1"/>
  <c r="S95" i="15"/>
  <c r="J13" i="15" s="1"/>
  <c r="K432" i="2" s="1"/>
  <c r="O65" i="15"/>
  <c r="R65" i="15" s="1"/>
  <c r="S55" i="15"/>
  <c r="J9" i="15" s="1"/>
  <c r="G432" i="2" s="1"/>
  <c r="R460" i="2"/>
  <c r="U460" i="2"/>
  <c r="N15" i="15"/>
  <c r="X360" i="2"/>
  <c r="S313" i="2"/>
  <c r="N8" i="15"/>
  <c r="Z347" i="2"/>
  <c r="AB360" i="2"/>
  <c r="O313" i="2"/>
  <c r="L347" i="2"/>
  <c r="G347" i="2"/>
  <c r="Y360" i="2"/>
  <c r="H347" i="2"/>
  <c r="Q313" i="2"/>
  <c r="R425" i="2"/>
  <c r="R429" i="2" s="1"/>
  <c r="Z313" i="2"/>
  <c r="M347" i="2"/>
  <c r="W347" i="2"/>
  <c r="W360" i="2"/>
  <c r="F313" i="2"/>
  <c r="F408" i="2" s="1"/>
  <c r="U313" i="2"/>
  <c r="N347" i="2"/>
  <c r="R313" i="2"/>
  <c r="X347" i="2"/>
  <c r="T165" i="15"/>
  <c r="K20" i="15" s="1"/>
  <c r="R431" i="2" s="1"/>
  <c r="P313" i="2"/>
  <c r="AH419" i="2"/>
  <c r="AA347" i="2"/>
  <c r="AA313" i="2"/>
  <c r="G426" i="2"/>
  <c r="G429" i="2" s="1"/>
  <c r="AA360" i="2"/>
  <c r="H313" i="2"/>
  <c r="AD313" i="2"/>
  <c r="Y347" i="2"/>
  <c r="Y313" i="2"/>
  <c r="G313" i="2"/>
  <c r="G408" i="2" s="1"/>
  <c r="O347" i="2"/>
  <c r="AF313" i="2"/>
  <c r="AF347" i="2"/>
  <c r="T313" i="2"/>
  <c r="S428" i="2"/>
  <c r="V347" i="2"/>
  <c r="K313" i="2"/>
  <c r="P347" i="2"/>
  <c r="K347" i="2"/>
  <c r="I313" i="2"/>
  <c r="AB313" i="2"/>
  <c r="J313" i="2"/>
  <c r="AE313" i="2"/>
  <c r="AF360" i="2"/>
  <c r="S347" i="2"/>
  <c r="T347" i="2"/>
  <c r="F347" i="2"/>
  <c r="AC313" i="2"/>
  <c r="AE360" i="2"/>
  <c r="AC347" i="2"/>
  <c r="Q425" i="2"/>
  <c r="Q429" i="2" s="1"/>
  <c r="R347" i="2"/>
  <c r="Z360" i="2"/>
  <c r="AD360" i="2"/>
  <c r="V313" i="2"/>
  <c r="AD347" i="2"/>
  <c r="W313" i="2"/>
  <c r="X313" i="2"/>
  <c r="V360" i="2"/>
  <c r="U347" i="2"/>
  <c r="AE347" i="2"/>
  <c r="I347" i="2"/>
  <c r="AC360" i="2"/>
  <c r="M313" i="2"/>
  <c r="L313" i="2"/>
  <c r="N313" i="2"/>
  <c r="Q347" i="2"/>
  <c r="J347" i="2"/>
  <c r="T145" i="15"/>
  <c r="K18" i="15" s="1"/>
  <c r="P431" i="2" s="1"/>
  <c r="H422" i="2"/>
  <c r="H493" i="2"/>
  <c r="N460" i="2"/>
  <c r="O55" i="15"/>
  <c r="R55" i="15" s="1"/>
  <c r="I9" i="15" s="1"/>
  <c r="G433" i="2" s="1"/>
  <c r="N22" i="15"/>
  <c r="T420" i="2"/>
  <c r="U420" i="2"/>
  <c r="N23" i="15"/>
  <c r="T175" i="15"/>
  <c r="K21" i="15" s="1"/>
  <c r="S431" i="2" s="1"/>
  <c r="I21" i="15"/>
  <c r="S433" i="2" s="1"/>
  <c r="J422" i="2"/>
  <c r="Q53" i="15"/>
  <c r="H9" i="15" s="1"/>
  <c r="G434" i="2" s="1"/>
  <c r="P428" i="2"/>
  <c r="O53" i="15"/>
  <c r="S483" i="2"/>
  <c r="S484" i="2" s="1"/>
  <c r="S460" i="2"/>
  <c r="F493" i="2"/>
  <c r="F422" i="2"/>
  <c r="AD411" i="2"/>
  <c r="M25" i="15"/>
  <c r="T195" i="15"/>
  <c r="K23" i="15" s="1"/>
  <c r="U431" i="2" s="1"/>
  <c r="Q460" i="2"/>
  <c r="N11" i="15"/>
  <c r="I420" i="2"/>
  <c r="I15" i="15"/>
  <c r="M433" i="2" s="1"/>
  <c r="T115" i="15"/>
  <c r="K15" i="15" s="1"/>
  <c r="M431" i="2" s="1"/>
  <c r="N21" i="15"/>
  <c r="S420" i="2"/>
  <c r="H45" i="15"/>
  <c r="S45" i="15" s="1"/>
  <c r="J8" i="15" s="1"/>
  <c r="F432" i="2" s="1"/>
  <c r="O43" i="15"/>
  <c r="M425" i="2"/>
  <c r="M429" i="2" s="1"/>
  <c r="N14" i="15"/>
  <c r="L420" i="2"/>
  <c r="L493" i="2" s="1"/>
  <c r="D25" i="15"/>
  <c r="Q420" i="2"/>
  <c r="N19" i="15"/>
  <c r="T135" i="15"/>
  <c r="K17" i="15" s="1"/>
  <c r="O431" i="2" s="1"/>
  <c r="T125" i="15"/>
  <c r="K16" i="15" s="1"/>
  <c r="N431" i="2" s="1"/>
  <c r="J424" i="2"/>
  <c r="D200" i="15"/>
  <c r="T428" i="2"/>
  <c r="I424" i="2"/>
  <c r="Q63" i="15"/>
  <c r="H10" i="15" s="1"/>
  <c r="H434" i="2" s="1"/>
  <c r="O460" i="2"/>
  <c r="O483" i="2"/>
  <c r="O484" i="2" s="1"/>
  <c r="L424" i="2"/>
  <c r="N426" i="2"/>
  <c r="N425" i="2"/>
  <c r="N429" i="2" s="1"/>
  <c r="P460" i="2"/>
  <c r="P483" i="2"/>
  <c r="P484" i="2" s="1"/>
  <c r="P439" i="2"/>
  <c r="P446" i="2" s="1"/>
  <c r="P467" i="2" s="1"/>
  <c r="P474" i="2" s="1"/>
  <c r="P486" i="2"/>
  <c r="T185" i="15"/>
  <c r="K22" i="15" s="1"/>
  <c r="T431" i="2" s="1"/>
  <c r="R420" i="2"/>
  <c r="N20" i="15"/>
  <c r="Q43" i="15"/>
  <c r="H8" i="15" s="1"/>
  <c r="F434" i="2" s="1"/>
  <c r="O75" i="15"/>
  <c r="R75" i="15" s="1"/>
  <c r="I11" i="15" s="1"/>
  <c r="I433" i="2" s="1"/>
  <c r="T155" i="15"/>
  <c r="K19" i="15" s="1"/>
  <c r="Q431" i="2" s="1"/>
  <c r="F84" i="15"/>
  <c r="K425" i="2"/>
  <c r="M493" i="2"/>
  <c r="M422" i="2"/>
  <c r="O63" i="15"/>
  <c r="P47" i="15"/>
  <c r="G8" i="15" s="1"/>
  <c r="O47" i="15"/>
  <c r="F8" i="15" s="1"/>
  <c r="O420" i="2"/>
  <c r="N17" i="15"/>
  <c r="H95" i="18"/>
  <c r="D95" i="18" s="1"/>
  <c r="I94" i="18"/>
  <c r="H93" i="18"/>
  <c r="D93" i="18" s="1"/>
  <c r="I95" i="18"/>
  <c r="H94" i="18"/>
  <c r="I93" i="18"/>
  <c r="D94" i="18" s="1"/>
  <c r="D100" i="18" s="1"/>
  <c r="D103" i="18" s="1"/>
  <c r="D105" i="18" s="1"/>
  <c r="D106" i="18" s="1"/>
  <c r="S75" i="15"/>
  <c r="J11" i="15" s="1"/>
  <c r="O439" i="2"/>
  <c r="O486" i="2"/>
  <c r="U474" i="2"/>
  <c r="H153" i="18"/>
  <c r="I152" i="18"/>
  <c r="D153" i="18" s="1"/>
  <c r="D159" i="18" s="1"/>
  <c r="D162" i="18" s="1"/>
  <c r="D164" i="18" s="1"/>
  <c r="D165" i="18" s="1"/>
  <c r="I153" i="18"/>
  <c r="H152" i="18"/>
  <c r="D152" i="18" s="1"/>
  <c r="I154" i="18"/>
  <c r="H154" i="18"/>
  <c r="D154" i="18" s="1"/>
  <c r="U446" i="2"/>
  <c r="O73" i="15"/>
  <c r="R439" i="2"/>
  <c r="R486" i="2"/>
  <c r="D33" i="9"/>
  <c r="H424" i="2"/>
  <c r="AG423" i="2"/>
  <c r="Q486" i="2"/>
  <c r="Q439" i="2"/>
  <c r="Q73" i="15"/>
  <c r="H11" i="15" s="1"/>
  <c r="N439" i="2"/>
  <c r="N486" i="2"/>
  <c r="F9" i="8"/>
  <c r="D32" i="8"/>
  <c r="I484" i="2"/>
  <c r="K422" i="2"/>
  <c r="T411" i="2" l="1"/>
  <c r="AH423" i="2"/>
  <c r="F129" i="1"/>
  <c r="F133" i="1" s="1"/>
  <c r="F144" i="1" s="1"/>
  <c r="F287" i="1"/>
  <c r="L483" i="2"/>
  <c r="L484" i="2" s="1"/>
  <c r="R411" i="2"/>
  <c r="S411" i="2"/>
  <c r="X411" i="2"/>
  <c r="Y411" i="2"/>
  <c r="W411" i="2"/>
  <c r="V411" i="2"/>
  <c r="U411" i="2"/>
  <c r="AA411" i="2"/>
  <c r="AB411" i="2"/>
  <c r="AF411" i="2"/>
  <c r="AC411" i="2"/>
  <c r="P411" i="2"/>
  <c r="O411" i="2"/>
  <c r="AE411" i="2"/>
  <c r="F411" i="2"/>
  <c r="Z411" i="2"/>
  <c r="Q411" i="2"/>
  <c r="K344" i="2"/>
  <c r="K341" i="2"/>
  <c r="K342" i="2"/>
  <c r="K359" i="2" s="1"/>
  <c r="K343" i="2"/>
  <c r="K360" i="2" s="1"/>
  <c r="F400" i="2"/>
  <c r="F343" i="2"/>
  <c r="F341" i="2"/>
  <c r="F342" i="2"/>
  <c r="F344" i="2"/>
  <c r="N400" i="2"/>
  <c r="N343" i="2"/>
  <c r="N360" i="2" s="1"/>
  <c r="N344" i="2"/>
  <c r="N341" i="2"/>
  <c r="N358" i="2" s="1"/>
  <c r="N342" i="2"/>
  <c r="N359" i="2" s="1"/>
  <c r="H400" i="2"/>
  <c r="H343" i="2"/>
  <c r="H360" i="2" s="1"/>
  <c r="H344" i="2"/>
  <c r="H341" i="2"/>
  <c r="H342" i="2"/>
  <c r="H359" i="2" s="1"/>
  <c r="M400" i="2"/>
  <c r="M342" i="2"/>
  <c r="M359" i="2" s="1"/>
  <c r="M344" i="2"/>
  <c r="M343" i="2"/>
  <c r="M360" i="2" s="1"/>
  <c r="M341" i="2"/>
  <c r="M358" i="2" s="1"/>
  <c r="L422" i="2"/>
  <c r="J400" i="2"/>
  <c r="J343" i="2"/>
  <c r="J360" i="2" s="1"/>
  <c r="J341" i="2"/>
  <c r="J344" i="2"/>
  <c r="J342" i="2"/>
  <c r="J359" i="2" s="1"/>
  <c r="G400" i="2"/>
  <c r="G344" i="2"/>
  <c r="G341" i="2"/>
  <c r="G342" i="2"/>
  <c r="G359" i="2" s="1"/>
  <c r="G343" i="2"/>
  <c r="G360" i="2" s="1"/>
  <c r="R8" i="1"/>
  <c r="O105" i="15"/>
  <c r="R105" i="15" s="1"/>
  <c r="S105" i="15"/>
  <c r="J14" i="15" s="1"/>
  <c r="L432" i="2" s="1"/>
  <c r="D201" i="15"/>
  <c r="D36" i="15" s="1"/>
  <c r="E200" i="15"/>
  <c r="E201" i="15" s="1"/>
  <c r="E36" i="15" s="1"/>
  <c r="O19" i="15"/>
  <c r="E43" i="4" s="1"/>
  <c r="S71" i="1"/>
  <c r="Y410" i="1"/>
  <c r="U70" i="1"/>
  <c r="U309" i="1"/>
  <c r="T65" i="15"/>
  <c r="K10" i="15" s="1"/>
  <c r="H431" i="2" s="1"/>
  <c r="S65" i="1"/>
  <c r="S9" i="1"/>
  <c r="S66" i="1"/>
  <c r="S10" i="1"/>
  <c r="U8" i="1"/>
  <c r="U72" i="1"/>
  <c r="U10" i="1"/>
  <c r="S63" i="1"/>
  <c r="S64" i="1"/>
  <c r="U71" i="1"/>
  <c r="S8" i="1"/>
  <c r="S58" i="1"/>
  <c r="U410" i="1"/>
  <c r="U141" i="1"/>
  <c r="U69" i="1"/>
  <c r="U9" i="1"/>
  <c r="U77" i="1"/>
  <c r="Y58" i="1"/>
  <c r="W410" i="1"/>
  <c r="R64" i="1"/>
  <c r="I70" i="1"/>
  <c r="R69" i="1"/>
  <c r="W394" i="1"/>
  <c r="I72" i="1"/>
  <c r="I71" i="1"/>
  <c r="AA65" i="1"/>
  <c r="M215" i="1"/>
  <c r="M394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4" i="1"/>
  <c r="K412" i="1"/>
  <c r="I8" i="1"/>
  <c r="AB106" i="1"/>
  <c r="AC106" i="1" s="1"/>
  <c r="AB80" i="1"/>
  <c r="AC80" i="1" s="1"/>
  <c r="S410" i="1"/>
  <c r="R410" i="1"/>
  <c r="R229" i="1"/>
  <c r="R199" i="1"/>
  <c r="U229" i="1"/>
  <c r="I65" i="1"/>
  <c r="H71" i="1"/>
  <c r="Y64" i="1"/>
  <c r="H379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9" i="1"/>
  <c r="K379" i="1"/>
  <c r="R379" i="1"/>
  <c r="H229" i="1"/>
  <c r="I73" i="1"/>
  <c r="H64" i="1"/>
  <c r="Y67" i="1"/>
  <c r="Y229" i="1"/>
  <c r="I199" i="1"/>
  <c r="K199" i="1"/>
  <c r="AG440" i="2"/>
  <c r="AH440" i="2" s="1"/>
  <c r="M199" i="1"/>
  <c r="Y394" i="1"/>
  <c r="M410" i="1"/>
  <c r="W229" i="1"/>
  <c r="AB372" i="1"/>
  <c r="AC372" i="1" s="1"/>
  <c r="AA68" i="1"/>
  <c r="H63" i="1"/>
  <c r="H10" i="1"/>
  <c r="Y71" i="1"/>
  <c r="Y73" i="1"/>
  <c r="AA379" i="1"/>
  <c r="H410" i="1"/>
  <c r="Y215" i="1"/>
  <c r="AB189" i="1"/>
  <c r="AC189" i="1" s="1"/>
  <c r="H77" i="1"/>
  <c r="H309" i="1"/>
  <c r="Y69" i="1"/>
  <c r="Y70" i="1"/>
  <c r="M141" i="1"/>
  <c r="S141" i="1"/>
  <c r="M379" i="1"/>
  <c r="M10" i="1"/>
  <c r="AB149" i="1"/>
  <c r="AC149" i="1" s="1"/>
  <c r="AA9" i="1"/>
  <c r="E442" i="2"/>
  <c r="U442" i="2" s="1"/>
  <c r="U443" i="2" s="1"/>
  <c r="H67" i="1"/>
  <c r="H73" i="1"/>
  <c r="H8" i="1"/>
  <c r="H70" i="1"/>
  <c r="H9" i="1"/>
  <c r="Y66" i="1"/>
  <c r="Y65" i="1"/>
  <c r="Y8" i="1"/>
  <c r="Y72" i="1"/>
  <c r="R394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9" i="1"/>
  <c r="H141" i="1"/>
  <c r="S394" i="1"/>
  <c r="R77" i="1"/>
  <c r="R66" i="1"/>
  <c r="R58" i="1"/>
  <c r="R70" i="1"/>
  <c r="R67" i="1"/>
  <c r="R73" i="1"/>
  <c r="AA141" i="1"/>
  <c r="M229" i="1"/>
  <c r="E468" i="2"/>
  <c r="E475" i="2" s="1"/>
  <c r="AB337" i="1"/>
  <c r="AC337" i="1" s="1"/>
  <c r="AB186" i="1"/>
  <c r="AC186" i="1" s="1"/>
  <c r="I410" i="1"/>
  <c r="AB377" i="1"/>
  <c r="AC377" i="1" s="1"/>
  <c r="AB373" i="1"/>
  <c r="AC373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10" i="1"/>
  <c r="AA394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71" i="1"/>
  <c r="AC371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4" i="1"/>
  <c r="AB192" i="1"/>
  <c r="AC192" i="1" s="1"/>
  <c r="AB86" i="1"/>
  <c r="AC86" i="1" s="1"/>
  <c r="AB197" i="1"/>
  <c r="AC197" i="1" s="1"/>
  <c r="AB374" i="1"/>
  <c r="AC374" i="1" s="1"/>
  <c r="Y379" i="1"/>
  <c r="AB188" i="1"/>
  <c r="AC188" i="1" s="1"/>
  <c r="AB376" i="1"/>
  <c r="AC376" i="1" s="1"/>
  <c r="AB196" i="1"/>
  <c r="AC196" i="1" s="1"/>
  <c r="AB195" i="1"/>
  <c r="AC195" i="1" s="1"/>
  <c r="AB375" i="1"/>
  <c r="AC375" i="1" s="1"/>
  <c r="AB185" i="1"/>
  <c r="AC185" i="1" s="1"/>
  <c r="AB107" i="1"/>
  <c r="AC107" i="1" s="1"/>
  <c r="AB190" i="1"/>
  <c r="AC190" i="1" s="1"/>
  <c r="U379" i="1"/>
  <c r="I394" i="1"/>
  <c r="U199" i="1"/>
  <c r="W379" i="1"/>
  <c r="I215" i="1"/>
  <c r="I141" i="1"/>
  <c r="O379" i="1"/>
  <c r="W199" i="1"/>
  <c r="P199" i="1"/>
  <c r="AB191" i="1"/>
  <c r="AC191" i="1" s="1"/>
  <c r="AB370" i="1"/>
  <c r="AC370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9" i="1"/>
  <c r="I229" i="1"/>
  <c r="O199" i="1"/>
  <c r="I10" i="15"/>
  <c r="H433" i="2" s="1"/>
  <c r="H486" i="2" s="1"/>
  <c r="Y349" i="2"/>
  <c r="V349" i="2"/>
  <c r="X349" i="2"/>
  <c r="AB349" i="2"/>
  <c r="O21" i="15"/>
  <c r="E45" i="4" s="1"/>
  <c r="AA349" i="2"/>
  <c r="AG347" i="2"/>
  <c r="AH347" i="2" s="1"/>
  <c r="P349" i="2"/>
  <c r="W349" i="2"/>
  <c r="AE349" i="2"/>
  <c r="AG313" i="2"/>
  <c r="AH313" i="2" s="1"/>
  <c r="G411" i="2"/>
  <c r="O14" i="15"/>
  <c r="E39" i="4" s="1"/>
  <c r="AD349" i="2"/>
  <c r="AH346" i="2"/>
  <c r="AG348" i="2"/>
  <c r="AH348" i="2" s="1"/>
  <c r="Z349" i="2"/>
  <c r="G428" i="2"/>
  <c r="AF349" i="2"/>
  <c r="AC349" i="2"/>
  <c r="T55" i="15"/>
  <c r="K9" i="15" s="1"/>
  <c r="G431" i="2" s="1"/>
  <c r="S486" i="2"/>
  <c r="S439" i="2"/>
  <c r="S446" i="2" s="1"/>
  <c r="S467" i="2" s="1"/>
  <c r="S474" i="2" s="1"/>
  <c r="T422" i="2"/>
  <c r="T493" i="2"/>
  <c r="U422" i="2"/>
  <c r="U493" i="2"/>
  <c r="O17" i="15"/>
  <c r="E41" i="4" s="1"/>
  <c r="I422" i="2"/>
  <c r="I493" i="2"/>
  <c r="N416" i="2"/>
  <c r="N415" i="2"/>
  <c r="G84" i="15"/>
  <c r="N411" i="2"/>
  <c r="O493" i="2"/>
  <c r="O422" i="2"/>
  <c r="R493" i="2"/>
  <c r="R422" i="2"/>
  <c r="J425" i="2"/>
  <c r="J428" i="2"/>
  <c r="S493" i="2"/>
  <c r="S422" i="2"/>
  <c r="Q493" i="2"/>
  <c r="Q422" i="2"/>
  <c r="AG420" i="2"/>
  <c r="I426" i="2"/>
  <c r="I425" i="2"/>
  <c r="E408" i="2"/>
  <c r="AG408" i="2"/>
  <c r="M439" i="2"/>
  <c r="M486" i="2"/>
  <c r="O45" i="15"/>
  <c r="R45" i="15" s="1"/>
  <c r="F435" i="2"/>
  <c r="K415" i="2"/>
  <c r="K411" i="2"/>
  <c r="L425" i="2"/>
  <c r="L426" i="2"/>
  <c r="O9" i="15"/>
  <c r="E34" i="4" s="1"/>
  <c r="O25" i="15"/>
  <c r="O22" i="15"/>
  <c r="E46" i="4" s="1"/>
  <c r="O11" i="15"/>
  <c r="E36" i="4" s="1"/>
  <c r="O23" i="15"/>
  <c r="E47" i="4" s="1"/>
  <c r="O16" i="15"/>
  <c r="E40" i="4" s="1"/>
  <c r="O18" i="15"/>
  <c r="E42" i="4" s="1"/>
  <c r="O10" i="15"/>
  <c r="E35" i="4" s="1"/>
  <c r="O12" i="15"/>
  <c r="E37" i="4" s="1"/>
  <c r="O13" i="15"/>
  <c r="E38" i="4" s="1"/>
  <c r="N25" i="15"/>
  <c r="O8" i="15"/>
  <c r="E33" i="4" s="1"/>
  <c r="E420" i="2"/>
  <c r="O20" i="15"/>
  <c r="E44" i="4" s="1"/>
  <c r="O15" i="15"/>
  <c r="M411" i="2"/>
  <c r="G486" i="2"/>
  <c r="G439" i="2"/>
  <c r="D171" i="18"/>
  <c r="O471" i="1" s="1"/>
  <c r="O470" i="1" s="1"/>
  <c r="O43" i="1" s="1"/>
  <c r="E171" i="18"/>
  <c r="Q446" i="2"/>
  <c r="F33" i="9"/>
  <c r="E173" i="18"/>
  <c r="D166" i="18"/>
  <c r="D173" i="18" s="1"/>
  <c r="O473" i="1" s="1"/>
  <c r="I432" i="2"/>
  <c r="K400" i="2"/>
  <c r="I434" i="2"/>
  <c r="M170" i="1"/>
  <c r="AB159" i="1"/>
  <c r="AC159" i="1" s="1"/>
  <c r="H425" i="2"/>
  <c r="H426" i="2"/>
  <c r="AG424" i="2"/>
  <c r="AH424" i="2" s="1"/>
  <c r="E449" i="2"/>
  <c r="U449" i="2" s="1"/>
  <c r="U450" i="2" s="1"/>
  <c r="AG447" i="2"/>
  <c r="AH447" i="2" s="1"/>
  <c r="D107" i="18"/>
  <c r="D172" i="18" s="1"/>
  <c r="O472" i="1" s="1"/>
  <c r="E172" i="18"/>
  <c r="P472" i="1" s="1"/>
  <c r="T75" i="15"/>
  <c r="K11" i="15" s="1"/>
  <c r="I431" i="2" s="1"/>
  <c r="N446" i="2"/>
  <c r="M358" i="1"/>
  <c r="AB347" i="1"/>
  <c r="AC347" i="1" s="1"/>
  <c r="R446" i="2"/>
  <c r="F32" i="8"/>
  <c r="O446" i="2"/>
  <c r="I439" i="2"/>
  <c r="I486" i="2"/>
  <c r="K412" i="2" l="1"/>
  <c r="M415" i="2"/>
  <c r="G415" i="2"/>
  <c r="G20" i="9"/>
  <c r="G28" i="9"/>
  <c r="Q406" i="2" s="1"/>
  <c r="Q407" i="2" s="1"/>
  <c r="G33" i="9"/>
  <c r="G13" i="9"/>
  <c r="M406" i="2" s="1"/>
  <c r="M407" i="2" s="1"/>
  <c r="G21" i="9"/>
  <c r="G29" i="9"/>
  <c r="G30" i="9"/>
  <c r="R406" i="2" s="1"/>
  <c r="R407" i="2" s="1"/>
  <c r="G25" i="9"/>
  <c r="G14" i="9"/>
  <c r="G22" i="9"/>
  <c r="N406" i="2" s="1"/>
  <c r="N407" i="2" s="1"/>
  <c r="G15" i="9"/>
  <c r="G23" i="9"/>
  <c r="G31" i="9"/>
  <c r="G17" i="9"/>
  <c r="G16" i="9"/>
  <c r="G24" i="9"/>
  <c r="O406" i="2" s="1"/>
  <c r="O407" i="2" s="1"/>
  <c r="G32" i="9"/>
  <c r="G9" i="9"/>
  <c r="G18" i="9"/>
  <c r="G26" i="9"/>
  <c r="P406" i="2" s="1"/>
  <c r="P407" i="2" s="1"/>
  <c r="G19" i="9"/>
  <c r="G27" i="9"/>
  <c r="G7" i="9"/>
  <c r="G8" i="9"/>
  <c r="H406" i="2" s="1"/>
  <c r="H407" i="2" s="1"/>
  <c r="G6" i="9"/>
  <c r="G12" i="9"/>
  <c r="G11" i="9"/>
  <c r="K406" i="2" s="1"/>
  <c r="K407" i="2" s="1"/>
  <c r="G10" i="9"/>
  <c r="I428" i="2"/>
  <c r="I429" i="2"/>
  <c r="V415" i="2"/>
  <c r="Z412" i="2"/>
  <c r="Z415" i="2"/>
  <c r="V412" i="2"/>
  <c r="X412" i="2"/>
  <c r="AD412" i="2"/>
  <c r="AC412" i="2"/>
  <c r="AB412" i="2"/>
  <c r="AF412" i="2"/>
  <c r="Y412" i="2"/>
  <c r="W415" i="2"/>
  <c r="W412" i="2"/>
  <c r="Y415" i="2"/>
  <c r="AA412" i="2"/>
  <c r="X415" i="2"/>
  <c r="AE412" i="2"/>
  <c r="R412" i="2"/>
  <c r="Q412" i="2"/>
  <c r="AC415" i="2"/>
  <c r="AB415" i="2"/>
  <c r="AF415" i="2"/>
  <c r="AA415" i="2"/>
  <c r="U415" i="2"/>
  <c r="F415" i="2"/>
  <c r="Q415" i="2"/>
  <c r="M412" i="2"/>
  <c r="P415" i="2"/>
  <c r="S415" i="2"/>
  <c r="O415" i="2"/>
  <c r="O412" i="2"/>
  <c r="AE415" i="2"/>
  <c r="R415" i="2"/>
  <c r="U412" i="2"/>
  <c r="AD415" i="2"/>
  <c r="T415" i="2"/>
  <c r="N412" i="2"/>
  <c r="T412" i="2"/>
  <c r="S412" i="2"/>
  <c r="J412" i="2"/>
  <c r="G412" i="2"/>
  <c r="H428" i="2"/>
  <c r="H429" i="2"/>
  <c r="L412" i="2"/>
  <c r="L429" i="2"/>
  <c r="L416" i="2" s="1"/>
  <c r="P412" i="2"/>
  <c r="F412" i="2"/>
  <c r="F358" i="2"/>
  <c r="F349" i="2"/>
  <c r="J358" i="2"/>
  <c r="J349" i="2"/>
  <c r="H358" i="2"/>
  <c r="H349" i="2"/>
  <c r="K358" i="2"/>
  <c r="K349" i="2"/>
  <c r="G358" i="2"/>
  <c r="G349" i="2"/>
  <c r="E48" i="4"/>
  <c r="O111" i="1"/>
  <c r="O297" i="1"/>
  <c r="P471" i="1"/>
  <c r="P473" i="1"/>
  <c r="AB473" i="1" s="1"/>
  <c r="AC473" i="1" s="1"/>
  <c r="N349" i="2"/>
  <c r="Q400" i="2"/>
  <c r="Q342" i="2"/>
  <c r="Q359" i="2" s="1"/>
  <c r="Q344" i="2"/>
  <c r="Q341" i="2"/>
  <c r="Q343" i="2"/>
  <c r="Q360" i="2" s="1"/>
  <c r="O400" i="2"/>
  <c r="O341" i="2"/>
  <c r="O342" i="2"/>
  <c r="O359" i="2" s="1"/>
  <c r="O343" i="2"/>
  <c r="O360" i="2" s="1"/>
  <c r="O344" i="2"/>
  <c r="U400" i="2"/>
  <c r="U342" i="2"/>
  <c r="U359" i="2" s="1"/>
  <c r="U344" i="2"/>
  <c r="U343" i="2"/>
  <c r="U360" i="2" s="1"/>
  <c r="U341" i="2"/>
  <c r="I400" i="2"/>
  <c r="I342" i="2"/>
  <c r="I359" i="2" s="1"/>
  <c r="I344" i="2"/>
  <c r="I341" i="2"/>
  <c r="I343" i="2"/>
  <c r="I360" i="2" s="1"/>
  <c r="S400" i="2"/>
  <c r="S341" i="2"/>
  <c r="S342" i="2"/>
  <c r="S359" i="2" s="1"/>
  <c r="S343" i="2"/>
  <c r="S360" i="2" s="1"/>
  <c r="S344" i="2"/>
  <c r="R400" i="2"/>
  <c r="R343" i="2"/>
  <c r="R360" i="2" s="1"/>
  <c r="R344" i="2"/>
  <c r="R341" i="2"/>
  <c r="R342" i="2"/>
  <c r="R359" i="2" s="1"/>
  <c r="T400" i="2"/>
  <c r="T344" i="2"/>
  <c r="T341" i="2"/>
  <c r="T343" i="2"/>
  <c r="T360" i="2" s="1"/>
  <c r="T342" i="2"/>
  <c r="T359" i="2" s="1"/>
  <c r="M349" i="2"/>
  <c r="L344" i="2"/>
  <c r="L343" i="2"/>
  <c r="L360" i="2" s="1"/>
  <c r="L342" i="2"/>
  <c r="L359" i="2" s="1"/>
  <c r="L341" i="2"/>
  <c r="L400" i="2"/>
  <c r="F360" i="2"/>
  <c r="F359" i="2"/>
  <c r="R12" i="1"/>
  <c r="AB471" i="1"/>
  <c r="AC471" i="1" s="1"/>
  <c r="O44" i="1"/>
  <c r="O45" i="1"/>
  <c r="AB472" i="1"/>
  <c r="AC472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33" i="2" s="1"/>
  <c r="T105" i="15"/>
  <c r="K14" i="15" s="1"/>
  <c r="L431" i="2" s="1"/>
  <c r="F200" i="15"/>
  <c r="F201" i="15" s="1"/>
  <c r="F36" i="15" s="1"/>
  <c r="H439" i="2"/>
  <c r="H442" i="2" s="1"/>
  <c r="H443" i="2" s="1"/>
  <c r="Y412" i="1"/>
  <c r="Y414" i="1" s="1"/>
  <c r="Y442" i="1" s="1"/>
  <c r="Y452" i="1" s="1"/>
  <c r="U231" i="1"/>
  <c r="U233" i="1" s="1"/>
  <c r="U264" i="1" s="1"/>
  <c r="U269" i="1" s="1"/>
  <c r="W412" i="1"/>
  <c r="W414" i="1" s="1"/>
  <c r="W416" i="1" s="1"/>
  <c r="J416" i="2"/>
  <c r="S12" i="1"/>
  <c r="U75" i="1"/>
  <c r="U307" i="1" s="1"/>
  <c r="U12" i="1"/>
  <c r="U412" i="1"/>
  <c r="U414" i="1" s="1"/>
  <c r="U416" i="1" s="1"/>
  <c r="M412" i="1"/>
  <c r="M414" i="1" s="1"/>
  <c r="M442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6" i="1" s="1"/>
  <c r="S231" i="1"/>
  <c r="S237" i="1" s="1"/>
  <c r="H231" i="1"/>
  <c r="H233" i="1" s="1"/>
  <c r="R412" i="1"/>
  <c r="R414" i="1" s="1"/>
  <c r="R416" i="1" s="1"/>
  <c r="K414" i="1"/>
  <c r="K416" i="1" s="1"/>
  <c r="S412" i="1"/>
  <c r="S414" i="1" s="1"/>
  <c r="S416" i="1" s="1"/>
  <c r="M12" i="1"/>
  <c r="I75" i="1"/>
  <c r="I458" i="1" s="1"/>
  <c r="K235" i="1"/>
  <c r="W231" i="1"/>
  <c r="W233" i="1" s="1"/>
  <c r="W264" i="1" s="1"/>
  <c r="Y442" i="2"/>
  <c r="O442" i="2"/>
  <c r="O443" i="2" s="1"/>
  <c r="Z442" i="2"/>
  <c r="K233" i="1"/>
  <c r="K264" i="1" s="1"/>
  <c r="K269" i="1" s="1"/>
  <c r="AD442" i="2"/>
  <c r="H412" i="1"/>
  <c r="H414" i="1" s="1"/>
  <c r="X442" i="2"/>
  <c r="K237" i="1"/>
  <c r="AF442" i="2"/>
  <c r="R75" i="1"/>
  <c r="R121" i="1" s="1"/>
  <c r="H12" i="1"/>
  <c r="W442" i="2"/>
  <c r="AE442" i="2"/>
  <c r="AB442" i="2"/>
  <c r="P442" i="2"/>
  <c r="P443" i="2" s="1"/>
  <c r="Q442" i="2"/>
  <c r="Q443" i="2" s="1"/>
  <c r="AG468" i="2"/>
  <c r="AH468" i="2" s="1"/>
  <c r="I412" i="1"/>
  <c r="I414" i="1" s="1"/>
  <c r="I442" i="1" s="1"/>
  <c r="I270" i="1" s="1"/>
  <c r="AA75" i="1"/>
  <c r="AA458" i="1" s="1"/>
  <c r="M75" i="1"/>
  <c r="M121" i="1" s="1"/>
  <c r="AA12" i="1"/>
  <c r="H75" i="1"/>
  <c r="H458" i="1" s="1"/>
  <c r="T442" i="2"/>
  <c r="T443" i="2" s="1"/>
  <c r="R442" i="2"/>
  <c r="R443" i="2" s="1"/>
  <c r="N442" i="2"/>
  <c r="N443" i="2" s="1"/>
  <c r="AA442" i="2"/>
  <c r="AC442" i="2"/>
  <c r="E443" i="2"/>
  <c r="O90" i="2" s="1"/>
  <c r="O522" i="2" s="1"/>
  <c r="V442" i="2"/>
  <c r="AA412" i="1"/>
  <c r="AA414" i="1" s="1"/>
  <c r="Y75" i="1"/>
  <c r="AA237" i="1"/>
  <c r="AA235" i="1"/>
  <c r="AA233" i="1"/>
  <c r="AA264" i="1" s="1"/>
  <c r="AA454" i="1" s="1"/>
  <c r="E470" i="2"/>
  <c r="AB470" i="2" s="1"/>
  <c r="AB471" i="2" s="1"/>
  <c r="K75" i="1"/>
  <c r="K12" i="1"/>
  <c r="AB199" i="1"/>
  <c r="AC199" i="1" s="1"/>
  <c r="AB379" i="1"/>
  <c r="AC379" i="1" s="1"/>
  <c r="W12" i="1"/>
  <c r="I231" i="1"/>
  <c r="W75" i="1"/>
  <c r="G12" i="8"/>
  <c r="L413" i="2" s="1"/>
  <c r="L406" i="2"/>
  <c r="L407" i="2" s="1"/>
  <c r="S442" i="2"/>
  <c r="S443" i="2" s="1"/>
  <c r="AG493" i="2"/>
  <c r="AH493" i="2" s="1"/>
  <c r="I416" i="2"/>
  <c r="AH420" i="2"/>
  <c r="AE416" i="2"/>
  <c r="U416" i="2"/>
  <c r="AD416" i="2"/>
  <c r="Q416" i="2"/>
  <c r="Y416" i="2"/>
  <c r="X416" i="2"/>
  <c r="V416" i="2"/>
  <c r="P416" i="2"/>
  <c r="AA416" i="2"/>
  <c r="Z416" i="2"/>
  <c r="AC416" i="2"/>
  <c r="F416" i="2"/>
  <c r="G416" i="2"/>
  <c r="W416" i="2"/>
  <c r="AB416" i="2"/>
  <c r="S416" i="2"/>
  <c r="R416" i="2"/>
  <c r="O416" i="2"/>
  <c r="AF416" i="2"/>
  <c r="T416" i="2"/>
  <c r="M416" i="2"/>
  <c r="K416" i="2"/>
  <c r="M446" i="2"/>
  <c r="M467" i="2" s="1"/>
  <c r="M474" i="2" s="1"/>
  <c r="M442" i="2"/>
  <c r="M443" i="2" s="1"/>
  <c r="I415" i="2"/>
  <c r="I411" i="2"/>
  <c r="H84" i="15"/>
  <c r="L411" i="2"/>
  <c r="L415" i="2"/>
  <c r="F453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8" i="2"/>
  <c r="AE316" i="2"/>
  <c r="AE338" i="2" s="1"/>
  <c r="AE351" i="2" s="1"/>
  <c r="J415" i="2"/>
  <c r="J411" i="2"/>
  <c r="AG422" i="2"/>
  <c r="AH422" i="2" s="1"/>
  <c r="AG428" i="2"/>
  <c r="AH428" i="2" s="1"/>
  <c r="T45" i="15"/>
  <c r="K8" i="15" s="1"/>
  <c r="F431" i="2" s="1"/>
  <c r="I8" i="15"/>
  <c r="F433" i="2" s="1"/>
  <c r="H411" i="2"/>
  <c r="H415" i="2"/>
  <c r="AG426" i="2"/>
  <c r="AH426" i="2" s="1"/>
  <c r="Q467" i="2"/>
  <c r="Q449" i="2"/>
  <c r="Q450" i="2" s="1"/>
  <c r="AB449" i="2"/>
  <c r="AF449" i="2"/>
  <c r="S449" i="2"/>
  <c r="S450" i="2" s="1"/>
  <c r="Z449" i="2"/>
  <c r="AC449" i="2"/>
  <c r="E450" i="2"/>
  <c r="Y449" i="2"/>
  <c r="T449" i="2"/>
  <c r="T450" i="2" s="1"/>
  <c r="AE449" i="2"/>
  <c r="P449" i="2"/>
  <c r="P450" i="2" s="1"/>
  <c r="AD449" i="2"/>
  <c r="V449" i="2"/>
  <c r="W449" i="2"/>
  <c r="AA449" i="2"/>
  <c r="X449" i="2"/>
  <c r="AG425" i="2"/>
  <c r="AH425" i="2" s="1"/>
  <c r="E477" i="2"/>
  <c r="AG475" i="2"/>
  <c r="AH475" i="2" s="1"/>
  <c r="O467" i="2"/>
  <c r="O449" i="2"/>
  <c r="O450" i="2" s="1"/>
  <c r="I446" i="2"/>
  <c r="I442" i="2"/>
  <c r="I443" i="2" s="1"/>
  <c r="E32" i="8"/>
  <c r="G6" i="8"/>
  <c r="F413" i="2" s="1"/>
  <c r="G7" i="8"/>
  <c r="G413" i="2" s="1"/>
  <c r="G10" i="8"/>
  <c r="J413" i="2" s="1"/>
  <c r="G11" i="8"/>
  <c r="K413" i="2" s="1"/>
  <c r="G8" i="8"/>
  <c r="H413" i="2" s="1"/>
  <c r="AB170" i="1"/>
  <c r="AC170" i="1" s="1"/>
  <c r="G442" i="2"/>
  <c r="G443" i="2" s="1"/>
  <c r="G446" i="2"/>
  <c r="G9" i="8"/>
  <c r="I413" i="2" s="1"/>
  <c r="R467" i="2"/>
  <c r="R449" i="2"/>
  <c r="R450" i="2" s="1"/>
  <c r="AB358" i="1"/>
  <c r="AC358" i="1" s="1"/>
  <c r="N467" i="2"/>
  <c r="N449" i="2"/>
  <c r="N450" i="2" s="1"/>
  <c r="E33" i="9"/>
  <c r="G406" i="2"/>
  <c r="G407" i="2" s="1"/>
  <c r="I406" i="2"/>
  <c r="I407" i="2" s="1"/>
  <c r="J406" i="2"/>
  <c r="J407" i="2" s="1"/>
  <c r="H412" i="2" l="1"/>
  <c r="I412" i="2"/>
  <c r="I358" i="2"/>
  <c r="I349" i="2"/>
  <c r="P44" i="1"/>
  <c r="P298" i="1" s="1"/>
  <c r="P470" i="1"/>
  <c r="P47" i="1"/>
  <c r="AB47" i="1" s="1"/>
  <c r="AC47" i="1" s="1"/>
  <c r="N351" i="2"/>
  <c r="AG344" i="2"/>
  <c r="AH344" i="2" s="1"/>
  <c r="AG400" i="2"/>
  <c r="AH400" i="2" s="1"/>
  <c r="M351" i="2"/>
  <c r="AG360" i="2"/>
  <c r="AH360" i="2" s="1"/>
  <c r="AG343" i="2"/>
  <c r="AH343" i="2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G342" i="2"/>
  <c r="AH342" i="2" s="1"/>
  <c r="AG341" i="2"/>
  <c r="AH341" i="2" s="1"/>
  <c r="L358" i="2"/>
  <c r="L349" i="2"/>
  <c r="L351" i="2" s="1"/>
  <c r="D16" i="4" s="1"/>
  <c r="O298" i="1"/>
  <c r="O222" i="1"/>
  <c r="O205" i="1"/>
  <c r="O403" i="1"/>
  <c r="O385" i="1"/>
  <c r="O112" i="1"/>
  <c r="O404" i="1"/>
  <c r="O114" i="1"/>
  <c r="O206" i="1"/>
  <c r="AB46" i="1"/>
  <c r="AC46" i="1" s="1"/>
  <c r="O223" i="1"/>
  <c r="O300" i="1"/>
  <c r="O386" i="1"/>
  <c r="P299" i="1"/>
  <c r="P113" i="1"/>
  <c r="P114" i="1"/>
  <c r="P223" i="1"/>
  <c r="P404" i="1"/>
  <c r="P206" i="1"/>
  <c r="P300" i="1"/>
  <c r="P386" i="1"/>
  <c r="O113" i="1"/>
  <c r="AB45" i="1"/>
  <c r="AC45" i="1" s="1"/>
  <c r="O299" i="1"/>
  <c r="O115" i="1"/>
  <c r="O405" i="1"/>
  <c r="O301" i="1"/>
  <c r="O224" i="1"/>
  <c r="O54" i="1"/>
  <c r="L439" i="2"/>
  <c r="L486" i="2"/>
  <c r="G200" i="15"/>
  <c r="G201" i="15" s="1"/>
  <c r="G36" i="15" s="1"/>
  <c r="H446" i="2"/>
  <c r="H467" i="2" s="1"/>
  <c r="U235" i="1"/>
  <c r="U237" i="1"/>
  <c r="M237" i="1"/>
  <c r="U88" i="1"/>
  <c r="U91" i="1" s="1"/>
  <c r="U99" i="1" s="1"/>
  <c r="U121" i="1"/>
  <c r="U82" i="1"/>
  <c r="U142" i="1" s="1"/>
  <c r="U459" i="1"/>
  <c r="U120" i="1"/>
  <c r="U458" i="1"/>
  <c r="U308" i="1"/>
  <c r="U312" i="1" s="1"/>
  <c r="U279" i="1"/>
  <c r="U122" i="1"/>
  <c r="U280" i="1"/>
  <c r="Y52" i="2"/>
  <c r="M449" i="1"/>
  <c r="M453" i="1"/>
  <c r="M274" i="1"/>
  <c r="H52" i="2"/>
  <c r="X444" i="2"/>
  <c r="L204" i="2"/>
  <c r="K442" i="1"/>
  <c r="K449" i="1" s="1"/>
  <c r="V470" i="2"/>
  <c r="V471" i="2" s="1"/>
  <c r="R237" i="1"/>
  <c r="AD470" i="2"/>
  <c r="AD471" i="2" s="1"/>
  <c r="S82" i="1"/>
  <c r="E25" i="2" s="1"/>
  <c r="M270" i="1"/>
  <c r="AA277" i="1"/>
  <c r="H235" i="1"/>
  <c r="Y273" i="1"/>
  <c r="M273" i="1"/>
  <c r="M452" i="1"/>
  <c r="X52" i="2"/>
  <c r="Z52" i="2"/>
  <c r="AE90" i="2"/>
  <c r="AA276" i="1"/>
  <c r="K450" i="1"/>
  <c r="Y235" i="1"/>
  <c r="M416" i="1"/>
  <c r="L13" i="2"/>
  <c r="G13" i="2"/>
  <c r="Y233" i="1"/>
  <c r="Y264" i="1" s="1"/>
  <c r="Y456" i="1" s="1"/>
  <c r="S88" i="1"/>
  <c r="S91" i="1" s="1"/>
  <c r="S99" i="1" s="1"/>
  <c r="N90" i="2"/>
  <c r="N522" i="2" s="1"/>
  <c r="I444" i="2"/>
  <c r="P204" i="2"/>
  <c r="N52" i="2"/>
  <c r="S279" i="1"/>
  <c r="S280" i="1"/>
  <c r="S308" i="1"/>
  <c r="AE52" i="2"/>
  <c r="AD204" i="2"/>
  <c r="L52" i="2"/>
  <c r="AA444" i="2"/>
  <c r="S233" i="1"/>
  <c r="S264" i="1" s="1"/>
  <c r="S448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8" i="1"/>
  <c r="I308" i="1"/>
  <c r="S120" i="1"/>
  <c r="S459" i="1"/>
  <c r="Y453" i="1"/>
  <c r="K454" i="1"/>
  <c r="Y270" i="1"/>
  <c r="T13" i="2"/>
  <c r="V90" i="2"/>
  <c r="F204" i="2"/>
  <c r="K444" i="2"/>
  <c r="AD444" i="2"/>
  <c r="AA52" i="2"/>
  <c r="G52" i="2"/>
  <c r="I52" i="2"/>
  <c r="M275" i="1"/>
  <c r="K455" i="1"/>
  <c r="K277" i="1"/>
  <c r="W237" i="1"/>
  <c r="Y274" i="1"/>
  <c r="G204" i="2"/>
  <c r="H444" i="2"/>
  <c r="I204" i="2"/>
  <c r="N204" i="2"/>
  <c r="Z204" i="2"/>
  <c r="M444" i="2"/>
  <c r="F90" i="2"/>
  <c r="F522" i="2" s="1"/>
  <c r="M204" i="2"/>
  <c r="AF444" i="2"/>
  <c r="M448" i="1"/>
  <c r="K276" i="1"/>
  <c r="S235" i="1"/>
  <c r="Y416" i="1"/>
  <c r="W235" i="1"/>
  <c r="M82" i="1"/>
  <c r="M98" i="1" s="1"/>
  <c r="H307" i="1"/>
  <c r="W450" i="1"/>
  <c r="W456" i="1"/>
  <c r="U444" i="2"/>
  <c r="F52" i="2"/>
  <c r="Q13" i="2"/>
  <c r="AA13" i="2"/>
  <c r="I13" i="2"/>
  <c r="AA204" i="2"/>
  <c r="AE444" i="2"/>
  <c r="AD52" i="2"/>
  <c r="P13" i="2"/>
  <c r="V52" i="2"/>
  <c r="V444" i="2"/>
  <c r="X90" i="2"/>
  <c r="J444" i="2"/>
  <c r="W52" i="2"/>
  <c r="K52" i="2"/>
  <c r="K13" i="2"/>
  <c r="V204" i="2"/>
  <c r="M455" i="1"/>
  <c r="M450" i="1"/>
  <c r="I279" i="1"/>
  <c r="I121" i="1"/>
  <c r="Y449" i="1"/>
  <c r="Z90" i="2"/>
  <c r="AF204" i="2"/>
  <c r="W444" i="2"/>
  <c r="O13" i="2"/>
  <c r="H13" i="2"/>
  <c r="R52" i="2"/>
  <c r="O52" i="2"/>
  <c r="U204" i="2"/>
  <c r="M90" i="2"/>
  <c r="M522" i="2" s="1"/>
  <c r="N444" i="2"/>
  <c r="Q52" i="2"/>
  <c r="U13" i="2"/>
  <c r="Y90" i="2"/>
  <c r="P90" i="2"/>
  <c r="P522" i="2" s="1"/>
  <c r="P551" i="2" s="1"/>
  <c r="T204" i="2"/>
  <c r="AF90" i="2"/>
  <c r="AF13" i="2"/>
  <c r="X204" i="2"/>
  <c r="Q444" i="2"/>
  <c r="R13" i="2"/>
  <c r="R204" i="2"/>
  <c r="Q90" i="2"/>
  <c r="Q522" i="2" s="1"/>
  <c r="AB13" i="2"/>
  <c r="M13" i="2"/>
  <c r="S204" i="2"/>
  <c r="J52" i="2"/>
  <c r="I90" i="2"/>
  <c r="I522" i="2" s="1"/>
  <c r="AA90" i="2"/>
  <c r="AC52" i="2"/>
  <c r="AD13" i="2"/>
  <c r="AE204" i="2"/>
  <c r="N13" i="2"/>
  <c r="S90" i="2"/>
  <c r="M454" i="1"/>
  <c r="M271" i="1"/>
  <c r="M269" i="1"/>
  <c r="I120" i="1"/>
  <c r="I280" i="1"/>
  <c r="I307" i="1"/>
  <c r="K275" i="1"/>
  <c r="K456" i="1"/>
  <c r="K271" i="1"/>
  <c r="J13" i="2"/>
  <c r="Y13" i="2"/>
  <c r="J204" i="2"/>
  <c r="H204" i="2"/>
  <c r="G444" i="2"/>
  <c r="T52" i="2"/>
  <c r="AB444" i="2"/>
  <c r="O204" i="2"/>
  <c r="T90" i="2"/>
  <c r="AB90" i="2"/>
  <c r="F444" i="2"/>
  <c r="F13" i="2"/>
  <c r="AB52" i="2"/>
  <c r="K90" i="2"/>
  <c r="K522" i="2" s="1"/>
  <c r="AC204" i="2"/>
  <c r="L444" i="2"/>
  <c r="S52" i="2"/>
  <c r="I82" i="1"/>
  <c r="I142" i="1" s="1"/>
  <c r="AE13" i="2"/>
  <c r="L90" i="2"/>
  <c r="L522" i="2" s="1"/>
  <c r="AF52" i="2"/>
  <c r="J90" i="2"/>
  <c r="J522" i="2" s="1"/>
  <c r="Y204" i="2"/>
  <c r="P52" i="2"/>
  <c r="H90" i="2"/>
  <c r="H522" i="2" s="1"/>
  <c r="R90" i="2"/>
  <c r="R522" i="2" s="1"/>
  <c r="R551" i="2" s="1"/>
  <c r="T444" i="2"/>
  <c r="R444" i="2"/>
  <c r="AD90" i="2"/>
  <c r="X13" i="2"/>
  <c r="V13" i="2"/>
  <c r="K204" i="2"/>
  <c r="M52" i="2"/>
  <c r="W90" i="2"/>
  <c r="AC13" i="2"/>
  <c r="Q204" i="2"/>
  <c r="AC90" i="2"/>
  <c r="O444" i="2"/>
  <c r="W13" i="2"/>
  <c r="P444" i="2"/>
  <c r="AB204" i="2"/>
  <c r="Z444" i="2"/>
  <c r="U90" i="2"/>
  <c r="W204" i="2"/>
  <c r="G90" i="2"/>
  <c r="G522" i="2" s="1"/>
  <c r="Y444" i="2"/>
  <c r="AC444" i="2"/>
  <c r="S444" i="2"/>
  <c r="Z13" i="2"/>
  <c r="U52" i="2"/>
  <c r="S13" i="2"/>
  <c r="M276" i="1"/>
  <c r="M277" i="1"/>
  <c r="I88" i="1"/>
  <c r="I91" i="1" s="1"/>
  <c r="I459" i="1"/>
  <c r="K448" i="1"/>
  <c r="AA271" i="1"/>
  <c r="AA448" i="1"/>
  <c r="AA456" i="1"/>
  <c r="M308" i="1"/>
  <c r="W269" i="1"/>
  <c r="R88" i="1"/>
  <c r="R91" i="1" s="1"/>
  <c r="R99" i="1" s="1"/>
  <c r="R280" i="1"/>
  <c r="R458" i="1"/>
  <c r="AA269" i="1"/>
  <c r="AA455" i="1"/>
  <c r="AA275" i="1"/>
  <c r="W454" i="1"/>
  <c r="AA82" i="1"/>
  <c r="AA142" i="1" s="1"/>
  <c r="U450" i="1"/>
  <c r="AA450" i="1"/>
  <c r="AA307" i="1"/>
  <c r="R307" i="1"/>
  <c r="M122" i="1"/>
  <c r="I453" i="1"/>
  <c r="AA280" i="1"/>
  <c r="AA120" i="1"/>
  <c r="H88" i="1"/>
  <c r="H91" i="1" s="1"/>
  <c r="H99" i="1" s="1"/>
  <c r="H279" i="1"/>
  <c r="R442" i="1"/>
  <c r="R270" i="1" s="1"/>
  <c r="M280" i="1"/>
  <c r="I274" i="1"/>
  <c r="AA308" i="1"/>
  <c r="K82" i="1"/>
  <c r="E13" i="2" s="1"/>
  <c r="H122" i="1"/>
  <c r="H120" i="1"/>
  <c r="M120" i="1"/>
  <c r="M307" i="1"/>
  <c r="I449" i="1"/>
  <c r="AA279" i="1"/>
  <c r="AA459" i="1"/>
  <c r="H121" i="1"/>
  <c r="H459" i="1"/>
  <c r="W442" i="1"/>
  <c r="W274" i="1" s="1"/>
  <c r="R120" i="1"/>
  <c r="R308" i="1"/>
  <c r="R82" i="1"/>
  <c r="R122" i="1"/>
  <c r="H82" i="1"/>
  <c r="U454" i="1"/>
  <c r="M458" i="1"/>
  <c r="M279" i="1"/>
  <c r="M459" i="1"/>
  <c r="I452" i="1"/>
  <c r="M88" i="1"/>
  <c r="M91" i="1" s="1"/>
  <c r="M99" i="1" s="1"/>
  <c r="I273" i="1"/>
  <c r="AA121" i="1"/>
  <c r="AA88" i="1"/>
  <c r="AA91" i="1" s="1"/>
  <c r="AA99" i="1" s="1"/>
  <c r="H280" i="1"/>
  <c r="H308" i="1"/>
  <c r="S442" i="1"/>
  <c r="S274" i="1" s="1"/>
  <c r="R459" i="1"/>
  <c r="R279" i="1"/>
  <c r="AA442" i="1"/>
  <c r="AA416" i="1"/>
  <c r="U470" i="2"/>
  <c r="U471" i="2" s="1"/>
  <c r="U442" i="1"/>
  <c r="AE470" i="2"/>
  <c r="AE471" i="2" s="1"/>
  <c r="Y470" i="2"/>
  <c r="Y471" i="2" s="1"/>
  <c r="Y280" i="1"/>
  <c r="Y279" i="1"/>
  <c r="Y121" i="1"/>
  <c r="Y459" i="1"/>
  <c r="Y307" i="1"/>
  <c r="Y120" i="1"/>
  <c r="Y122" i="1"/>
  <c r="Y308" i="1"/>
  <c r="Y458" i="1"/>
  <c r="Y88" i="1"/>
  <c r="Y91" i="1" s="1"/>
  <c r="Y99" i="1" s="1"/>
  <c r="X470" i="2"/>
  <c r="X471" i="2" s="1"/>
  <c r="W470" i="2"/>
  <c r="W471" i="2" s="1"/>
  <c r="S470" i="2"/>
  <c r="S471" i="2" s="1"/>
  <c r="K279" i="1"/>
  <c r="K307" i="1"/>
  <c r="K88" i="1"/>
  <c r="K91" i="1" s="1"/>
  <c r="K99" i="1" s="1"/>
  <c r="K458" i="1"/>
  <c r="K308" i="1"/>
  <c r="K121" i="1"/>
  <c r="K280" i="1"/>
  <c r="K122" i="1"/>
  <c r="K120" i="1"/>
  <c r="K459" i="1"/>
  <c r="Z470" i="2"/>
  <c r="Z471" i="2" s="1"/>
  <c r="AF470" i="2"/>
  <c r="AF471" i="2" s="1"/>
  <c r="AC470" i="2"/>
  <c r="AC471" i="2" s="1"/>
  <c r="P470" i="2"/>
  <c r="P471" i="2" s="1"/>
  <c r="M470" i="2"/>
  <c r="M471" i="2" s="1"/>
  <c r="T470" i="2"/>
  <c r="T471" i="2" s="1"/>
  <c r="AA470" i="2"/>
  <c r="AA471" i="2" s="1"/>
  <c r="E471" i="2"/>
  <c r="W82" i="1"/>
  <c r="W130" i="1" s="1"/>
  <c r="U455" i="1"/>
  <c r="U271" i="1"/>
  <c r="U276" i="1"/>
  <c r="U277" i="1"/>
  <c r="U456" i="1"/>
  <c r="U448" i="1"/>
  <c r="U275" i="1"/>
  <c r="W276" i="1"/>
  <c r="W271" i="1"/>
  <c r="W275" i="1"/>
  <c r="W455" i="1"/>
  <c r="W448" i="1"/>
  <c r="W277" i="1"/>
  <c r="M477" i="2"/>
  <c r="M478" i="2" s="1"/>
  <c r="W120" i="1"/>
  <c r="W279" i="1"/>
  <c r="W458" i="1"/>
  <c r="W121" i="1"/>
  <c r="W122" i="1"/>
  <c r="W88" i="1"/>
  <c r="W91" i="1" s="1"/>
  <c r="W99" i="1" s="1"/>
  <c r="W308" i="1"/>
  <c r="W307" i="1"/>
  <c r="W280" i="1"/>
  <c r="W459" i="1"/>
  <c r="I235" i="1"/>
  <c r="I233" i="1"/>
  <c r="I264" i="1" s="1"/>
  <c r="H314" i="2"/>
  <c r="M449" i="2"/>
  <c r="M450" i="2" s="1"/>
  <c r="F460" i="2"/>
  <c r="F483" i="2"/>
  <c r="F486" i="2"/>
  <c r="F439" i="2"/>
  <c r="I84" i="15"/>
  <c r="I467" i="2"/>
  <c r="I449" i="2"/>
  <c r="I450" i="2" s="1"/>
  <c r="J314" i="2"/>
  <c r="E406" i="2"/>
  <c r="F406" i="2"/>
  <c r="AC477" i="2"/>
  <c r="AC478" i="2" s="1"/>
  <c r="Y477" i="2"/>
  <c r="Y478" i="2" s="1"/>
  <c r="AF477" i="2"/>
  <c r="AF478" i="2" s="1"/>
  <c r="E478" i="2"/>
  <c r="AE477" i="2"/>
  <c r="AE478" i="2" s="1"/>
  <c r="AD477" i="2"/>
  <c r="AD478" i="2" s="1"/>
  <c r="P477" i="2"/>
  <c r="P478" i="2" s="1"/>
  <c r="AA477" i="2"/>
  <c r="AA478" i="2" s="1"/>
  <c r="Z477" i="2"/>
  <c r="Z478" i="2" s="1"/>
  <c r="X477" i="2"/>
  <c r="X478" i="2" s="1"/>
  <c r="S477" i="2"/>
  <c r="S478" i="2" s="1"/>
  <c r="AB477" i="2"/>
  <c r="AB478" i="2" s="1"/>
  <c r="T477" i="2"/>
  <c r="T478" i="2" s="1"/>
  <c r="W477" i="2"/>
  <c r="W478" i="2" s="1"/>
  <c r="V477" i="2"/>
  <c r="V478" i="2" s="1"/>
  <c r="U477" i="2"/>
  <c r="U478" i="2" s="1"/>
  <c r="H264" i="1"/>
  <c r="AG415" i="2"/>
  <c r="AH415" i="2" s="1"/>
  <c r="AG411" i="2"/>
  <c r="AH411" i="2" s="1"/>
  <c r="G314" i="2"/>
  <c r="G32" i="8"/>
  <c r="O474" i="2"/>
  <c r="O477" i="2" s="1"/>
  <c r="O478" i="2" s="1"/>
  <c r="O470" i="2"/>
  <c r="O471" i="2" s="1"/>
  <c r="AG429" i="2"/>
  <c r="H416" i="2"/>
  <c r="I314" i="2"/>
  <c r="K314" i="2"/>
  <c r="N474" i="2"/>
  <c r="N477" i="2" s="1"/>
  <c r="N478" i="2" s="1"/>
  <c r="N470" i="2"/>
  <c r="N471" i="2" s="1"/>
  <c r="Q474" i="2"/>
  <c r="Q477" i="2" s="1"/>
  <c r="Q478" i="2" s="1"/>
  <c r="Q470" i="2"/>
  <c r="Q471" i="2" s="1"/>
  <c r="R474" i="2"/>
  <c r="R477" i="2" s="1"/>
  <c r="R478" i="2" s="1"/>
  <c r="R470" i="2"/>
  <c r="R471" i="2" s="1"/>
  <c r="G467" i="2"/>
  <c r="G449" i="2"/>
  <c r="G450" i="2" s="1"/>
  <c r="O551" i="2"/>
  <c r="H442" i="1"/>
  <c r="M242" i="2"/>
  <c r="G451" i="2"/>
  <c r="M128" i="2"/>
  <c r="V128" i="2"/>
  <c r="L242" i="2"/>
  <c r="X166" i="2"/>
  <c r="K280" i="2"/>
  <c r="AA166" i="2"/>
  <c r="G242" i="2"/>
  <c r="AB451" i="2"/>
  <c r="Z280" i="2"/>
  <c r="L166" i="2"/>
  <c r="J242" i="2"/>
  <c r="H451" i="2"/>
  <c r="N451" i="2"/>
  <c r="O128" i="2"/>
  <c r="AF242" i="2"/>
  <c r="U280" i="2"/>
  <c r="AE280" i="2"/>
  <c r="AF451" i="2"/>
  <c r="O280" i="2"/>
  <c r="Z166" i="2"/>
  <c r="K128" i="2"/>
  <c r="V280" i="2"/>
  <c r="AF128" i="2"/>
  <c r="M280" i="2"/>
  <c r="K242" i="2"/>
  <c r="AD166" i="2"/>
  <c r="AD128" i="2"/>
  <c r="AC128" i="2"/>
  <c r="AC451" i="2"/>
  <c r="AB128" i="2"/>
  <c r="J280" i="2"/>
  <c r="Q280" i="2"/>
  <c r="R451" i="2"/>
  <c r="U451" i="2"/>
  <c r="O242" i="2"/>
  <c r="AA280" i="2"/>
  <c r="F242" i="2"/>
  <c r="AD451" i="2"/>
  <c r="U166" i="2"/>
  <c r="M166" i="2"/>
  <c r="T242" i="2"/>
  <c r="V166" i="2"/>
  <c r="S451" i="2"/>
  <c r="F128" i="2"/>
  <c r="S166" i="2"/>
  <c r="Q166" i="2"/>
  <c r="I451" i="2"/>
  <c r="AB280" i="2"/>
  <c r="S128" i="2"/>
  <c r="J128" i="2"/>
  <c r="AF280" i="2"/>
  <c r="P128" i="2"/>
  <c r="N128" i="2"/>
  <c r="Y242" i="2"/>
  <c r="F280" i="2"/>
  <c r="AE451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51" i="2"/>
  <c r="W166" i="2"/>
  <c r="U242" i="2"/>
  <c r="M451" i="2"/>
  <c r="H242" i="2"/>
  <c r="G166" i="2"/>
  <c r="P166" i="2"/>
  <c r="F451" i="2"/>
  <c r="AC280" i="2"/>
  <c r="P451" i="2"/>
  <c r="K166" i="2"/>
  <c r="I242" i="2"/>
  <c r="G128" i="2"/>
  <c r="J451" i="2"/>
  <c r="T451" i="2"/>
  <c r="AE128" i="2"/>
  <c r="H280" i="2"/>
  <c r="AC242" i="2"/>
  <c r="W280" i="2"/>
  <c r="Q451" i="2"/>
  <c r="AB242" i="2"/>
  <c r="S280" i="2"/>
  <c r="R128" i="2"/>
  <c r="V242" i="2"/>
  <c r="N166" i="2"/>
  <c r="I280" i="2"/>
  <c r="N280" i="2"/>
  <c r="O451" i="2"/>
  <c r="Y166" i="2"/>
  <c r="S242" i="2"/>
  <c r="Y280" i="2"/>
  <c r="AE242" i="2"/>
  <c r="W128" i="2"/>
  <c r="W451" i="2"/>
  <c r="AE166" i="2"/>
  <c r="H166" i="2"/>
  <c r="Y451" i="2"/>
  <c r="L451" i="2"/>
  <c r="Q128" i="2"/>
  <c r="Q242" i="2"/>
  <c r="V451" i="2"/>
  <c r="F166" i="2"/>
  <c r="O166" i="2"/>
  <c r="AD280" i="2"/>
  <c r="J166" i="2"/>
  <c r="K451" i="2"/>
  <c r="N242" i="2"/>
  <c r="AA451" i="2"/>
  <c r="G280" i="2"/>
  <c r="AA242" i="2"/>
  <c r="AA128" i="2"/>
  <c r="Y128" i="2"/>
  <c r="X242" i="2"/>
  <c r="R166" i="2"/>
  <c r="I166" i="2"/>
  <c r="P242" i="2"/>
  <c r="T280" i="2"/>
  <c r="Z451" i="2"/>
  <c r="T166" i="2"/>
  <c r="H128" i="2"/>
  <c r="AC166" i="2"/>
  <c r="T128" i="2"/>
  <c r="AF166" i="2"/>
  <c r="X128" i="2"/>
  <c r="AG413" i="2" l="1"/>
  <c r="AH413" i="2" s="1"/>
  <c r="AG412" i="2"/>
  <c r="AH412" i="2" s="1"/>
  <c r="P385" i="1"/>
  <c r="AB385" i="1" s="1"/>
  <c r="AC385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403" i="1"/>
  <c r="AB403" i="1" s="1"/>
  <c r="AC403" i="1" s="1"/>
  <c r="P43" i="1"/>
  <c r="AB470" i="1"/>
  <c r="AC470" i="1" s="1"/>
  <c r="AB298" i="1"/>
  <c r="AC298" i="1" s="1"/>
  <c r="P115" i="1"/>
  <c r="AB115" i="1" s="1"/>
  <c r="AC115" i="1" s="1"/>
  <c r="P405" i="1"/>
  <c r="AB405" i="1" s="1"/>
  <c r="AC405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6" i="1"/>
  <c r="AC386" i="1" s="1"/>
  <c r="AB223" i="1"/>
  <c r="AC223" i="1" s="1"/>
  <c r="AB404" i="1"/>
  <c r="AC404" i="1" s="1"/>
  <c r="O87" i="1"/>
  <c r="O213" i="1"/>
  <c r="O306" i="1"/>
  <c r="O139" i="1"/>
  <c r="O89" i="1"/>
  <c r="O138" i="1"/>
  <c r="O401" i="1"/>
  <c r="O391" i="1"/>
  <c r="O202" i="1"/>
  <c r="O211" i="1"/>
  <c r="E454" i="2"/>
  <c r="O220" i="1"/>
  <c r="O382" i="1"/>
  <c r="O392" i="1"/>
  <c r="O408" i="1"/>
  <c r="O56" i="1"/>
  <c r="O310" i="1"/>
  <c r="O137" i="1"/>
  <c r="O136" i="1"/>
  <c r="O78" i="1"/>
  <c r="O227" i="1"/>
  <c r="O105" i="1"/>
  <c r="O108" i="1"/>
  <c r="G551" i="2"/>
  <c r="H551" i="2"/>
  <c r="M551" i="2"/>
  <c r="R275" i="1"/>
  <c r="L446" i="2"/>
  <c r="L442" i="2"/>
  <c r="L443" i="2" s="1"/>
  <c r="H449" i="2"/>
  <c r="H450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8" i="1"/>
  <c r="N551" i="2"/>
  <c r="K274" i="1"/>
  <c r="M472" i="2"/>
  <c r="S277" i="1"/>
  <c r="S130" i="1"/>
  <c r="S276" i="1"/>
  <c r="S98" i="1"/>
  <c r="S101" i="1" s="1"/>
  <c r="S104" i="1" s="1"/>
  <c r="S124" i="1" s="1"/>
  <c r="S126" i="1" s="1"/>
  <c r="S271" i="1"/>
  <c r="S131" i="1"/>
  <c r="S456" i="1"/>
  <c r="S450" i="1"/>
  <c r="S454" i="1"/>
  <c r="S93" i="1"/>
  <c r="S142" i="1"/>
  <c r="Y142" i="1"/>
  <c r="S269" i="1"/>
  <c r="K452" i="1"/>
  <c r="K453" i="1"/>
  <c r="K270" i="1"/>
  <c r="S455" i="1"/>
  <c r="K273" i="1"/>
  <c r="N472" i="2"/>
  <c r="R456" i="1"/>
  <c r="Y131" i="1"/>
  <c r="R454" i="1"/>
  <c r="E16" i="2"/>
  <c r="I551" i="2"/>
  <c r="R277" i="1"/>
  <c r="Y450" i="1"/>
  <c r="Y276" i="1"/>
  <c r="Y454" i="1"/>
  <c r="Y269" i="1"/>
  <c r="Y271" i="1"/>
  <c r="K130" i="1"/>
  <c r="Y130" i="1"/>
  <c r="Y448" i="1"/>
  <c r="Y275" i="1"/>
  <c r="M131" i="1"/>
  <c r="V472" i="2"/>
  <c r="Y455" i="1"/>
  <c r="Y277" i="1"/>
  <c r="R312" i="1"/>
  <c r="E215" i="2" s="1"/>
  <c r="G215" i="2" s="1"/>
  <c r="M142" i="1"/>
  <c r="H312" i="1"/>
  <c r="E199" i="2" s="1"/>
  <c r="S312" i="1"/>
  <c r="E216" i="2" s="1"/>
  <c r="R450" i="1"/>
  <c r="R455" i="1"/>
  <c r="I131" i="1"/>
  <c r="K312" i="1"/>
  <c r="E204" i="2" s="1"/>
  <c r="W270" i="1"/>
  <c r="I312" i="1"/>
  <c r="E200" i="2" s="1"/>
  <c r="V35" i="2"/>
  <c r="R472" i="2"/>
  <c r="F35" i="2"/>
  <c r="N35" i="2"/>
  <c r="Y472" i="2"/>
  <c r="O472" i="2"/>
  <c r="K131" i="1"/>
  <c r="M130" i="1"/>
  <c r="P35" i="2"/>
  <c r="AG52" i="2"/>
  <c r="AA131" i="1"/>
  <c r="Y35" i="2"/>
  <c r="W131" i="1"/>
  <c r="G35" i="2"/>
  <c r="Q472" i="2"/>
  <c r="AB472" i="2"/>
  <c r="Q551" i="2"/>
  <c r="E9" i="2"/>
  <c r="AG90" i="2"/>
  <c r="T472" i="2"/>
  <c r="X472" i="2"/>
  <c r="AE472" i="2"/>
  <c r="AG13" i="2"/>
  <c r="AH13" i="2" s="1"/>
  <c r="AG204" i="2"/>
  <c r="S472" i="2"/>
  <c r="AD472" i="2"/>
  <c r="I130" i="1"/>
  <c r="I98" i="1"/>
  <c r="Z472" i="2"/>
  <c r="AC472" i="2"/>
  <c r="R453" i="1"/>
  <c r="I93" i="1"/>
  <c r="AG444" i="2"/>
  <c r="AH444" i="2" s="1"/>
  <c r="I35" i="2"/>
  <c r="W449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9" i="1"/>
  <c r="S452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52" i="1"/>
  <c r="S35" i="2"/>
  <c r="U35" i="2"/>
  <c r="AE35" i="2"/>
  <c r="Q35" i="2"/>
  <c r="X35" i="2"/>
  <c r="AA472" i="2"/>
  <c r="M35" i="2"/>
  <c r="AF472" i="2"/>
  <c r="H93" i="1"/>
  <c r="M312" i="1"/>
  <c r="E207" i="2" s="1"/>
  <c r="AA312" i="1"/>
  <c r="E229" i="2" s="1"/>
  <c r="R273" i="1"/>
  <c r="R274" i="1"/>
  <c r="R452" i="1"/>
  <c r="R449" i="1"/>
  <c r="M93" i="1"/>
  <c r="W453" i="1"/>
  <c r="W273" i="1"/>
  <c r="W472" i="2"/>
  <c r="M101" i="1"/>
  <c r="M104" i="1" s="1"/>
  <c r="M124" i="1" s="1"/>
  <c r="M126" i="1" s="1"/>
  <c r="U472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9" i="1"/>
  <c r="AA452" i="1"/>
  <c r="AA453" i="1"/>
  <c r="S273" i="1"/>
  <c r="S453" i="1"/>
  <c r="U274" i="1"/>
  <c r="U452" i="1"/>
  <c r="U453" i="1"/>
  <c r="U449" i="1"/>
  <c r="U270" i="1"/>
  <c r="U273" i="1"/>
  <c r="P472" i="2"/>
  <c r="Y312" i="1"/>
  <c r="Y93" i="1"/>
  <c r="W98" i="1"/>
  <c r="W101" i="1" s="1"/>
  <c r="E32" i="2"/>
  <c r="V32" i="2" s="1"/>
  <c r="K93" i="1"/>
  <c r="W312" i="1"/>
  <c r="I455" i="1"/>
  <c r="I454" i="1"/>
  <c r="I277" i="1"/>
  <c r="I456" i="1"/>
  <c r="I276" i="1"/>
  <c r="I450" i="1"/>
  <c r="I271" i="1"/>
  <c r="I275" i="1"/>
  <c r="I448" i="1"/>
  <c r="I269" i="1"/>
  <c r="W93" i="1"/>
  <c r="H316" i="2"/>
  <c r="H338" i="2" s="1"/>
  <c r="J84" i="15"/>
  <c r="I200" i="15"/>
  <c r="F446" i="2"/>
  <c r="F442" i="2"/>
  <c r="F443" i="2" s="1"/>
  <c r="O504" i="2"/>
  <c r="O513" i="2" s="1"/>
  <c r="H504" i="2"/>
  <c r="L504" i="2"/>
  <c r="N504" i="2"/>
  <c r="M504" i="2"/>
  <c r="F484" i="2"/>
  <c r="J504" i="2"/>
  <c r="J513" i="2" s="1"/>
  <c r="AG451" i="2"/>
  <c r="AH451" i="2" s="1"/>
  <c r="I474" i="2"/>
  <c r="I477" i="2" s="1"/>
  <c r="I478" i="2" s="1"/>
  <c r="I479" i="2" s="1"/>
  <c r="I470" i="2"/>
  <c r="I471" i="2" s="1"/>
  <c r="I472" i="2" s="1"/>
  <c r="Q504" i="2"/>
  <c r="Q513" i="2" s="1"/>
  <c r="R504" i="2"/>
  <c r="R513" i="2" s="1"/>
  <c r="I504" i="2"/>
  <c r="I513" i="2" s="1"/>
  <c r="P504" i="2"/>
  <c r="P513" i="2" s="1"/>
  <c r="AG128" i="2"/>
  <c r="F504" i="2"/>
  <c r="F513" i="2" s="1"/>
  <c r="H474" i="2"/>
  <c r="H477" i="2" s="1"/>
  <c r="H478" i="2" s="1"/>
  <c r="H479" i="2" s="1"/>
  <c r="H470" i="2"/>
  <c r="H471" i="2" s="1"/>
  <c r="H472" i="2" s="1"/>
  <c r="I316" i="2"/>
  <c r="G316" i="2"/>
  <c r="K504" i="2"/>
  <c r="E220" i="2"/>
  <c r="AG166" i="2"/>
  <c r="AG280" i="2"/>
  <c r="I99" i="1"/>
  <c r="X479" i="2"/>
  <c r="R479" i="2"/>
  <c r="U479" i="2"/>
  <c r="S479" i="2"/>
  <c r="AB479" i="2"/>
  <c r="T479" i="2"/>
  <c r="W479" i="2"/>
  <c r="V479" i="2"/>
  <c r="Q479" i="2"/>
  <c r="AC479" i="2"/>
  <c r="Y479" i="2"/>
  <c r="AF479" i="2"/>
  <c r="O479" i="2"/>
  <c r="AE479" i="2"/>
  <c r="AD479" i="2"/>
  <c r="N479" i="2"/>
  <c r="P479" i="2"/>
  <c r="AA479" i="2"/>
  <c r="M479" i="2"/>
  <c r="Z479" i="2"/>
  <c r="AG522" i="2"/>
  <c r="F551" i="2"/>
  <c r="F407" i="2"/>
  <c r="AG406" i="2"/>
  <c r="AH406" i="2" s="1"/>
  <c r="AG242" i="2"/>
  <c r="H453" i="1"/>
  <c r="H270" i="1"/>
  <c r="H452" i="1"/>
  <c r="H449" i="1"/>
  <c r="H274" i="1"/>
  <c r="H273" i="1"/>
  <c r="G504" i="2"/>
  <c r="G474" i="2"/>
  <c r="G470" i="2"/>
  <c r="K316" i="2"/>
  <c r="AG416" i="2"/>
  <c r="AH416" i="2" s="1"/>
  <c r="H450" i="1"/>
  <c r="H456" i="1"/>
  <c r="H271" i="1"/>
  <c r="H454" i="1"/>
  <c r="H275" i="1"/>
  <c r="H455" i="1"/>
  <c r="H276" i="1"/>
  <c r="H448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F216" i="2" l="1"/>
  <c r="X220" i="2"/>
  <c r="Q229" i="2"/>
  <c r="R278" i="1"/>
  <c r="H351" i="2"/>
  <c r="D12" i="4" s="1"/>
  <c r="P297" i="1"/>
  <c r="AB297" i="1" s="1"/>
  <c r="AC297" i="1" s="1"/>
  <c r="P111" i="1"/>
  <c r="AB111" i="1" s="1"/>
  <c r="AC111" i="1" s="1"/>
  <c r="AB43" i="1"/>
  <c r="AC43" i="1" s="1"/>
  <c r="P54" i="1"/>
  <c r="K513" i="2"/>
  <c r="L513" i="2"/>
  <c r="G513" i="2"/>
  <c r="G542" i="2" s="1"/>
  <c r="G565" i="2" s="1"/>
  <c r="H513" i="2"/>
  <c r="H542" i="2" s="1"/>
  <c r="H565" i="2" s="1"/>
  <c r="H616" i="2" s="1"/>
  <c r="M513" i="2"/>
  <c r="M542" i="2" s="1"/>
  <c r="M565" i="2" s="1"/>
  <c r="N513" i="2"/>
  <c r="N542" i="2" s="1"/>
  <c r="N565" i="2" s="1"/>
  <c r="N590" i="2" s="1"/>
  <c r="AE32" i="2"/>
  <c r="V16" i="2"/>
  <c r="O141" i="1"/>
  <c r="E456" i="2"/>
  <c r="AG454" i="2"/>
  <c r="AH454" i="2" s="1"/>
  <c r="E461" i="2"/>
  <c r="O410" i="1"/>
  <c r="O394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AD29" i="2"/>
  <c r="L467" i="2"/>
  <c r="L449" i="2"/>
  <c r="L450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F217" i="2" s="1"/>
  <c r="Q215" i="2"/>
  <c r="J215" i="2"/>
  <c r="AD216" i="2"/>
  <c r="N215" i="2"/>
  <c r="Y215" i="2"/>
  <c r="L215" i="2"/>
  <c r="Y216" i="2"/>
  <c r="AB215" i="2"/>
  <c r="W16" i="2"/>
  <c r="Z16" i="2"/>
  <c r="S16" i="2"/>
  <c r="X16" i="2"/>
  <c r="S326" i="1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24" i="1"/>
  <c r="S318" i="1"/>
  <c r="S451" i="1"/>
  <c r="R281" i="1"/>
  <c r="X229" i="2"/>
  <c r="AF229" i="2"/>
  <c r="J229" i="2"/>
  <c r="AA229" i="2"/>
  <c r="Z229" i="2"/>
  <c r="L229" i="2"/>
  <c r="S314" i="1"/>
  <c r="E254" i="2" s="1"/>
  <c r="S316" i="1"/>
  <c r="E292" i="2" s="1"/>
  <c r="S457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6" i="1"/>
  <c r="R322" i="1"/>
  <c r="M32" i="2"/>
  <c r="Q32" i="2"/>
  <c r="U32" i="2"/>
  <c r="G32" i="2"/>
  <c r="H32" i="2"/>
  <c r="I32" i="2"/>
  <c r="AG35" i="2"/>
  <c r="AH35" i="2" s="1"/>
  <c r="R324" i="1"/>
  <c r="R451" i="1"/>
  <c r="R457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AC24" i="2"/>
  <c r="AC26" i="2" s="1"/>
  <c r="Y24" i="2"/>
  <c r="Y26" i="2" s="1"/>
  <c r="W24" i="2"/>
  <c r="W26" i="2" s="1"/>
  <c r="L24" i="2"/>
  <c r="L26" i="2" s="1"/>
  <c r="Y326" i="1"/>
  <c r="Y281" i="1"/>
  <c r="Y451" i="1"/>
  <c r="E74" i="2"/>
  <c r="Y318" i="1"/>
  <c r="Y322" i="1"/>
  <c r="Y314" i="1"/>
  <c r="E264" i="2" s="1"/>
  <c r="Y278" i="1"/>
  <c r="Y316" i="1"/>
  <c r="E302" i="2" s="1"/>
  <c r="Y457" i="1"/>
  <c r="Y320" i="1"/>
  <c r="Y272" i="1"/>
  <c r="Y324" i="1"/>
  <c r="E226" i="2"/>
  <c r="K451" i="1"/>
  <c r="K324" i="1"/>
  <c r="K457" i="1"/>
  <c r="K272" i="1"/>
  <c r="K318" i="1"/>
  <c r="K322" i="1"/>
  <c r="K320" i="1"/>
  <c r="K316" i="1"/>
  <c r="E280" i="2" s="1"/>
  <c r="AH280" i="2" s="1"/>
  <c r="K326" i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42" i="2"/>
  <c r="O565" i="2" s="1"/>
  <c r="O616" i="2" s="1"/>
  <c r="F24" i="2"/>
  <c r="F467" i="2"/>
  <c r="F449" i="2"/>
  <c r="F450" i="2" s="1"/>
  <c r="I201" i="15"/>
  <c r="I36" i="15" s="1"/>
  <c r="K84" i="15"/>
  <c r="U281" i="1"/>
  <c r="U324" i="1"/>
  <c r="U326" i="1"/>
  <c r="E68" i="2"/>
  <c r="U314" i="1"/>
  <c r="U320" i="1"/>
  <c r="U316" i="1"/>
  <c r="E296" i="2" s="1"/>
  <c r="U278" i="1"/>
  <c r="U322" i="1"/>
  <c r="U272" i="1"/>
  <c r="U451" i="1"/>
  <c r="U457" i="1"/>
  <c r="U318" i="1"/>
  <c r="E77" i="2"/>
  <c r="AA451" i="1"/>
  <c r="AA457" i="1"/>
  <c r="AA278" i="1"/>
  <c r="AA314" i="1"/>
  <c r="AA316" i="1"/>
  <c r="E305" i="2" s="1"/>
  <c r="AA322" i="1"/>
  <c r="AA318" i="1"/>
  <c r="AA326" i="1"/>
  <c r="AA272" i="1"/>
  <c r="AA320" i="1"/>
  <c r="AA281" i="1"/>
  <c r="AA324" i="1"/>
  <c r="M316" i="1"/>
  <c r="E283" i="2" s="1"/>
  <c r="I283" i="2" s="1"/>
  <c r="M318" i="1"/>
  <c r="M457" i="1"/>
  <c r="M322" i="1"/>
  <c r="M326" i="1"/>
  <c r="M272" i="1"/>
  <c r="M320" i="1"/>
  <c r="M281" i="1"/>
  <c r="M314" i="1"/>
  <c r="E55" i="2"/>
  <c r="I55" i="2" s="1"/>
  <c r="M278" i="1"/>
  <c r="M451" i="1"/>
  <c r="M324" i="1"/>
  <c r="E201" i="2"/>
  <c r="H126" i="1"/>
  <c r="AE220" i="2"/>
  <c r="R220" i="2"/>
  <c r="K220" i="2"/>
  <c r="Y220" i="2"/>
  <c r="I338" i="2"/>
  <c r="I351" i="2" s="1"/>
  <c r="I542" i="2"/>
  <c r="I565" i="2" s="1"/>
  <c r="Q207" i="2"/>
  <c r="G338" i="2"/>
  <c r="G351" i="2" s="1"/>
  <c r="M220" i="2"/>
  <c r="V220" i="2"/>
  <c r="S220" i="2"/>
  <c r="J220" i="2"/>
  <c r="G220" i="2"/>
  <c r="N220" i="2"/>
  <c r="H220" i="2"/>
  <c r="H16" i="2"/>
  <c r="H207" i="2"/>
  <c r="AG504" i="2"/>
  <c r="R542" i="2"/>
  <c r="R565" i="2" s="1"/>
  <c r="AG25" i="2"/>
  <c r="AH25" i="2" s="1"/>
  <c r="G471" i="2"/>
  <c r="AG407" i="2"/>
  <c r="AH407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42" i="2"/>
  <c r="Q565" i="2" s="1"/>
  <c r="I16" i="2"/>
  <c r="I207" i="2"/>
  <c r="AF207" i="2"/>
  <c r="J338" i="2"/>
  <c r="J351" i="2" s="1"/>
  <c r="K338" i="2"/>
  <c r="K351" i="2" s="1"/>
  <c r="G477" i="2"/>
  <c r="P220" i="2"/>
  <c r="W220" i="2"/>
  <c r="AD220" i="2"/>
  <c r="Q220" i="2"/>
  <c r="L220" i="2"/>
  <c r="AB220" i="2"/>
  <c r="P542" i="2"/>
  <c r="P565" i="2" s="1"/>
  <c r="M207" i="2"/>
  <c r="O207" i="2"/>
  <c r="T292" i="2" l="1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401" i="1"/>
  <c r="P108" i="1"/>
  <c r="AB108" i="1" s="1"/>
  <c r="AC108" i="1" s="1"/>
  <c r="P136" i="1"/>
  <c r="P202" i="1"/>
  <c r="P56" i="1"/>
  <c r="P391" i="1"/>
  <c r="AB391" i="1" s="1"/>
  <c r="AC391" i="1" s="1"/>
  <c r="P220" i="1"/>
  <c r="P382" i="1"/>
  <c r="P137" i="1"/>
  <c r="AB137" i="1" s="1"/>
  <c r="AC137" i="1" s="1"/>
  <c r="P392" i="1"/>
  <c r="AB392" i="1" s="1"/>
  <c r="AC392" i="1" s="1"/>
  <c r="P139" i="1"/>
  <c r="AB139" i="1" s="1"/>
  <c r="AC139" i="1" s="1"/>
  <c r="P408" i="1"/>
  <c r="AB408" i="1" s="1"/>
  <c r="AC408" i="1" s="1"/>
  <c r="K217" i="2"/>
  <c r="AB217" i="2"/>
  <c r="Z217" i="2"/>
  <c r="M217" i="2"/>
  <c r="N616" i="2"/>
  <c r="M590" i="2"/>
  <c r="M616" i="2"/>
  <c r="G590" i="2"/>
  <c r="G616" i="2"/>
  <c r="H590" i="2"/>
  <c r="O12" i="1"/>
  <c r="AG461" i="2"/>
  <c r="AH461" i="2" s="1"/>
  <c r="E463" i="2"/>
  <c r="O412" i="1"/>
  <c r="O75" i="1"/>
  <c r="O231" i="1"/>
  <c r="S456" i="2"/>
  <c r="S457" i="2" s="1"/>
  <c r="AC456" i="2"/>
  <c r="AC457" i="2" s="1"/>
  <c r="AF456" i="2"/>
  <c r="AF457" i="2" s="1"/>
  <c r="W456" i="2"/>
  <c r="W457" i="2" s="1"/>
  <c r="H456" i="2"/>
  <c r="H457" i="2" s="1"/>
  <c r="I456" i="2"/>
  <c r="I457" i="2" s="1"/>
  <c r="M456" i="2"/>
  <c r="M457" i="2" s="1"/>
  <c r="X456" i="2"/>
  <c r="X457" i="2" s="1"/>
  <c r="E457" i="2"/>
  <c r="T456" i="2"/>
  <c r="T457" i="2" s="1"/>
  <c r="N456" i="2"/>
  <c r="N457" i="2" s="1"/>
  <c r="Y456" i="2"/>
  <c r="Y457" i="2" s="1"/>
  <c r="AE456" i="2"/>
  <c r="AE457" i="2" s="1"/>
  <c r="L456" i="2"/>
  <c r="L457" i="2" s="1"/>
  <c r="O456" i="2"/>
  <c r="O457" i="2" s="1"/>
  <c r="AB456" i="2"/>
  <c r="AB457" i="2" s="1"/>
  <c r="AD456" i="2"/>
  <c r="AD457" i="2" s="1"/>
  <c r="AA456" i="2"/>
  <c r="AA457" i="2" s="1"/>
  <c r="G456" i="2"/>
  <c r="G457" i="2" s="1"/>
  <c r="Q456" i="2"/>
  <c r="Q457" i="2" s="1"/>
  <c r="Z456" i="2"/>
  <c r="Z457" i="2" s="1"/>
  <c r="U456" i="2"/>
  <c r="U457" i="2" s="1"/>
  <c r="P456" i="2"/>
  <c r="P457" i="2" s="1"/>
  <c r="V456" i="2"/>
  <c r="V457" i="2" s="1"/>
  <c r="R456" i="2"/>
  <c r="R457" i="2" s="1"/>
  <c r="F456" i="2"/>
  <c r="F457" i="2" s="1"/>
  <c r="P291" i="2"/>
  <c r="U217" i="2"/>
  <c r="X217" i="2"/>
  <c r="L474" i="2"/>
  <c r="L477" i="2" s="1"/>
  <c r="L478" i="2" s="1"/>
  <c r="L479" i="2" s="1"/>
  <c r="L283" i="2" s="1"/>
  <c r="L470" i="2"/>
  <c r="L471" i="2" s="1"/>
  <c r="L472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61" i="1"/>
  <c r="S463" i="1" s="1"/>
  <c r="S465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V293" i="2" s="1"/>
  <c r="AD292" i="2"/>
  <c r="AG216" i="2"/>
  <c r="AH216" i="2" s="1"/>
  <c r="S328" i="1"/>
  <c r="I63" i="2"/>
  <c r="L63" i="2"/>
  <c r="Q63" i="2"/>
  <c r="H63" i="2"/>
  <c r="T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61" i="1"/>
  <c r="R463" i="1" s="1"/>
  <c r="R465" i="1" s="1"/>
  <c r="E177" i="2" s="1"/>
  <c r="T177" i="2" s="1"/>
  <c r="AG32" i="2"/>
  <c r="AH32" i="2" s="1"/>
  <c r="R328" i="1"/>
  <c r="AG229" i="2"/>
  <c r="AH229" i="2" s="1"/>
  <c r="R283" i="2"/>
  <c r="H55" i="2"/>
  <c r="Q283" i="2"/>
  <c r="O283" i="2"/>
  <c r="O590" i="2"/>
  <c r="Y283" i="1"/>
  <c r="Y285" i="1" s="1"/>
  <c r="Y287" i="1" s="1"/>
  <c r="AB283" i="2"/>
  <c r="U283" i="2"/>
  <c r="AD283" i="2"/>
  <c r="Y461" i="1"/>
  <c r="Y463" i="1" s="1"/>
  <c r="Y465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8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8" i="1"/>
  <c r="E242" i="2"/>
  <c r="AH242" i="2" s="1"/>
  <c r="K283" i="1"/>
  <c r="K285" i="1" s="1"/>
  <c r="K461" i="1"/>
  <c r="K463" i="1" s="1"/>
  <c r="K465" i="1" s="1"/>
  <c r="E166" i="2" s="1"/>
  <c r="AH166" i="2" s="1"/>
  <c r="S283" i="2"/>
  <c r="W314" i="1"/>
  <c r="W326" i="1"/>
  <c r="W320" i="1"/>
  <c r="W278" i="1"/>
  <c r="W281" i="1"/>
  <c r="W316" i="1"/>
  <c r="E299" i="2" s="1"/>
  <c r="W324" i="1"/>
  <c r="W457" i="1"/>
  <c r="E71" i="2"/>
  <c r="W318" i="1"/>
  <c r="W451" i="1"/>
  <c r="W322" i="1"/>
  <c r="W272" i="1"/>
  <c r="M461" i="1"/>
  <c r="M463" i="1" s="1"/>
  <c r="M465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L84" i="15"/>
  <c r="S85" i="15"/>
  <c r="J12" i="15" s="1"/>
  <c r="F474" i="2"/>
  <c r="F477" i="2" s="1"/>
  <c r="F478" i="2" s="1"/>
  <c r="F479" i="2" s="1"/>
  <c r="F470" i="2"/>
  <c r="F471" i="2" s="1"/>
  <c r="F472" i="2" s="1"/>
  <c r="F26" i="2"/>
  <c r="G478" i="2"/>
  <c r="G472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42" i="2"/>
  <c r="F565" i="2" s="1"/>
  <c r="AG513" i="2"/>
  <c r="I616" i="2"/>
  <c r="I590" i="2"/>
  <c r="E267" i="2"/>
  <c r="AA328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61" i="1"/>
  <c r="U463" i="1" s="1"/>
  <c r="U465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324" i="1"/>
  <c r="H281" i="1"/>
  <c r="H322" i="1"/>
  <c r="H320" i="1"/>
  <c r="H326" i="1"/>
  <c r="H451" i="1"/>
  <c r="H318" i="1"/>
  <c r="H278" i="1"/>
  <c r="H314" i="1"/>
  <c r="E47" i="2"/>
  <c r="H316" i="1"/>
  <c r="H272" i="1"/>
  <c r="H457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90" i="2"/>
  <c r="P616" i="2"/>
  <c r="D15" i="4"/>
  <c r="AG220" i="2"/>
  <c r="AH220" i="2" s="1"/>
  <c r="R590" i="2"/>
  <c r="R616" i="2"/>
  <c r="E245" i="2"/>
  <c r="M328" i="1"/>
  <c r="D14" i="4"/>
  <c r="Q616" i="2"/>
  <c r="Q590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D11" i="4"/>
  <c r="D13" i="4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61" i="1"/>
  <c r="AA463" i="1" s="1"/>
  <c r="AA465" i="1" s="1"/>
  <c r="E191" i="2" s="1"/>
  <c r="E258" i="2"/>
  <c r="U328" i="1"/>
  <c r="E101" i="2" l="1"/>
  <c r="T101" i="2" s="1"/>
  <c r="P141" i="1"/>
  <c r="AB141" i="1" s="1"/>
  <c r="AC141" i="1" s="1"/>
  <c r="AB136" i="1"/>
  <c r="AC136" i="1" s="1"/>
  <c r="P410" i="1"/>
  <c r="AB410" i="1" s="1"/>
  <c r="AC410" i="1" s="1"/>
  <c r="AB401" i="1"/>
  <c r="AC401" i="1" s="1"/>
  <c r="AB382" i="1"/>
  <c r="AC382" i="1" s="1"/>
  <c r="P394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8" i="2"/>
  <c r="T458" i="2"/>
  <c r="F458" i="2"/>
  <c r="N458" i="2"/>
  <c r="AB463" i="2"/>
  <c r="AB464" i="2" s="1"/>
  <c r="AD463" i="2"/>
  <c r="AD464" i="2" s="1"/>
  <c r="AC463" i="2"/>
  <c r="AC464" i="2" s="1"/>
  <c r="H463" i="2"/>
  <c r="H464" i="2" s="1"/>
  <c r="I463" i="2"/>
  <c r="I464" i="2" s="1"/>
  <c r="O463" i="2"/>
  <c r="O464" i="2" s="1"/>
  <c r="S463" i="2"/>
  <c r="S464" i="2" s="1"/>
  <c r="AF463" i="2"/>
  <c r="AF464" i="2" s="1"/>
  <c r="AE463" i="2"/>
  <c r="AE464" i="2" s="1"/>
  <c r="Z463" i="2"/>
  <c r="Z464" i="2" s="1"/>
  <c r="R463" i="2"/>
  <c r="R464" i="2" s="1"/>
  <c r="G463" i="2"/>
  <c r="G464" i="2" s="1"/>
  <c r="P463" i="2"/>
  <c r="P464" i="2" s="1"/>
  <c r="Y463" i="2"/>
  <c r="Y464" i="2" s="1"/>
  <c r="E464" i="2"/>
  <c r="W463" i="2"/>
  <c r="W464" i="2" s="1"/>
  <c r="U463" i="2"/>
  <c r="U464" i="2" s="1"/>
  <c r="T463" i="2"/>
  <c r="T464" i="2" s="1"/>
  <c r="Q463" i="2"/>
  <c r="Q464" i="2" s="1"/>
  <c r="X463" i="2"/>
  <c r="X464" i="2" s="1"/>
  <c r="V463" i="2"/>
  <c r="V464" i="2" s="1"/>
  <c r="AA463" i="2"/>
  <c r="AA464" i="2" s="1"/>
  <c r="L463" i="2"/>
  <c r="L464" i="2" s="1"/>
  <c r="M463" i="2"/>
  <c r="M464" i="2" s="1"/>
  <c r="N463" i="2"/>
  <c r="N464" i="2" s="1"/>
  <c r="F463" i="2"/>
  <c r="F464" i="2" s="1"/>
  <c r="O237" i="1"/>
  <c r="O233" i="1"/>
  <c r="O235" i="1"/>
  <c r="O414" i="1"/>
  <c r="O82" i="1"/>
  <c r="S458" i="2"/>
  <c r="R458" i="2"/>
  <c r="M458" i="2"/>
  <c r="AB458" i="2"/>
  <c r="V458" i="2"/>
  <c r="Z458" i="2"/>
  <c r="AF458" i="2"/>
  <c r="L458" i="2"/>
  <c r="Q458" i="2"/>
  <c r="I458" i="2"/>
  <c r="P458" i="2"/>
  <c r="AD458" i="2"/>
  <c r="X458" i="2"/>
  <c r="G458" i="2"/>
  <c r="H458" i="2"/>
  <c r="Y458" i="2"/>
  <c r="AA458" i="2"/>
  <c r="AE458" i="2"/>
  <c r="O458" i="2"/>
  <c r="AC458" i="2"/>
  <c r="W458" i="2"/>
  <c r="O458" i="1"/>
  <c r="O122" i="1"/>
  <c r="O121" i="1"/>
  <c r="O88" i="1"/>
  <c r="O459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K293" i="2"/>
  <c r="AB178" i="2"/>
  <c r="Z178" i="2"/>
  <c r="AD178" i="2"/>
  <c r="X178" i="2"/>
  <c r="G178" i="2"/>
  <c r="R178" i="2"/>
  <c r="Q178" i="2"/>
  <c r="S178" i="2"/>
  <c r="AF178" i="2"/>
  <c r="E140" i="2"/>
  <c r="AC293" i="2"/>
  <c r="M293" i="2"/>
  <c r="F293" i="2"/>
  <c r="O178" i="2"/>
  <c r="P178" i="2"/>
  <c r="L293" i="2"/>
  <c r="AD293" i="2"/>
  <c r="J178" i="2"/>
  <c r="F178" i="2"/>
  <c r="X293" i="2"/>
  <c r="U293" i="2"/>
  <c r="H293" i="2"/>
  <c r="R287" i="1"/>
  <c r="J293" i="2"/>
  <c r="R293" i="2"/>
  <c r="Q293" i="2"/>
  <c r="S293" i="2"/>
  <c r="AG291" i="2"/>
  <c r="AH291" i="2" s="1"/>
  <c r="O293" i="2"/>
  <c r="AB293" i="2"/>
  <c r="AE293" i="2"/>
  <c r="AA293" i="2"/>
  <c r="N293" i="2"/>
  <c r="I293" i="2"/>
  <c r="Z293" i="2"/>
  <c r="E139" i="2"/>
  <c r="I139" i="2" s="1"/>
  <c r="R330" i="1"/>
  <c r="AB65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30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X139" i="2"/>
  <c r="Y330" i="1"/>
  <c r="E150" i="2"/>
  <c r="K330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8" i="1"/>
  <c r="U330" i="1"/>
  <c r="AA330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61" i="1"/>
  <c r="W463" i="1" s="1"/>
  <c r="W465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M84" i="15"/>
  <c r="Y255" i="2"/>
  <c r="F16" i="2"/>
  <c r="F207" i="2"/>
  <c r="V255" i="2"/>
  <c r="F55" i="2"/>
  <c r="J432" i="2"/>
  <c r="AG432" i="2" s="1"/>
  <c r="J25" i="15"/>
  <c r="E432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AG349" i="2"/>
  <c r="AH349" i="2" s="1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9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30" i="1"/>
  <c r="H461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16" i="2"/>
  <c r="F590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F351" i="2" s="1"/>
  <c r="AG316" i="2"/>
  <c r="AH316" i="2" s="1"/>
  <c r="E237" i="2"/>
  <c r="H328" i="1"/>
  <c r="AG77" i="2"/>
  <c r="AH77" i="2" s="1"/>
  <c r="R101" i="2" l="1"/>
  <c r="W150" i="2"/>
  <c r="F153" i="2"/>
  <c r="N101" i="2"/>
  <c r="K140" i="2"/>
  <c r="P101" i="2"/>
  <c r="AB101" i="2"/>
  <c r="AE101" i="2"/>
  <c r="H101" i="2"/>
  <c r="Q101" i="2"/>
  <c r="G101" i="2"/>
  <c r="AA101" i="2"/>
  <c r="O101" i="2"/>
  <c r="U101" i="2"/>
  <c r="I101" i="2"/>
  <c r="AC101" i="2"/>
  <c r="F101" i="2"/>
  <c r="AF101" i="2"/>
  <c r="W101" i="2"/>
  <c r="L101" i="2"/>
  <c r="Y101" i="2"/>
  <c r="X101" i="2"/>
  <c r="S101" i="2"/>
  <c r="V101" i="2"/>
  <c r="AD101" i="2"/>
  <c r="Z101" i="2"/>
  <c r="M101" i="2"/>
  <c r="E106" i="2"/>
  <c r="E112" i="2"/>
  <c r="AC112" i="2" s="1"/>
  <c r="E115" i="2"/>
  <c r="E102" i="2"/>
  <c r="E103" i="2" s="1"/>
  <c r="AB394" i="1"/>
  <c r="AC394" i="1" s="1"/>
  <c r="P412" i="1"/>
  <c r="AB215" i="1"/>
  <c r="AC215" i="1" s="1"/>
  <c r="P231" i="1"/>
  <c r="AB63" i="1"/>
  <c r="AC63" i="1" s="1"/>
  <c r="P75" i="1"/>
  <c r="AB8" i="1"/>
  <c r="AC8" i="1" s="1"/>
  <c r="P12" i="1"/>
  <c r="Q465" i="2"/>
  <c r="U465" i="2"/>
  <c r="W465" i="2"/>
  <c r="T465" i="2"/>
  <c r="O312" i="1"/>
  <c r="O264" i="1"/>
  <c r="O442" i="1"/>
  <c r="O416" i="1"/>
  <c r="O131" i="1"/>
  <c r="E19" i="2"/>
  <c r="Y19" i="2" s="1"/>
  <c r="O98" i="1"/>
  <c r="O130" i="1"/>
  <c r="O142" i="1"/>
  <c r="O91" i="1"/>
  <c r="O93" i="1" s="1"/>
  <c r="O465" i="2"/>
  <c r="G465" i="2"/>
  <c r="M465" i="2"/>
  <c r="X465" i="2"/>
  <c r="H465" i="2"/>
  <c r="I465" i="2"/>
  <c r="AB465" i="2"/>
  <c r="P465" i="2"/>
  <c r="AD465" i="2"/>
  <c r="AF465" i="2"/>
  <c r="V465" i="2"/>
  <c r="R465" i="2"/>
  <c r="S465" i="2"/>
  <c r="N465" i="2"/>
  <c r="AE465" i="2"/>
  <c r="Y465" i="2"/>
  <c r="AA465" i="2"/>
  <c r="AC465" i="2"/>
  <c r="Z465" i="2"/>
  <c r="L465" i="2"/>
  <c r="F465" i="2"/>
  <c r="Q179" i="2"/>
  <c r="L200" i="15"/>
  <c r="L201" i="15" s="1"/>
  <c r="L36" i="15" s="1"/>
  <c r="AB179" i="2"/>
  <c r="U140" i="2"/>
  <c r="M140" i="2"/>
  <c r="F140" i="2"/>
  <c r="AE140" i="2"/>
  <c r="L140" i="2"/>
  <c r="X140" i="2"/>
  <c r="X141" i="2" s="1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M102" i="2"/>
  <c r="W102" i="2"/>
  <c r="T102" i="2"/>
  <c r="T103" i="2" s="1"/>
  <c r="R102" i="2"/>
  <c r="R103" i="2" s="1"/>
  <c r="Y102" i="2"/>
  <c r="F102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22" i="2"/>
  <c r="AH522" i="2" s="1"/>
  <c r="AH90" i="2"/>
  <c r="E504" i="2"/>
  <c r="E513" i="2" s="1"/>
  <c r="AH128" i="2"/>
  <c r="W330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N84" i="15"/>
  <c r="AH432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51" i="1"/>
  <c r="I314" i="1"/>
  <c r="I272" i="1"/>
  <c r="I316" i="1"/>
  <c r="I326" i="1"/>
  <c r="I281" i="1"/>
  <c r="I322" i="1"/>
  <c r="I324" i="1"/>
  <c r="I318" i="1"/>
  <c r="I320" i="1"/>
  <c r="I457" i="1"/>
  <c r="E48" i="2"/>
  <c r="G93" i="2"/>
  <c r="K141" i="2" l="1"/>
  <c r="AC102" i="2"/>
  <c r="AC103" i="2" s="1"/>
  <c r="J102" i="2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H102" i="2"/>
  <c r="H103" i="2" s="1"/>
  <c r="L102" i="2"/>
  <c r="L103" i="2" s="1"/>
  <c r="G102" i="2"/>
  <c r="G103" i="2" s="1"/>
  <c r="S102" i="2"/>
  <c r="S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AE112" i="2"/>
  <c r="F112" i="2"/>
  <c r="T112" i="2"/>
  <c r="X112" i="2"/>
  <c r="S112" i="2"/>
  <c r="M112" i="2"/>
  <c r="I112" i="2"/>
  <c r="Z112" i="2"/>
  <c r="K112" i="2"/>
  <c r="P112" i="2"/>
  <c r="O112" i="2"/>
  <c r="H112" i="2"/>
  <c r="J112" i="2"/>
  <c r="W112" i="2"/>
  <c r="R112" i="2"/>
  <c r="Y112" i="2"/>
  <c r="G112" i="2"/>
  <c r="AA112" i="2"/>
  <c r="AF112" i="2"/>
  <c r="U112" i="2"/>
  <c r="AD112" i="2"/>
  <c r="L112" i="2"/>
  <c r="N112" i="2"/>
  <c r="Q112" i="2"/>
  <c r="AB112" i="2"/>
  <c r="V112" i="2"/>
  <c r="Y103" i="2"/>
  <c r="I102" i="2"/>
  <c r="I103" i="2" s="1"/>
  <c r="F103" i="2"/>
  <c r="W103" i="2"/>
  <c r="M103" i="2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4" i="1"/>
  <c r="AB412" i="1"/>
  <c r="AC412" i="1" s="1"/>
  <c r="P307" i="1"/>
  <c r="AB307" i="1" s="1"/>
  <c r="AC307" i="1" s="1"/>
  <c r="P88" i="1"/>
  <c r="P458" i="1"/>
  <c r="AB458" i="1" s="1"/>
  <c r="AC458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9" i="1"/>
  <c r="AB459" i="1" s="1"/>
  <c r="AC459" i="1" s="1"/>
  <c r="AB75" i="1"/>
  <c r="AC75" i="1" s="1"/>
  <c r="P279" i="1"/>
  <c r="AB279" i="1" s="1"/>
  <c r="AC279" i="1" s="1"/>
  <c r="Z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6" i="1"/>
  <c r="O277" i="1"/>
  <c r="O276" i="1"/>
  <c r="O269" i="1"/>
  <c r="O448" i="1"/>
  <c r="O450" i="1"/>
  <c r="O275" i="1"/>
  <c r="O455" i="1"/>
  <c r="O454" i="1"/>
  <c r="AA19" i="2"/>
  <c r="N19" i="2"/>
  <c r="U19" i="2"/>
  <c r="T19" i="2"/>
  <c r="F19" i="2"/>
  <c r="M19" i="2"/>
  <c r="P19" i="2"/>
  <c r="AE19" i="2"/>
  <c r="E210" i="2"/>
  <c r="O99" i="1"/>
  <c r="O274" i="1"/>
  <c r="O449" i="1"/>
  <c r="O453" i="1"/>
  <c r="O452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504" i="2"/>
  <c r="AG185" i="2"/>
  <c r="AH185" i="2" s="1"/>
  <c r="AG147" i="2"/>
  <c r="AH147" i="2" s="1"/>
  <c r="AG261" i="2"/>
  <c r="AH261" i="2" s="1"/>
  <c r="E49" i="2"/>
  <c r="D10" i="4"/>
  <c r="D26" i="4" s="1"/>
  <c r="E238" i="2"/>
  <c r="I328" i="1"/>
  <c r="E276" i="2"/>
  <c r="I283" i="1"/>
  <c r="I461" i="1"/>
  <c r="AG351" i="2"/>
  <c r="AH351" i="2" s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6" i="1"/>
  <c r="P442" i="1"/>
  <c r="AB414" i="1"/>
  <c r="AC414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AH513" i="2"/>
  <c r="E277" i="2"/>
  <c r="E239" i="2"/>
  <c r="D33" i="4"/>
  <c r="AG109" i="2" l="1"/>
  <c r="AH109" i="2" s="1"/>
  <c r="AI141" i="2"/>
  <c r="P448" i="1"/>
  <c r="P450" i="1"/>
  <c r="AB450" i="1" s="1"/>
  <c r="AC450" i="1" s="1"/>
  <c r="P456" i="1"/>
  <c r="AB456" i="1" s="1"/>
  <c r="AC456" i="1" s="1"/>
  <c r="P455" i="1"/>
  <c r="AB455" i="1" s="1"/>
  <c r="AC455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4" i="1"/>
  <c r="AB454" i="1" s="1"/>
  <c r="AC454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52" i="1"/>
  <c r="AB452" i="1" s="1"/>
  <c r="AC452" i="1" s="1"/>
  <c r="P453" i="1"/>
  <c r="AB453" i="1" s="1"/>
  <c r="AC453" i="1" s="1"/>
  <c r="P273" i="1"/>
  <c r="AB273" i="1" s="1"/>
  <c r="AC273" i="1" s="1"/>
  <c r="P449" i="1"/>
  <c r="AB449" i="1" s="1"/>
  <c r="AC449" i="1" s="1"/>
  <c r="P274" i="1"/>
  <c r="AB274" i="1" s="1"/>
  <c r="AC274" i="1" s="1"/>
  <c r="P270" i="1"/>
  <c r="AB270" i="1" s="1"/>
  <c r="AC270" i="1" s="1"/>
  <c r="AB442" i="1"/>
  <c r="AC442" i="1" s="1"/>
  <c r="P99" i="1"/>
  <c r="AB99" i="1" s="1"/>
  <c r="AC99" i="1" s="1"/>
  <c r="AB91" i="1"/>
  <c r="AC91" i="1" s="1"/>
  <c r="D41" i="4"/>
  <c r="D45" i="4"/>
  <c r="D42" i="4"/>
  <c r="D46" i="4"/>
  <c r="D43" i="4"/>
  <c r="D47" i="4"/>
  <c r="D40" i="4"/>
  <c r="D44" i="4"/>
  <c r="D48" i="4"/>
  <c r="D39" i="4"/>
  <c r="D35" i="4"/>
  <c r="D36" i="4"/>
  <c r="D34" i="4"/>
  <c r="D37" i="4"/>
  <c r="D38" i="4"/>
  <c r="O104" i="1"/>
  <c r="P101" i="1" l="1"/>
  <c r="AB448" i="1"/>
  <c r="AC448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E320" i="2" l="1"/>
  <c r="E232" i="2"/>
  <c r="AG211" i="2"/>
  <c r="AH211" i="2" s="1"/>
  <c r="F212" i="2"/>
  <c r="P104" i="1"/>
  <c r="AB101" i="1"/>
  <c r="AC101" i="1" s="1"/>
  <c r="O126" i="1"/>
  <c r="P124" i="1" l="1"/>
  <c r="AB104" i="1"/>
  <c r="AC104" i="1" s="1"/>
  <c r="O318" i="1"/>
  <c r="O451" i="1"/>
  <c r="O324" i="1"/>
  <c r="O272" i="1"/>
  <c r="O314" i="1"/>
  <c r="O320" i="1"/>
  <c r="O278" i="1"/>
  <c r="O326" i="1"/>
  <c r="O457" i="1"/>
  <c r="O316" i="1"/>
  <c r="O281" i="1"/>
  <c r="E58" i="2"/>
  <c r="O322" i="1"/>
  <c r="P126" i="1" l="1"/>
  <c r="AB124" i="1"/>
  <c r="AC124" i="1" s="1"/>
  <c r="Z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61" i="1"/>
  <c r="E248" i="2"/>
  <c r="O328" i="1"/>
  <c r="P316" i="1" l="1"/>
  <c r="P314" i="1"/>
  <c r="P457" i="1"/>
  <c r="AB457" i="1" s="1"/>
  <c r="AC457" i="1" s="1"/>
  <c r="P320" i="1"/>
  <c r="AB320" i="1" s="1"/>
  <c r="AC320" i="1" s="1"/>
  <c r="E59" i="2"/>
  <c r="P451" i="1"/>
  <c r="P324" i="1"/>
  <c r="AB324" i="1" s="1"/>
  <c r="AC324" i="1" s="1"/>
  <c r="P278" i="1"/>
  <c r="AB278" i="1" s="1"/>
  <c r="AC278" i="1" s="1"/>
  <c r="P322" i="1"/>
  <c r="AB322" i="1" s="1"/>
  <c r="AC322" i="1" s="1"/>
  <c r="P281" i="1"/>
  <c r="AB281" i="1" s="1"/>
  <c r="AC281" i="1" s="1"/>
  <c r="P326" i="1"/>
  <c r="AB326" i="1" s="1"/>
  <c r="AC326" i="1" s="1"/>
  <c r="P318" i="1"/>
  <c r="AB318" i="1" s="1"/>
  <c r="AC318" i="1" s="1"/>
  <c r="P272" i="1"/>
  <c r="AB126" i="1"/>
  <c r="F248" i="2"/>
  <c r="AB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AB286" i="2"/>
  <c r="AA286" i="2"/>
  <c r="AE286" i="2"/>
  <c r="R286" i="2"/>
  <c r="O463" i="1"/>
  <c r="O285" i="1"/>
  <c r="AC126" i="1" l="1"/>
  <c r="E249" i="2"/>
  <c r="P328" i="1"/>
  <c r="AB328" i="1" s="1"/>
  <c r="AC328" i="1" s="1"/>
  <c r="AB314" i="1"/>
  <c r="AC314" i="1" s="1"/>
  <c r="E287" i="2"/>
  <c r="AB316" i="1"/>
  <c r="AC316" i="1" s="1"/>
  <c r="P461" i="1"/>
  <c r="AB451" i="1"/>
  <c r="AC451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5" i="1"/>
  <c r="O129" i="1"/>
  <c r="E134" i="2"/>
  <c r="O287" i="1"/>
  <c r="O330" i="1"/>
  <c r="AG59" i="2" l="1"/>
  <c r="AH59" i="2" s="1"/>
  <c r="F60" i="2"/>
  <c r="P285" i="1"/>
  <c r="AB283" i="1"/>
  <c r="AC283" i="1" s="1"/>
  <c r="P463" i="1"/>
  <c r="P465" i="1" s="1"/>
  <c r="E173" i="2" s="1"/>
  <c r="AB461" i="1"/>
  <c r="AC461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T134" i="2"/>
  <c r="V134" i="2"/>
  <c r="L134" i="2"/>
  <c r="I134" i="2"/>
  <c r="G134" i="2"/>
  <c r="AE134" i="2"/>
  <c r="Q134" i="2"/>
  <c r="E505" i="2"/>
  <c r="M134" i="2"/>
  <c r="Y134" i="2"/>
  <c r="AF134" i="2"/>
  <c r="X134" i="2"/>
  <c r="U134" i="2"/>
  <c r="H134" i="2"/>
  <c r="F134" i="2"/>
  <c r="AA134" i="2"/>
  <c r="S134" i="2"/>
  <c r="AD134" i="2"/>
  <c r="O134" i="2"/>
  <c r="N134" i="2"/>
  <c r="W134" i="2"/>
  <c r="R134" i="2"/>
  <c r="AC134" i="2"/>
  <c r="P134" i="2"/>
  <c r="Z134" i="2"/>
  <c r="O133" i="1"/>
  <c r="E1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30" i="1"/>
  <c r="E135" i="2"/>
  <c r="P287" i="1"/>
  <c r="AG287" i="2"/>
  <c r="AH287" i="2" s="1"/>
  <c r="F288" i="2"/>
  <c r="P505" i="2"/>
  <c r="N505" i="2"/>
  <c r="S505" i="2"/>
  <c r="U505" i="2"/>
  <c r="M505" i="2"/>
  <c r="G505" i="2"/>
  <c r="T505" i="2"/>
  <c r="AC172" i="2"/>
  <c r="V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505" i="2"/>
  <c r="AA505" i="2"/>
  <c r="X505" i="2"/>
  <c r="I505" i="2"/>
  <c r="R505" i="2"/>
  <c r="O505" i="2"/>
  <c r="F505" i="2"/>
  <c r="AF505" i="2"/>
  <c r="Q505" i="2"/>
  <c r="L505" i="2"/>
  <c r="AB505" i="2"/>
  <c r="O144" i="1"/>
  <c r="Z505" i="2"/>
  <c r="W505" i="2"/>
  <c r="AD505" i="2"/>
  <c r="H505" i="2"/>
  <c r="Y505" i="2"/>
  <c r="AE505" i="2"/>
  <c r="V505" i="2"/>
  <c r="I174" i="2" l="1"/>
  <c r="U174" i="2"/>
  <c r="Z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AD174" i="2"/>
  <c r="X174" i="2"/>
  <c r="V174" i="2"/>
  <c r="AF174" i="2"/>
  <c r="Q174" i="2"/>
  <c r="G174" i="2"/>
  <c r="W174" i="2"/>
  <c r="AG173" i="2"/>
  <c r="AH173" i="2" s="1"/>
  <c r="R135" i="2"/>
  <c r="S135" i="2"/>
  <c r="AF135" i="2"/>
  <c r="M135" i="2"/>
  <c r="AC135" i="2"/>
  <c r="J135" i="2"/>
  <c r="Y135" i="2"/>
  <c r="N135" i="2"/>
  <c r="T135" i="2"/>
  <c r="E506" i="2"/>
  <c r="P135" i="2"/>
  <c r="AE135" i="2"/>
  <c r="AE136" i="2" s="1"/>
  <c r="Q135" i="2"/>
  <c r="X135" i="2"/>
  <c r="K135" i="2"/>
  <c r="K506" i="2" s="1"/>
  <c r="Z135" i="2"/>
  <c r="O135" i="2"/>
  <c r="AD135" i="2"/>
  <c r="G135" i="2"/>
  <c r="W135" i="2"/>
  <c r="AB135" i="2"/>
  <c r="U135" i="2"/>
  <c r="L135" i="2"/>
  <c r="V135" i="2"/>
  <c r="H135" i="2"/>
  <c r="AA135" i="2"/>
  <c r="F135" i="2"/>
  <c r="I135" i="2"/>
  <c r="E136" i="2"/>
  <c r="E137" i="2" s="1"/>
  <c r="H361" i="2"/>
  <c r="M361" i="2"/>
  <c r="G361" i="2"/>
  <c r="AC361" i="2"/>
  <c r="V543" i="2"/>
  <c r="Y543" i="2"/>
  <c r="AD543" i="2"/>
  <c r="Z543" i="2"/>
  <c r="AA543" i="2"/>
  <c r="AC543" i="2"/>
  <c r="AB543" i="2"/>
  <c r="L361" i="2"/>
  <c r="AF361" i="2"/>
  <c r="AB361" i="2"/>
  <c r="P361" i="2"/>
  <c r="W361" i="2"/>
  <c r="W543" i="2"/>
  <c r="X543" i="2"/>
  <c r="AD361" i="2"/>
  <c r="T361" i="2"/>
  <c r="Q361" i="2"/>
  <c r="I361" i="2"/>
  <c r="U361" i="2"/>
  <c r="T543" i="2"/>
  <c r="U543" i="2"/>
  <c r="Y361" i="2"/>
  <c r="E96" i="2"/>
  <c r="S361" i="2"/>
  <c r="AA361" i="2"/>
  <c r="X361" i="2"/>
  <c r="N361" i="2"/>
  <c r="AE361" i="2"/>
  <c r="Z361" i="2"/>
  <c r="V361" i="2"/>
  <c r="F361" i="2"/>
  <c r="AE137" i="2" l="1"/>
  <c r="G97" i="2"/>
  <c r="G524" i="2" s="1"/>
  <c r="G553" i="2" s="1"/>
  <c r="M97" i="2"/>
  <c r="M524" i="2" s="1"/>
  <c r="M553" i="2" s="1"/>
  <c r="K97" i="2"/>
  <c r="K524" i="2" s="1"/>
  <c r="K553" i="2" s="1"/>
  <c r="AA97" i="2"/>
  <c r="AA524" i="2" s="1"/>
  <c r="AA553" i="2" s="1"/>
  <c r="Q97" i="2"/>
  <c r="Q524" i="2" s="1"/>
  <c r="Q553" i="2" s="1"/>
  <c r="P97" i="2"/>
  <c r="P524" i="2" s="1"/>
  <c r="P553" i="2" s="1"/>
  <c r="X97" i="2"/>
  <c r="X524" i="2" s="1"/>
  <c r="X627" i="2" s="1"/>
  <c r="X628" i="2" s="1"/>
  <c r="O97" i="2"/>
  <c r="O524" i="2" s="1"/>
  <c r="O553" i="2" s="1"/>
  <c r="N97" i="2"/>
  <c r="N524" i="2" s="1"/>
  <c r="N553" i="2" s="1"/>
  <c r="Y97" i="2"/>
  <c r="Y524" i="2" s="1"/>
  <c r="Y553" i="2" s="1"/>
  <c r="U97" i="2"/>
  <c r="U524" i="2" s="1"/>
  <c r="U553" i="2" s="1"/>
  <c r="AB97" i="2"/>
  <c r="AB524" i="2" s="1"/>
  <c r="AB553" i="2" s="1"/>
  <c r="AF97" i="2"/>
  <c r="AF524" i="2" s="1"/>
  <c r="AF627" i="2" s="1"/>
  <c r="AF628" i="2" s="1"/>
  <c r="AE97" i="2"/>
  <c r="AD97" i="2"/>
  <c r="AD524" i="2" s="1"/>
  <c r="AD627" i="2" s="1"/>
  <c r="AD628" i="2" s="1"/>
  <c r="S97" i="2"/>
  <c r="S524" i="2" s="1"/>
  <c r="S553" i="2" s="1"/>
  <c r="Z97" i="2"/>
  <c r="Z524" i="2" s="1"/>
  <c r="Z627" i="2" s="1"/>
  <c r="Z628" i="2" s="1"/>
  <c r="R97" i="2"/>
  <c r="R524" i="2" s="1"/>
  <c r="R553" i="2" s="1"/>
  <c r="E524" i="2"/>
  <c r="V97" i="2"/>
  <c r="V524" i="2" s="1"/>
  <c r="V553" i="2" s="1"/>
  <c r="T97" i="2"/>
  <c r="T524" i="2" s="1"/>
  <c r="T627" i="2" s="1"/>
  <c r="T628" i="2" s="1"/>
  <c r="I97" i="2"/>
  <c r="I524" i="2" s="1"/>
  <c r="I553" i="2" s="1"/>
  <c r="AC97" i="2"/>
  <c r="AC524" i="2" s="1"/>
  <c r="AC553" i="2" s="1"/>
  <c r="H97" i="2"/>
  <c r="H524" i="2" s="1"/>
  <c r="H553" i="2" s="1"/>
  <c r="J97" i="2"/>
  <c r="J524" i="2" s="1"/>
  <c r="F97" i="2"/>
  <c r="F524" i="2" s="1"/>
  <c r="W97" i="2"/>
  <c r="W524" i="2" s="1"/>
  <c r="W553" i="2" s="1"/>
  <c r="L97" i="2"/>
  <c r="L524" i="2" s="1"/>
  <c r="I506" i="2"/>
  <c r="I136" i="2"/>
  <c r="I137" i="2" s="1"/>
  <c r="F506" i="2"/>
  <c r="AG135" i="2"/>
  <c r="AH135" i="2" s="1"/>
  <c r="F136" i="2"/>
  <c r="F137" i="2" s="1"/>
  <c r="G506" i="2"/>
  <c r="G136" i="2"/>
  <c r="G137" i="2" s="1"/>
  <c r="P506" i="2"/>
  <c r="P136" i="2"/>
  <c r="P137" i="2" s="1"/>
  <c r="AF506" i="2"/>
  <c r="AF136" i="2"/>
  <c r="AF137" i="2" s="1"/>
  <c r="AA506" i="2"/>
  <c r="AA136" i="2"/>
  <c r="AA137" i="2" s="1"/>
  <c r="AD506" i="2"/>
  <c r="AD136" i="2"/>
  <c r="AD137" i="2" s="1"/>
  <c r="D505" i="2"/>
  <c r="D506" i="2"/>
  <c r="S506" i="2"/>
  <c r="S136" i="2"/>
  <c r="S137" i="2" s="1"/>
  <c r="H506" i="2"/>
  <c r="H136" i="2"/>
  <c r="H137" i="2" s="1"/>
  <c r="O506" i="2"/>
  <c r="O136" i="2"/>
  <c r="O137" i="2" s="1"/>
  <c r="T506" i="2"/>
  <c r="T136" i="2"/>
  <c r="T137" i="2" s="1"/>
  <c r="R506" i="2"/>
  <c r="R136" i="2"/>
  <c r="R137" i="2" s="1"/>
  <c r="V506" i="2"/>
  <c r="V136" i="2"/>
  <c r="V137" i="2" s="1"/>
  <c r="Z506" i="2"/>
  <c r="Z136" i="2"/>
  <c r="Z137" i="2" s="1"/>
  <c r="N506" i="2"/>
  <c r="N136" i="2"/>
  <c r="N137" i="2" s="1"/>
  <c r="L506" i="2"/>
  <c r="L136" i="2"/>
  <c r="L137" i="2" s="1"/>
  <c r="Y506" i="2"/>
  <c r="Y136" i="2"/>
  <c r="Y137" i="2" s="1"/>
  <c r="U506" i="2"/>
  <c r="U136" i="2"/>
  <c r="U137" i="2" s="1"/>
  <c r="X506" i="2"/>
  <c r="X136" i="2"/>
  <c r="X137" i="2" s="1"/>
  <c r="J506" i="2"/>
  <c r="AB506" i="2"/>
  <c r="AB136" i="2"/>
  <c r="AB137" i="2" s="1"/>
  <c r="Q506" i="2"/>
  <c r="Q136" i="2"/>
  <c r="Q137" i="2" s="1"/>
  <c r="AC506" i="2"/>
  <c r="AC136" i="2"/>
  <c r="AC137" i="2" s="1"/>
  <c r="W506" i="2"/>
  <c r="W136" i="2"/>
  <c r="W137" i="2" s="1"/>
  <c r="M506" i="2"/>
  <c r="M136" i="2"/>
  <c r="M137" i="2" s="1"/>
  <c r="J361" i="2"/>
  <c r="H96" i="2"/>
  <c r="Q96" i="2"/>
  <c r="N96" i="2"/>
  <c r="V96" i="2"/>
  <c r="O96" i="2"/>
  <c r="AF96" i="2"/>
  <c r="AC96" i="2"/>
  <c r="E523" i="2"/>
  <c r="Y96" i="2"/>
  <c r="P96" i="2"/>
  <c r="R96" i="2"/>
  <c r="T96" i="2"/>
  <c r="AB96" i="2"/>
  <c r="AD96" i="2"/>
  <c r="M96" i="2"/>
  <c r="S96" i="2"/>
  <c r="U96" i="2"/>
  <c r="AA96" i="2"/>
  <c r="AE96" i="2"/>
  <c r="E98" i="2"/>
  <c r="L96" i="2"/>
  <c r="G96" i="2"/>
  <c r="Z96" i="2"/>
  <c r="X96" i="2"/>
  <c r="W96" i="2"/>
  <c r="I96" i="2"/>
  <c r="F96" i="2"/>
  <c r="AA627" i="2" l="1"/>
  <c r="AA628" i="2" s="1"/>
  <c r="AB627" i="2"/>
  <c r="AB628" i="2" s="1"/>
  <c r="U627" i="2"/>
  <c r="U628" i="2" s="1"/>
  <c r="X553" i="2"/>
  <c r="AD553" i="2"/>
  <c r="V627" i="2"/>
  <c r="V628" i="2" s="1"/>
  <c r="T553" i="2"/>
  <c r="Y627" i="2"/>
  <c r="Y628" i="2" s="1"/>
  <c r="W627" i="2"/>
  <c r="W628" i="2" s="1"/>
  <c r="AC627" i="2"/>
  <c r="AC628" i="2" s="1"/>
  <c r="Z553" i="2"/>
  <c r="AG97" i="2"/>
  <c r="AH97" i="2" s="1"/>
  <c r="W544" i="2"/>
  <c r="Y544" i="2"/>
  <c r="AD544" i="2"/>
  <c r="U544" i="2"/>
  <c r="V544" i="2"/>
  <c r="AB544" i="2"/>
  <c r="AC544" i="2"/>
  <c r="X544" i="2"/>
  <c r="Z544" i="2"/>
  <c r="T544" i="2"/>
  <c r="AA544" i="2"/>
  <c r="AI135" i="2"/>
  <c r="AG524" i="2"/>
  <c r="AH524" i="2" s="1"/>
  <c r="F553" i="2"/>
  <c r="AG506" i="2"/>
  <c r="F98" i="2"/>
  <c r="F523" i="2"/>
  <c r="S98" i="2"/>
  <c r="S523" i="2"/>
  <c r="AE98" i="2"/>
  <c r="AE523" i="2"/>
  <c r="AE622" i="2" s="1"/>
  <c r="AE623" i="2" s="1"/>
  <c r="V98" i="2"/>
  <c r="V523" i="2"/>
  <c r="Z98" i="2"/>
  <c r="Z523" i="2"/>
  <c r="T98" i="2"/>
  <c r="T523" i="2"/>
  <c r="G98" i="2"/>
  <c r="G523" i="2"/>
  <c r="AA98" i="2"/>
  <c r="AA523" i="2"/>
  <c r="M98" i="2"/>
  <c r="M523" i="2"/>
  <c r="R98" i="2"/>
  <c r="R523" i="2"/>
  <c r="AC98" i="2"/>
  <c r="AC523" i="2"/>
  <c r="N98" i="2"/>
  <c r="N523" i="2"/>
  <c r="U98" i="2"/>
  <c r="U523" i="2"/>
  <c r="AD98" i="2"/>
  <c r="AD523" i="2"/>
  <c r="P98" i="2"/>
  <c r="P523" i="2"/>
  <c r="AF98" i="2"/>
  <c r="AF523" i="2"/>
  <c r="AF622" i="2" s="1"/>
  <c r="AF623" i="2" s="1"/>
  <c r="Q98" i="2"/>
  <c r="Q523" i="2"/>
  <c r="I98" i="2"/>
  <c r="I523" i="2"/>
  <c r="W98" i="2"/>
  <c r="W523" i="2"/>
  <c r="L98" i="2"/>
  <c r="L523" i="2"/>
  <c r="X98" i="2"/>
  <c r="X523" i="2"/>
  <c r="AB98" i="2"/>
  <c r="AB523" i="2"/>
  <c r="Y98" i="2"/>
  <c r="Y523" i="2"/>
  <c r="O98" i="2"/>
  <c r="O523" i="2"/>
  <c r="H98" i="2"/>
  <c r="H523" i="2"/>
  <c r="AH506" i="2" l="1"/>
  <c r="W552" i="2"/>
  <c r="W622" i="2"/>
  <c r="W623" i="2" s="1"/>
  <c r="Q552" i="2"/>
  <c r="P552" i="2"/>
  <c r="U552" i="2"/>
  <c r="U622" i="2"/>
  <c r="U623" i="2" s="1"/>
  <c r="AC552" i="2"/>
  <c r="AC622" i="2"/>
  <c r="AC623" i="2" s="1"/>
  <c r="M552" i="2"/>
  <c r="G552" i="2"/>
  <c r="Z552" i="2"/>
  <c r="Z622" i="2"/>
  <c r="Z623" i="2" s="1"/>
  <c r="S552" i="2"/>
  <c r="H552" i="2"/>
  <c r="Y622" i="2"/>
  <c r="Y623" i="2" s="1"/>
  <c r="Y552" i="2"/>
  <c r="X622" i="2"/>
  <c r="X623" i="2" s="1"/>
  <c r="X552" i="2"/>
  <c r="I552" i="2"/>
  <c r="AD622" i="2"/>
  <c r="AD623" i="2" s="1"/>
  <c r="AD552" i="2"/>
  <c r="N552" i="2"/>
  <c r="R552" i="2"/>
  <c r="AA622" i="2"/>
  <c r="AA623" i="2" s="1"/>
  <c r="AA552" i="2"/>
  <c r="T552" i="2"/>
  <c r="T622" i="2"/>
  <c r="T623" i="2" s="1"/>
  <c r="V552" i="2"/>
  <c r="V622" i="2"/>
  <c r="V623" i="2" s="1"/>
  <c r="F552" i="2"/>
  <c r="O552" i="2"/>
  <c r="AB552" i="2"/>
  <c r="AB622" i="2"/>
  <c r="AB623" i="2" s="1"/>
  <c r="I607" i="2" l="1"/>
  <c r="G607" i="2"/>
  <c r="C607" i="2"/>
  <c r="F607" i="2"/>
  <c r="Q617" i="2"/>
  <c r="Q618" i="2" s="1"/>
  <c r="F617" i="2"/>
  <c r="F618" i="2" s="1"/>
  <c r="P617" i="2"/>
  <c r="P618" i="2" s="1"/>
  <c r="L531" i="2"/>
  <c r="I531" i="2"/>
  <c r="Q531" i="2"/>
  <c r="M607" i="2"/>
  <c r="K607" i="2"/>
  <c r="K627" i="2" s="1"/>
  <c r="H607" i="2"/>
  <c r="O617" i="2"/>
  <c r="O618" i="2" s="1"/>
  <c r="H617" i="2"/>
  <c r="H618" i="2" s="1"/>
  <c r="M617" i="2"/>
  <c r="M618" i="2" s="1"/>
  <c r="R617" i="2"/>
  <c r="R618" i="2" s="1"/>
  <c r="N531" i="2"/>
  <c r="P531" i="2"/>
  <c r="G531" i="2"/>
  <c r="E531" i="2"/>
  <c r="Q607" i="2"/>
  <c r="N607" i="2"/>
  <c r="O607" i="2"/>
  <c r="G617" i="2"/>
  <c r="G618" i="2" s="1"/>
  <c r="J531" i="2"/>
  <c r="K531" i="2"/>
  <c r="H531" i="2"/>
  <c r="F531" i="2"/>
  <c r="P607" i="2"/>
  <c r="O531" i="2"/>
  <c r="E646" i="2"/>
  <c r="F646" i="2" s="1"/>
  <c r="G646" i="2" s="1"/>
  <c r="H646" i="2" s="1"/>
  <c r="I646" i="2" s="1"/>
  <c r="K646" i="2" s="1"/>
  <c r="M646" i="2" s="1"/>
  <c r="M531" i="2"/>
  <c r="R607" i="2"/>
  <c r="N617" i="2"/>
  <c r="N618" i="2" s="1"/>
  <c r="R531" i="2"/>
  <c r="S607" i="2"/>
  <c r="I617" i="2"/>
  <c r="I618" i="2" s="1"/>
  <c r="E533" i="2"/>
  <c r="E532" i="2"/>
  <c r="N646" i="2" l="1"/>
  <c r="O646" i="2" s="1"/>
  <c r="P646" i="2" s="1"/>
  <c r="Q646" i="2" s="1"/>
  <c r="R646" i="2" s="1"/>
  <c r="N622" i="2"/>
  <c r="N627" i="2"/>
  <c r="P622" i="2"/>
  <c r="P627" i="2"/>
  <c r="Q627" i="2"/>
  <c r="Q622" i="2"/>
  <c r="H627" i="2"/>
  <c r="H622" i="2"/>
  <c r="G622" i="2"/>
  <c r="G627" i="2"/>
  <c r="M622" i="2"/>
  <c r="M627" i="2"/>
  <c r="S627" i="2"/>
  <c r="S622" i="2"/>
  <c r="R627" i="2"/>
  <c r="R622" i="2"/>
  <c r="O622" i="2"/>
  <c r="O627" i="2"/>
  <c r="F622" i="2"/>
  <c r="F627" i="2"/>
  <c r="I627" i="2"/>
  <c r="I622" i="2"/>
  <c r="O93" i="15" l="1"/>
  <c r="Q93" i="15"/>
  <c r="H13" i="15" s="1"/>
  <c r="O95" i="15"/>
  <c r="R95" i="15" s="1"/>
  <c r="P97" i="15" l="1"/>
  <c r="G13" i="15" s="1"/>
  <c r="O97" i="15"/>
  <c r="F13" i="15" s="1"/>
  <c r="T95" i="15"/>
  <c r="K13" i="15" s="1"/>
  <c r="I13" i="15"/>
  <c r="K434" i="2"/>
  <c r="K433" i="2" l="1"/>
  <c r="K486" i="2" s="1"/>
  <c r="K431" i="2"/>
  <c r="K435" i="2"/>
  <c r="K453" i="2" s="1"/>
  <c r="AG486" i="2" l="1"/>
  <c r="AH486" i="2" s="1"/>
  <c r="K551" i="2"/>
  <c r="K542" i="2"/>
  <c r="K565" i="2" s="1"/>
  <c r="K617" i="2"/>
  <c r="K439" i="2"/>
  <c r="K616" i="2" l="1"/>
  <c r="K618" i="2" s="1"/>
  <c r="K590" i="2"/>
  <c r="K442" i="2"/>
  <c r="K446" i="2"/>
  <c r="K460" i="2"/>
  <c r="K483" i="2"/>
  <c r="K456" i="2" l="1"/>
  <c r="K463" i="2"/>
  <c r="K467" i="2"/>
  <c r="K449" i="2"/>
  <c r="K484" i="2"/>
  <c r="K443" i="2"/>
  <c r="K24" i="2" l="1"/>
  <c r="K101" i="2"/>
  <c r="K63" i="2"/>
  <c r="K464" i="2"/>
  <c r="K450" i="2"/>
  <c r="K457" i="2"/>
  <c r="K470" i="2"/>
  <c r="K474" i="2"/>
  <c r="K471" i="2" l="1"/>
  <c r="K103" i="2"/>
  <c r="K458" i="2"/>
  <c r="K465" i="2"/>
  <c r="K65" i="2"/>
  <c r="K477" i="2"/>
  <c r="K26" i="2"/>
  <c r="K478" i="2" l="1"/>
  <c r="K286" i="2"/>
  <c r="K134" i="2"/>
  <c r="K248" i="2"/>
  <c r="K172" i="2"/>
  <c r="K472" i="2"/>
  <c r="K210" i="2"/>
  <c r="K58" i="2"/>
  <c r="K96" i="2"/>
  <c r="K19" i="2"/>
  <c r="K60" i="2" l="1"/>
  <c r="K212" i="2"/>
  <c r="K174" i="2"/>
  <c r="K21" i="2"/>
  <c r="K250" i="2"/>
  <c r="K479" i="2"/>
  <c r="K288" i="2"/>
  <c r="K98" i="2"/>
  <c r="K55" i="2"/>
  <c r="K207" i="2"/>
  <c r="K93" i="2"/>
  <c r="K16" i="2"/>
  <c r="K136" i="2"/>
  <c r="K137" i="2" s="1"/>
  <c r="K523" i="2" l="1"/>
  <c r="K283" i="2"/>
  <c r="K169" i="2"/>
  <c r="K245" i="2"/>
  <c r="K131" i="2"/>
  <c r="K622" i="2" l="1"/>
  <c r="K552" i="2"/>
  <c r="K505" i="2"/>
  <c r="K361" i="2" l="1"/>
  <c r="R361" i="2" l="1"/>
  <c r="O361" i="2"/>
  <c r="AG361" i="2" l="1"/>
  <c r="AH361" i="2" s="1"/>
  <c r="O44" i="16"/>
  <c r="O45" i="16" l="1"/>
  <c r="C46" i="16"/>
  <c r="C47" i="16" l="1"/>
  <c r="O47" i="16" s="1"/>
  <c r="O46" i="16"/>
  <c r="O48" i="16" s="1"/>
  <c r="H483" i="1" s="1"/>
  <c r="C48" i="16"/>
  <c r="C49" i="16"/>
  <c r="H178" i="1" l="1"/>
  <c r="H176" i="1"/>
  <c r="H177" i="1"/>
  <c r="H365" i="1"/>
  <c r="H364" i="1"/>
  <c r="H175" i="1"/>
  <c r="O49" i="16"/>
  <c r="I483" i="1" s="1"/>
  <c r="H180" i="1" l="1"/>
  <c r="I177" i="1"/>
  <c r="AB177" i="1" s="1"/>
  <c r="AC177" i="1" s="1"/>
  <c r="I176" i="1"/>
  <c r="AB176" i="1" s="1"/>
  <c r="AC176" i="1" s="1"/>
  <c r="I365" i="1"/>
  <c r="AB365" i="1" s="1"/>
  <c r="AC365" i="1" s="1"/>
  <c r="I178" i="1"/>
  <c r="AB178" i="1" s="1"/>
  <c r="AC178" i="1" s="1"/>
  <c r="I364" i="1"/>
  <c r="I175" i="1"/>
  <c r="H367" i="1"/>
  <c r="AB483" i="1"/>
  <c r="AC483" i="1" s="1"/>
  <c r="I367" i="1" l="1"/>
  <c r="I416" i="1" s="1"/>
  <c r="I463" i="1" s="1"/>
  <c r="I465" i="1" s="1"/>
  <c r="E162" i="2" s="1"/>
  <c r="I180" i="1"/>
  <c r="I237" i="1" s="1"/>
  <c r="I285" i="1" s="1"/>
  <c r="I330" i="1" s="1"/>
  <c r="H237" i="1"/>
  <c r="H416" i="1"/>
  <c r="AB364" i="1"/>
  <c r="AC364" i="1" s="1"/>
  <c r="AB175" i="1"/>
  <c r="AC175" i="1" s="1"/>
  <c r="AB367" i="1" l="1"/>
  <c r="AC367" i="1" s="1"/>
  <c r="AB180" i="1"/>
  <c r="AC180" i="1" s="1"/>
  <c r="E124" i="2"/>
  <c r="E494" i="2" s="1"/>
  <c r="I129" i="1"/>
  <c r="I133" i="1" s="1"/>
  <c r="I144" i="1" s="1"/>
  <c r="E86" i="2" s="1"/>
  <c r="E521" i="2" s="1"/>
  <c r="I287" i="1"/>
  <c r="AB237" i="1"/>
  <c r="AC237" i="1" s="1"/>
  <c r="H285" i="1"/>
  <c r="AB416" i="1"/>
  <c r="AC416" i="1" s="1"/>
  <c r="H463" i="1"/>
  <c r="E503" i="2" l="1"/>
  <c r="E512" i="2" s="1"/>
  <c r="AG494" i="2"/>
  <c r="AH494" i="2" s="1"/>
  <c r="E496" i="2"/>
  <c r="K496" i="2" s="1"/>
  <c r="K497" i="2" s="1"/>
  <c r="AB285" i="1"/>
  <c r="AC285" i="1" s="1"/>
  <c r="H287" i="1"/>
  <c r="AB287" i="1" s="1"/>
  <c r="AC287" i="1" s="1"/>
  <c r="H330" i="1"/>
  <c r="AB330" i="1" s="1"/>
  <c r="AC330" i="1" s="1"/>
  <c r="H129" i="1"/>
  <c r="E123" i="2"/>
  <c r="AB463" i="1"/>
  <c r="AC463" i="1" s="1"/>
  <c r="H465" i="1"/>
  <c r="AB465" i="1" l="1"/>
  <c r="AC465" i="1" s="1"/>
  <c r="E161" i="2"/>
  <c r="E530" i="2"/>
  <c r="AC496" i="2"/>
  <c r="AC497" i="2" s="1"/>
  <c r="T496" i="2"/>
  <c r="T497" i="2" s="1"/>
  <c r="X496" i="2"/>
  <c r="X497" i="2" s="1"/>
  <c r="S496" i="2"/>
  <c r="S497" i="2" s="1"/>
  <c r="O496" i="2"/>
  <c r="O497" i="2" s="1"/>
  <c r="Q496" i="2"/>
  <c r="Q497" i="2" s="1"/>
  <c r="AB496" i="2"/>
  <c r="AB497" i="2" s="1"/>
  <c r="AE496" i="2"/>
  <c r="AE497" i="2" s="1"/>
  <c r="W496" i="2"/>
  <c r="W497" i="2" s="1"/>
  <c r="R496" i="2"/>
  <c r="R497" i="2" s="1"/>
  <c r="AD496" i="2"/>
  <c r="AD497" i="2" s="1"/>
  <c r="Z496" i="2"/>
  <c r="Z497" i="2" s="1"/>
  <c r="I496" i="2"/>
  <c r="I497" i="2" s="1"/>
  <c r="AA496" i="2"/>
  <c r="AA497" i="2" s="1"/>
  <c r="F496" i="2"/>
  <c r="L496" i="2"/>
  <c r="L497" i="2" s="1"/>
  <c r="Y496" i="2"/>
  <c r="Y497" i="2" s="1"/>
  <c r="G496" i="2"/>
  <c r="G497" i="2" s="1"/>
  <c r="P496" i="2"/>
  <c r="P497" i="2" s="1"/>
  <c r="V496" i="2"/>
  <c r="V497" i="2" s="1"/>
  <c r="M496" i="2"/>
  <c r="M497" i="2" s="1"/>
  <c r="AF496" i="2"/>
  <c r="AF497" i="2" s="1"/>
  <c r="J496" i="2"/>
  <c r="J497" i="2" s="1"/>
  <c r="U496" i="2"/>
  <c r="U497" i="2" s="1"/>
  <c r="N496" i="2"/>
  <c r="N497" i="2" s="1"/>
  <c r="H496" i="2"/>
  <c r="H497" i="2" s="1"/>
  <c r="E497" i="2"/>
  <c r="K498" i="2" s="1"/>
  <c r="E487" i="2"/>
  <c r="E125" i="2"/>
  <c r="E502" i="2"/>
  <c r="AB129" i="1"/>
  <c r="AC129" i="1" s="1"/>
  <c r="H133" i="1"/>
  <c r="E511" i="2" l="1"/>
  <c r="E507" i="2"/>
  <c r="F497" i="2"/>
  <c r="AG497" i="2" s="1"/>
  <c r="AH497" i="2" s="1"/>
  <c r="AG496" i="2"/>
  <c r="AH496" i="2" s="1"/>
  <c r="E155" i="2"/>
  <c r="E156" i="2" s="1"/>
  <c r="AG487" i="2"/>
  <c r="AH487" i="2" s="1"/>
  <c r="E489" i="2"/>
  <c r="E163" i="2"/>
  <c r="AB133" i="1"/>
  <c r="H144" i="1"/>
  <c r="AB144" i="1" s="1"/>
  <c r="T498" i="2"/>
  <c r="V498" i="2"/>
  <c r="AC498" i="2"/>
  <c r="AD498" i="2"/>
  <c r="AA498" i="2"/>
  <c r="X498" i="2"/>
  <c r="Y498" i="2"/>
  <c r="Z498" i="2"/>
  <c r="W498" i="2"/>
  <c r="U498" i="2"/>
  <c r="AB498" i="2"/>
  <c r="AF498" i="2"/>
  <c r="O498" i="2"/>
  <c r="M498" i="2"/>
  <c r="AE498" i="2"/>
  <c r="Q498" i="2"/>
  <c r="N498" i="2"/>
  <c r="P498" i="2"/>
  <c r="I498" i="2"/>
  <c r="S498" i="2"/>
  <c r="J498" i="2"/>
  <c r="R498" i="2"/>
  <c r="L498" i="2"/>
  <c r="H498" i="2"/>
  <c r="G498" i="2"/>
  <c r="F498" i="2"/>
  <c r="AC133" i="1" l="1"/>
  <c r="L489" i="2"/>
  <c r="L490" i="2" s="1"/>
  <c r="K489" i="2"/>
  <c r="K490" i="2" s="1"/>
  <c r="H276" i="2"/>
  <c r="H200" i="2"/>
  <c r="H9" i="2"/>
  <c r="H48" i="2"/>
  <c r="H238" i="2"/>
  <c r="H162" i="2"/>
  <c r="H86" i="2"/>
  <c r="H521" i="2" s="1"/>
  <c r="H124" i="2"/>
  <c r="L200" i="2"/>
  <c r="L162" i="2"/>
  <c r="L238" i="2"/>
  <c r="L9" i="2"/>
  <c r="L276" i="2"/>
  <c r="L48" i="2"/>
  <c r="L86" i="2"/>
  <c r="L521" i="2" s="1"/>
  <c r="L124" i="2"/>
  <c r="AE162" i="2"/>
  <c r="AE276" i="2"/>
  <c r="AE200" i="2"/>
  <c r="AE86" i="2"/>
  <c r="AE9" i="2"/>
  <c r="AE48" i="2"/>
  <c r="AE238" i="2"/>
  <c r="AE124" i="2"/>
  <c r="AE503" i="2" s="1"/>
  <c r="Y238" i="2"/>
  <c r="Y86" i="2"/>
  <c r="Y276" i="2"/>
  <c r="Y200" i="2"/>
  <c r="Y162" i="2"/>
  <c r="Y9" i="2"/>
  <c r="Y48" i="2"/>
  <c r="Y124" i="2"/>
  <c r="Y503" i="2" s="1"/>
  <c r="AC144" i="1"/>
  <c r="E85" i="2"/>
  <c r="G9" i="2"/>
  <c r="G48" i="2"/>
  <c r="G200" i="2"/>
  <c r="G238" i="2"/>
  <c r="G276" i="2"/>
  <c r="G162" i="2"/>
  <c r="G86" i="2"/>
  <c r="G521" i="2" s="1"/>
  <c r="G124" i="2"/>
  <c r="R276" i="2"/>
  <c r="R48" i="2"/>
  <c r="R162" i="2"/>
  <c r="R200" i="2"/>
  <c r="R238" i="2"/>
  <c r="R9" i="2"/>
  <c r="R86" i="2"/>
  <c r="R521" i="2" s="1"/>
  <c r="R124" i="2"/>
  <c r="M9" i="2"/>
  <c r="M276" i="2"/>
  <c r="M48" i="2"/>
  <c r="M162" i="2"/>
  <c r="M200" i="2"/>
  <c r="M238" i="2"/>
  <c r="M86" i="2"/>
  <c r="M521" i="2" s="1"/>
  <c r="M124" i="2"/>
  <c r="X9" i="2"/>
  <c r="X238" i="2"/>
  <c r="X86" i="2"/>
  <c r="X276" i="2"/>
  <c r="X48" i="2"/>
  <c r="X200" i="2"/>
  <c r="X162" i="2"/>
  <c r="X124" i="2"/>
  <c r="X503" i="2" s="1"/>
  <c r="Q9" i="2"/>
  <c r="Q200" i="2"/>
  <c r="Q276" i="2"/>
  <c r="Q162" i="2"/>
  <c r="Q48" i="2"/>
  <c r="Q238" i="2"/>
  <c r="Q86" i="2"/>
  <c r="Q521" i="2" s="1"/>
  <c r="Q124" i="2"/>
  <c r="J9" i="2"/>
  <c r="J48" i="2"/>
  <c r="J200" i="2"/>
  <c r="J162" i="2"/>
  <c r="J276" i="2"/>
  <c r="J238" i="2"/>
  <c r="J86" i="2"/>
  <c r="J521" i="2" s="1"/>
  <c r="J124" i="2"/>
  <c r="O276" i="2"/>
  <c r="O200" i="2"/>
  <c r="O9" i="2"/>
  <c r="O48" i="2"/>
  <c r="O238" i="2"/>
  <c r="O86" i="2"/>
  <c r="O521" i="2" s="1"/>
  <c r="O162" i="2"/>
  <c r="O124" i="2"/>
  <c r="AA276" i="2"/>
  <c r="AA162" i="2"/>
  <c r="AA200" i="2"/>
  <c r="AA9" i="2"/>
  <c r="AA238" i="2"/>
  <c r="AA86" i="2"/>
  <c r="AA48" i="2"/>
  <c r="AA124" i="2"/>
  <c r="AA503" i="2" s="1"/>
  <c r="E193" i="2"/>
  <c r="E194" i="2" s="1"/>
  <c r="P162" i="2"/>
  <c r="P276" i="2"/>
  <c r="P238" i="2"/>
  <c r="P200" i="2"/>
  <c r="P9" i="2"/>
  <c r="P48" i="2"/>
  <c r="P86" i="2"/>
  <c r="P521" i="2" s="1"/>
  <c r="P124" i="2"/>
  <c r="Z86" i="2"/>
  <c r="Z48" i="2"/>
  <c r="Z238" i="2"/>
  <c r="Z162" i="2"/>
  <c r="Z9" i="2"/>
  <c r="Z200" i="2"/>
  <c r="Z276" i="2"/>
  <c r="Z124" i="2"/>
  <c r="Z503" i="2" s="1"/>
  <c r="E319" i="2"/>
  <c r="S238" i="2"/>
  <c r="S9" i="2"/>
  <c r="S162" i="2"/>
  <c r="S48" i="2"/>
  <c r="S86" i="2"/>
  <c r="S200" i="2"/>
  <c r="S276" i="2"/>
  <c r="S124" i="2"/>
  <c r="S503" i="2" s="1"/>
  <c r="AF276" i="2"/>
  <c r="AF86" i="2"/>
  <c r="AF200" i="2"/>
  <c r="AF238" i="2"/>
  <c r="AF162" i="2"/>
  <c r="AF9" i="2"/>
  <c r="AF48" i="2"/>
  <c r="AF124" i="2"/>
  <c r="AF503" i="2" s="1"/>
  <c r="AD276" i="2"/>
  <c r="AD200" i="2"/>
  <c r="AD9" i="2"/>
  <c r="AD48" i="2"/>
  <c r="AD162" i="2"/>
  <c r="AD124" i="2"/>
  <c r="AD503" i="2" s="1"/>
  <c r="AD238" i="2"/>
  <c r="AD86" i="2"/>
  <c r="AG498" i="2"/>
  <c r="AH498" i="2" s="1"/>
  <c r="F162" i="2"/>
  <c r="F48" i="2"/>
  <c r="F276" i="2"/>
  <c r="F238" i="2"/>
  <c r="F9" i="2"/>
  <c r="F86" i="2"/>
  <c r="F200" i="2"/>
  <c r="F124" i="2"/>
  <c r="K162" i="2"/>
  <c r="K238" i="2"/>
  <c r="K9" i="2"/>
  <c r="K48" i="2"/>
  <c r="K200" i="2"/>
  <c r="K276" i="2"/>
  <c r="K86" i="2"/>
  <c r="K521" i="2" s="1"/>
  <c r="K124" i="2"/>
  <c r="I162" i="2"/>
  <c r="I48" i="2"/>
  <c r="I200" i="2"/>
  <c r="I276" i="2"/>
  <c r="I9" i="2"/>
  <c r="I238" i="2"/>
  <c r="I124" i="2"/>
  <c r="I86" i="2"/>
  <c r="I521" i="2" s="1"/>
  <c r="AB162" i="2"/>
  <c r="AB238" i="2"/>
  <c r="AB86" i="2"/>
  <c r="AB200" i="2"/>
  <c r="AB9" i="2"/>
  <c r="AB276" i="2"/>
  <c r="AB48" i="2"/>
  <c r="AB124" i="2"/>
  <c r="AB503" i="2" s="1"/>
  <c r="AC162" i="2"/>
  <c r="AC238" i="2"/>
  <c r="AC276" i="2"/>
  <c r="AC48" i="2"/>
  <c r="AC86" i="2"/>
  <c r="AC200" i="2"/>
  <c r="AC124" i="2"/>
  <c r="AC503" i="2" s="1"/>
  <c r="AC9" i="2"/>
  <c r="H489" i="2"/>
  <c r="H490" i="2" s="1"/>
  <c r="N489" i="2"/>
  <c r="N490" i="2" s="1"/>
  <c r="AD489" i="2"/>
  <c r="AD490" i="2" s="1"/>
  <c r="AF489" i="2"/>
  <c r="AF490" i="2" s="1"/>
  <c r="G489" i="2"/>
  <c r="G490" i="2" s="1"/>
  <c r="Z489" i="2"/>
  <c r="Z490" i="2" s="1"/>
  <c r="P489" i="2"/>
  <c r="P490" i="2" s="1"/>
  <c r="T489" i="2"/>
  <c r="T490" i="2" s="1"/>
  <c r="Q489" i="2"/>
  <c r="Q490" i="2" s="1"/>
  <c r="AA489" i="2"/>
  <c r="AA490" i="2" s="1"/>
  <c r="O489" i="2"/>
  <c r="O490" i="2" s="1"/>
  <c r="J489" i="2"/>
  <c r="J490" i="2" s="1"/>
  <c r="AB489" i="2"/>
  <c r="AB490" i="2" s="1"/>
  <c r="X489" i="2"/>
  <c r="X490" i="2" s="1"/>
  <c r="I489" i="2"/>
  <c r="I490" i="2" s="1"/>
  <c r="AC489" i="2"/>
  <c r="AC490" i="2" s="1"/>
  <c r="S489" i="2"/>
  <c r="S490" i="2" s="1"/>
  <c r="U489" i="2"/>
  <c r="U490" i="2" s="1"/>
  <c r="W489" i="2"/>
  <c r="W490" i="2" s="1"/>
  <c r="AE489" i="2"/>
  <c r="AE490" i="2" s="1"/>
  <c r="R489" i="2"/>
  <c r="R490" i="2" s="1"/>
  <c r="V489" i="2"/>
  <c r="V490" i="2" s="1"/>
  <c r="M489" i="2"/>
  <c r="M490" i="2" s="1"/>
  <c r="Y489" i="2"/>
  <c r="Y490" i="2" s="1"/>
  <c r="F489" i="2"/>
  <c r="E490" i="2"/>
  <c r="V48" i="2"/>
  <c r="V238" i="2"/>
  <c r="V162" i="2"/>
  <c r="V9" i="2"/>
  <c r="V276" i="2"/>
  <c r="V200" i="2"/>
  <c r="V86" i="2"/>
  <c r="V124" i="2"/>
  <c r="V503" i="2" s="1"/>
  <c r="E516" i="2"/>
  <c r="E517" i="2" s="1"/>
  <c r="E518" i="2" s="1"/>
  <c r="U162" i="2"/>
  <c r="U276" i="2"/>
  <c r="U9" i="2"/>
  <c r="U48" i="2"/>
  <c r="U238" i="2"/>
  <c r="U86" i="2"/>
  <c r="U200" i="2"/>
  <c r="U124" i="2"/>
  <c r="U503" i="2" s="1"/>
  <c r="N200" i="2"/>
  <c r="N238" i="2"/>
  <c r="N48" i="2"/>
  <c r="N162" i="2"/>
  <c r="N9" i="2"/>
  <c r="N276" i="2"/>
  <c r="N86" i="2"/>
  <c r="N521" i="2" s="1"/>
  <c r="N124" i="2"/>
  <c r="W9" i="2"/>
  <c r="W276" i="2"/>
  <c r="W86" i="2"/>
  <c r="W162" i="2"/>
  <c r="W238" i="2"/>
  <c r="W200" i="2"/>
  <c r="W48" i="2"/>
  <c r="W124" i="2"/>
  <c r="W503" i="2" s="1"/>
  <c r="T162" i="2"/>
  <c r="T86" i="2"/>
  <c r="T238" i="2"/>
  <c r="T276" i="2"/>
  <c r="T200" i="2"/>
  <c r="T48" i="2"/>
  <c r="T9" i="2"/>
  <c r="T124" i="2"/>
  <c r="T503" i="2" s="1"/>
  <c r="AC1" i="1" l="1"/>
  <c r="K491" i="2"/>
  <c r="K123" i="2" s="1"/>
  <c r="L491" i="2"/>
  <c r="H503" i="2"/>
  <c r="H512" i="2" s="1"/>
  <c r="K503" i="2"/>
  <c r="K512" i="2" s="1"/>
  <c r="T541" i="2"/>
  <c r="T585" i="2" s="1"/>
  <c r="T611" i="2" s="1"/>
  <c r="W541" i="2"/>
  <c r="W585" i="2" s="1"/>
  <c r="W611" i="2" s="1"/>
  <c r="N503" i="2"/>
  <c r="U541" i="2"/>
  <c r="U585" i="2" s="1"/>
  <c r="U611" i="2" s="1"/>
  <c r="AB541" i="2"/>
  <c r="AB585" i="2" s="1"/>
  <c r="AB611" i="2" s="1"/>
  <c r="I550" i="2"/>
  <c r="I613" i="2"/>
  <c r="AG124" i="2"/>
  <c r="AH124" i="2" s="1"/>
  <c r="F503" i="2"/>
  <c r="O613" i="2"/>
  <c r="O550" i="2"/>
  <c r="Y541" i="2"/>
  <c r="Y585" i="2" s="1"/>
  <c r="Y611" i="2" s="1"/>
  <c r="L503" i="2"/>
  <c r="L512" i="2" s="1"/>
  <c r="N550" i="2"/>
  <c r="N613" i="2"/>
  <c r="AC541" i="2"/>
  <c r="AC585" i="2" s="1"/>
  <c r="AC611" i="2" s="1"/>
  <c r="I503" i="2"/>
  <c r="I512" i="2" s="1"/>
  <c r="K613" i="2"/>
  <c r="K550" i="2"/>
  <c r="AG200" i="2"/>
  <c r="AH200" i="2" s="1"/>
  <c r="H613" i="2"/>
  <c r="H550" i="2"/>
  <c r="AG86" i="2"/>
  <c r="AH86" i="2" s="1"/>
  <c r="F521" i="2"/>
  <c r="E324" i="2"/>
  <c r="E355" i="2" s="1"/>
  <c r="V541" i="2"/>
  <c r="V585" i="2" s="1"/>
  <c r="V611" i="2" s="1"/>
  <c r="AA491" i="2"/>
  <c r="AF491" i="2"/>
  <c r="W491" i="2"/>
  <c r="Y491" i="2"/>
  <c r="U491" i="2"/>
  <c r="AE491" i="2"/>
  <c r="T491" i="2"/>
  <c r="AC491" i="2"/>
  <c r="X491" i="2"/>
  <c r="V491" i="2"/>
  <c r="Z491" i="2"/>
  <c r="O491" i="2"/>
  <c r="S491" i="2"/>
  <c r="Q491" i="2"/>
  <c r="AD491" i="2"/>
  <c r="R491" i="2"/>
  <c r="AB491" i="2"/>
  <c r="N491" i="2"/>
  <c r="I491" i="2"/>
  <c r="H491" i="2"/>
  <c r="P491" i="2"/>
  <c r="M491" i="2"/>
  <c r="G491" i="2"/>
  <c r="J491" i="2"/>
  <c r="AG9" i="2"/>
  <c r="AH9" i="2" s="1"/>
  <c r="F490" i="2"/>
  <c r="AG490" i="2" s="1"/>
  <c r="AH490" i="2" s="1"/>
  <c r="AG489" i="2"/>
  <c r="AH489" i="2" s="1"/>
  <c r="AG238" i="2"/>
  <c r="AH238" i="2" s="1"/>
  <c r="AD541" i="2"/>
  <c r="AD585" i="2" s="1"/>
  <c r="AD611" i="2" s="1"/>
  <c r="Z541" i="2"/>
  <c r="Z585" i="2" s="1"/>
  <c r="Z611" i="2" s="1"/>
  <c r="P503" i="2"/>
  <c r="AG276" i="2"/>
  <c r="AH276" i="2" s="1"/>
  <c r="P613" i="2"/>
  <c r="P550" i="2"/>
  <c r="AG48" i="2"/>
  <c r="AH48" i="2" s="1"/>
  <c r="AA541" i="2"/>
  <c r="AA585" i="2" s="1"/>
  <c r="AA611" i="2" s="1"/>
  <c r="O503" i="2"/>
  <c r="J503" i="2"/>
  <c r="J512" i="2" s="1"/>
  <c r="Q503" i="2"/>
  <c r="X541" i="2"/>
  <c r="X585" i="2" s="1"/>
  <c r="X611" i="2" s="1"/>
  <c r="M503" i="2"/>
  <c r="R503" i="2"/>
  <c r="G503" i="2"/>
  <c r="G512" i="2" s="1"/>
  <c r="E520" i="2"/>
  <c r="E87" i="2"/>
  <c r="AG162" i="2"/>
  <c r="AH162" i="2" s="1"/>
  <c r="Q613" i="2"/>
  <c r="Q550" i="2"/>
  <c r="M550" i="2"/>
  <c r="M613" i="2"/>
  <c r="R613" i="2"/>
  <c r="R550" i="2"/>
  <c r="G613" i="2"/>
  <c r="G550" i="2"/>
  <c r="F512" i="2" l="1"/>
  <c r="AI124" i="2"/>
  <c r="M8" i="2"/>
  <c r="M10" i="2" s="1"/>
  <c r="M40" i="2" s="1"/>
  <c r="M199" i="2"/>
  <c r="M201" i="2" s="1"/>
  <c r="M231" i="2" s="1"/>
  <c r="M161" i="2"/>
  <c r="M163" i="2" s="1"/>
  <c r="M193" i="2" s="1"/>
  <c r="M378" i="2" s="1"/>
  <c r="M275" i="2"/>
  <c r="M277" i="2" s="1"/>
  <c r="M307" i="2" s="1"/>
  <c r="M237" i="2"/>
  <c r="M239" i="2" s="1"/>
  <c r="M269" i="2" s="1"/>
  <c r="M321" i="2" s="1"/>
  <c r="M47" i="2"/>
  <c r="M49" i="2" s="1"/>
  <c r="M79" i="2" s="1"/>
  <c r="M85" i="2"/>
  <c r="M123" i="2"/>
  <c r="R8" i="2"/>
  <c r="R10" i="2" s="1"/>
  <c r="R40" i="2" s="1"/>
  <c r="R199" i="2"/>
  <c r="R201" i="2" s="1"/>
  <c r="R231" i="2" s="1"/>
  <c r="R275" i="2"/>
  <c r="R277" i="2" s="1"/>
  <c r="R307" i="2" s="1"/>
  <c r="R322" i="2" s="1"/>
  <c r="R47" i="2"/>
  <c r="R49" i="2" s="1"/>
  <c r="R79" i="2" s="1"/>
  <c r="R237" i="2"/>
  <c r="R239" i="2" s="1"/>
  <c r="R269" i="2" s="1"/>
  <c r="R321" i="2" s="1"/>
  <c r="R161" i="2"/>
  <c r="R163" i="2" s="1"/>
  <c r="R193" i="2" s="1"/>
  <c r="R378" i="2" s="1"/>
  <c r="R85" i="2"/>
  <c r="R123" i="2"/>
  <c r="AC237" i="2"/>
  <c r="AC239" i="2" s="1"/>
  <c r="AC269" i="2" s="1"/>
  <c r="AC321" i="2" s="1"/>
  <c r="AC8" i="2"/>
  <c r="AC10" i="2" s="1"/>
  <c r="AC40" i="2" s="1"/>
  <c r="AC275" i="2"/>
  <c r="AC277" i="2" s="1"/>
  <c r="AC307" i="2" s="1"/>
  <c r="AC322" i="2" s="1"/>
  <c r="AC47" i="2"/>
  <c r="AC49" i="2" s="1"/>
  <c r="AC79" i="2" s="1"/>
  <c r="AC161" i="2"/>
  <c r="AC163" i="2" s="1"/>
  <c r="AC193" i="2" s="1"/>
  <c r="AC378" i="2" s="1"/>
  <c r="AC199" i="2"/>
  <c r="AC201" i="2" s="1"/>
  <c r="AC231" i="2" s="1"/>
  <c r="AC85" i="2"/>
  <c r="AC87" i="2" s="1"/>
  <c r="AC117" i="2" s="1"/>
  <c r="AC123" i="2"/>
  <c r="P47" i="2"/>
  <c r="P49" i="2" s="1"/>
  <c r="P79" i="2" s="1"/>
  <c r="P275" i="2"/>
  <c r="P277" i="2" s="1"/>
  <c r="P307" i="2" s="1"/>
  <c r="P322" i="2" s="1"/>
  <c r="P8" i="2"/>
  <c r="P10" i="2" s="1"/>
  <c r="P40" i="2" s="1"/>
  <c r="P237" i="2"/>
  <c r="P239" i="2" s="1"/>
  <c r="P269" i="2" s="1"/>
  <c r="P321" i="2" s="1"/>
  <c r="P199" i="2"/>
  <c r="P201" i="2" s="1"/>
  <c r="P231" i="2" s="1"/>
  <c r="P161" i="2"/>
  <c r="P163" i="2" s="1"/>
  <c r="P193" i="2" s="1"/>
  <c r="P378" i="2" s="1"/>
  <c r="P85" i="2"/>
  <c r="P123" i="2"/>
  <c r="AD8" i="2"/>
  <c r="AD10" i="2" s="1"/>
  <c r="AD40" i="2" s="1"/>
  <c r="AD237" i="2"/>
  <c r="AD239" i="2" s="1"/>
  <c r="AD269" i="2" s="1"/>
  <c r="AD321" i="2" s="1"/>
  <c r="AD47" i="2"/>
  <c r="AD49" i="2" s="1"/>
  <c r="AD79" i="2" s="1"/>
  <c r="AD199" i="2"/>
  <c r="AD201" i="2" s="1"/>
  <c r="AD231" i="2" s="1"/>
  <c r="AD161" i="2"/>
  <c r="AD163" i="2" s="1"/>
  <c r="AD193" i="2" s="1"/>
  <c r="AD378" i="2" s="1"/>
  <c r="AD275" i="2"/>
  <c r="AD277" i="2" s="1"/>
  <c r="AD307" i="2" s="1"/>
  <c r="AD322" i="2" s="1"/>
  <c r="AD85" i="2"/>
  <c r="AD87" i="2" s="1"/>
  <c r="AD117" i="2" s="1"/>
  <c r="AD123" i="2"/>
  <c r="T47" i="2"/>
  <c r="T49" i="2" s="1"/>
  <c r="T79" i="2" s="1"/>
  <c r="T8" i="2"/>
  <c r="T10" i="2" s="1"/>
  <c r="T40" i="2" s="1"/>
  <c r="T237" i="2"/>
  <c r="T239" i="2" s="1"/>
  <c r="T269" i="2" s="1"/>
  <c r="T321" i="2" s="1"/>
  <c r="T275" i="2"/>
  <c r="T277" i="2" s="1"/>
  <c r="T307" i="2" s="1"/>
  <c r="T322" i="2" s="1"/>
  <c r="T199" i="2"/>
  <c r="T201" i="2" s="1"/>
  <c r="T231" i="2" s="1"/>
  <c r="T161" i="2"/>
  <c r="T163" i="2" s="1"/>
  <c r="T193" i="2" s="1"/>
  <c r="T378" i="2" s="1"/>
  <c r="T85" i="2"/>
  <c r="T87" i="2" s="1"/>
  <c r="T117" i="2" s="1"/>
  <c r="T123" i="2"/>
  <c r="F491" i="2"/>
  <c r="Q47" i="2"/>
  <c r="Q49" i="2" s="1"/>
  <c r="Q79" i="2" s="1"/>
  <c r="Q8" i="2"/>
  <c r="Q10" i="2" s="1"/>
  <c r="Q40" i="2" s="1"/>
  <c r="Q161" i="2"/>
  <c r="Q163" i="2" s="1"/>
  <c r="Q193" i="2" s="1"/>
  <c r="Q378" i="2" s="1"/>
  <c r="Q275" i="2"/>
  <c r="Q277" i="2" s="1"/>
  <c r="Q307" i="2" s="1"/>
  <c r="Q322" i="2" s="1"/>
  <c r="Q237" i="2"/>
  <c r="Q239" i="2" s="1"/>
  <c r="Q269" i="2" s="1"/>
  <c r="Q321" i="2" s="1"/>
  <c r="Q199" i="2"/>
  <c r="Q201" i="2" s="1"/>
  <c r="Q231" i="2" s="1"/>
  <c r="Q85" i="2"/>
  <c r="Q123" i="2"/>
  <c r="AE8" i="2"/>
  <c r="AE10" i="2" s="1"/>
  <c r="AE40" i="2" s="1"/>
  <c r="AE199" i="2"/>
  <c r="AE201" i="2" s="1"/>
  <c r="AE231" i="2" s="1"/>
  <c r="AE275" i="2"/>
  <c r="AE277" i="2" s="1"/>
  <c r="AE307" i="2" s="1"/>
  <c r="AE322" i="2" s="1"/>
  <c r="AE47" i="2"/>
  <c r="AE49" i="2" s="1"/>
  <c r="AE79" i="2" s="1"/>
  <c r="AE237" i="2"/>
  <c r="AE239" i="2" s="1"/>
  <c r="AE269" i="2" s="1"/>
  <c r="AE321" i="2" s="1"/>
  <c r="AE161" i="2"/>
  <c r="AE163" i="2" s="1"/>
  <c r="AE193" i="2" s="1"/>
  <c r="AE378" i="2" s="1"/>
  <c r="AE85" i="2"/>
  <c r="AE87" i="2" s="1"/>
  <c r="AE117" i="2" s="1"/>
  <c r="AE123" i="2"/>
  <c r="E117" i="2"/>
  <c r="E118" i="2" s="1"/>
  <c r="E525" i="2"/>
  <c r="E529" i="2"/>
  <c r="E534" i="2" s="1"/>
  <c r="C536" i="2" s="1"/>
  <c r="S8" i="2"/>
  <c r="S10" i="2" s="1"/>
  <c r="S40" i="2" s="1"/>
  <c r="S47" i="2"/>
  <c r="S49" i="2" s="1"/>
  <c r="S79" i="2" s="1"/>
  <c r="S237" i="2"/>
  <c r="S239" i="2" s="1"/>
  <c r="S269" i="2" s="1"/>
  <c r="S321" i="2" s="1"/>
  <c r="S161" i="2"/>
  <c r="S163" i="2" s="1"/>
  <c r="S193" i="2" s="1"/>
  <c r="S378" i="2" s="1"/>
  <c r="S275" i="2"/>
  <c r="S277" i="2" s="1"/>
  <c r="S307" i="2" s="1"/>
  <c r="S322" i="2" s="1"/>
  <c r="S199" i="2"/>
  <c r="S201" i="2" s="1"/>
  <c r="S231" i="2" s="1"/>
  <c r="S85" i="2"/>
  <c r="S87" i="2" s="1"/>
  <c r="S117" i="2" s="1"/>
  <c r="S123" i="2"/>
  <c r="U8" i="2"/>
  <c r="U10" i="2" s="1"/>
  <c r="U40" i="2" s="1"/>
  <c r="U47" i="2"/>
  <c r="U49" i="2" s="1"/>
  <c r="U79" i="2" s="1"/>
  <c r="U199" i="2"/>
  <c r="U201" i="2" s="1"/>
  <c r="U231" i="2" s="1"/>
  <c r="U275" i="2"/>
  <c r="U277" i="2" s="1"/>
  <c r="U307" i="2" s="1"/>
  <c r="U322" i="2" s="1"/>
  <c r="U161" i="2"/>
  <c r="U163" i="2" s="1"/>
  <c r="U193" i="2" s="1"/>
  <c r="U378" i="2" s="1"/>
  <c r="U237" i="2"/>
  <c r="U239" i="2" s="1"/>
  <c r="U269" i="2" s="1"/>
  <c r="U321" i="2" s="1"/>
  <c r="U123" i="2"/>
  <c r="U85" i="2"/>
  <c r="U87" i="2" s="1"/>
  <c r="U117" i="2" s="1"/>
  <c r="E326" i="2"/>
  <c r="H8" i="2"/>
  <c r="H10" i="2" s="1"/>
  <c r="H40" i="2" s="1"/>
  <c r="H47" i="2"/>
  <c r="H49" i="2" s="1"/>
  <c r="H79" i="2" s="1"/>
  <c r="H199" i="2"/>
  <c r="H201" i="2" s="1"/>
  <c r="H231" i="2" s="1"/>
  <c r="H275" i="2"/>
  <c r="H277" i="2" s="1"/>
  <c r="H307" i="2" s="1"/>
  <c r="H161" i="2"/>
  <c r="H163" i="2" s="1"/>
  <c r="H193" i="2" s="1"/>
  <c r="H378" i="2" s="1"/>
  <c r="H237" i="2"/>
  <c r="H239" i="2" s="1"/>
  <c r="H269" i="2" s="1"/>
  <c r="H321" i="2" s="1"/>
  <c r="H85" i="2"/>
  <c r="H123" i="2"/>
  <c r="O8" i="2"/>
  <c r="O10" i="2" s="1"/>
  <c r="O40" i="2" s="1"/>
  <c r="O47" i="2"/>
  <c r="O49" i="2" s="1"/>
  <c r="O79" i="2" s="1"/>
  <c r="O275" i="2"/>
  <c r="O277" i="2" s="1"/>
  <c r="O307" i="2" s="1"/>
  <c r="O322" i="2" s="1"/>
  <c r="O161" i="2"/>
  <c r="O163" i="2" s="1"/>
  <c r="O193" i="2" s="1"/>
  <c r="O378" i="2" s="1"/>
  <c r="O237" i="2"/>
  <c r="O239" i="2" s="1"/>
  <c r="O269" i="2" s="1"/>
  <c r="O321" i="2" s="1"/>
  <c r="O199" i="2"/>
  <c r="O201" i="2" s="1"/>
  <c r="O231" i="2" s="1"/>
  <c r="O85" i="2"/>
  <c r="O123" i="2"/>
  <c r="Y8" i="2"/>
  <c r="Y10" i="2" s="1"/>
  <c r="Y40" i="2" s="1"/>
  <c r="Y47" i="2"/>
  <c r="Y49" i="2" s="1"/>
  <c r="Y79" i="2" s="1"/>
  <c r="Y275" i="2"/>
  <c r="Y277" i="2" s="1"/>
  <c r="Y307" i="2" s="1"/>
  <c r="Y322" i="2" s="1"/>
  <c r="Y199" i="2"/>
  <c r="Y201" i="2" s="1"/>
  <c r="Y231" i="2" s="1"/>
  <c r="Y161" i="2"/>
  <c r="Y163" i="2" s="1"/>
  <c r="Y193" i="2" s="1"/>
  <c r="Y378" i="2" s="1"/>
  <c r="Y237" i="2"/>
  <c r="Y239" i="2" s="1"/>
  <c r="Y269" i="2" s="1"/>
  <c r="Y321" i="2" s="1"/>
  <c r="Y123" i="2"/>
  <c r="Y85" i="2"/>
  <c r="Y87" i="2" s="1"/>
  <c r="Y117" i="2" s="1"/>
  <c r="J161" i="2"/>
  <c r="J163" i="2" s="1"/>
  <c r="J47" i="2"/>
  <c r="J49" i="2" s="1"/>
  <c r="J199" i="2"/>
  <c r="J201" i="2" s="1"/>
  <c r="J237" i="2"/>
  <c r="J239" i="2" s="1"/>
  <c r="J8" i="2"/>
  <c r="J10" i="2" s="1"/>
  <c r="J275" i="2"/>
  <c r="J277" i="2" s="1"/>
  <c r="J85" i="2"/>
  <c r="J123" i="2"/>
  <c r="I8" i="2"/>
  <c r="I10" i="2" s="1"/>
  <c r="I40" i="2" s="1"/>
  <c r="I47" i="2"/>
  <c r="I49" i="2" s="1"/>
  <c r="I79" i="2" s="1"/>
  <c r="I237" i="2"/>
  <c r="I239" i="2" s="1"/>
  <c r="I269" i="2" s="1"/>
  <c r="I321" i="2" s="1"/>
  <c r="I161" i="2"/>
  <c r="I163" i="2" s="1"/>
  <c r="I193" i="2" s="1"/>
  <c r="I378" i="2" s="1"/>
  <c r="I199" i="2"/>
  <c r="I201" i="2" s="1"/>
  <c r="I231" i="2" s="1"/>
  <c r="I275" i="2"/>
  <c r="I277" i="2" s="1"/>
  <c r="I307" i="2" s="1"/>
  <c r="I85" i="2"/>
  <c r="I123" i="2"/>
  <c r="Z8" i="2"/>
  <c r="Z10" i="2" s="1"/>
  <c r="Z40" i="2" s="1"/>
  <c r="Z47" i="2"/>
  <c r="Z49" i="2" s="1"/>
  <c r="Z79" i="2" s="1"/>
  <c r="Z199" i="2"/>
  <c r="Z201" i="2" s="1"/>
  <c r="Z231" i="2" s="1"/>
  <c r="Z275" i="2"/>
  <c r="Z277" i="2" s="1"/>
  <c r="Z307" i="2" s="1"/>
  <c r="Z322" i="2" s="1"/>
  <c r="Z237" i="2"/>
  <c r="Z239" i="2" s="1"/>
  <c r="Z269" i="2" s="1"/>
  <c r="Z321" i="2" s="1"/>
  <c r="Z85" i="2"/>
  <c r="Z87" i="2" s="1"/>
  <c r="Z117" i="2" s="1"/>
  <c r="Z161" i="2"/>
  <c r="Z163" i="2" s="1"/>
  <c r="Z193" i="2" s="1"/>
  <c r="Z378" i="2" s="1"/>
  <c r="Z123" i="2"/>
  <c r="W47" i="2"/>
  <c r="W49" i="2" s="1"/>
  <c r="W79" i="2" s="1"/>
  <c r="W8" i="2"/>
  <c r="W10" i="2" s="1"/>
  <c r="W40" i="2" s="1"/>
  <c r="W199" i="2"/>
  <c r="W201" i="2" s="1"/>
  <c r="W231" i="2" s="1"/>
  <c r="W237" i="2"/>
  <c r="W239" i="2" s="1"/>
  <c r="W269" i="2" s="1"/>
  <c r="W321" i="2" s="1"/>
  <c r="W275" i="2"/>
  <c r="W277" i="2" s="1"/>
  <c r="W307" i="2" s="1"/>
  <c r="W322" i="2" s="1"/>
  <c r="W161" i="2"/>
  <c r="W163" i="2" s="1"/>
  <c r="W193" i="2" s="1"/>
  <c r="W378" i="2" s="1"/>
  <c r="W85" i="2"/>
  <c r="W87" i="2" s="1"/>
  <c r="W117" i="2" s="1"/>
  <c r="W123" i="2"/>
  <c r="K237" i="2"/>
  <c r="K239" i="2" s="1"/>
  <c r="K269" i="2" s="1"/>
  <c r="K321" i="2" s="1"/>
  <c r="K47" i="2"/>
  <c r="K49" i="2" s="1"/>
  <c r="K79" i="2" s="1"/>
  <c r="K8" i="2"/>
  <c r="K10" i="2" s="1"/>
  <c r="K40" i="2" s="1"/>
  <c r="K85" i="2"/>
  <c r="K275" i="2"/>
  <c r="K277" i="2" s="1"/>
  <c r="K307" i="2" s="1"/>
  <c r="K161" i="2"/>
  <c r="K163" i="2" s="1"/>
  <c r="K193" i="2" s="1"/>
  <c r="K378" i="2" s="1"/>
  <c r="K199" i="2"/>
  <c r="K201" i="2" s="1"/>
  <c r="K231" i="2" s="1"/>
  <c r="N8" i="2"/>
  <c r="N10" i="2" s="1"/>
  <c r="N40" i="2" s="1"/>
  <c r="N47" i="2"/>
  <c r="N49" i="2" s="1"/>
  <c r="N79" i="2" s="1"/>
  <c r="N199" i="2"/>
  <c r="N201" i="2" s="1"/>
  <c r="N231" i="2" s="1"/>
  <c r="N275" i="2"/>
  <c r="N277" i="2" s="1"/>
  <c r="N307" i="2" s="1"/>
  <c r="N322" i="2" s="1"/>
  <c r="N237" i="2"/>
  <c r="N239" i="2" s="1"/>
  <c r="N269" i="2" s="1"/>
  <c r="N321" i="2" s="1"/>
  <c r="N161" i="2"/>
  <c r="N163" i="2" s="1"/>
  <c r="N193" i="2" s="1"/>
  <c r="N378" i="2" s="1"/>
  <c r="N85" i="2"/>
  <c r="N123" i="2"/>
  <c r="V8" i="2"/>
  <c r="V10" i="2" s="1"/>
  <c r="V40" i="2" s="1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V199" i="2"/>
  <c r="V201" i="2" s="1"/>
  <c r="V231" i="2" s="1"/>
  <c r="V161" i="2"/>
  <c r="V163" i="2" s="1"/>
  <c r="V193" i="2" s="1"/>
  <c r="V378" i="2" s="1"/>
  <c r="V85" i="2"/>
  <c r="V87" i="2" s="1"/>
  <c r="V117" i="2" s="1"/>
  <c r="V123" i="2"/>
  <c r="AF8" i="2"/>
  <c r="AF10" i="2" s="1"/>
  <c r="AF40" i="2" s="1"/>
  <c r="AF47" i="2"/>
  <c r="AF49" i="2" s="1"/>
  <c r="AF79" i="2" s="1"/>
  <c r="AF275" i="2"/>
  <c r="AF277" i="2" s="1"/>
  <c r="AF307" i="2" s="1"/>
  <c r="AF322" i="2" s="1"/>
  <c r="AF199" i="2"/>
  <c r="AF201" i="2" s="1"/>
  <c r="AF231" i="2" s="1"/>
  <c r="AF237" i="2"/>
  <c r="AF239" i="2" s="1"/>
  <c r="AF269" i="2" s="1"/>
  <c r="AF321" i="2" s="1"/>
  <c r="AF161" i="2"/>
  <c r="AF163" i="2" s="1"/>
  <c r="AF193" i="2" s="1"/>
  <c r="AF378" i="2" s="1"/>
  <c r="AF85" i="2"/>
  <c r="AF87" i="2" s="1"/>
  <c r="AF117" i="2" s="1"/>
  <c r="AF123" i="2"/>
  <c r="G8" i="2"/>
  <c r="G10" i="2" s="1"/>
  <c r="G40" i="2" s="1"/>
  <c r="G47" i="2"/>
  <c r="G49" i="2" s="1"/>
  <c r="G79" i="2" s="1"/>
  <c r="G237" i="2"/>
  <c r="G239" i="2" s="1"/>
  <c r="G269" i="2" s="1"/>
  <c r="G321" i="2" s="1"/>
  <c r="G199" i="2"/>
  <c r="G201" i="2" s="1"/>
  <c r="G231" i="2" s="1"/>
  <c r="G275" i="2"/>
  <c r="G277" i="2" s="1"/>
  <c r="G307" i="2" s="1"/>
  <c r="G161" i="2"/>
  <c r="G163" i="2" s="1"/>
  <c r="G193" i="2" s="1"/>
  <c r="G378" i="2" s="1"/>
  <c r="G85" i="2"/>
  <c r="G123" i="2"/>
  <c r="AB8" i="2"/>
  <c r="AB10" i="2" s="1"/>
  <c r="AB40" i="2" s="1"/>
  <c r="AB47" i="2"/>
  <c r="AB49" i="2" s="1"/>
  <c r="AB79" i="2" s="1"/>
  <c r="AB199" i="2"/>
  <c r="AB201" i="2" s="1"/>
  <c r="AB231" i="2" s="1"/>
  <c r="AB237" i="2"/>
  <c r="AB239" i="2" s="1"/>
  <c r="AB269" i="2" s="1"/>
  <c r="AB321" i="2" s="1"/>
  <c r="AB161" i="2"/>
  <c r="AB163" i="2" s="1"/>
  <c r="AB193" i="2" s="1"/>
  <c r="AB378" i="2" s="1"/>
  <c r="AB275" i="2"/>
  <c r="AB277" i="2" s="1"/>
  <c r="AB307" i="2" s="1"/>
  <c r="AB322" i="2" s="1"/>
  <c r="AB85" i="2"/>
  <c r="AB87" i="2" s="1"/>
  <c r="AB117" i="2" s="1"/>
  <c r="AB123" i="2"/>
  <c r="X47" i="2"/>
  <c r="X49" i="2" s="1"/>
  <c r="X79" i="2" s="1"/>
  <c r="X8" i="2"/>
  <c r="X10" i="2" s="1"/>
  <c r="X40" i="2" s="1"/>
  <c r="X237" i="2"/>
  <c r="X239" i="2" s="1"/>
  <c r="X269" i="2" s="1"/>
  <c r="X321" i="2" s="1"/>
  <c r="X199" i="2"/>
  <c r="X201" i="2" s="1"/>
  <c r="X231" i="2" s="1"/>
  <c r="X275" i="2"/>
  <c r="X277" i="2" s="1"/>
  <c r="X307" i="2" s="1"/>
  <c r="X322" i="2" s="1"/>
  <c r="X161" i="2"/>
  <c r="X163" i="2" s="1"/>
  <c r="X193" i="2" s="1"/>
  <c r="X378" i="2" s="1"/>
  <c r="X85" i="2"/>
  <c r="X87" i="2" s="1"/>
  <c r="X117" i="2" s="1"/>
  <c r="X123" i="2"/>
  <c r="AA47" i="2"/>
  <c r="AA49" i="2" s="1"/>
  <c r="AA79" i="2" s="1"/>
  <c r="AA8" i="2"/>
  <c r="AA10" i="2" s="1"/>
  <c r="AA40" i="2" s="1"/>
  <c r="AA275" i="2"/>
  <c r="AA277" i="2" s="1"/>
  <c r="AA307" i="2" s="1"/>
  <c r="AA322" i="2" s="1"/>
  <c r="AA237" i="2"/>
  <c r="AA239" i="2" s="1"/>
  <c r="AA269" i="2" s="1"/>
  <c r="AA321" i="2" s="1"/>
  <c r="AA199" i="2"/>
  <c r="AA201" i="2" s="1"/>
  <c r="AA231" i="2" s="1"/>
  <c r="AA161" i="2"/>
  <c r="AA163" i="2" s="1"/>
  <c r="AA193" i="2" s="1"/>
  <c r="AA378" i="2" s="1"/>
  <c r="AA85" i="2"/>
  <c r="AA87" i="2" s="1"/>
  <c r="AA117" i="2" s="1"/>
  <c r="AA123" i="2"/>
  <c r="F550" i="2"/>
  <c r="F613" i="2"/>
  <c r="AG503" i="2"/>
  <c r="AH503" i="2" s="1"/>
  <c r="X377" i="2" l="1"/>
  <c r="W377" i="2"/>
  <c r="AB377" i="2"/>
  <c r="AA377" i="2"/>
  <c r="AF377" i="2"/>
  <c r="V377" i="2"/>
  <c r="Z377" i="2"/>
  <c r="Y377" i="2"/>
  <c r="U377" i="2"/>
  <c r="S377" i="2"/>
  <c r="AE377" i="2"/>
  <c r="T377" i="2"/>
  <c r="AD377" i="2"/>
  <c r="AC377" i="2"/>
  <c r="T371" i="2"/>
  <c r="AA371" i="2"/>
  <c r="X371" i="2"/>
  <c r="AF371" i="2"/>
  <c r="V371" i="2"/>
  <c r="Y371" i="2"/>
  <c r="U371" i="2"/>
  <c r="S371" i="2"/>
  <c r="AD371" i="2"/>
  <c r="AE371" i="2"/>
  <c r="Z371" i="2"/>
  <c r="AC371" i="2"/>
  <c r="W371" i="2"/>
  <c r="AB371" i="2"/>
  <c r="T328" i="2"/>
  <c r="T367" i="2"/>
  <c r="T512" i="2" s="1"/>
  <c r="AD328" i="2"/>
  <c r="AD367" i="2"/>
  <c r="AD512" i="2" s="1"/>
  <c r="AC328" i="2"/>
  <c r="AC367" i="2"/>
  <c r="AC512" i="2" s="1"/>
  <c r="AF328" i="2"/>
  <c r="AF367" i="2"/>
  <c r="AF512" i="2" s="1"/>
  <c r="V328" i="2"/>
  <c r="V367" i="2"/>
  <c r="V512" i="2" s="1"/>
  <c r="Y328" i="2"/>
  <c r="Y367" i="2"/>
  <c r="Y512" i="2" s="1"/>
  <c r="W328" i="2"/>
  <c r="W367" i="2"/>
  <c r="W512" i="2" s="1"/>
  <c r="AA328" i="2"/>
  <c r="AA367" i="2"/>
  <c r="AA512" i="2" s="1"/>
  <c r="X328" i="2"/>
  <c r="X367" i="2"/>
  <c r="X512" i="2" s="1"/>
  <c r="AB328" i="2"/>
  <c r="AB367" i="2"/>
  <c r="AB512" i="2" s="1"/>
  <c r="Z328" i="2"/>
  <c r="Z367" i="2"/>
  <c r="Z512" i="2" s="1"/>
  <c r="U328" i="2"/>
  <c r="U367" i="2"/>
  <c r="U512" i="2" s="1"/>
  <c r="AE328" i="2"/>
  <c r="AE367" i="2"/>
  <c r="AE512" i="2" s="1"/>
  <c r="S328" i="2"/>
  <c r="S367" i="2"/>
  <c r="S512" i="2" s="1"/>
  <c r="Z374" i="2"/>
  <c r="AE373" i="2"/>
  <c r="W373" i="2"/>
  <c r="AB372" i="2"/>
  <c r="T372" i="2"/>
  <c r="AE374" i="2"/>
  <c r="Y372" i="2"/>
  <c r="Y374" i="2"/>
  <c r="AD373" i="2"/>
  <c r="V373" i="2"/>
  <c r="AA372" i="2"/>
  <c r="S372" i="2"/>
  <c r="AB373" i="2"/>
  <c r="AF374" i="2"/>
  <c r="X374" i="2"/>
  <c r="AC373" i="2"/>
  <c r="U373" i="2"/>
  <c r="Z372" i="2"/>
  <c r="W374" i="2"/>
  <c r="T373" i="2"/>
  <c r="AD374" i="2"/>
  <c r="V374" i="2"/>
  <c r="AA373" i="2"/>
  <c r="S373" i="2"/>
  <c r="AF372" i="2"/>
  <c r="X372" i="2"/>
  <c r="T374" i="2"/>
  <c r="Y373" i="2"/>
  <c r="V372" i="2"/>
  <c r="AA374" i="2"/>
  <c r="AF373" i="2"/>
  <c r="AC372" i="2"/>
  <c r="AC374" i="2"/>
  <c r="U374" i="2"/>
  <c r="Z373" i="2"/>
  <c r="AE372" i="2"/>
  <c r="W372" i="2"/>
  <c r="AB374" i="2"/>
  <c r="AD372" i="2"/>
  <c r="S374" i="2"/>
  <c r="X373" i="2"/>
  <c r="U372" i="2"/>
  <c r="AA375" i="2"/>
  <c r="X375" i="2"/>
  <c r="G194" i="2"/>
  <c r="AF320" i="2"/>
  <c r="AF369" i="2"/>
  <c r="K520" i="2"/>
  <c r="K87" i="2"/>
  <c r="K117" i="2" s="1"/>
  <c r="K371" i="2" s="1"/>
  <c r="W375" i="2"/>
  <c r="I308" i="2"/>
  <c r="I322" i="2"/>
  <c r="O320" i="2"/>
  <c r="O369" i="2"/>
  <c r="Q368" i="2"/>
  <c r="T368" i="2"/>
  <c r="T375" i="2"/>
  <c r="AC125" i="2"/>
  <c r="AC155" i="2" s="1"/>
  <c r="AC319" i="2" s="1"/>
  <c r="AC502" i="2"/>
  <c r="R125" i="2"/>
  <c r="R155" i="2" s="1"/>
  <c r="R319" i="2" s="1"/>
  <c r="R502" i="2"/>
  <c r="M502" i="2"/>
  <c r="M125" i="2"/>
  <c r="AA369" i="2"/>
  <c r="AA320" i="2"/>
  <c r="AB375" i="2"/>
  <c r="G308" i="2"/>
  <c r="G322" i="2"/>
  <c r="N320" i="2"/>
  <c r="N369" i="2"/>
  <c r="I232" i="2"/>
  <c r="I369" i="2"/>
  <c r="I320" i="2"/>
  <c r="Y375" i="2"/>
  <c r="H194" i="2"/>
  <c r="S125" i="2"/>
  <c r="S155" i="2" s="1"/>
  <c r="S319" i="2" s="1"/>
  <c r="S502" i="2"/>
  <c r="AE320" i="2"/>
  <c r="AE369" i="2"/>
  <c r="T320" i="2"/>
  <c r="T369" i="2"/>
  <c r="AD375" i="2"/>
  <c r="P369" i="2"/>
  <c r="P320" i="2"/>
  <c r="R520" i="2"/>
  <c r="R87" i="2"/>
  <c r="R117" i="2" s="1"/>
  <c r="R371" i="2" s="1"/>
  <c r="M520" i="2"/>
  <c r="M87" i="2"/>
  <c r="M117" i="2" s="1"/>
  <c r="M371" i="2" s="1"/>
  <c r="X369" i="2"/>
  <c r="X320" i="2"/>
  <c r="G320" i="2"/>
  <c r="G369" i="2"/>
  <c r="G232" i="2"/>
  <c r="I194" i="2"/>
  <c r="Y369" i="2"/>
  <c r="Y320" i="2"/>
  <c r="H322" i="2"/>
  <c r="H308" i="2"/>
  <c r="U502" i="2"/>
  <c r="U125" i="2"/>
  <c r="U155" i="2" s="1"/>
  <c r="U319" i="2" s="1"/>
  <c r="AD369" i="2"/>
  <c r="AD320" i="2"/>
  <c r="AC369" i="2"/>
  <c r="AC320" i="2"/>
  <c r="R368" i="2"/>
  <c r="AB320" i="2"/>
  <c r="AB369" i="2"/>
  <c r="W369" i="2"/>
  <c r="W320" i="2"/>
  <c r="Z320" i="2"/>
  <c r="Z369" i="2"/>
  <c r="H232" i="2"/>
  <c r="H369" i="2"/>
  <c r="H320" i="2"/>
  <c r="S369" i="2"/>
  <c r="S320" i="2"/>
  <c r="AE125" i="2"/>
  <c r="AE155" i="2" s="1"/>
  <c r="AE319" i="2" s="1"/>
  <c r="AE502" i="2"/>
  <c r="Q125" i="2"/>
  <c r="Q155" i="2" s="1"/>
  <c r="Q319" i="2" s="1"/>
  <c r="Q502" i="2"/>
  <c r="F161" i="2"/>
  <c r="F275" i="2"/>
  <c r="F85" i="2"/>
  <c r="F199" i="2"/>
  <c r="F47" i="2"/>
  <c r="F237" i="2"/>
  <c r="F8" i="2"/>
  <c r="F123" i="2"/>
  <c r="AC375" i="2"/>
  <c r="AF125" i="2"/>
  <c r="AF155" i="2" s="1"/>
  <c r="AF319" i="2" s="1"/>
  <c r="AF502" i="2"/>
  <c r="V502" i="2"/>
  <c r="V125" i="2"/>
  <c r="V155" i="2" s="1"/>
  <c r="V319" i="2" s="1"/>
  <c r="N125" i="2"/>
  <c r="N155" i="2" s="1"/>
  <c r="N319" i="2" s="1"/>
  <c r="N502" i="2"/>
  <c r="K232" i="2"/>
  <c r="K320" i="2"/>
  <c r="K369" i="2"/>
  <c r="U368" i="2"/>
  <c r="U375" i="2"/>
  <c r="Q520" i="2"/>
  <c r="Q87" i="2"/>
  <c r="Q117" i="2" s="1"/>
  <c r="Q371" i="2" s="1"/>
  <c r="M322" i="2"/>
  <c r="M308" i="2"/>
  <c r="N87" i="2"/>
  <c r="N117" i="2" s="1"/>
  <c r="N371" i="2" s="1"/>
  <c r="N520" i="2"/>
  <c r="K194" i="2"/>
  <c r="S375" i="2"/>
  <c r="S368" i="2"/>
  <c r="AE375" i="2"/>
  <c r="Q320" i="2"/>
  <c r="Q369" i="2"/>
  <c r="M194" i="2"/>
  <c r="AA502" i="2"/>
  <c r="AA125" i="2"/>
  <c r="AA155" i="2" s="1"/>
  <c r="AA319" i="2" s="1"/>
  <c r="X502" i="2"/>
  <c r="X125" i="2"/>
  <c r="X155" i="2" s="1"/>
  <c r="X319" i="2" s="1"/>
  <c r="AB125" i="2"/>
  <c r="AB155" i="2" s="1"/>
  <c r="AB319" i="2" s="1"/>
  <c r="AB502" i="2"/>
  <c r="G502" i="2"/>
  <c r="G125" i="2"/>
  <c r="G155" i="2" s="1"/>
  <c r="AF375" i="2"/>
  <c r="V375" i="2"/>
  <c r="K502" i="2"/>
  <c r="K125" i="2"/>
  <c r="K155" i="2" s="1"/>
  <c r="W125" i="2"/>
  <c r="W155" i="2" s="1"/>
  <c r="W319" i="2" s="1"/>
  <c r="W502" i="2"/>
  <c r="Z125" i="2"/>
  <c r="Z155" i="2" s="1"/>
  <c r="Z319" i="2" s="1"/>
  <c r="Z502" i="2"/>
  <c r="I502" i="2"/>
  <c r="I125" i="2"/>
  <c r="I155" i="2" s="1"/>
  <c r="J502" i="2"/>
  <c r="J125" i="2"/>
  <c r="O125" i="2"/>
  <c r="O155" i="2" s="1"/>
  <c r="O319" i="2" s="1"/>
  <c r="O502" i="2"/>
  <c r="H502" i="2"/>
  <c r="H125" i="2"/>
  <c r="H155" i="2" s="1"/>
  <c r="E384" i="2"/>
  <c r="U320" i="2"/>
  <c r="U369" i="2"/>
  <c r="W363" i="2"/>
  <c r="V364" i="2"/>
  <c r="Y381" i="2"/>
  <c r="V390" i="2"/>
  <c r="T365" i="2"/>
  <c r="U366" i="2"/>
  <c r="AA365" i="2"/>
  <c r="AC363" i="2"/>
  <c r="V376" i="2"/>
  <c r="V365" i="2"/>
  <c r="AB364" i="2"/>
  <c r="X363" i="2"/>
  <c r="AD364" i="2"/>
  <c r="T380" i="2"/>
  <c r="AC380" i="2"/>
  <c r="U365" i="2"/>
  <c r="AE390" i="2"/>
  <c r="AF390" i="2"/>
  <c r="AE363" i="2"/>
  <c r="X381" i="2"/>
  <c r="W376" i="2"/>
  <c r="AC390" i="2"/>
  <c r="S381" i="2"/>
  <c r="X366" i="2"/>
  <c r="U380" i="2"/>
  <c r="AF363" i="2"/>
  <c r="S390" i="2"/>
  <c r="AE365" i="2"/>
  <c r="Z365" i="2"/>
  <c r="T366" i="2"/>
  <c r="AA363" i="2"/>
  <c r="AB381" i="2"/>
  <c r="V363" i="2"/>
  <c r="Y390" i="2"/>
  <c r="X365" i="2"/>
  <c r="AA364" i="2"/>
  <c r="X376" i="2"/>
  <c r="AC376" i="2"/>
  <c r="U381" i="2"/>
  <c r="AD363" i="2"/>
  <c r="T381" i="2"/>
  <c r="Y376" i="2"/>
  <c r="X370" i="2"/>
  <c r="Y370" i="2"/>
  <c r="W362" i="2"/>
  <c r="U364" i="2"/>
  <c r="AB363" i="2"/>
  <c r="AA366" i="2"/>
  <c r="AE376" i="2"/>
  <c r="AD366" i="2"/>
  <c r="U376" i="2"/>
  <c r="Z376" i="2"/>
  <c r="AD381" i="2"/>
  <c r="Z380" i="2"/>
  <c r="V362" i="2"/>
  <c r="Y362" i="2"/>
  <c r="AF362" i="2"/>
  <c r="AD380" i="2"/>
  <c r="Y380" i="2"/>
  <c r="S364" i="2"/>
  <c r="Z364" i="2"/>
  <c r="Y363" i="2"/>
  <c r="U390" i="2"/>
  <c r="AC366" i="2"/>
  <c r="AC381" i="2"/>
  <c r="S376" i="2"/>
  <c r="W390" i="2"/>
  <c r="T390" i="2"/>
  <c r="W370" i="2"/>
  <c r="U362" i="2"/>
  <c r="AE362" i="2"/>
  <c r="AD376" i="2"/>
  <c r="X364" i="2"/>
  <c r="AE366" i="2"/>
  <c r="AB365" i="2"/>
  <c r="S380" i="2"/>
  <c r="AF365" i="2"/>
  <c r="AB390" i="2"/>
  <c r="S365" i="2"/>
  <c r="AB366" i="2"/>
  <c r="AC370" i="2"/>
  <c r="X390" i="2"/>
  <c r="AF380" i="2"/>
  <c r="AC364" i="2"/>
  <c r="W364" i="2"/>
  <c r="AB376" i="2"/>
  <c r="AA390" i="2"/>
  <c r="Z366" i="2"/>
  <c r="V381" i="2"/>
  <c r="AD365" i="2"/>
  <c r="Y364" i="2"/>
  <c r="T376" i="2"/>
  <c r="AA381" i="2"/>
  <c r="AD390" i="2"/>
  <c r="AF364" i="2"/>
  <c r="Z381" i="2"/>
  <c r="S366" i="2"/>
  <c r="W380" i="2"/>
  <c r="AE380" i="2"/>
  <c r="Y365" i="2"/>
  <c r="S363" i="2"/>
  <c r="Y366" i="2"/>
  <c r="X380" i="2"/>
  <c r="S370" i="2"/>
  <c r="AD370" i="2"/>
  <c r="AD362" i="2"/>
  <c r="AE364" i="2"/>
  <c r="T363" i="2"/>
  <c r="W365" i="2"/>
  <c r="AF376" i="2"/>
  <c r="AE381" i="2"/>
  <c r="AA380" i="2"/>
  <c r="U363" i="2"/>
  <c r="AF366" i="2"/>
  <c r="T370" i="2"/>
  <c r="V370" i="2"/>
  <c r="U370" i="2"/>
  <c r="T362" i="2"/>
  <c r="W381" i="2"/>
  <c r="T364" i="2"/>
  <c r="W366" i="2"/>
  <c r="AB380" i="2"/>
  <c r="V366" i="2"/>
  <c r="AC365" i="2"/>
  <c r="AF381" i="2"/>
  <c r="Z390" i="2"/>
  <c r="Z363" i="2"/>
  <c r="AA376" i="2"/>
  <c r="V380" i="2"/>
  <c r="AB370" i="2"/>
  <c r="AF370" i="2"/>
  <c r="Z370" i="2"/>
  <c r="AC362" i="2"/>
  <c r="AE370" i="2"/>
  <c r="AB362" i="2"/>
  <c r="X362" i="2"/>
  <c r="AA362" i="2"/>
  <c r="Z362" i="2"/>
  <c r="AA370" i="2"/>
  <c r="S362" i="2"/>
  <c r="E328" i="2"/>
  <c r="T502" i="2"/>
  <c r="T125" i="2"/>
  <c r="T155" i="2" s="1"/>
  <c r="T319" i="2" s="1"/>
  <c r="AD125" i="2"/>
  <c r="AD155" i="2" s="1"/>
  <c r="AD319" i="2" s="1"/>
  <c r="AD502" i="2"/>
  <c r="P502" i="2"/>
  <c r="P125" i="2"/>
  <c r="P155" i="2" s="1"/>
  <c r="P319" i="2" s="1"/>
  <c r="R320" i="2"/>
  <c r="R369" i="2"/>
  <c r="M320" i="2"/>
  <c r="M369" i="2"/>
  <c r="M232" i="2"/>
  <c r="G520" i="2"/>
  <c r="G87" i="2"/>
  <c r="G117" i="2" s="1"/>
  <c r="G371" i="2" s="1"/>
  <c r="V369" i="2"/>
  <c r="V320" i="2"/>
  <c r="K308" i="2"/>
  <c r="K322" i="2"/>
  <c r="Z375" i="2"/>
  <c r="I520" i="2"/>
  <c r="I87" i="2"/>
  <c r="I117" i="2" s="1"/>
  <c r="I371" i="2" s="1"/>
  <c r="J520" i="2"/>
  <c r="J87" i="2"/>
  <c r="Y502" i="2"/>
  <c r="Y125" i="2"/>
  <c r="Y155" i="2" s="1"/>
  <c r="Y319" i="2" s="1"/>
  <c r="O520" i="2"/>
  <c r="O87" i="2"/>
  <c r="O117" i="2" s="1"/>
  <c r="O371" i="2" s="1"/>
  <c r="H520" i="2"/>
  <c r="H87" i="2"/>
  <c r="H117" i="2" s="1"/>
  <c r="H371" i="2" s="1"/>
  <c r="P520" i="2"/>
  <c r="P87" i="2"/>
  <c r="P117" i="2" s="1"/>
  <c r="P371" i="2" s="1"/>
  <c r="S388" i="2" l="1"/>
  <c r="S392" i="2" s="1"/>
  <c r="S330" i="2"/>
  <c r="S331" i="2" s="1"/>
  <c r="AB388" i="2"/>
  <c r="AB330" i="2"/>
  <c r="AB331" i="2" s="1"/>
  <c r="Y388" i="2"/>
  <c r="Y330" i="2"/>
  <c r="Y331" i="2" s="1"/>
  <c r="AD388" i="2"/>
  <c r="AD330" i="2"/>
  <c r="AD331" i="2" s="1"/>
  <c r="AE388" i="2"/>
  <c r="AE330" i="2"/>
  <c r="AE331" i="2" s="1"/>
  <c r="X388" i="2"/>
  <c r="X330" i="2"/>
  <c r="X331" i="2" s="1"/>
  <c r="V388" i="2"/>
  <c r="V330" i="2"/>
  <c r="V331" i="2" s="1"/>
  <c r="T388" i="2"/>
  <c r="T392" i="2" s="1"/>
  <c r="T330" i="2"/>
  <c r="T331" i="2" s="1"/>
  <c r="U388" i="2"/>
  <c r="U392" i="2" s="1"/>
  <c r="U330" i="2"/>
  <c r="U331" i="2" s="1"/>
  <c r="AA388" i="2"/>
  <c r="AA330" i="2"/>
  <c r="AA331" i="2" s="1"/>
  <c r="AF388" i="2"/>
  <c r="AF330" i="2"/>
  <c r="AF331" i="2" s="1"/>
  <c r="Z388" i="2"/>
  <c r="Z330" i="2"/>
  <c r="Z331" i="2" s="1"/>
  <c r="W388" i="2"/>
  <c r="W330" i="2"/>
  <c r="W331" i="2" s="1"/>
  <c r="AC388" i="2"/>
  <c r="AC330" i="2"/>
  <c r="AC331" i="2" s="1"/>
  <c r="AD324" i="2"/>
  <c r="AD355" i="2" s="1"/>
  <c r="AD384" i="2" s="1"/>
  <c r="AD386" i="2" s="1"/>
  <c r="X515" i="2"/>
  <c r="AB515" i="2"/>
  <c r="S515" i="2"/>
  <c r="AA515" i="2"/>
  <c r="V514" i="2"/>
  <c r="AF515" i="2"/>
  <c r="U514" i="2"/>
  <c r="AA514" i="2"/>
  <c r="Y515" i="2"/>
  <c r="AE515" i="2"/>
  <c r="V515" i="2"/>
  <c r="AC514" i="2"/>
  <c r="S514" i="2"/>
  <c r="T515" i="2"/>
  <c r="U515" i="2"/>
  <c r="Z514" i="2"/>
  <c r="T514" i="2"/>
  <c r="X514" i="2"/>
  <c r="AC515" i="2"/>
  <c r="W515" i="2"/>
  <c r="AE514" i="2"/>
  <c r="AF514" i="2"/>
  <c r="Y514" i="2"/>
  <c r="Z515" i="2"/>
  <c r="AB514" i="2"/>
  <c r="AD515" i="2"/>
  <c r="W514" i="2"/>
  <c r="AD514" i="2"/>
  <c r="H375" i="2"/>
  <c r="H377" i="2"/>
  <c r="I375" i="2"/>
  <c r="I377" i="2"/>
  <c r="Q375" i="2"/>
  <c r="Q377" i="2"/>
  <c r="M375" i="2"/>
  <c r="M377" i="2"/>
  <c r="O375" i="2"/>
  <c r="O377" i="2"/>
  <c r="K366" i="2"/>
  <c r="K377" i="2"/>
  <c r="R375" i="2"/>
  <c r="R377" i="2"/>
  <c r="N375" i="2"/>
  <c r="N377" i="2"/>
  <c r="P375" i="2"/>
  <c r="P377" i="2"/>
  <c r="G375" i="2"/>
  <c r="G377" i="2"/>
  <c r="AF324" i="2"/>
  <c r="AF326" i="2" s="1"/>
  <c r="K376" i="2"/>
  <c r="N370" i="2"/>
  <c r="K390" i="2"/>
  <c r="K375" i="2"/>
  <c r="K380" i="2"/>
  <c r="AG368" i="2"/>
  <c r="AH368" i="2" s="1"/>
  <c r="M370" i="2"/>
  <c r="P324" i="2"/>
  <c r="P355" i="2" s="1"/>
  <c r="M362" i="2"/>
  <c r="M381" i="2"/>
  <c r="I390" i="2"/>
  <c r="I367" i="2"/>
  <c r="G380" i="2"/>
  <c r="G367" i="2"/>
  <c r="M363" i="2"/>
  <c r="M367" i="2"/>
  <c r="M512" i="2" s="1"/>
  <c r="M380" i="2"/>
  <c r="Q328" i="2"/>
  <c r="Q367" i="2"/>
  <c r="Q512" i="2" s="1"/>
  <c r="O328" i="2"/>
  <c r="O367" i="2"/>
  <c r="O512" i="2" s="1"/>
  <c r="R328" i="2"/>
  <c r="R367" i="2"/>
  <c r="R512" i="2" s="1"/>
  <c r="H380" i="2"/>
  <c r="H367" i="2"/>
  <c r="M365" i="2"/>
  <c r="S541" i="2"/>
  <c r="S530" i="2"/>
  <c r="K363" i="2"/>
  <c r="K367" i="2"/>
  <c r="P328" i="2"/>
  <c r="P367" i="2"/>
  <c r="P512" i="2" s="1"/>
  <c r="N328" i="2"/>
  <c r="N367" i="2"/>
  <c r="N512" i="2" s="1"/>
  <c r="K374" i="2"/>
  <c r="O372" i="2"/>
  <c r="P374" i="2"/>
  <c r="M372" i="2"/>
  <c r="G373" i="2"/>
  <c r="N372" i="2"/>
  <c r="H372" i="2"/>
  <c r="N374" i="2"/>
  <c r="R372" i="2"/>
  <c r="O373" i="2"/>
  <c r="P372" i="2"/>
  <c r="P373" i="2"/>
  <c r="N373" i="2"/>
  <c r="Q373" i="2"/>
  <c r="R373" i="2"/>
  <c r="M373" i="2"/>
  <c r="Q372" i="2"/>
  <c r="G374" i="2"/>
  <c r="H373" i="2"/>
  <c r="M374" i="2"/>
  <c r="K373" i="2"/>
  <c r="I372" i="2"/>
  <c r="O374" i="2"/>
  <c r="I374" i="2"/>
  <c r="R374" i="2"/>
  <c r="G372" i="2"/>
  <c r="I373" i="2"/>
  <c r="H374" i="2"/>
  <c r="K372" i="2"/>
  <c r="Q374" i="2"/>
  <c r="M155" i="2"/>
  <c r="M156" i="2" s="1"/>
  <c r="R390" i="2"/>
  <c r="R381" i="2"/>
  <c r="R366" i="2"/>
  <c r="T324" i="2"/>
  <c r="T355" i="2" s="1"/>
  <c r="T384" i="2" s="1"/>
  <c r="T386" i="2" s="1"/>
  <c r="Z324" i="2"/>
  <c r="Z326" i="2" s="1"/>
  <c r="O324" i="2"/>
  <c r="O355" i="2" s="1"/>
  <c r="AB324" i="2"/>
  <c r="AB326" i="2" s="1"/>
  <c r="N362" i="2"/>
  <c r="M390" i="2"/>
  <c r="M376" i="2"/>
  <c r="M366" i="2"/>
  <c r="M364" i="2"/>
  <c r="N324" i="2"/>
  <c r="N326" i="2" s="1"/>
  <c r="K370" i="2"/>
  <c r="K362" i="2"/>
  <c r="K381" i="2"/>
  <c r="K364" i="2"/>
  <c r="K365" i="2"/>
  <c r="AA324" i="2"/>
  <c r="AA326" i="2" s="1"/>
  <c r="Y324" i="2"/>
  <c r="Y326" i="2" s="1"/>
  <c r="N363" i="2"/>
  <c r="N390" i="2"/>
  <c r="N365" i="2"/>
  <c r="N376" i="2"/>
  <c r="N381" i="2"/>
  <c r="W324" i="2"/>
  <c r="W326" i="2" s="1"/>
  <c r="N364" i="2"/>
  <c r="N380" i="2"/>
  <c r="N366" i="2"/>
  <c r="R365" i="2"/>
  <c r="R376" i="2"/>
  <c r="R363" i="2"/>
  <c r="R364" i="2"/>
  <c r="R380" i="2"/>
  <c r="R362" i="2"/>
  <c r="R370" i="2"/>
  <c r="X324" i="2"/>
  <c r="X326" i="2" s="1"/>
  <c r="Q362" i="2"/>
  <c r="Q363" i="2"/>
  <c r="Q364" i="2"/>
  <c r="Q366" i="2"/>
  <c r="Q380" i="2"/>
  <c r="Q370" i="2"/>
  <c r="Q390" i="2"/>
  <c r="AE324" i="2"/>
  <c r="AE326" i="2" s="1"/>
  <c r="Q381" i="2"/>
  <c r="O362" i="2"/>
  <c r="H390" i="2"/>
  <c r="P390" i="2"/>
  <c r="O381" i="2"/>
  <c r="H156" i="2"/>
  <c r="H319" i="2"/>
  <c r="H324" i="2" s="1"/>
  <c r="H355" i="2" s="1"/>
  <c r="Z507" i="2"/>
  <c r="Z540" i="2"/>
  <c r="Z584" i="2" s="1"/>
  <c r="Z610" i="2" s="1"/>
  <c r="Z511" i="2"/>
  <c r="AB540" i="2"/>
  <c r="AB584" i="2" s="1"/>
  <c r="AB610" i="2" s="1"/>
  <c r="AB507" i="2"/>
  <c r="AB511" i="2"/>
  <c r="F520" i="2"/>
  <c r="F87" i="2"/>
  <c r="S507" i="2"/>
  <c r="S511" i="2"/>
  <c r="AC324" i="2"/>
  <c r="P364" i="2"/>
  <c r="H364" i="2"/>
  <c r="O364" i="2"/>
  <c r="G390" i="2"/>
  <c r="P366" i="2"/>
  <c r="I363" i="2"/>
  <c r="H507" i="2"/>
  <c r="H511" i="2"/>
  <c r="F277" i="2"/>
  <c r="S324" i="2"/>
  <c r="H376" i="2"/>
  <c r="I370" i="2"/>
  <c r="H365" i="2"/>
  <c r="H370" i="2"/>
  <c r="H381" i="2"/>
  <c r="O507" i="2"/>
  <c r="O511" i="2"/>
  <c r="W540" i="2"/>
  <c r="W584" i="2" s="1"/>
  <c r="W610" i="2" s="1"/>
  <c r="W507" i="2"/>
  <c r="W511" i="2"/>
  <c r="Q525" i="2"/>
  <c r="Q549" i="2"/>
  <c r="Q611" i="2"/>
  <c r="F163" i="2"/>
  <c r="U324" i="2"/>
  <c r="M328" i="2"/>
  <c r="M330" i="2" s="1"/>
  <c r="M331" i="2" s="1"/>
  <c r="M118" i="2"/>
  <c r="K118" i="2"/>
  <c r="K328" i="2"/>
  <c r="P507" i="2"/>
  <c r="P511" i="2"/>
  <c r="P611" i="2"/>
  <c r="P549" i="2"/>
  <c r="P525" i="2"/>
  <c r="AD540" i="2"/>
  <c r="AD584" i="2" s="1"/>
  <c r="AD610" i="2" s="1"/>
  <c r="AD507" i="2"/>
  <c r="AD511" i="2"/>
  <c r="P362" i="2"/>
  <c r="G364" i="2"/>
  <c r="G363" i="2"/>
  <c r="P376" i="2"/>
  <c r="O363" i="2"/>
  <c r="O365" i="2"/>
  <c r="G366" i="2"/>
  <c r="O380" i="2"/>
  <c r="X540" i="2"/>
  <c r="X584" i="2" s="1"/>
  <c r="X610" i="2" s="1"/>
  <c r="X507" i="2"/>
  <c r="X511" i="2"/>
  <c r="N507" i="2"/>
  <c r="N511" i="2"/>
  <c r="F502" i="2"/>
  <c r="F125" i="2"/>
  <c r="U540" i="2"/>
  <c r="U584" i="2" s="1"/>
  <c r="U610" i="2" s="1"/>
  <c r="U507" i="2"/>
  <c r="U511" i="2"/>
  <c r="M525" i="2"/>
  <c r="M611" i="2"/>
  <c r="M549" i="2"/>
  <c r="K549" i="2"/>
  <c r="K611" i="2"/>
  <c r="K525" i="2"/>
  <c r="O370" i="2"/>
  <c r="G365" i="2"/>
  <c r="I364" i="2"/>
  <c r="O390" i="2"/>
  <c r="P365" i="2"/>
  <c r="I381" i="2"/>
  <c r="Q365" i="2"/>
  <c r="K319" i="2"/>
  <c r="K324" i="2" s="1"/>
  <c r="K355" i="2" s="1"/>
  <c r="K156" i="2"/>
  <c r="F10" i="2"/>
  <c r="Q507" i="2"/>
  <c r="Q511" i="2"/>
  <c r="M507" i="2"/>
  <c r="M511" i="2"/>
  <c r="E388" i="2"/>
  <c r="H362" i="2"/>
  <c r="P380" i="2"/>
  <c r="P370" i="2"/>
  <c r="G370" i="2"/>
  <c r="I365" i="2"/>
  <c r="E386" i="2"/>
  <c r="J511" i="2"/>
  <c r="K507" i="2"/>
  <c r="K511" i="2"/>
  <c r="AA540" i="2"/>
  <c r="AA584" i="2" s="1"/>
  <c r="AA610" i="2" s="1"/>
  <c r="AA507" i="2"/>
  <c r="AA511" i="2"/>
  <c r="N611" i="2"/>
  <c r="N549" i="2"/>
  <c r="N525" i="2"/>
  <c r="V324" i="2"/>
  <c r="F239" i="2"/>
  <c r="Q324" i="2"/>
  <c r="R611" i="2"/>
  <c r="R549" i="2"/>
  <c r="R525" i="2"/>
  <c r="R507" i="2"/>
  <c r="R511" i="2"/>
  <c r="T540" i="2"/>
  <c r="T584" i="2" s="1"/>
  <c r="T610" i="2" s="1"/>
  <c r="T507" i="2"/>
  <c r="T511" i="2"/>
  <c r="I362" i="2"/>
  <c r="G381" i="2"/>
  <c r="O376" i="2"/>
  <c r="O366" i="2"/>
  <c r="I376" i="2"/>
  <c r="P363" i="2"/>
  <c r="P381" i="2"/>
  <c r="H363" i="2"/>
  <c r="I156" i="2"/>
  <c r="I319" i="2"/>
  <c r="I324" i="2" s="1"/>
  <c r="I355" i="2" s="1"/>
  <c r="G156" i="2"/>
  <c r="G319" i="2"/>
  <c r="G324" i="2" s="1"/>
  <c r="G355" i="2" s="1"/>
  <c r="V540" i="2"/>
  <c r="V584" i="2" s="1"/>
  <c r="V610" i="2" s="1"/>
  <c r="V507" i="2"/>
  <c r="V511" i="2"/>
  <c r="F49" i="2"/>
  <c r="AE507" i="2"/>
  <c r="AE511" i="2"/>
  <c r="R324" i="2"/>
  <c r="H611" i="2"/>
  <c r="H549" i="2"/>
  <c r="H525" i="2"/>
  <c r="I549" i="2"/>
  <c r="I525" i="2"/>
  <c r="I611" i="2"/>
  <c r="G525" i="2"/>
  <c r="G611" i="2"/>
  <c r="G549" i="2"/>
  <c r="O549" i="2"/>
  <c r="O525" i="2"/>
  <c r="O611" i="2"/>
  <c r="Y507" i="2"/>
  <c r="Y540" i="2"/>
  <c r="Y584" i="2" s="1"/>
  <c r="Y610" i="2" s="1"/>
  <c r="Y511" i="2"/>
  <c r="H328" i="2"/>
  <c r="H118" i="2"/>
  <c r="I118" i="2"/>
  <c r="I328" i="2"/>
  <c r="G118" i="2"/>
  <c r="G328" i="2"/>
  <c r="G362" i="2"/>
  <c r="I380" i="2"/>
  <c r="H366" i="2"/>
  <c r="I366" i="2"/>
  <c r="Q376" i="2"/>
  <c r="G376" i="2"/>
  <c r="I507" i="2"/>
  <c r="I511" i="2"/>
  <c r="G507" i="2"/>
  <c r="G511" i="2"/>
  <c r="AF507" i="2"/>
  <c r="AF511" i="2"/>
  <c r="F201" i="2"/>
  <c r="AC540" i="2"/>
  <c r="AC584" i="2" s="1"/>
  <c r="AC610" i="2" s="1"/>
  <c r="AC507" i="2"/>
  <c r="AC511" i="2"/>
  <c r="G515" i="2" l="1"/>
  <c r="I514" i="2"/>
  <c r="K515" i="2"/>
  <c r="H514" i="2"/>
  <c r="I515" i="2"/>
  <c r="H515" i="2"/>
  <c r="G514" i="2"/>
  <c r="K514" i="2"/>
  <c r="K532" i="2" s="1"/>
  <c r="AD326" i="2"/>
  <c r="AD394" i="2"/>
  <c r="P388" i="2"/>
  <c r="P392" i="2" s="1"/>
  <c r="P330" i="2"/>
  <c r="P331" i="2" s="1"/>
  <c r="T394" i="2"/>
  <c r="K388" i="2"/>
  <c r="K392" i="2" s="1"/>
  <c r="O388" i="2"/>
  <c r="O392" i="2" s="1"/>
  <c r="O330" i="2"/>
  <c r="O331" i="2" s="1"/>
  <c r="I388" i="2"/>
  <c r="I392" i="2" s="1"/>
  <c r="R388" i="2"/>
  <c r="R392" i="2" s="1"/>
  <c r="R330" i="2"/>
  <c r="R331" i="2" s="1"/>
  <c r="H388" i="2"/>
  <c r="Q388" i="2"/>
  <c r="Q392" i="2" s="1"/>
  <c r="Q330" i="2"/>
  <c r="Q331" i="2" s="1"/>
  <c r="N388" i="2"/>
  <c r="N392" i="2" s="1"/>
  <c r="N330" i="2"/>
  <c r="N331" i="2" s="1"/>
  <c r="G388" i="2"/>
  <c r="G392" i="2" s="1"/>
  <c r="R515" i="2"/>
  <c r="R544" i="2" s="1"/>
  <c r="P514" i="2"/>
  <c r="O515" i="2"/>
  <c r="O533" i="2" s="1"/>
  <c r="Q515" i="2"/>
  <c r="Q533" i="2" s="1"/>
  <c r="P515" i="2"/>
  <c r="N514" i="2"/>
  <c r="N543" i="2" s="1"/>
  <c r="O514" i="2"/>
  <c r="O532" i="2" s="1"/>
  <c r="M514" i="2"/>
  <c r="M532" i="2" s="1"/>
  <c r="M515" i="2"/>
  <c r="Q514" i="2"/>
  <c r="R514" i="2"/>
  <c r="R532" i="2" s="1"/>
  <c r="N515" i="2"/>
  <c r="T326" i="2"/>
  <c r="T571" i="2" s="1"/>
  <c r="T572" i="2" s="1"/>
  <c r="P326" i="2"/>
  <c r="AF355" i="2"/>
  <c r="AF384" i="2" s="1"/>
  <c r="AF386" i="2" s="1"/>
  <c r="AF394" i="2" s="1"/>
  <c r="Y355" i="2"/>
  <c r="Y384" i="2" s="1"/>
  <c r="Y386" i="2" s="1"/>
  <c r="Y394" i="2" s="1"/>
  <c r="O326" i="2"/>
  <c r="J530" i="2"/>
  <c r="H541" i="2"/>
  <c r="H561" i="2" s="1"/>
  <c r="H530" i="2"/>
  <c r="P530" i="2"/>
  <c r="P541" i="2"/>
  <c r="P561" i="2" s="1"/>
  <c r="M530" i="2"/>
  <c r="M541" i="2"/>
  <c r="M561" i="2" s="1"/>
  <c r="R530" i="2"/>
  <c r="R541" i="2"/>
  <c r="R561" i="2" s="1"/>
  <c r="G530" i="2"/>
  <c r="G541" i="2"/>
  <c r="G561" i="2" s="1"/>
  <c r="O530" i="2"/>
  <c r="O541" i="2"/>
  <c r="O561" i="2" s="1"/>
  <c r="N530" i="2"/>
  <c r="N541" i="2"/>
  <c r="N561" i="2" s="1"/>
  <c r="I541" i="2"/>
  <c r="I561" i="2" s="1"/>
  <c r="I530" i="2"/>
  <c r="S561" i="2"/>
  <c r="S585" i="2"/>
  <c r="S611" i="2" s="1"/>
  <c r="Q541" i="2"/>
  <c r="Q561" i="2" s="1"/>
  <c r="Q530" i="2"/>
  <c r="M319" i="2"/>
  <c r="M324" i="2" s="1"/>
  <c r="M326" i="2" s="1"/>
  <c r="N355" i="2"/>
  <c r="Z355" i="2"/>
  <c r="Z384" i="2" s="1"/>
  <c r="Z386" i="2" s="1"/>
  <c r="Z394" i="2" s="1"/>
  <c r="AB355" i="2"/>
  <c r="AB384" i="2" s="1"/>
  <c r="AB386" i="2" s="1"/>
  <c r="AB394" i="2" s="1"/>
  <c r="M388" i="2"/>
  <c r="M392" i="2" s="1"/>
  <c r="M382" i="2"/>
  <c r="K382" i="2"/>
  <c r="AA355" i="2"/>
  <c r="AA384" i="2" s="1"/>
  <c r="AA386" i="2" s="1"/>
  <c r="AA394" i="2" s="1"/>
  <c r="X355" i="2"/>
  <c r="X384" i="2" s="1"/>
  <c r="X386" i="2" s="1"/>
  <c r="X394" i="2" s="1"/>
  <c r="AF516" i="2"/>
  <c r="N382" i="2"/>
  <c r="R382" i="2"/>
  <c r="H392" i="2"/>
  <c r="W355" i="2"/>
  <c r="W384" i="2" s="1"/>
  <c r="W386" i="2" s="1"/>
  <c r="W394" i="2" s="1"/>
  <c r="AD516" i="2"/>
  <c r="V516" i="2"/>
  <c r="AE355" i="2"/>
  <c r="AE384" i="2" s="1"/>
  <c r="AE386" i="2" s="1"/>
  <c r="AE394" i="2" s="1"/>
  <c r="X516" i="2"/>
  <c r="AE516" i="2"/>
  <c r="T516" i="2"/>
  <c r="AA516" i="2"/>
  <c r="O382" i="2"/>
  <c r="O384" i="2" s="1"/>
  <c r="O386" i="2" s="1"/>
  <c r="Y516" i="2"/>
  <c r="AC516" i="2"/>
  <c r="Q382" i="2"/>
  <c r="I540" i="2"/>
  <c r="I559" i="2" s="1"/>
  <c r="I529" i="2"/>
  <c r="I326" i="2"/>
  <c r="I330" i="2" s="1"/>
  <c r="I331" i="2" s="1"/>
  <c r="F269" i="2"/>
  <c r="F155" i="2"/>
  <c r="S543" i="2"/>
  <c r="S532" i="2"/>
  <c r="P382" i="2"/>
  <c r="P384" i="2" s="1"/>
  <c r="P386" i="2" s="1"/>
  <c r="Y576" i="2"/>
  <c r="Y577" i="2" s="1"/>
  <c r="Y571" i="2"/>
  <c r="Y572" i="2" s="1"/>
  <c r="P529" i="2"/>
  <c r="P540" i="2"/>
  <c r="P559" i="2" s="1"/>
  <c r="H326" i="2"/>
  <c r="H330" i="2" s="1"/>
  <c r="H331" i="2" s="1"/>
  <c r="F79" i="2"/>
  <c r="F507" i="2"/>
  <c r="F511" i="2"/>
  <c r="W571" i="2"/>
  <c r="W572" i="2" s="1"/>
  <c r="W576" i="2"/>
  <c r="W577" i="2" s="1"/>
  <c r="F231" i="2"/>
  <c r="V355" i="2"/>
  <c r="V384" i="2" s="1"/>
  <c r="V386" i="2" s="1"/>
  <c r="V394" i="2" s="1"/>
  <c r="V326" i="2"/>
  <c r="U355" i="2"/>
  <c r="U384" i="2" s="1"/>
  <c r="U386" i="2" s="1"/>
  <c r="U394" i="2" s="1"/>
  <c r="U326" i="2"/>
  <c r="Z571" i="2"/>
  <c r="Z572" i="2" s="1"/>
  <c r="Z576" i="2"/>
  <c r="Z577" i="2" s="1"/>
  <c r="R326" i="2"/>
  <c r="R355" i="2"/>
  <c r="K529" i="2"/>
  <c r="K540" i="2"/>
  <c r="K559" i="2" s="1"/>
  <c r="N529" i="2"/>
  <c r="N540" i="2"/>
  <c r="N559" i="2" s="1"/>
  <c r="F193" i="2"/>
  <c r="F378" i="2" s="1"/>
  <c r="X576" i="2"/>
  <c r="X577" i="2" s="1"/>
  <c r="X571" i="2"/>
  <c r="X572" i="2" s="1"/>
  <c r="S326" i="2"/>
  <c r="S355" i="2"/>
  <c r="S384" i="2" s="1"/>
  <c r="S386" i="2" s="1"/>
  <c r="S394" i="2" s="1"/>
  <c r="H540" i="2"/>
  <c r="H559" i="2" s="1"/>
  <c r="H529" i="2"/>
  <c r="AB516" i="2"/>
  <c r="U596" i="2"/>
  <c r="U597" i="2" s="1"/>
  <c r="AA596" i="2"/>
  <c r="AA597" i="2" s="1"/>
  <c r="AD596" i="2"/>
  <c r="AD597" i="2" s="1"/>
  <c r="X596" i="2"/>
  <c r="X597" i="2" s="1"/>
  <c r="V596" i="2"/>
  <c r="V597" i="2" s="1"/>
  <c r="E634" i="2"/>
  <c r="AE596" i="2"/>
  <c r="AE597" i="2" s="1"/>
  <c r="Z596" i="2"/>
  <c r="Z597" i="2" s="1"/>
  <c r="W596" i="2"/>
  <c r="W597" i="2" s="1"/>
  <c r="AB596" i="2"/>
  <c r="AB597" i="2" s="1"/>
  <c r="AF596" i="2"/>
  <c r="AF597" i="2" s="1"/>
  <c r="T596" i="2"/>
  <c r="T597" i="2" s="1"/>
  <c r="Y596" i="2"/>
  <c r="Y597" i="2" s="1"/>
  <c r="AC596" i="2"/>
  <c r="AC597" i="2" s="1"/>
  <c r="AA571" i="2"/>
  <c r="AA572" i="2" s="1"/>
  <c r="AA576" i="2"/>
  <c r="AA577" i="2" s="1"/>
  <c r="U516" i="2"/>
  <c r="W516" i="2"/>
  <c r="F307" i="2"/>
  <c r="AC326" i="2"/>
  <c r="AC355" i="2"/>
  <c r="AC384" i="2" s="1"/>
  <c r="AC386" i="2" s="1"/>
  <c r="AC394" i="2" s="1"/>
  <c r="F117" i="2"/>
  <c r="R540" i="2"/>
  <c r="R559" i="2" s="1"/>
  <c r="R529" i="2"/>
  <c r="I382" i="2"/>
  <c r="J529" i="2"/>
  <c r="Q529" i="2"/>
  <c r="Q540" i="2"/>
  <c r="Q559" i="2" s="1"/>
  <c r="S516" i="2"/>
  <c r="S540" i="2"/>
  <c r="S529" i="2"/>
  <c r="F611" i="2"/>
  <c r="F549" i="2"/>
  <c r="F525" i="2"/>
  <c r="M529" i="2"/>
  <c r="M540" i="2"/>
  <c r="M559" i="2" s="1"/>
  <c r="G540" i="2"/>
  <c r="G559" i="2" s="1"/>
  <c r="G529" i="2"/>
  <c r="Z516" i="2"/>
  <c r="AE571" i="2"/>
  <c r="AE572" i="2" s="1"/>
  <c r="AE576" i="2"/>
  <c r="AE577" i="2" s="1"/>
  <c r="G326" i="2"/>
  <c r="G330" i="2" s="1"/>
  <c r="G331" i="2" s="1"/>
  <c r="K326" i="2"/>
  <c r="K330" i="2" s="1"/>
  <c r="K331" i="2" s="1"/>
  <c r="G382" i="2"/>
  <c r="Q326" i="2"/>
  <c r="Q355" i="2"/>
  <c r="H382" i="2"/>
  <c r="E392" i="2"/>
  <c r="E394" i="2" s="1"/>
  <c r="E395" i="2" s="1"/>
  <c r="F40" i="2"/>
  <c r="AD576" i="2"/>
  <c r="AD577" i="2" s="1"/>
  <c r="AD571" i="2"/>
  <c r="AD572" i="2" s="1"/>
  <c r="S544" i="2"/>
  <c r="S533" i="2"/>
  <c r="O529" i="2"/>
  <c r="O540" i="2"/>
  <c r="O559" i="2" s="1"/>
  <c r="AB571" i="2"/>
  <c r="AB572" i="2" s="1"/>
  <c r="AB576" i="2"/>
  <c r="AB577" i="2" s="1"/>
  <c r="G11" i="4" l="1"/>
  <c r="G12" i="4"/>
  <c r="G15" i="4"/>
  <c r="G13" i="4"/>
  <c r="F367" i="2"/>
  <c r="F377" i="2"/>
  <c r="T576" i="2"/>
  <c r="T577" i="2" s="1"/>
  <c r="O394" i="2"/>
  <c r="O634" i="2" s="1"/>
  <c r="M544" i="2"/>
  <c r="M533" i="2"/>
  <c r="M534" i="2" s="1"/>
  <c r="P394" i="2"/>
  <c r="P560" i="2" s="1"/>
  <c r="K544" i="2"/>
  <c r="K533" i="2"/>
  <c r="I544" i="2"/>
  <c r="I533" i="2"/>
  <c r="N384" i="2"/>
  <c r="N386" i="2" s="1"/>
  <c r="N394" i="2" s="1"/>
  <c r="N566" i="2" s="1"/>
  <c r="N567" i="2" s="1"/>
  <c r="F541" i="2"/>
  <c r="F561" i="2" s="1"/>
  <c r="F371" i="2"/>
  <c r="G612" i="2"/>
  <c r="G586" i="2"/>
  <c r="P586" i="2"/>
  <c r="P612" i="2"/>
  <c r="M612" i="2"/>
  <c r="M586" i="2"/>
  <c r="O586" i="2"/>
  <c r="O612" i="2"/>
  <c r="K541" i="2"/>
  <c r="K561" i="2" s="1"/>
  <c r="K530" i="2"/>
  <c r="Q612" i="2"/>
  <c r="Q586" i="2"/>
  <c r="I586" i="2"/>
  <c r="I612" i="2"/>
  <c r="I649" i="2" s="1"/>
  <c r="E12" i="17" s="1"/>
  <c r="H612" i="2"/>
  <c r="H586" i="2"/>
  <c r="N612" i="2"/>
  <c r="N586" i="2"/>
  <c r="R612" i="2"/>
  <c r="R649" i="2" s="1"/>
  <c r="R586" i="2"/>
  <c r="F372" i="2"/>
  <c r="F373" i="2"/>
  <c r="F374" i="2"/>
  <c r="K516" i="2"/>
  <c r="K543" i="2"/>
  <c r="K595" i="2" s="1"/>
  <c r="M355" i="2"/>
  <c r="M384" i="2" s="1"/>
  <c r="M386" i="2" s="1"/>
  <c r="M394" i="2" s="1"/>
  <c r="R533" i="2"/>
  <c r="R534" i="2" s="1"/>
  <c r="M516" i="2"/>
  <c r="M543" i="2"/>
  <c r="M570" i="2" s="1"/>
  <c r="K384" i="2"/>
  <c r="K386" i="2" s="1"/>
  <c r="K394" i="2" s="1"/>
  <c r="K395" i="2" s="1"/>
  <c r="Q516" i="2"/>
  <c r="Q544" i="2"/>
  <c r="Q575" i="2" s="1"/>
  <c r="N532" i="2"/>
  <c r="O516" i="2"/>
  <c r="R384" i="2"/>
  <c r="R386" i="2" s="1"/>
  <c r="R394" i="2" s="1"/>
  <c r="R566" i="2" s="1"/>
  <c r="R567" i="2" s="1"/>
  <c r="R543" i="2"/>
  <c r="R570" i="2" s="1"/>
  <c r="N516" i="2"/>
  <c r="N544" i="2"/>
  <c r="N575" i="2" s="1"/>
  <c r="N533" i="2"/>
  <c r="O544" i="2"/>
  <c r="O575" i="2" s="1"/>
  <c r="R516" i="2"/>
  <c r="Q384" i="2"/>
  <c r="Q386" i="2" s="1"/>
  <c r="Q394" i="2" s="1"/>
  <c r="Q571" i="2" s="1"/>
  <c r="P516" i="2"/>
  <c r="O543" i="2"/>
  <c r="O570" i="2" s="1"/>
  <c r="O534" i="2"/>
  <c r="G516" i="2"/>
  <c r="S534" i="2"/>
  <c r="H516" i="2"/>
  <c r="S575" i="2"/>
  <c r="S600" i="2"/>
  <c r="S640" i="2"/>
  <c r="G384" i="2"/>
  <c r="G610" i="2"/>
  <c r="G584" i="2"/>
  <c r="AC576" i="2"/>
  <c r="AC577" i="2" s="1"/>
  <c r="AC571" i="2"/>
  <c r="AC572" i="2" s="1"/>
  <c r="H610" i="2"/>
  <c r="H584" i="2"/>
  <c r="V576" i="2"/>
  <c r="V577" i="2" s="1"/>
  <c r="V571" i="2"/>
  <c r="V572" i="2" s="1"/>
  <c r="P584" i="2"/>
  <c r="P610" i="2"/>
  <c r="G533" i="2"/>
  <c r="G544" i="2"/>
  <c r="R584" i="2"/>
  <c r="R610" i="2"/>
  <c r="F308" i="2"/>
  <c r="F322" i="2"/>
  <c r="K584" i="2"/>
  <c r="K610" i="2"/>
  <c r="S570" i="2"/>
  <c r="S595" i="2"/>
  <c r="I384" i="2"/>
  <c r="G543" i="2"/>
  <c r="G532" i="2"/>
  <c r="M584" i="2"/>
  <c r="M610" i="2"/>
  <c r="N570" i="2"/>
  <c r="N595" i="2"/>
  <c r="S576" i="2"/>
  <c r="S571" i="2"/>
  <c r="R575" i="2"/>
  <c r="R600" i="2"/>
  <c r="U571" i="2"/>
  <c r="U572" i="2" s="1"/>
  <c r="U576" i="2"/>
  <c r="U577" i="2" s="1"/>
  <c r="F232" i="2"/>
  <c r="F320" i="2"/>
  <c r="F369" i="2"/>
  <c r="F80" i="2"/>
  <c r="Q610" i="2"/>
  <c r="Q584" i="2"/>
  <c r="I543" i="2"/>
  <c r="I532" i="2"/>
  <c r="H533" i="2"/>
  <c r="H544" i="2"/>
  <c r="H532" i="2"/>
  <c r="H543" i="2"/>
  <c r="O584" i="2"/>
  <c r="O610" i="2"/>
  <c r="F156" i="2"/>
  <c r="F319" i="2"/>
  <c r="I610" i="2"/>
  <c r="I584" i="2"/>
  <c r="F118" i="2"/>
  <c r="F328" i="2"/>
  <c r="F380" i="2"/>
  <c r="F363" i="2"/>
  <c r="F390" i="2"/>
  <c r="F364" i="2"/>
  <c r="F370" i="2"/>
  <c r="F365" i="2"/>
  <c r="F376" i="2"/>
  <c r="F362" i="2"/>
  <c r="F381" i="2"/>
  <c r="F366" i="2"/>
  <c r="N584" i="2"/>
  <c r="N610" i="2"/>
  <c r="H384" i="2"/>
  <c r="I516" i="2"/>
  <c r="P544" i="2"/>
  <c r="P533" i="2"/>
  <c r="Q532" i="2"/>
  <c r="Q534" i="2" s="1"/>
  <c r="Q543" i="2"/>
  <c r="S559" i="2"/>
  <c r="S584" i="2"/>
  <c r="F194" i="2"/>
  <c r="F375" i="2"/>
  <c r="F540" i="2"/>
  <c r="F559" i="2" s="1"/>
  <c r="F529" i="2"/>
  <c r="P532" i="2"/>
  <c r="P543" i="2"/>
  <c r="F321" i="2"/>
  <c r="F514" i="2" l="1"/>
  <c r="F515" i="2"/>
  <c r="O556" i="2"/>
  <c r="O562" i="2"/>
  <c r="O566" i="2"/>
  <c r="O567" i="2" s="1"/>
  <c r="O576" i="2"/>
  <c r="O577" i="2" s="1"/>
  <c r="O636" i="2" s="1"/>
  <c r="P576" i="2"/>
  <c r="P395" i="2"/>
  <c r="P634" i="2"/>
  <c r="P566" i="2"/>
  <c r="P567" i="2" s="1"/>
  <c r="O560" i="2"/>
  <c r="P562" i="2"/>
  <c r="O571" i="2"/>
  <c r="O572" i="2" s="1"/>
  <c r="P556" i="2"/>
  <c r="P571" i="2"/>
  <c r="M575" i="2"/>
  <c r="M600" i="2"/>
  <c r="M626" i="2" s="1"/>
  <c r="M628" i="2" s="1"/>
  <c r="M648" i="2" s="1"/>
  <c r="K534" i="2"/>
  <c r="N562" i="2"/>
  <c r="N556" i="2"/>
  <c r="N634" i="2"/>
  <c r="I534" i="2"/>
  <c r="N571" i="2"/>
  <c r="N572" i="2" s="1"/>
  <c r="N560" i="2"/>
  <c r="N576" i="2"/>
  <c r="N577" i="2" s="1"/>
  <c r="N636" i="2" s="1"/>
  <c r="I600" i="2"/>
  <c r="I626" i="2" s="1"/>
  <c r="I628" i="2" s="1"/>
  <c r="I648" i="2" s="1"/>
  <c r="D12" i="17" s="1"/>
  <c r="I575" i="2"/>
  <c r="K575" i="2"/>
  <c r="K600" i="2"/>
  <c r="K626" i="2" s="1"/>
  <c r="K628" i="2" s="1"/>
  <c r="K648" i="2" s="1"/>
  <c r="D13" i="17" s="1"/>
  <c r="F530" i="2"/>
  <c r="K612" i="2"/>
  <c r="K649" i="2" s="1"/>
  <c r="E13" i="17" s="1"/>
  <c r="K586" i="2"/>
  <c r="K570" i="2"/>
  <c r="F612" i="2"/>
  <c r="F586" i="2"/>
  <c r="E15" i="4"/>
  <c r="M595" i="2"/>
  <c r="Q600" i="2"/>
  <c r="Q626" i="2" s="1"/>
  <c r="Q628" i="2" s="1"/>
  <c r="Q648" i="2" s="1"/>
  <c r="O600" i="2"/>
  <c r="O626" i="2" s="1"/>
  <c r="O628" i="2" s="1"/>
  <c r="O648" i="2" s="1"/>
  <c r="R634" i="2"/>
  <c r="R595" i="2"/>
  <c r="R621" i="2" s="1"/>
  <c r="R623" i="2" s="1"/>
  <c r="R650" i="2" s="1"/>
  <c r="N600" i="2"/>
  <c r="N626" i="2" s="1"/>
  <c r="N628" i="2" s="1"/>
  <c r="N648" i="2" s="1"/>
  <c r="N534" i="2"/>
  <c r="O595" i="2"/>
  <c r="O621" i="2" s="1"/>
  <c r="O623" i="2" s="1"/>
  <c r="O649" i="2" s="1"/>
  <c r="R560" i="2"/>
  <c r="R562" i="2"/>
  <c r="R637" i="2" s="1"/>
  <c r="R571" i="2"/>
  <c r="R572" i="2" s="1"/>
  <c r="R576" i="2"/>
  <c r="R577" i="2" s="1"/>
  <c r="R636" i="2" s="1"/>
  <c r="R556" i="2"/>
  <c r="Q576" i="2"/>
  <c r="Q577" i="2" s="1"/>
  <c r="Q636" i="2" s="1"/>
  <c r="Q634" i="2"/>
  <c r="Q560" i="2"/>
  <c r="Q566" i="2"/>
  <c r="Q567" i="2" s="1"/>
  <c r="Q562" i="2"/>
  <c r="Q556" i="2"/>
  <c r="G534" i="2"/>
  <c r="P534" i="2"/>
  <c r="O395" i="2"/>
  <c r="Q395" i="2"/>
  <c r="S572" i="2"/>
  <c r="S637" i="2" s="1"/>
  <c r="H534" i="2"/>
  <c r="G595" i="2"/>
  <c r="G570" i="2"/>
  <c r="Q570" i="2"/>
  <c r="Q572" i="2" s="1"/>
  <c r="Q595" i="2"/>
  <c r="M621" i="2"/>
  <c r="M623" i="2" s="1"/>
  <c r="M649" i="2" s="1"/>
  <c r="F324" i="2"/>
  <c r="F355" i="2" s="1"/>
  <c r="U395" i="2"/>
  <c r="S395" i="2"/>
  <c r="V395" i="2"/>
  <c r="G386" i="2"/>
  <c r="G394" i="2" s="1"/>
  <c r="G395" i="2" s="1"/>
  <c r="E11" i="4"/>
  <c r="F584" i="2"/>
  <c r="F610" i="2"/>
  <c r="AC395" i="2"/>
  <c r="N621" i="2"/>
  <c r="N623" i="2" s="1"/>
  <c r="N649" i="2" s="1"/>
  <c r="R395" i="2"/>
  <c r="I386" i="2"/>
  <c r="I394" i="2" s="1"/>
  <c r="I395" i="2" s="1"/>
  <c r="E13" i="4"/>
  <c r="H595" i="2"/>
  <c r="H570" i="2"/>
  <c r="K621" i="2"/>
  <c r="K623" i="2" s="1"/>
  <c r="K650" i="2" s="1"/>
  <c r="F13" i="17" s="1"/>
  <c r="S621" i="2"/>
  <c r="S623" i="2" s="1"/>
  <c r="M395" i="2"/>
  <c r="M566" i="2"/>
  <c r="M567" i="2" s="1"/>
  <c r="M556" i="2"/>
  <c r="M634" i="2"/>
  <c r="M576" i="2"/>
  <c r="M571" i="2"/>
  <c r="M572" i="2" s="1"/>
  <c r="M562" i="2"/>
  <c r="M560" i="2"/>
  <c r="S626" i="2"/>
  <c r="S628" i="2" s="1"/>
  <c r="S648" i="2" s="1"/>
  <c r="F382" i="2"/>
  <c r="F388" i="2"/>
  <c r="G591" i="2"/>
  <c r="G592" i="2" s="1"/>
  <c r="V601" i="2"/>
  <c r="V602" i="2" s="1"/>
  <c r="R591" i="2"/>
  <c r="R592" i="2" s="1"/>
  <c r="M591" i="2"/>
  <c r="M592" i="2" s="1"/>
  <c r="AE601" i="2"/>
  <c r="AE602" i="2" s="1"/>
  <c r="I596" i="2"/>
  <c r="W601" i="2"/>
  <c r="W602" i="2" s="1"/>
  <c r="S596" i="2"/>
  <c r="S597" i="2" s="1"/>
  <c r="M596" i="2"/>
  <c r="H601" i="2"/>
  <c r="AF601" i="2"/>
  <c r="AF602" i="2" s="1"/>
  <c r="R596" i="2"/>
  <c r="Q601" i="2"/>
  <c r="G601" i="2"/>
  <c r="N601" i="2"/>
  <c r="Q591" i="2"/>
  <c r="Q592" i="2" s="1"/>
  <c r="T601" i="2"/>
  <c r="T602" i="2" s="1"/>
  <c r="Y601" i="2"/>
  <c r="Y602" i="2" s="1"/>
  <c r="G596" i="2"/>
  <c r="Z601" i="2"/>
  <c r="Z602" i="2" s="1"/>
  <c r="P601" i="2"/>
  <c r="F601" i="2"/>
  <c r="H596" i="2"/>
  <c r="O596" i="2"/>
  <c r="R601" i="2"/>
  <c r="R602" i="2" s="1"/>
  <c r="R642" i="2" s="1"/>
  <c r="P596" i="2"/>
  <c r="Q596" i="2"/>
  <c r="F596" i="2"/>
  <c r="F591" i="2"/>
  <c r="F592" i="2" s="1"/>
  <c r="AD601" i="2"/>
  <c r="AD602" i="2" s="1"/>
  <c r="S601" i="2"/>
  <c r="S602" i="2" s="1"/>
  <c r="S642" i="2" s="1"/>
  <c r="O591" i="2"/>
  <c r="O592" i="2" s="1"/>
  <c r="P591" i="2"/>
  <c r="P592" i="2" s="1"/>
  <c r="U601" i="2"/>
  <c r="U602" i="2" s="1"/>
  <c r="AA601" i="2"/>
  <c r="AA602" i="2" s="1"/>
  <c r="H591" i="2"/>
  <c r="H592" i="2" s="1"/>
  <c r="I601" i="2"/>
  <c r="E640" i="2"/>
  <c r="F640" i="2" s="1"/>
  <c r="G640" i="2" s="1"/>
  <c r="H640" i="2" s="1"/>
  <c r="I640" i="2" s="1"/>
  <c r="K640" i="2" s="1"/>
  <c r="M640" i="2" s="1"/>
  <c r="I591" i="2"/>
  <c r="I592" i="2" s="1"/>
  <c r="X601" i="2"/>
  <c r="X602" i="2" s="1"/>
  <c r="AB601" i="2"/>
  <c r="AB602" i="2" s="1"/>
  <c r="N596" i="2"/>
  <c r="N597" i="2" s="1"/>
  <c r="K596" i="2"/>
  <c r="K597" i="2" s="1"/>
  <c r="N591" i="2"/>
  <c r="N592" i="2" s="1"/>
  <c r="O601" i="2"/>
  <c r="C581" i="2"/>
  <c r="AC601" i="2"/>
  <c r="AC602" i="2" s="1"/>
  <c r="K591" i="2"/>
  <c r="K592" i="2" s="1"/>
  <c r="M601" i="2"/>
  <c r="K601" i="2"/>
  <c r="M587" i="2"/>
  <c r="I587" i="2"/>
  <c r="I643" i="2" s="1"/>
  <c r="O587" i="2"/>
  <c r="N587" i="2"/>
  <c r="Q587" i="2"/>
  <c r="K587" i="2"/>
  <c r="R587" i="2"/>
  <c r="R643" i="2" s="1"/>
  <c r="G587" i="2"/>
  <c r="H587" i="2"/>
  <c r="P587" i="2"/>
  <c r="F587" i="2"/>
  <c r="Q585" i="2"/>
  <c r="M585" i="2"/>
  <c r="G585" i="2"/>
  <c r="P585" i="2"/>
  <c r="O585" i="2"/>
  <c r="H585" i="2"/>
  <c r="N585" i="2"/>
  <c r="K585" i="2"/>
  <c r="R585" i="2"/>
  <c r="I585" i="2"/>
  <c r="AB395" i="2"/>
  <c r="Z395" i="2"/>
  <c r="AF395" i="2"/>
  <c r="AE395" i="2"/>
  <c r="N395" i="2"/>
  <c r="AD395" i="2"/>
  <c r="W395" i="2"/>
  <c r="T395" i="2"/>
  <c r="Y395" i="2"/>
  <c r="F585" i="2"/>
  <c r="X395" i="2"/>
  <c r="AA395" i="2"/>
  <c r="R626" i="2"/>
  <c r="R628" i="2" s="1"/>
  <c r="R648" i="2" s="1"/>
  <c r="G575" i="2"/>
  <c r="G600" i="2"/>
  <c r="S577" i="2"/>
  <c r="S610" i="2"/>
  <c r="P600" i="2"/>
  <c r="P575" i="2"/>
  <c r="H575" i="2"/>
  <c r="H600" i="2"/>
  <c r="K556" i="2"/>
  <c r="K634" i="2"/>
  <c r="K571" i="2"/>
  <c r="K566" i="2"/>
  <c r="K567" i="2" s="1"/>
  <c r="K576" i="2"/>
  <c r="K562" i="2"/>
  <c r="K637" i="2" s="1"/>
  <c r="K560" i="2"/>
  <c r="H386" i="2"/>
  <c r="H394" i="2" s="1"/>
  <c r="H395" i="2" s="1"/>
  <c r="E12" i="4"/>
  <c r="P570" i="2"/>
  <c r="P595" i="2"/>
  <c r="I570" i="2"/>
  <c r="I595" i="2"/>
  <c r="F13" i="4" l="1"/>
  <c r="L13" i="4" s="1"/>
  <c r="F12" i="4"/>
  <c r="L12" i="4" s="1"/>
  <c r="F15" i="4"/>
  <c r="L15" i="4" s="1"/>
  <c r="F11" i="4"/>
  <c r="L11" i="4" s="1"/>
  <c r="K643" i="2"/>
  <c r="M577" i="2"/>
  <c r="M636" i="2" s="1"/>
  <c r="P577" i="2"/>
  <c r="P636" i="2" s="1"/>
  <c r="O637" i="2"/>
  <c r="P572" i="2"/>
  <c r="P637" i="2" s="1"/>
  <c r="M602" i="2"/>
  <c r="M642" i="2" s="1"/>
  <c r="K602" i="2"/>
  <c r="K642" i="2" s="1"/>
  <c r="N637" i="2"/>
  <c r="I602" i="2"/>
  <c r="I642" i="2" s="1"/>
  <c r="K572" i="2"/>
  <c r="K638" i="2" s="1"/>
  <c r="K577" i="2"/>
  <c r="K636" i="2" s="1"/>
  <c r="O602" i="2"/>
  <c r="O642" i="2" s="1"/>
  <c r="M597" i="2"/>
  <c r="M643" i="2" s="1"/>
  <c r="Q602" i="2"/>
  <c r="Q642" i="2" s="1"/>
  <c r="R597" i="2"/>
  <c r="R644" i="2" s="1"/>
  <c r="O597" i="2"/>
  <c r="O643" i="2" s="1"/>
  <c r="N602" i="2"/>
  <c r="N642" i="2" s="1"/>
  <c r="R638" i="2"/>
  <c r="Q637" i="2"/>
  <c r="S643" i="2"/>
  <c r="N643" i="2"/>
  <c r="K644" i="2"/>
  <c r="P597" i="2"/>
  <c r="P643" i="2" s="1"/>
  <c r="P621" i="2"/>
  <c r="P623" i="2" s="1"/>
  <c r="P649" i="2" s="1"/>
  <c r="G602" i="2"/>
  <c r="G642" i="2" s="1"/>
  <c r="G626" i="2"/>
  <c r="G628" i="2" s="1"/>
  <c r="G648" i="2" s="1"/>
  <c r="D10" i="17" s="1"/>
  <c r="F326" i="2"/>
  <c r="F330" i="2" s="1"/>
  <c r="F331" i="2" s="1"/>
  <c r="G581" i="2"/>
  <c r="O581" i="2"/>
  <c r="R581" i="2"/>
  <c r="H581" i="2"/>
  <c r="Q581" i="2"/>
  <c r="I581" i="2"/>
  <c r="K581" i="2"/>
  <c r="N581" i="2"/>
  <c r="F581" i="2"/>
  <c r="M581" i="2"/>
  <c r="P581" i="2"/>
  <c r="F544" i="2"/>
  <c r="F533" i="2"/>
  <c r="G621" i="2"/>
  <c r="G623" i="2" s="1"/>
  <c r="G649" i="2" s="1"/>
  <c r="E10" i="17" s="1"/>
  <c r="H556" i="2"/>
  <c r="H576" i="2"/>
  <c r="H577" i="2" s="1"/>
  <c r="H636" i="2" s="1"/>
  <c r="H571" i="2"/>
  <c r="H572" i="2" s="1"/>
  <c r="H634" i="2"/>
  <c r="H566" i="2"/>
  <c r="H567" i="2" s="1"/>
  <c r="H562" i="2"/>
  <c r="H560" i="2"/>
  <c r="F532" i="2"/>
  <c r="F543" i="2"/>
  <c r="F516" i="2"/>
  <c r="G597" i="2"/>
  <c r="G643" i="2" s="1"/>
  <c r="I566" i="2"/>
  <c r="I567" i="2" s="1"/>
  <c r="I576" i="2"/>
  <c r="I577" i="2" s="1"/>
  <c r="I636" i="2" s="1"/>
  <c r="I556" i="2"/>
  <c r="I634" i="2"/>
  <c r="I571" i="2"/>
  <c r="I572" i="2" s="1"/>
  <c r="I562" i="2"/>
  <c r="I637" i="2" s="1"/>
  <c r="I560" i="2"/>
  <c r="P602" i="2"/>
  <c r="P642" i="2" s="1"/>
  <c r="P626" i="2"/>
  <c r="P628" i="2" s="1"/>
  <c r="P648" i="2" s="1"/>
  <c r="H621" i="2"/>
  <c r="H623" i="2" s="1"/>
  <c r="H649" i="2" s="1"/>
  <c r="E11" i="17" s="1"/>
  <c r="I621" i="2"/>
  <c r="I623" i="2" s="1"/>
  <c r="I650" i="2" s="1"/>
  <c r="F12" i="17" s="1"/>
  <c r="I597" i="2"/>
  <c r="I644" i="2" s="1"/>
  <c r="S649" i="2"/>
  <c r="H597" i="2"/>
  <c r="H643" i="2" s="1"/>
  <c r="G576" i="2"/>
  <c r="G577" i="2" s="1"/>
  <c r="G636" i="2" s="1"/>
  <c r="G571" i="2"/>
  <c r="G572" i="2" s="1"/>
  <c r="G556" i="2"/>
  <c r="G634" i="2"/>
  <c r="G566" i="2"/>
  <c r="G567" i="2" s="1"/>
  <c r="G562" i="2"/>
  <c r="G560" i="2"/>
  <c r="Q621" i="2"/>
  <c r="Q623" i="2" s="1"/>
  <c r="Q649" i="2" s="1"/>
  <c r="Q597" i="2"/>
  <c r="Q643" i="2" s="1"/>
  <c r="H602" i="2"/>
  <c r="H642" i="2" s="1"/>
  <c r="H626" i="2"/>
  <c r="H628" i="2" s="1"/>
  <c r="H648" i="2" s="1"/>
  <c r="D11" i="17" s="1"/>
  <c r="F392" i="2"/>
  <c r="M637" i="2"/>
  <c r="H13" i="4" l="1"/>
  <c r="H12" i="4"/>
  <c r="H15" i="4"/>
  <c r="H11" i="4"/>
  <c r="I638" i="2"/>
  <c r="F595" i="2"/>
  <c r="F597" i="2" s="1"/>
  <c r="F643" i="2" s="1"/>
  <c r="F570" i="2"/>
  <c r="F575" i="2"/>
  <c r="F600" i="2"/>
  <c r="F384" i="2"/>
  <c r="G10" i="4"/>
  <c r="G637" i="2"/>
  <c r="F534" i="2"/>
  <c r="H637" i="2"/>
  <c r="F621" i="2" l="1"/>
  <c r="F623" i="2" s="1"/>
  <c r="F649" i="2" s="1"/>
  <c r="E9" i="17" s="1"/>
  <c r="F386" i="2"/>
  <c r="F394" i="2" s="1"/>
  <c r="F395" i="2" s="1"/>
  <c r="E10" i="4"/>
  <c r="F602" i="2"/>
  <c r="F642" i="2" s="1"/>
  <c r="F626" i="2"/>
  <c r="F628" i="2" s="1"/>
  <c r="F648" i="2" s="1"/>
  <c r="D9" i="17" s="1"/>
  <c r="F10" i="4" l="1"/>
  <c r="L10" i="4" l="1"/>
  <c r="H10" i="4"/>
  <c r="F576" i="2"/>
  <c r="F577" i="2" s="1"/>
  <c r="F636" i="2" s="1"/>
  <c r="F571" i="2"/>
  <c r="F572" i="2" s="1"/>
  <c r="F556" i="2"/>
  <c r="F634" i="2"/>
  <c r="F566" i="2"/>
  <c r="F567" i="2" s="1"/>
  <c r="F562" i="2"/>
  <c r="F560" i="2"/>
  <c r="F637" i="2" l="1"/>
  <c r="L8" i="2" l="1"/>
  <c r="AG8" i="2" s="1"/>
  <c r="AH8" i="2" s="1"/>
  <c r="L47" i="2"/>
  <c r="L49" i="2" s="1"/>
  <c r="L237" i="2"/>
  <c r="L239" i="2" s="1"/>
  <c r="L123" i="2"/>
  <c r="L275" i="2"/>
  <c r="AG275" i="2" s="1"/>
  <c r="AH275" i="2" s="1"/>
  <c r="L85" i="2"/>
  <c r="AG85" i="2" s="1"/>
  <c r="AH85" i="2" s="1"/>
  <c r="L161" i="2"/>
  <c r="L163" i="2" s="1"/>
  <c r="AG491" i="2"/>
  <c r="AH491" i="2" s="1"/>
  <c r="L199" i="2"/>
  <c r="AG199" i="2" s="1"/>
  <c r="AH199" i="2" s="1"/>
  <c r="L502" i="2" l="1"/>
  <c r="L511" i="2" s="1"/>
  <c r="AG239" i="2"/>
  <c r="AH239" i="2" s="1"/>
  <c r="L269" i="2"/>
  <c r="AG49" i="2"/>
  <c r="AH49" i="2" s="1"/>
  <c r="L79" i="2"/>
  <c r="L193" i="2"/>
  <c r="L378" i="2" s="1"/>
  <c r="AG163" i="2"/>
  <c r="AH163" i="2" s="1"/>
  <c r="AG161" i="2"/>
  <c r="AH161" i="2" s="1"/>
  <c r="L201" i="2"/>
  <c r="L520" i="2"/>
  <c r="L125" i="2"/>
  <c r="AG47" i="2"/>
  <c r="AH47" i="2" s="1"/>
  <c r="L10" i="2"/>
  <c r="L87" i="2"/>
  <c r="AG237" i="2"/>
  <c r="AH237" i="2" s="1"/>
  <c r="L277" i="2"/>
  <c r="AG123" i="2"/>
  <c r="AG502" i="2" l="1"/>
  <c r="AH502" i="2" s="1"/>
  <c r="L507" i="2"/>
  <c r="AH123" i="2"/>
  <c r="AI123" i="2"/>
  <c r="AG125" i="2"/>
  <c r="L155" i="2"/>
  <c r="AG520" i="2"/>
  <c r="AH520" i="2" s="1"/>
  <c r="L525" i="2"/>
  <c r="AG10" i="2"/>
  <c r="AH10" i="2" s="1"/>
  <c r="L40" i="2"/>
  <c r="AG201" i="2"/>
  <c r="AH201" i="2" s="1"/>
  <c r="L231" i="2"/>
  <c r="L529" i="2"/>
  <c r="AG511" i="2"/>
  <c r="AH511" i="2" s="1"/>
  <c r="L307" i="2"/>
  <c r="AG277" i="2"/>
  <c r="AH277" i="2" s="1"/>
  <c r="L321" i="2"/>
  <c r="L117" i="2"/>
  <c r="AG87" i="2"/>
  <c r="AH87" i="2" s="1"/>
  <c r="L194" i="2"/>
  <c r="L371" i="2" l="1"/>
  <c r="L367" i="2"/>
  <c r="L377" i="2"/>
  <c r="L375" i="2"/>
  <c r="L372" i="2"/>
  <c r="L374" i="2"/>
  <c r="L373" i="2"/>
  <c r="AH125" i="2"/>
  <c r="AI125" i="2"/>
  <c r="L369" i="2"/>
  <c r="L320" i="2"/>
  <c r="L232" i="2"/>
  <c r="L366" i="2"/>
  <c r="L370" i="2"/>
  <c r="L363" i="2"/>
  <c r="L390" i="2"/>
  <c r="L364" i="2"/>
  <c r="L376" i="2"/>
  <c r="L381" i="2"/>
  <c r="L362" i="2"/>
  <c r="L365" i="2"/>
  <c r="L328" i="2"/>
  <c r="L380" i="2"/>
  <c r="L118" i="2"/>
  <c r="L322" i="2"/>
  <c r="L308" i="2"/>
  <c r="L156" i="2"/>
  <c r="L319" i="2"/>
  <c r="L515" i="2" l="1"/>
  <c r="L514" i="2"/>
  <c r="L530" i="2"/>
  <c r="AG512" i="2"/>
  <c r="AH512" i="2" s="1"/>
  <c r="L388" i="2"/>
  <c r="L382" i="2"/>
  <c r="L324" i="2"/>
  <c r="L533" i="2" l="1"/>
  <c r="L532" i="2"/>
  <c r="L516" i="2"/>
  <c r="L326" i="2"/>
  <c r="L330" i="2" s="1"/>
  <c r="L331" i="2" s="1"/>
  <c r="L355" i="2"/>
  <c r="L392" i="2"/>
  <c r="L534" i="2" l="1"/>
  <c r="L384" i="2"/>
  <c r="G16" i="4"/>
  <c r="E16" i="4" l="1"/>
  <c r="L386" i="2"/>
  <c r="L394" i="2" s="1"/>
  <c r="L395" i="2" s="1"/>
  <c r="F16" i="4" l="1"/>
  <c r="H16" i="4" s="1"/>
  <c r="K16" i="4" l="1"/>
  <c r="L16" i="4" s="1"/>
  <c r="N640" i="2"/>
  <c r="O640" i="2" s="1"/>
  <c r="P640" i="2" s="1"/>
  <c r="Q640" i="2" s="1"/>
  <c r="R640" i="2" s="1"/>
  <c r="P87" i="15"/>
  <c r="G12" i="15" s="1"/>
  <c r="G25" i="15" s="1"/>
  <c r="C201" i="15"/>
  <c r="C36" i="15" s="1"/>
  <c r="O83" i="15"/>
  <c r="Q83" i="15"/>
  <c r="H12" i="15" s="1"/>
  <c r="O87" i="15"/>
  <c r="F12" i="15" s="1"/>
  <c r="F25" i="15" s="1"/>
  <c r="E435" i="2" s="1"/>
  <c r="O85" i="15"/>
  <c r="R85" i="15" s="1"/>
  <c r="I12" i="15" s="1"/>
  <c r="O200" i="15" l="1"/>
  <c r="O201" i="15" s="1"/>
  <c r="J435" i="2"/>
  <c r="J434" i="2"/>
  <c r="AG434" i="2" s="1"/>
  <c r="H25" i="15"/>
  <c r="E434" i="2" s="1"/>
  <c r="I25" i="15"/>
  <c r="E433" i="2" s="1"/>
  <c r="J433" i="2"/>
  <c r="T85" i="15"/>
  <c r="K12" i="15" s="1"/>
  <c r="AG435" i="2"/>
  <c r="AH435" i="2" s="1"/>
  <c r="P200" i="15" l="1"/>
  <c r="J439" i="2"/>
  <c r="AG433" i="2"/>
  <c r="AH433" i="2" s="1"/>
  <c r="J483" i="2"/>
  <c r="J460" i="2"/>
  <c r="AG453" i="2"/>
  <c r="AH453" i="2" s="1"/>
  <c r="F403" i="2"/>
  <c r="X403" i="2"/>
  <c r="L403" i="2"/>
  <c r="J403" i="2"/>
  <c r="AF403" i="2"/>
  <c r="AA403" i="2"/>
  <c r="Q403" i="2"/>
  <c r="AB403" i="2"/>
  <c r="AC403" i="2"/>
  <c r="O403" i="2"/>
  <c r="Z403" i="2"/>
  <c r="Y403" i="2"/>
  <c r="W403" i="2"/>
  <c r="P403" i="2"/>
  <c r="G403" i="2"/>
  <c r="U403" i="2"/>
  <c r="K403" i="2"/>
  <c r="N403" i="2"/>
  <c r="R403" i="2"/>
  <c r="V403" i="2"/>
  <c r="AD403" i="2"/>
  <c r="S403" i="2"/>
  <c r="H403" i="2"/>
  <c r="I403" i="2"/>
  <c r="AE403" i="2"/>
  <c r="T403" i="2"/>
  <c r="M403" i="2"/>
  <c r="K25" i="15"/>
  <c r="E431" i="2" s="1"/>
  <c r="J431" i="2"/>
  <c r="AG431" i="2" s="1"/>
  <c r="AC404" i="2"/>
  <c r="P404" i="2"/>
  <c r="AA405" i="2"/>
  <c r="H404" i="2"/>
  <c r="T404" i="2"/>
  <c r="S404" i="2"/>
  <c r="G404" i="2"/>
  <c r="Q405" i="2"/>
  <c r="AB405" i="2"/>
  <c r="X405" i="2"/>
  <c r="Z404" i="2"/>
  <c r="U405" i="2"/>
  <c r="W404" i="2"/>
  <c r="M404" i="2"/>
  <c r="R405" i="2"/>
  <c r="W405" i="2"/>
  <c r="V405" i="2"/>
  <c r="AB404" i="2"/>
  <c r="AC405" i="2"/>
  <c r="N405" i="2"/>
  <c r="F405" i="2"/>
  <c r="M405" i="2"/>
  <c r="R404" i="2"/>
  <c r="I405" i="2"/>
  <c r="N404" i="2"/>
  <c r="J405" i="2"/>
  <c r="Y404" i="2"/>
  <c r="AE405" i="2"/>
  <c r="O405" i="2"/>
  <c r="J404" i="2"/>
  <c r="O404" i="2"/>
  <c r="AD404" i="2"/>
  <c r="AD405" i="2"/>
  <c r="V404" i="2"/>
  <c r="Q404" i="2"/>
  <c r="AF404" i="2"/>
  <c r="AE404" i="2"/>
  <c r="AF405" i="2"/>
  <c r="AH434" i="2"/>
  <c r="H405" i="2"/>
  <c r="X404" i="2"/>
  <c r="S405" i="2"/>
  <c r="G405" i="2"/>
  <c r="P405" i="2"/>
  <c r="F404" i="2"/>
  <c r="Y405" i="2"/>
  <c r="AA404" i="2"/>
  <c r="L404" i="2"/>
  <c r="I404" i="2"/>
  <c r="K404" i="2"/>
  <c r="Z405" i="2"/>
  <c r="K405" i="2"/>
  <c r="U404" i="2"/>
  <c r="T405" i="2"/>
  <c r="L405" i="2"/>
  <c r="AH431" i="2" l="1"/>
  <c r="AG460" i="2"/>
  <c r="AH460" i="2" s="1"/>
  <c r="J463" i="2"/>
  <c r="J456" i="2"/>
  <c r="J484" i="2"/>
  <c r="AG483" i="2"/>
  <c r="AH483" i="2" s="1"/>
  <c r="AG404" i="2"/>
  <c r="AH404" i="2" s="1"/>
  <c r="AG405" i="2"/>
  <c r="AH405" i="2" s="1"/>
  <c r="J446" i="2"/>
  <c r="J442" i="2"/>
  <c r="AG439" i="2"/>
  <c r="AH439" i="2" s="1"/>
  <c r="AG403" i="2"/>
  <c r="AH403" i="2" s="1"/>
  <c r="J449" i="2" l="1"/>
  <c r="AG446" i="2"/>
  <c r="AH446" i="2" s="1"/>
  <c r="J24" i="2"/>
  <c r="J63" i="2"/>
  <c r="J101" i="2"/>
  <c r="AG484" i="2"/>
  <c r="AH484" i="2" s="1"/>
  <c r="J457" i="2"/>
  <c r="AG456" i="2"/>
  <c r="AH456" i="2" s="1"/>
  <c r="J464" i="2"/>
  <c r="AG463" i="2"/>
  <c r="AH463" i="2" s="1"/>
  <c r="J443" i="2"/>
  <c r="AG443" i="2" s="1"/>
  <c r="AH443" i="2" s="1"/>
  <c r="AG442" i="2"/>
  <c r="AH442" i="2" s="1"/>
  <c r="AG457" i="2" l="1"/>
  <c r="AH457" i="2" s="1"/>
  <c r="J458" i="2"/>
  <c r="AG464" i="2"/>
  <c r="AH464" i="2" s="1"/>
  <c r="J465" i="2"/>
  <c r="J103" i="2"/>
  <c r="AG103" i="2" s="1"/>
  <c r="AH103" i="2" s="1"/>
  <c r="AG101" i="2"/>
  <c r="AH101" i="2" s="1"/>
  <c r="J65" i="2"/>
  <c r="AG65" i="2" s="1"/>
  <c r="AH65" i="2" s="1"/>
  <c r="AG63" i="2"/>
  <c r="AH63" i="2" s="1"/>
  <c r="J26" i="2"/>
  <c r="AG26" i="2" s="1"/>
  <c r="AH26" i="2" s="1"/>
  <c r="AG24" i="2"/>
  <c r="AH24" i="2" s="1"/>
  <c r="AG467" i="2"/>
  <c r="AH467" i="2" s="1"/>
  <c r="J470" i="2"/>
  <c r="J474" i="2"/>
  <c r="J450" i="2"/>
  <c r="AG450" i="2" s="1"/>
  <c r="AH450" i="2" s="1"/>
  <c r="AG449" i="2"/>
  <c r="AH449" i="2" s="1"/>
  <c r="J172" i="2" l="1"/>
  <c r="J134" i="2"/>
  <c r="J248" i="2"/>
  <c r="AG465" i="2"/>
  <c r="AH465" i="2" s="1"/>
  <c r="J286" i="2"/>
  <c r="J477" i="2"/>
  <c r="AG474" i="2"/>
  <c r="AH474" i="2" s="1"/>
  <c r="J58" i="2"/>
  <c r="J210" i="2"/>
  <c r="AG458" i="2"/>
  <c r="AH458" i="2" s="1"/>
  <c r="J96" i="2"/>
  <c r="J19" i="2"/>
  <c r="AG470" i="2"/>
  <c r="AH470" i="2" s="1"/>
  <c r="J471" i="2"/>
  <c r="J212" i="2" l="1"/>
  <c r="AG212" i="2" s="1"/>
  <c r="AH212" i="2" s="1"/>
  <c r="AG210" i="2"/>
  <c r="AH210" i="2" s="1"/>
  <c r="AG58" i="2"/>
  <c r="AH58" i="2" s="1"/>
  <c r="J60" i="2"/>
  <c r="AG60" i="2" s="1"/>
  <c r="AH60" i="2" s="1"/>
  <c r="AG471" i="2"/>
  <c r="AH471" i="2" s="1"/>
  <c r="J472" i="2"/>
  <c r="J174" i="2"/>
  <c r="AG174" i="2" s="1"/>
  <c r="AH174" i="2" s="1"/>
  <c r="AG172" i="2"/>
  <c r="AH172" i="2" s="1"/>
  <c r="AG477" i="2"/>
  <c r="AH477" i="2" s="1"/>
  <c r="J478" i="2"/>
  <c r="AG19" i="2"/>
  <c r="AH19" i="2" s="1"/>
  <c r="J21" i="2"/>
  <c r="AG21" i="2" s="1"/>
  <c r="AH21" i="2" s="1"/>
  <c r="J288" i="2"/>
  <c r="AG288" i="2" s="1"/>
  <c r="AH288" i="2" s="1"/>
  <c r="AG286" i="2"/>
  <c r="AH286" i="2" s="1"/>
  <c r="J250" i="2"/>
  <c r="AG250" i="2" s="1"/>
  <c r="AH250" i="2" s="1"/>
  <c r="AG248" i="2"/>
  <c r="AH248" i="2" s="1"/>
  <c r="J98" i="2"/>
  <c r="AG98" i="2" s="1"/>
  <c r="AH98" i="2" s="1"/>
  <c r="AG96" i="2"/>
  <c r="AH96" i="2" s="1"/>
  <c r="J136" i="2"/>
  <c r="AG134" i="2"/>
  <c r="AG136" i="2" l="1"/>
  <c r="AG137" i="2" s="1"/>
  <c r="J137" i="2"/>
  <c r="J207" i="2"/>
  <c r="AG472" i="2"/>
  <c r="AH472" i="2" s="1"/>
  <c r="J16" i="2"/>
  <c r="J55" i="2"/>
  <c r="J93" i="2"/>
  <c r="AH134" i="2"/>
  <c r="AI134" i="2"/>
  <c r="AG478" i="2"/>
  <c r="AH478" i="2" s="1"/>
  <c r="J479" i="2"/>
  <c r="AH136" i="2" l="1"/>
  <c r="AI136" i="2"/>
  <c r="J523" i="2"/>
  <c r="AG93" i="2"/>
  <c r="AH93" i="2" s="1"/>
  <c r="J117" i="2"/>
  <c r="J79" i="2"/>
  <c r="AG79" i="2" s="1"/>
  <c r="AH79" i="2" s="1"/>
  <c r="AG55" i="2"/>
  <c r="AH55" i="2" s="1"/>
  <c r="AG16" i="2"/>
  <c r="AH16" i="2" s="1"/>
  <c r="J40" i="2"/>
  <c r="AG40" i="2" s="1"/>
  <c r="AH40" i="2" s="1"/>
  <c r="J283" i="2"/>
  <c r="J245" i="2"/>
  <c r="J131" i="2"/>
  <c r="J169" i="2"/>
  <c r="AG479" i="2"/>
  <c r="AH479" i="2" s="1"/>
  <c r="AG207" i="2"/>
  <c r="AH207" i="2" s="1"/>
  <c r="J231" i="2"/>
  <c r="AG283" i="2" l="1"/>
  <c r="AH283" i="2" s="1"/>
  <c r="J307" i="2"/>
  <c r="J232" i="2"/>
  <c r="AG231" i="2"/>
  <c r="AH231" i="2" s="1"/>
  <c r="J371" i="2"/>
  <c r="AG371" i="2" s="1"/>
  <c r="AH371" i="2" s="1"/>
  <c r="J320" i="2"/>
  <c r="AG320" i="2" s="1"/>
  <c r="J193" i="2"/>
  <c r="AG169" i="2"/>
  <c r="AH169" i="2" s="1"/>
  <c r="J367" i="2"/>
  <c r="AG367" i="2" s="1"/>
  <c r="AH367" i="2" s="1"/>
  <c r="J328" i="2"/>
  <c r="J330" i="2" s="1"/>
  <c r="J331" i="2" s="1"/>
  <c r="J370" i="2"/>
  <c r="AG370" i="2" s="1"/>
  <c r="AH370" i="2" s="1"/>
  <c r="J365" i="2"/>
  <c r="AG365" i="2" s="1"/>
  <c r="AH365" i="2" s="1"/>
  <c r="J390" i="2"/>
  <c r="AG390" i="2" s="1"/>
  <c r="AH390" i="2" s="1"/>
  <c r="J362" i="2"/>
  <c r="J375" i="2"/>
  <c r="AG375" i="2" s="1"/>
  <c r="AH375" i="2" s="1"/>
  <c r="AG117" i="2"/>
  <c r="AH117" i="2" s="1"/>
  <c r="J381" i="2"/>
  <c r="AG381" i="2" s="1"/>
  <c r="AH381" i="2" s="1"/>
  <c r="J118" i="2"/>
  <c r="J376" i="2"/>
  <c r="AG376" i="2" s="1"/>
  <c r="AH376" i="2" s="1"/>
  <c r="J374" i="2"/>
  <c r="AG374" i="2" s="1"/>
  <c r="AH374" i="2" s="1"/>
  <c r="J366" i="2"/>
  <c r="AG366" i="2" s="1"/>
  <c r="AH366" i="2" s="1"/>
  <c r="J380" i="2"/>
  <c r="AG380" i="2" s="1"/>
  <c r="AH380" i="2" s="1"/>
  <c r="J377" i="2"/>
  <c r="AG377" i="2" s="1"/>
  <c r="AH377" i="2" s="1"/>
  <c r="J372" i="2"/>
  <c r="AG372" i="2" s="1"/>
  <c r="AH372" i="2" s="1"/>
  <c r="J505" i="2"/>
  <c r="J155" i="2"/>
  <c r="AG131" i="2"/>
  <c r="J269" i="2"/>
  <c r="AG245" i="2"/>
  <c r="AH245" i="2" s="1"/>
  <c r="J525" i="2"/>
  <c r="AG525" i="2" s="1"/>
  <c r="AH525" i="2" s="1"/>
  <c r="AG523" i="2"/>
  <c r="AH523" i="2" s="1"/>
  <c r="J363" i="2" l="1"/>
  <c r="AG363" i="2" s="1"/>
  <c r="AH363" i="2" s="1"/>
  <c r="J378" i="2"/>
  <c r="AG378" i="2" s="1"/>
  <c r="AH378" i="2" s="1"/>
  <c r="AH131" i="2"/>
  <c r="AI131" i="2"/>
  <c r="AG505" i="2"/>
  <c r="J507" i="2"/>
  <c r="AG362" i="2"/>
  <c r="J364" i="2"/>
  <c r="AG364" i="2" s="1"/>
  <c r="AH364" i="2" s="1"/>
  <c r="AG193" i="2"/>
  <c r="AH193" i="2" s="1"/>
  <c r="J194" i="2"/>
  <c r="J373" i="2"/>
  <c r="AG373" i="2" s="1"/>
  <c r="AH373" i="2" s="1"/>
  <c r="J369" i="2"/>
  <c r="AG369" i="2" s="1"/>
  <c r="AH369" i="2" s="1"/>
  <c r="AI320" i="2"/>
  <c r="AH320" i="2"/>
  <c r="AG269" i="2"/>
  <c r="AH269" i="2" s="1"/>
  <c r="J321" i="2"/>
  <c r="AG321" i="2" s="1"/>
  <c r="AH321" i="2" s="1"/>
  <c r="AG155" i="2"/>
  <c r="J156" i="2"/>
  <c r="J319" i="2"/>
  <c r="J388" i="2"/>
  <c r="AG328" i="2"/>
  <c r="J322" i="2"/>
  <c r="AG322" i="2" s="1"/>
  <c r="J308" i="2"/>
  <c r="AG307" i="2"/>
  <c r="AH307" i="2" s="1"/>
  <c r="J514" i="2" l="1"/>
  <c r="AG514" i="2" s="1"/>
  <c r="AH514" i="2" s="1"/>
  <c r="J515" i="2"/>
  <c r="AG515" i="2" s="1"/>
  <c r="AH515" i="2" s="1"/>
  <c r="AH362" i="2"/>
  <c r="AI322" i="2"/>
  <c r="AH322" i="2"/>
  <c r="J382" i="2"/>
  <c r="AG382" i="2" s="1"/>
  <c r="AH382" i="2" s="1"/>
  <c r="AH505" i="2"/>
  <c r="AG507" i="2"/>
  <c r="AH507" i="2" s="1"/>
  <c r="AH328" i="2"/>
  <c r="AI328" i="2"/>
  <c r="AG388" i="2"/>
  <c r="AH388" i="2" s="1"/>
  <c r="J392" i="2"/>
  <c r="J394" i="2" s="1"/>
  <c r="J395" i="2" s="1"/>
  <c r="AG319" i="2"/>
  <c r="J324" i="2"/>
  <c r="AH155" i="2"/>
  <c r="AI155" i="2"/>
  <c r="AG324" i="2" l="1"/>
  <c r="J326" i="2"/>
  <c r="J355" i="2"/>
  <c r="AI319" i="2"/>
  <c r="AH319" i="2"/>
  <c r="G14" i="4"/>
  <c r="AG392" i="2"/>
  <c r="AH392" i="2" s="1"/>
  <c r="J516" i="2"/>
  <c r="AG516" i="2" s="1"/>
  <c r="AH516" i="2" s="1"/>
  <c r="J532" i="2"/>
  <c r="J533" i="2"/>
  <c r="G26" i="4" l="1"/>
  <c r="H14" i="4"/>
  <c r="AG355" i="2"/>
  <c r="AH355" i="2" s="1"/>
  <c r="J384" i="2"/>
  <c r="AG326" i="2"/>
  <c r="AG330" i="2" s="1"/>
  <c r="AG331" i="2" s="1"/>
  <c r="J534" i="2"/>
  <c r="AH324" i="2"/>
  <c r="AI324" i="2"/>
  <c r="AH330" i="2" l="1"/>
  <c r="AH326" i="2"/>
  <c r="AI326" i="2"/>
  <c r="AG384" i="2"/>
  <c r="AH384" i="2" s="1"/>
  <c r="E14" i="4"/>
  <c r="J386" i="2"/>
  <c r="AG386" i="2" l="1"/>
  <c r="AH386" i="2" s="1"/>
  <c r="AH1" i="2" s="1"/>
  <c r="F14" i="4"/>
  <c r="K14" i="4" s="1"/>
  <c r="E26" i="4"/>
  <c r="F26" i="4" l="1"/>
  <c r="H26" i="4" s="1"/>
  <c r="L26" i="4"/>
  <c r="L27" i="4" s="1"/>
  <c r="L9" i="4"/>
</calcChain>
</file>

<file path=xl/sharedStrings.xml><?xml version="1.0" encoding="utf-8"?>
<sst xmlns="http://schemas.openxmlformats.org/spreadsheetml/2006/main" count="2360" uniqueCount="1199">
  <si>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</si>
  <si>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</si>
  <si>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</si>
  <si>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</si>
  <si>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</si>
  <si>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</si>
  <si>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</si>
  <si>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</si>
  <si>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</si>
  <si>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</si>
  <si>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</si>
  <si>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</si>
  <si>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</si>
  <si>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</si>
  <si>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</si>
  <si>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</si>
  <si>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</si>
  <si>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</si>
  <si>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</si>
  <si>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</si>
  <si>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</si>
  <si>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</si>
  <si>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</si>
  <si>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</si>
  <si>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</si>
  <si>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</si>
  <si>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</si>
  <si>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</si>
  <si>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</si>
  <si>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</si>
  <si>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</si>
  <si>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</si>
  <si>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</si>
  <si>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</si>
  <si>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</si>
  <si>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</si>
  <si>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</si>
  <si>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</si>
  <si>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</si>
  <si>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</si>
  <si>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</si>
  <si>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</si>
  <si>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</si>
  <si>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</si>
  <si>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</si>
  <si>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</si>
  <si>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</si>
  <si>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</si>
  <si>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</si>
  <si>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</si>
  <si>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</si>
  <si>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</si>
  <si>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</si>
  <si>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</si>
  <si>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</si>
  <si>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</si>
  <si>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</si>
  <si>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</si>
  <si>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</si>
  <si>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</si>
  <si>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</si>
  <si>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</si>
  <si>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</si>
  <si>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</si>
  <si>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</si>
  <si>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</si>
  <si>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</si>
  <si>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</si>
  <si>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</si>
  <si>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</si>
  <si>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</si>
  <si>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</si>
  <si>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</si>
  <si>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</si>
  <si>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</si>
  <si>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</si>
  <si>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</si>
  <si>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</si>
  <si>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</si>
  <si>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</si>
  <si>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</si>
  <si>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</si>
  <si>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</si>
  <si>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</si>
  <si>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</si>
  <si>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</si>
  <si>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</si>
  <si>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</si>
  <si>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</si>
  <si>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</si>
  <si>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</si>
  <si>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</si>
  <si>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</si>
  <si>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</si>
  <si>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</si>
  <si>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</si>
  <si>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</si>
  <si>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</si>
  <si>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</si>
  <si>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</si>
  <si>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</si>
  <si>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</si>
  <si>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</si>
  <si>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</si>
  <si>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</si>
  <si>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</si>
  <si>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</si>
  <si>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</si>
  <si>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</si>
  <si>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</si>
  <si>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</si>
  <si>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</si>
  <si>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</si>
  <si>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</si>
  <si>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</si>
  <si>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</si>
  <si>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</si>
  <si>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</si>
  <si>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</si>
  <si>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</si>
  <si>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</si>
  <si>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</si>
  <si>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</si>
  <si>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</si>
  <si>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</si>
  <si>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</si>
  <si>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</si>
  <si>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</si>
  <si>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</si>
  <si>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</si>
  <si>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</si>
  <si>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</si>
  <si>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</si>
  <si>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</si>
  <si>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</si>
  <si>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</si>
  <si>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</si>
  <si>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</si>
  <si>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</si>
  <si>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</si>
  <si>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</si>
  <si>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</si>
  <si>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</si>
  <si>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</si>
  <si>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</si>
  <si>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</si>
  <si>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</si>
  <si>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</si>
  <si>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</si>
  <si>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</si>
  <si>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</si>
  <si>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</si>
  <si>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</si>
  <si>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</si>
  <si>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</si>
  <si>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</si>
  <si>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</si>
  <si>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</si>
  <si>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</si>
  <si>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</si>
  <si>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</si>
  <si>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</si>
  <si>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</si>
  <si>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</si>
  <si>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</si>
  <si>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</si>
  <si>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</si>
  <si>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</si>
  <si>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</si>
  <si>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</si>
  <si>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</si>
  <si>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</si>
  <si>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</si>
  <si>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</si>
  <si>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</si>
  <si>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</si>
  <si>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</si>
  <si>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</si>
  <si>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</si>
  <si>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</si>
  <si>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</si>
  <si>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</si>
  <si>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</si>
  <si>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</si>
  <si>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</si>
  <si>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</si>
  <si>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</si>
  <si>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</si>
  <si>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</si>
  <si>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</si>
  <si>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</si>
  <si>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</si>
  <si>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</si>
  <si>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</si>
  <si>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</si>
  <si>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</si>
  <si>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</si>
  <si>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</si>
  <si>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</si>
  <si>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</si>
  <si>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</si>
  <si>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</si>
  <si>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</si>
  <si>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</si>
  <si>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</si>
  <si>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</si>
  <si>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</si>
  <si>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</si>
  <si>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</si>
  <si>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</si>
  <si>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</si>
  <si>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</si>
  <si>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</si>
  <si>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</si>
  <si>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</si>
  <si>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</si>
  <si>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</si>
  <si>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</si>
  <si>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</si>
  <si>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</si>
  <si>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</si>
  <si>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</si>
  <si>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</si>
  <si>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</si>
  <si>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</si>
  <si>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</si>
  <si>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</si>
  <si>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</si>
  <si>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</si>
  <si>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</si>
  <si>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</si>
  <si>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</si>
  <si>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</si>
  <si>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</si>
  <si>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</si>
  <si>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</si>
  <si>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</si>
  <si>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</si>
  <si>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</si>
  <si>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</si>
  <si>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</si>
  <si>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</si>
  <si>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</si>
  <si>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</si>
  <si>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</si>
  <si>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</si>
  <si>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</si>
  <si>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</si>
  <si>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</si>
  <si>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</si>
  <si>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</si>
  <si>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</si>
  <si>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</si>
  <si>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</si>
  <si>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</si>
  <si>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</si>
  <si>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</si>
  <si>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</si>
  <si>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</si>
  <si>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</si>
  <si>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</si>
  <si>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</si>
  <si>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</si>
  <si>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</si>
  <si>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</si>
  <si>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</si>
  <si>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</si>
  <si>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</si>
  <si>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</si>
  <si>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</si>
  <si>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</si>
  <si>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</si>
  <si>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</si>
  <si>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</si>
  <si>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</si>
  <si>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</si>
  <si>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</si>
  <si>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</si>
  <si>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</si>
  <si>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</si>
  <si>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</si>
  <si>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</si>
  <si>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</si>
  <si>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</si>
  <si>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</si>
  <si>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</si>
  <si>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</si>
  <si>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</si>
  <si>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</si>
  <si>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</si>
  <si>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</si>
  <si>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</si>
  <si>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</si>
  <si>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</si>
  <si>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</si>
  <si>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</si>
  <si>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</si>
  <si>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</si>
  <si>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</si>
  <si>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</si>
  <si>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</si>
  <si>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</si>
  <si>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</si>
  <si>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</si>
  <si>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</si>
  <si>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</si>
  <si>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</si>
  <si>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</si>
  <si>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</si>
  <si>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</si>
  <si>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</si>
  <si>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</si>
  <si>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</si>
  <si>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</si>
  <si>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</si>
  <si>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</si>
  <si>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</si>
  <si>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</si>
  <si>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</si>
  <si>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</si>
  <si>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</si>
  <si>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</si>
  <si>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</si>
  <si>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</si>
  <si>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</si>
  <si>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</si>
  <si>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</si>
  <si>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</si>
  <si>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</si>
  <si>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</si>
  <si>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</si>
  <si>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</si>
  <si>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</si>
  <si>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</si>
  <si>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</si>
  <si>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</si>
  <si>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</si>
  <si>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</si>
  <si>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</si>
  <si>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</si>
  <si>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</si>
  <si>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</si>
  <si>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</si>
  <si>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</si>
  <si>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</si>
  <si>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</si>
  <si>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</si>
  <si>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</si>
  <si>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</si>
  <si>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</si>
  <si>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</si>
  <si>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</si>
  <si>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</si>
  <si>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</si>
  <si>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</si>
  <si>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</si>
  <si>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</si>
  <si>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</si>
  <si>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</si>
  <si>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</si>
  <si>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</si>
  <si>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</si>
  <si>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</si>
  <si>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</si>
  <si>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</si>
  <si>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</si>
  <si>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</si>
  <si>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</si>
  <si>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</si>
  <si>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</si>
  <si>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</si>
  <si>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</si>
  <si>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</si>
  <si>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</si>
  <si>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</si>
  <si>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</si>
  <si>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</si>
  <si>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</si>
  <si>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</si>
  <si>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</si>
  <si>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</si>
  <si>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</si>
  <si>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</si>
  <si>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</si>
  <si>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</si>
  <si>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</si>
  <si>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</si>
  <si>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</si>
  <si>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</si>
  <si>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</si>
  <si>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</si>
  <si>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</si>
  <si>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</si>
  <si>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</si>
  <si>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</si>
  <si>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</si>
  <si>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</si>
  <si>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</si>
  <si>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</si>
  <si>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</si>
  <si>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</si>
  <si>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</si>
  <si>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</si>
  <si>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</si>
  <si>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</si>
  <si>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</si>
  <si>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</si>
  <si>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</si>
  <si>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</si>
  <si>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</si>
  <si>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</si>
  <si>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</si>
  <si>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</si>
  <si>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</si>
  <si>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</si>
  <si>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</si>
  <si>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</si>
  <si>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</si>
  <si>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</si>
  <si>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</si>
  <si>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</si>
  <si>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</si>
  <si>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</si>
  <si>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</si>
  <si>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</si>
  <si>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</si>
  <si>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</si>
  <si>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</si>
  <si>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</si>
  <si>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</si>
  <si>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</si>
  <si>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</si>
  <si>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</si>
  <si>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</si>
  <si>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</si>
  <si>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</si>
  <si>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</si>
  <si>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</si>
  <si>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</si>
  <si>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</si>
  <si>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</si>
  <si>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</si>
  <si>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</si>
  <si>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</si>
  <si>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</si>
  <si>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</si>
  <si>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</si>
  <si>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</si>
  <si>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</si>
  <si>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</si>
  <si>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</si>
  <si>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</si>
  <si>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</si>
  <si>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</si>
  <si>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</si>
  <si>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</si>
  <si>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</si>
  <si>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</si>
  <si>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</si>
  <si>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</si>
  <si>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</si>
  <si>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</si>
  <si>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</si>
  <si>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</si>
  <si>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</si>
  <si>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</si>
  <si>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</si>
  <si>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</si>
  <si>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</si>
  <si>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</si>
  <si>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</si>
  <si>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</si>
  <si>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</si>
  <si>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</si>
  <si>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</si>
  <si>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</si>
  <si>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</si>
  <si>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</si>
  <si>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</si>
  <si>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</si>
  <si>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</si>
  <si>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</si>
  <si>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</si>
  <si>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</si>
  <si>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</si>
  <si>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</si>
  <si>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</si>
  <si>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</si>
  <si>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</si>
  <si>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</si>
  <si>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</si>
  <si>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</si>
  <si>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</si>
  <si>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</si>
  <si>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</si>
  <si>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</si>
  <si>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</si>
  <si>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</si>
  <si>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</si>
  <si>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</si>
  <si>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</si>
  <si>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</si>
  <si>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</si>
  <si>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</si>
  <si>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</si>
  <si>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</si>
  <si>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</si>
  <si>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</si>
  <si>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</si>
  <si>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</si>
  <si>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</si>
  <si>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</si>
  <si>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</si>
  <si>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</si>
  <si>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</si>
  <si>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</si>
  <si>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</si>
  <si>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</si>
  <si>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</si>
  <si>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</si>
  <si>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</si>
  <si>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</si>
  <si>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</si>
  <si>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</si>
  <si>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</si>
  <si>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</si>
  <si>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</si>
  <si>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</si>
  <si>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</si>
  <si>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</si>
  <si>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</si>
  <si>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</si>
  <si>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</si>
  <si>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</si>
  <si>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</si>
  <si>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</si>
  <si>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</si>
  <si>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</si>
  <si>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</si>
  <si>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</si>
  <si>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</si>
  <si>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</si>
  <si>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</si>
  <si>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</si>
  <si>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</si>
  <si>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</si>
  <si>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</si>
  <si>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</si>
  <si>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</si>
  <si>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</si>
  <si>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</si>
  <si>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</si>
  <si>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</si>
  <si>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</si>
  <si>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</si>
  <si>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</si>
  <si>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</si>
  <si>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</si>
  <si>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</si>
  <si>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</si>
  <si>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</si>
  <si>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</si>
  <si>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</si>
  <si>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</si>
  <si>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</si>
  <si>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</si>
  <si>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</si>
  <si>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</si>
  <si>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</si>
  <si>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</si>
  <si>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</si>
  <si>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</si>
  <si>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</si>
  <si>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</si>
  <si>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</si>
  <si>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</si>
  <si>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</si>
  <si>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</si>
  <si>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</si>
  <si>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</si>
  <si>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</si>
  <si>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</si>
  <si>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</si>
  <si>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</si>
  <si>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</si>
  <si>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</si>
  <si>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</si>
  <si>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</si>
  <si>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</si>
  <si>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</si>
  <si>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</si>
  <si>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</si>
  <si>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</si>
  <si>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</si>
  <si>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</si>
  <si>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</si>
  <si>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</si>
  <si>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</si>
  <si>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</si>
  <si>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</si>
  <si>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</si>
  <si>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</si>
  <si>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</si>
  <si>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</si>
  <si>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</si>
  <si>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</si>
  <si>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</si>
  <si>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</si>
  <si>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</si>
  <si>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</si>
  <si>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</si>
  <si>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</si>
  <si>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</si>
  <si>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</si>
  <si>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</si>
  <si>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</si>
  <si>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</si>
  <si>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</si>
  <si>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</si>
  <si>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</si>
  <si>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</si>
  <si>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</si>
  <si>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</si>
  <si>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</si>
  <si>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</si>
  <si>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</si>
  <si>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</si>
  <si>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</si>
  <si>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</si>
  <si>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</si>
  <si>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</si>
  <si>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</si>
  <si>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</si>
  <si>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</si>
  <si>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</si>
  <si>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</si>
  <si>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</si>
  <si>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</si>
  <si>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</si>
  <si>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</si>
  <si>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</si>
  <si>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</si>
  <si>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</si>
  <si>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</si>
  <si>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</si>
  <si>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</si>
  <si>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</si>
  <si>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</si>
  <si>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</si>
  <si>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</si>
  <si>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</si>
  <si>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</si>
  <si>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</si>
  <si>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</si>
  <si>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</si>
  <si>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</si>
  <si>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</si>
  <si>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</si>
  <si>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</si>
  <si>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</si>
  <si>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</si>
  <si>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</si>
  <si>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</si>
  <si>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</si>
  <si>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</si>
  <si>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</si>
  <si>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</si>
  <si>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</si>
  <si>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</si>
  <si>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</si>
  <si>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</si>
  <si>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</si>
  <si>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</si>
  <si>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</si>
  <si>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</si>
  <si>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</si>
  <si>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</si>
  <si>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</si>
  <si>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</si>
  <si>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</si>
  <si>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</si>
  <si>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</si>
  <si>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</si>
  <si>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</si>
  <si>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</si>
  <si>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</si>
  <si>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</si>
  <si>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</si>
  <si>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</si>
  <si>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</si>
  <si>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</si>
  <si>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</si>
  <si>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</si>
  <si>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</si>
  <si>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</si>
  <si>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</si>
  <si>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</si>
  <si>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</si>
  <si>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</si>
  <si>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</si>
  <si>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</si>
  <si>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</si>
  <si>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</si>
  <si>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</si>
  <si>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</si>
  <si>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</si>
  <si>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</si>
  <si>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</si>
  <si>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</si>
  <si>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</si>
  <si>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</si>
  <si>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</si>
  <si>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</si>
  <si>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</si>
  <si>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</si>
  <si>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</si>
  <si>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</si>
  <si>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</si>
  <si>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</si>
  <si>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</si>
  <si>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</si>
  <si>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</si>
  <si>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</si>
  <si>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</si>
  <si>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</si>
  <si>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</si>
  <si>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</si>
  <si>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</si>
  <si>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</si>
  <si>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</si>
  <si>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</si>
  <si>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</si>
  <si>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</si>
  <si>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</si>
  <si>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</si>
  <si>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</si>
  <si>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</si>
  <si>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</si>
  <si>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</si>
  <si>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</si>
  <si>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</si>
  <si>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</si>
  <si>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</si>
  <si>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</si>
  <si>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</si>
  <si>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</si>
  <si>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</si>
  <si>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</si>
  <si>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</si>
  <si>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</si>
  <si>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</si>
  <si>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</si>
  <si>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</si>
  <si>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</si>
  <si>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</si>
  <si>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</si>
  <si>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</si>
  <si>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</si>
  <si>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</si>
  <si>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</si>
  <si>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</si>
  <si>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</si>
  <si>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</si>
  <si>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</si>
  <si>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</si>
  <si>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</si>
  <si>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</si>
  <si>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</si>
  <si>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</si>
  <si>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</si>
  <si>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</si>
  <si>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</si>
  <si>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</si>
  <si>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</si>
  <si>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</si>
  <si>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</si>
  <si>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</si>
  <si>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</si>
  <si>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</si>
  <si>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</si>
  <si>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</si>
  <si>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</si>
  <si>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</si>
  <si>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</si>
  <si>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</si>
  <si>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</si>
  <si>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</si>
  <si>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</si>
  <si>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</si>
  <si>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</si>
  <si>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</si>
  <si>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</si>
  <si>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</si>
  <si>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</si>
  <si>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</si>
  <si>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</si>
  <si>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</si>
  <si>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</si>
  <si>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</si>
  <si>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</si>
  <si>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</si>
  <si>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</si>
  <si>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</si>
  <si>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</si>
  <si>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</si>
  <si>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</si>
  <si>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</si>
  <si>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</si>
  <si>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</si>
  <si>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</si>
  <si>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</si>
  <si>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</si>
  <si>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</si>
  <si>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</si>
  <si>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</si>
  <si>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</si>
  <si>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</si>
  <si>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</si>
  <si>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</si>
  <si>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</si>
  <si>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</si>
  <si>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</si>
  <si>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</si>
  <si>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</si>
  <si>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</si>
  <si>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</si>
  <si>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</si>
  <si>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</si>
  <si>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</si>
  <si>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</si>
  <si>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</si>
  <si>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</si>
  <si>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</si>
  <si>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</si>
  <si>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</si>
  <si>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</si>
  <si>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</si>
  <si>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</si>
  <si>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</si>
  <si>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</si>
  <si>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</si>
  <si>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</si>
  <si>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</si>
  <si>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</si>
  <si>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</si>
  <si>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</si>
  <si>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</si>
  <si>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</si>
  <si>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</si>
  <si>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</si>
  <si>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</si>
  <si>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</si>
  <si>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</si>
  <si>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</si>
  <si>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</si>
  <si>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</si>
  <si>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</si>
  <si>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</si>
  <si>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</si>
  <si>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</si>
  <si>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</si>
  <si>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</si>
  <si>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</si>
  <si>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</si>
  <si>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</si>
  <si>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</si>
  <si>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</si>
  <si>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</si>
  <si>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</si>
  <si>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</si>
  <si>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</si>
  <si>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</si>
  <si>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</si>
  <si>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</si>
  <si>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</si>
  <si>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</si>
  <si>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</si>
  <si>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</si>
  <si>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</si>
  <si>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</si>
  <si>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</si>
  <si>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</si>
  <si>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</si>
  <si>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</si>
  <si>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</si>
  <si>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</si>
  <si>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</si>
  <si>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</si>
  <si>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</si>
  <si>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</si>
  <si>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</si>
  <si>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</si>
  <si>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</si>
  <si>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</si>
  <si>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</si>
  <si>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</si>
  <si>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</si>
  <si>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</si>
  <si>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</si>
  <si>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</si>
  <si>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</si>
  <si>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</si>
  <si>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</si>
  <si>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</si>
  <si>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</si>
  <si>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</si>
  <si>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</si>
  <si>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</si>
  <si>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</si>
  <si>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</si>
  <si>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</si>
  <si>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</si>
  <si>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</si>
  <si>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</si>
  <si>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</si>
  <si>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</si>
  <si>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</si>
  <si>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</si>
  <si>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</si>
  <si>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</si>
  <si>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</si>
  <si>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</si>
  <si>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</si>
  <si>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</si>
  <si>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</si>
  <si>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</si>
  <si>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</si>
  <si>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Total Demand $</t>
  </si>
  <si>
    <t>Total Energy $</t>
  </si>
  <si>
    <t>Total $</t>
  </si>
  <si>
    <t>Variance $</t>
  </si>
  <si>
    <t>Total Demand %</t>
  </si>
  <si>
    <t>Total Energy %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</si>
  <si>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</si>
  <si>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</si>
  <si>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</si>
  <si>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</si>
  <si>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</si>
  <si>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</si>
  <si>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</si>
  <si>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</si>
  <si>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</si>
  <si>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</si>
  <si>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</si>
  <si>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</si>
  <si>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</si>
  <si>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</si>
  <si>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</si>
  <si>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</si>
  <si>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</si>
  <si>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</si>
  <si>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</si>
  <si>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</si>
  <si>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</si>
  <si>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</si>
  <si>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</si>
  <si>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</si>
  <si>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</si>
  <si>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</si>
  <si>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</si>
  <si>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</si>
  <si>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</si>
  <si>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</si>
  <si>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</si>
  <si>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</si>
  <si>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</si>
  <si>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</si>
  <si>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</si>
  <si>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</si>
  <si>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</si>
  <si>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</si>
  <si>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</si>
  <si>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</si>
  <si>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</si>
  <si>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</si>
  <si>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</si>
  <si>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</si>
  <si>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</si>
  <si>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</si>
  <si>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</si>
  <si>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</si>
  <si>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</si>
  <si>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</si>
  <si>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</si>
  <si>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</si>
  <si>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</si>
  <si>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</si>
  <si>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</si>
  <si>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</si>
  <si>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</si>
  <si>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</si>
  <si>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</si>
  <si>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</si>
  <si>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</si>
  <si>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</si>
  <si>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</si>
  <si>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</si>
  <si>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</si>
  <si>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</si>
  <si>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</si>
  <si>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</si>
  <si>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</si>
  <si>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</si>
  <si>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</si>
  <si>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</si>
  <si>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</si>
  <si>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</si>
  <si>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</si>
  <si>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</si>
  <si>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</si>
  <si>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</si>
  <si>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</si>
  <si>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</si>
  <si>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</si>
  <si>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</si>
  <si>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JACKSON ENERGY COOPERATIVE</t>
  </si>
  <si>
    <t>JACKSON PURCHASE ENERGY CORPORATION</t>
  </si>
  <si>
    <t>R</t>
  </si>
  <si>
    <t>C1</t>
  </si>
  <si>
    <t>C3</t>
  </si>
  <si>
    <t>D</t>
  </si>
  <si>
    <t>I-E</t>
  </si>
  <si>
    <t>OL</t>
  </si>
  <si>
    <t>R - Residential</t>
  </si>
  <si>
    <t>C-1 Small Commercial Single Phase</t>
  </si>
  <si>
    <t>D - Commercial and Industrial Demand &lt; 3,000 kW</t>
  </si>
  <si>
    <t>I-E - Large Commercial Existing</t>
  </si>
  <si>
    <t>OL - Outdoor Lighting</t>
  </si>
  <si>
    <t>Rural Rate</t>
  </si>
  <si>
    <t>CP Demand (kW)</t>
  </si>
  <si>
    <t>Energy Rate ($/kWh)</t>
  </si>
  <si>
    <t>Demand Rate ($/kW)</t>
  </si>
  <si>
    <t>Renewable Resource Energy $</t>
  </si>
  <si>
    <t>Large Industrial Rate</t>
  </si>
  <si>
    <t>Actual Demand (kW)</t>
  </si>
  <si>
    <t>Demand Charge $</t>
  </si>
  <si>
    <t>Energy Charge $</t>
  </si>
  <si>
    <t>FAC $</t>
  </si>
  <si>
    <t>Non-FAC PPA $</t>
  </si>
  <si>
    <t>ES $</t>
  </si>
  <si>
    <t>MRSM $</t>
  </si>
  <si>
    <t>Other Taxes (PSC Assessment)</t>
  </si>
  <si>
    <t>#2/0 OH ACSR</t>
  </si>
  <si>
    <t>#2 ACSR OH</t>
  </si>
  <si>
    <t>#1/0 ACSR OH</t>
  </si>
  <si>
    <t>#4 ACSR OH</t>
  </si>
  <si>
    <t>#3/0 ACSR OH</t>
  </si>
  <si>
    <t>#4/0 ACSR OH</t>
  </si>
  <si>
    <t>#336.4 AAAC &amp; 336 LINNETT OH</t>
  </si>
  <si>
    <t>#397.5 AAAC OH</t>
  </si>
  <si>
    <t>#652.4 MCM OH</t>
  </si>
  <si>
    <t>#2, #4, #6 Stranded OH Bare Copper</t>
  </si>
  <si>
    <t>#4 TPX OH Secondary</t>
  </si>
  <si>
    <t>#2 TPX OH Secondary</t>
  </si>
  <si>
    <t>#1/0 TPX OH Secondary</t>
  </si>
  <si>
    <t>#2/0 TPX OH Secondary</t>
  </si>
  <si>
    <t>#3/0 TPX OH Secondary</t>
  </si>
  <si>
    <t>#4/0 TPX OH Secondary</t>
  </si>
  <si>
    <t>#336.4 TPX OH Secondary</t>
  </si>
  <si>
    <t>#2 QUAD OH Secondary</t>
  </si>
  <si>
    <t>#1/0 QUAD OH Secondary</t>
  </si>
  <si>
    <t>#2/0 QUAD OH Secondary</t>
  </si>
  <si>
    <t>#3/0 QUAD OH Secondary</t>
  </si>
  <si>
    <t>#4/0 QUAD OH Secondary</t>
  </si>
  <si>
    <t>#336. MCM QUAD OH Secondary</t>
  </si>
  <si>
    <t>#8 WP OH Secondary</t>
  </si>
  <si>
    <t>#500 MCM Alum OH</t>
  </si>
  <si>
    <t>#6 Solid Bare Copper</t>
  </si>
  <si>
    <t>#6 Hard Drawn OH</t>
  </si>
  <si>
    <t>#6 A Steel OH</t>
  </si>
  <si>
    <t>3 #6 AWC OH</t>
  </si>
  <si>
    <t>#7 Aluminum OH</t>
  </si>
  <si>
    <t>#12 TW OH Secondary</t>
  </si>
  <si>
    <t>#6 DPX OH Secondary</t>
  </si>
  <si>
    <t>CWC OH</t>
  </si>
  <si>
    <t>#2 Aluminum URD Primary</t>
  </si>
  <si>
    <t>#750 Aluminum URD Primary</t>
  </si>
  <si>
    <t>#750 Copper URD Primary</t>
  </si>
  <si>
    <t>#4/0 Aluminum URD Primary</t>
  </si>
  <si>
    <t>#500 Copper URD Primary</t>
  </si>
  <si>
    <t>#500 Aluminum URD Primary</t>
  </si>
  <si>
    <t>#500 Copper URD Secondary</t>
  </si>
  <si>
    <t>#2 TPX Secondary URD</t>
  </si>
  <si>
    <t>#1/0 TPX URD Secondary</t>
  </si>
  <si>
    <t>#2/0 TPX URD Secondary</t>
  </si>
  <si>
    <t>#4/0 TPX URD Secondary</t>
  </si>
  <si>
    <t>#350 MCM TPX URD Secondary</t>
  </si>
  <si>
    <t>#1/0 QUAD URD Secondary</t>
  </si>
  <si>
    <t>#4/0 QUAD URD Secondary</t>
  </si>
  <si>
    <t>#350 QUAD URD Secondary</t>
  </si>
  <si>
    <t>#4/0 3PH URD SUBM TENN. RIVER XING</t>
  </si>
  <si>
    <t>#8 UF URD Secondary Wire</t>
  </si>
  <si>
    <t>#6 UF URD Secondary Wire</t>
  </si>
  <si>
    <t>#6 DPX URD Conductor</t>
  </si>
  <si>
    <t>#2 Copper URD Primary</t>
  </si>
  <si>
    <t>#1/0 Aluminun URD Primary Cable</t>
  </si>
  <si>
    <t>#10/2 UF with Ground URD Secondary Wire</t>
  </si>
  <si>
    <t>#12/2 UF URD Secondary Wire</t>
  </si>
  <si>
    <t>#10/2 UF URD Secondary Wire</t>
  </si>
  <si>
    <t>Metered CP, All but Direct Serve</t>
  </si>
  <si>
    <t>Calculated CP All but Direct Serve</t>
  </si>
  <si>
    <t>.</t>
  </si>
  <si>
    <t>1 KVA Conventional Transf</t>
  </si>
  <si>
    <t>1.5 KVA Conventional Transf</t>
  </si>
  <si>
    <t>15 KVA Conventional Transf</t>
  </si>
  <si>
    <t>25 KVA Conventional Transf</t>
  </si>
  <si>
    <t>50 KVA Conventional Transf</t>
  </si>
  <si>
    <t>37.5 KVA Conventional Transf</t>
  </si>
  <si>
    <t>75 KVA Conventional Transf</t>
  </si>
  <si>
    <t>100 KVA Conventional Transf</t>
  </si>
  <si>
    <t>167 KVA Conventional Transf</t>
  </si>
  <si>
    <t>250 KVA Conventional Transf</t>
  </si>
  <si>
    <t>333 KVA Conventional Transf</t>
  </si>
  <si>
    <t>500 KVA Conventional Transf</t>
  </si>
  <si>
    <t>833 KVA Conventional Transf</t>
  </si>
  <si>
    <t>10 KVA CSP Transf</t>
  </si>
  <si>
    <t>15 KVA CSP Transf</t>
  </si>
  <si>
    <t>25 KVA CSP Transf</t>
  </si>
  <si>
    <t>37.5 KVA CSP Transf</t>
  </si>
  <si>
    <t>25 KVA Padmount Transf</t>
  </si>
  <si>
    <t>37.5 KVA Padmount Transf</t>
  </si>
  <si>
    <t>50 KVA Padmount Transf</t>
  </si>
  <si>
    <t>75 KVA Padmount Transf</t>
  </si>
  <si>
    <t>100 KVA Padmount Transf</t>
  </si>
  <si>
    <t>150 KVA Padmount Transf</t>
  </si>
  <si>
    <t>167 KVA Padmount Transf</t>
  </si>
  <si>
    <t>112.5 KVA Padmount Transf</t>
  </si>
  <si>
    <t>225 KVA Padmount Transf</t>
  </si>
  <si>
    <t>300 KVA Padmount Transf</t>
  </si>
  <si>
    <t>500 KVA Padmount Transf</t>
  </si>
  <si>
    <t>750 KVA Padmount Transf</t>
  </si>
  <si>
    <t>1000 KVA Padmount Transf</t>
  </si>
  <si>
    <t>1500 KVA Padmount Transf</t>
  </si>
  <si>
    <t>MRSM</t>
  </si>
  <si>
    <t>Non-FAC PPA</t>
  </si>
  <si>
    <t>Year End Customers</t>
  </si>
  <si>
    <t>NFPPA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</si>
  <si>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</si>
  <si>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</si>
  <si>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</si>
  <si>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</si>
  <si>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</si>
  <si>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</si>
  <si>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C-3 Small Commercial Three Phase</t>
  </si>
  <si>
    <t>&lt; target</t>
  </si>
  <si>
    <t>&lt; diff</t>
  </si>
  <si>
    <t>Reserved</t>
  </si>
  <si>
    <t>reserved</t>
  </si>
  <si>
    <t>Total w/o OL</t>
  </si>
  <si>
    <t>Method</t>
  </si>
  <si>
    <t>2000 KVA Padmount Transf</t>
  </si>
  <si>
    <t>10 KVA Conventional Transf</t>
  </si>
  <si>
    <t>Share of</t>
  </si>
  <si>
    <t xml:space="preserve">Share of </t>
  </si>
  <si>
    <t>Billed Demand (kW)</t>
  </si>
  <si>
    <t xml:space="preserve">Less: Customer Deposits </t>
  </si>
  <si>
    <t>D - Commercial and Industrial - DIRECT SERVED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</si>
  <si>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</si>
  <si>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</si>
  <si>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</si>
  <si>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</si>
  <si>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</si>
  <si>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</si>
  <si>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</si>
  <si>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</si>
  <si>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</si>
  <si>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</si>
  <si>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</si>
  <si>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</si>
  <si>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Normalize Rate Adj</t>
  </si>
  <si>
    <t>Donations, Promo Ads &amp; Dues</t>
  </si>
  <si>
    <t>Interest Expense</t>
  </si>
  <si>
    <t xml:space="preserve">Right of Way </t>
  </si>
  <si>
    <t>PPA exp</t>
  </si>
  <si>
    <t>Check</t>
  </si>
  <si>
    <t>ROROB</t>
  </si>
  <si>
    <t>Average Customers (Lighting = 0)</t>
  </si>
  <si>
    <t>Target Incr</t>
  </si>
  <si>
    <t>Target ROROB</t>
  </si>
  <si>
    <t>Revenue Increase</t>
  </si>
  <si>
    <t>Usage at Market D $</t>
  </si>
  <si>
    <t>Usage at Market E $</t>
  </si>
  <si>
    <t>Other MISO Market Chg $</t>
  </si>
  <si>
    <t>Big Rivers Adder Chg $</t>
  </si>
  <si>
    <t>S105 True Up for MISO</t>
  </si>
  <si>
    <t>EDR Credit $</t>
  </si>
  <si>
    <t>Other Adjustment</t>
  </si>
  <si>
    <t>Cost-Based Rates</t>
  </si>
  <si>
    <t>Reported</t>
  </si>
  <si>
    <t>250 KVA Padmount Transf</t>
  </si>
  <si>
    <t>2500 KVA Padmount Transf</t>
  </si>
  <si>
    <t>Health Care Costs</t>
  </si>
  <si>
    <t>NonFACPPA</t>
  </si>
  <si>
    <t>Energy kWh</t>
  </si>
  <si>
    <t>Totals</t>
  </si>
  <si>
    <t>After Rate Revisions</t>
  </si>
  <si>
    <t>NA</t>
  </si>
  <si>
    <t>Retirement Plans</t>
  </si>
  <si>
    <t>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</si>
</sst>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</numFmts>
  <fonts count="1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000099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44" fontId="5" fillId="0" borderId="0" xfId="2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43" fontId="5" fillId="0" borderId="0" xfId="0" applyNumberFormat="1" applyFont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43" fontId="5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0" fontId="5" fillId="3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right" wrapText="1"/>
    </xf>
    <xf numFmtId="0" fontId="5" fillId="0" borderId="0" xfId="0" applyFont="1" applyAlignment="1">
      <alignment wrapText="1"/>
    </xf>
    <xf numFmtId="166" fontId="5" fillId="0" borderId="0" xfId="1" applyNumberFormat="1" applyFont="1" applyAlignment="1">
      <alignment wrapText="1"/>
    </xf>
    <xf numFmtId="0" fontId="4" fillId="3" borderId="1" xfId="0" applyFont="1" applyFill="1" applyBorder="1" applyAlignment="1">
      <alignment horizontal="right"/>
    </xf>
    <xf numFmtId="165" fontId="5" fillId="3" borderId="0" xfId="2" applyNumberFormat="1" applyFont="1" applyFill="1"/>
    <xf numFmtId="165" fontId="5" fillId="0" borderId="3" xfId="2" applyNumberFormat="1" applyFont="1" applyFill="1" applyBorder="1"/>
    <xf numFmtId="165" fontId="5" fillId="0" borderId="3" xfId="2" applyNumberFormat="1" applyFont="1" applyBorder="1"/>
    <xf numFmtId="165" fontId="5" fillId="3" borderId="3" xfId="2" applyNumberFormat="1" applyFont="1" applyFill="1" applyBorder="1"/>
    <xf numFmtId="165" fontId="5" fillId="0" borderId="3" xfId="0" applyNumberFormat="1" applyFont="1" applyBorder="1"/>
    <xf numFmtId="166" fontId="7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165" fontId="5" fillId="3" borderId="0" xfId="0" applyNumberFormat="1" applyFont="1" applyFill="1"/>
    <xf numFmtId="166" fontId="5" fillId="3" borderId="0" xfId="1" applyNumberFormat="1" applyFont="1" applyFill="1"/>
    <xf numFmtId="0" fontId="4" fillId="0" borderId="7" xfId="0" applyFont="1" applyBorder="1"/>
    <xf numFmtId="0" fontId="4" fillId="0" borderId="8" xfId="0" applyFont="1" applyBorder="1"/>
    <xf numFmtId="10" fontId="4" fillId="0" borderId="9" xfId="3" applyNumberFormat="1" applyFont="1" applyBorder="1"/>
    <xf numFmtId="10" fontId="4" fillId="3" borderId="9" xfId="3" applyNumberFormat="1" applyFont="1" applyFill="1" applyBorder="1"/>
    <xf numFmtId="166" fontId="4" fillId="0" borderId="0" xfId="1" applyNumberFormat="1" applyFont="1"/>
    <xf numFmtId="43" fontId="4" fillId="0" borderId="0" xfId="1" applyFont="1" applyBorder="1"/>
    <xf numFmtId="172" fontId="5" fillId="0" borderId="0" xfId="1" applyNumberFormat="1" applyFont="1"/>
    <xf numFmtId="172" fontId="5" fillId="3" borderId="0" xfId="1" applyNumberFormat="1" applyFont="1" applyFill="1"/>
    <xf numFmtId="172" fontId="5" fillId="0" borderId="0" xfId="0" applyNumberFormat="1" applyFont="1"/>
    <xf numFmtId="167" fontId="5" fillId="0" borderId="0" xfId="0" applyNumberFormat="1" applyFont="1"/>
    <xf numFmtId="166" fontId="5" fillId="3" borderId="0" xfId="0" applyNumberFormat="1" applyFont="1" applyFill="1"/>
    <xf numFmtId="171" fontId="5" fillId="3" borderId="0" xfId="1" applyNumberFormat="1" applyFont="1" applyFill="1"/>
    <xf numFmtId="164" fontId="5" fillId="0" borderId="0" xfId="2" applyNumberFormat="1" applyFont="1" applyFill="1"/>
    <xf numFmtId="164" fontId="5" fillId="0" borderId="0" xfId="0" applyNumberFormat="1" applyFont="1"/>
    <xf numFmtId="1" fontId="5" fillId="0" borderId="0" xfId="0" applyNumberFormat="1" applyFont="1"/>
    <xf numFmtId="43" fontId="5" fillId="3" borderId="0" xfId="1" applyFont="1" applyFill="1"/>
    <xf numFmtId="165" fontId="5" fillId="3" borderId="3" xfId="0" applyNumberFormat="1" applyFont="1" applyFill="1" applyBorder="1"/>
    <xf numFmtId="0" fontId="5" fillId="3" borderId="3" xfId="0" applyFont="1" applyFill="1" applyBorder="1"/>
    <xf numFmtId="175" fontId="5" fillId="3" borderId="0" xfId="0" applyNumberFormat="1" applyFont="1" applyFill="1"/>
    <xf numFmtId="2" fontId="5" fillId="3" borderId="0" xfId="0" applyNumberFormat="1" applyFont="1" applyFill="1"/>
    <xf numFmtId="174" fontId="5" fillId="3" borderId="0" xfId="0" applyNumberFormat="1" applyFont="1" applyFill="1"/>
    <xf numFmtId="173" fontId="5" fillId="3" borderId="0" xfId="0" applyNumberFormat="1" applyFont="1" applyFill="1"/>
    <xf numFmtId="0" fontId="7" fillId="0" borderId="0" xfId="0" applyFont="1"/>
    <xf numFmtId="172" fontId="5" fillId="3" borderId="0" xfId="0" applyNumberFormat="1" applyFont="1" applyFill="1"/>
    <xf numFmtId="172" fontId="5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172" fontId="8" fillId="3" borderId="0" xfId="0" applyNumberFormat="1" applyFont="1" applyFill="1"/>
    <xf numFmtId="43" fontId="5" fillId="3" borderId="0" xfId="0" applyNumberFormat="1" applyFont="1" applyFill="1"/>
    <xf numFmtId="43" fontId="8" fillId="0" borderId="0" xfId="1" applyFont="1" applyFill="1"/>
    <xf numFmtId="43" fontId="8" fillId="0" borderId="0" xfId="1" applyFont="1"/>
    <xf numFmtId="43" fontId="8" fillId="3" borderId="0" xfId="1" applyFont="1" applyFill="1"/>
    <xf numFmtId="10" fontId="5" fillId="0" borderId="0" xfId="0" applyNumberFormat="1" applyFont="1" applyAlignment="1">
      <alignment horizontal="left"/>
    </xf>
    <xf numFmtId="178" fontId="5" fillId="0" borderId="0" xfId="0" applyNumberFormat="1" applyFont="1"/>
    <xf numFmtId="10" fontId="5" fillId="0" borderId="0" xfId="3" applyNumberFormat="1" applyFont="1"/>
    <xf numFmtId="10" fontId="5" fillId="3" borderId="0" xfId="3" applyNumberFormat="1" applyFont="1" applyFill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66" fontId="5" fillId="0" borderId="3" xfId="0" applyNumberFormat="1" applyFont="1" applyBorder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0" fontId="8" fillId="0" borderId="0" xfId="0" applyFont="1"/>
    <xf numFmtId="4" fontId="5" fillId="0" borderId="0" xfId="0" applyNumberFormat="1" applyFont="1"/>
    <xf numFmtId="166" fontId="5" fillId="0" borderId="0" xfId="0" applyNumberFormat="1" applyFont="1" applyAlignment="1">
      <alignment horizontal="center"/>
    </xf>
    <xf numFmtId="166" fontId="5" fillId="0" borderId="0" xfId="3" applyNumberFormat="1" applyFont="1" applyFill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0" fontId="5" fillId="0" borderId="3" xfId="0" applyFont="1" applyBorder="1"/>
    <xf numFmtId="10" fontId="5" fillId="0" borderId="0" xfId="3" applyNumberFormat="1" applyFont="1" applyFill="1" applyAlignment="1"/>
    <xf numFmtId="166" fontId="5" fillId="0" borderId="0" xfId="1" applyNumberFormat="1" applyFont="1" applyFill="1" applyBorder="1" applyAlignment="1"/>
    <xf numFmtId="165" fontId="5" fillId="0" borderId="0" xfId="2" applyNumberFormat="1" applyFont="1" applyFill="1" applyBorder="1" applyAlignment="1"/>
    <xf numFmtId="165" fontId="10" fillId="0" borderId="0" xfId="2" applyNumberFormat="1" applyFont="1" applyFill="1" applyAlignment="1">
      <alignment horizontal="right"/>
    </xf>
    <xf numFmtId="170" fontId="5" fillId="0" borderId="0" xfId="0" applyNumberFormat="1" applyFont="1"/>
    <xf numFmtId="43" fontId="5" fillId="2" borderId="0" xfId="0" applyNumberFormat="1" applyFont="1" applyFill="1"/>
    <xf numFmtId="43" fontId="5" fillId="0" borderId="0" xfId="1" applyFont="1" applyAlignment="1">
      <alignment horizontal="left"/>
    </xf>
    <xf numFmtId="44" fontId="5" fillId="0" borderId="0" xfId="0" applyNumberFormat="1" applyFont="1"/>
    <xf numFmtId="0" fontId="5" fillId="0" borderId="0" xfId="0" quotePrefix="1" applyFont="1" applyAlignment="1">
      <alignment horizontal="left"/>
    </xf>
    <xf numFmtId="44" fontId="5" fillId="0" borderId="0" xfId="2" applyFont="1" applyAlignment="1">
      <alignment horizontal="right"/>
    </xf>
    <xf numFmtId="166" fontId="5" fillId="0" borderId="0" xfId="1" applyNumberFormat="1" applyFont="1" applyFill="1" applyAlignment="1">
      <alignment horizontal="left"/>
    </xf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10" fontId="5" fillId="0" borderId="3" xfId="3" applyNumberFormat="1" applyFont="1" applyFill="1" applyBorder="1" applyAlignment="1">
      <alignment vertical="center"/>
    </xf>
    <xf numFmtId="181" fontId="5" fillId="0" borderId="0" xfId="3" applyNumberFormat="1" applyFont="1" applyFill="1"/>
    <xf numFmtId="181" fontId="5" fillId="0" borderId="0" xfId="1" applyNumberFormat="1" applyFont="1" applyFill="1"/>
    <xf numFmtId="181" fontId="5" fillId="0" borderId="6" xfId="3" applyNumberFormat="1" applyFont="1" applyFill="1" applyBorder="1" applyAlignment="1">
      <alignment vertical="center"/>
    </xf>
    <xf numFmtId="181" fontId="5" fillId="0" borderId="6" xfId="1" applyNumberFormat="1" applyFont="1" applyFill="1" applyBorder="1"/>
    <xf numFmtId="166" fontId="5" fillId="0" borderId="0" xfId="1" quotePrefix="1" applyNumberFormat="1" applyFont="1" applyFill="1" applyAlignment="1">
      <alignment horizontal="left"/>
    </xf>
    <xf numFmtId="1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vertical="center"/>
    </xf>
    <xf numFmtId="182" fontId="5" fillId="0" borderId="0" xfId="3" applyNumberFormat="1" applyFont="1" applyFill="1"/>
    <xf numFmtId="166" fontId="11" fillId="0" borderId="0" xfId="1" applyNumberFormat="1" applyFont="1" applyFill="1" applyAlignment="1">
      <alignment horizontal="center"/>
    </xf>
    <xf numFmtId="182" fontId="11" fillId="0" borderId="0" xfId="3" applyNumberFormat="1" applyFont="1" applyFill="1" applyAlignment="1">
      <alignment horizontal="center"/>
    </xf>
    <xf numFmtId="10" fontId="13" fillId="4" borderId="0" xfId="0" applyNumberFormat="1" applyFont="1" applyFill="1" applyAlignment="1">
      <alignment horizontal="center"/>
    </xf>
    <xf numFmtId="166" fontId="5" fillId="0" borderId="2" xfId="1" applyNumberFormat="1" applyFont="1" applyFill="1" applyBorder="1"/>
    <xf numFmtId="165" fontId="5" fillId="0" borderId="4" xfId="0" applyNumberFormat="1" applyFont="1" applyBorder="1"/>
    <xf numFmtId="10" fontId="5" fillId="0" borderId="3" xfId="3" applyNumberFormat="1" applyFont="1" applyFill="1" applyBorder="1" applyAlignment="1">
      <alignment horizontal="right"/>
    </xf>
    <xf numFmtId="177" fontId="5" fillId="0" borderId="0" xfId="1" applyNumberFormat="1" applyFont="1" applyFill="1"/>
    <xf numFmtId="0" fontId="5" fillId="0" borderId="6" xfId="0" applyFont="1" applyBorder="1" applyAlignment="1">
      <alignment vertical="center"/>
    </xf>
    <xf numFmtId="10" fontId="4" fillId="0" borderId="9" xfId="3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164" fontId="5" fillId="0" borderId="0" xfId="2" applyNumberFormat="1" applyFont="1"/>
    <xf numFmtId="0" fontId="14" fillId="0" borderId="0" xfId="0" applyFont="1"/>
    <xf numFmtId="166" fontId="14" fillId="0" borderId="0" xfId="1" applyNumberFormat="1" applyFont="1" applyFill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79" fontId="4" fillId="0" borderId="0" xfId="0" applyNumberFormat="1" applyFont="1" applyAlignment="1">
      <alignment horizontal="center"/>
    </xf>
    <xf numFmtId="166" fontId="5" fillId="0" borderId="3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 applyAlignment="1">
      <alignment horizontal="right" vertical="center"/>
    </xf>
    <xf numFmtId="165" fontId="5" fillId="5" borderId="0" xfId="0" applyNumberFormat="1" applyFont="1" applyFill="1"/>
    <xf numFmtId="0" fontId="18" fillId="0" borderId="0" xfId="0" applyFont="1" applyAlignment="1">
      <alignment horizontal="right" vertical="center"/>
    </xf>
    <xf numFmtId="0" fontId="5" fillId="5" borderId="0" xfId="0" applyFont="1" applyFill="1" applyAlignment="1">
      <alignment horizontal="right"/>
    </xf>
    <xf numFmtId="166" fontId="5" fillId="5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2" xfId="5" xr:uid="{D3E40D1E-9089-4D32-9E0B-9E29F6FAB58A}"/>
    <cellStyle name="Currency" xfId="2" builtinId="4"/>
    <cellStyle name="Normal" xfId="0" builtinId="0"/>
    <cellStyle name="Normal 2" xfId="4" xr:uid="{B7AE1133-55F2-4385-8236-A248A8FE414A}"/>
    <cellStyle name="Percent" xfId="3" builtin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00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view="pageBreakPreview" topLeftCell="A4" zoomScaleNormal="75" zoomScaleSheetLayoutView="100" workbookViewId="0">
      <selection activeCell="J28" sqref="J28"/>
    </sheetView>
  </sheetViews>
  <sheetFormatPr defaultColWidth="9.109375" defaultRowHeight="13.2" x14ac:dyDescent="0.25"/>
  <cols>
    <col min="1" max="1" width="4.44140625" style="14" customWidth="1"/>
    <col min="2" max="2" width="42.5546875" style="28" customWidth="1"/>
    <col min="3" max="3" width="6.88671875" style="48" bestFit="1" customWidth="1"/>
    <col min="4" max="4" width="15.6640625" style="48" customWidth="1"/>
    <col min="5" max="5" width="14" style="48" customWidth="1"/>
    <col min="6" max="6" width="13.5546875" style="49" customWidth="1"/>
    <col min="7" max="7" width="13.5546875" style="14" customWidth="1"/>
    <col min="8" max="8" width="13.5546875" style="50" customWidth="1"/>
    <col min="9" max="9" width="7.6640625" style="14" customWidth="1"/>
    <col min="10" max="10" width="79.33203125" style="50" customWidth="1"/>
    <col min="11" max="11" width="14.6640625" style="50" bestFit="1" customWidth="1"/>
    <col min="12" max="12" width="15.6640625" style="50" customWidth="1"/>
    <col min="13" max="13" width="15.6640625" style="14" customWidth="1"/>
    <col min="14" max="14" width="17.33203125" style="14" customWidth="1"/>
    <col min="15" max="15" width="13" style="14" customWidth="1"/>
    <col min="16" max="16" width="9.33203125" style="14" bestFit="1" customWidth="1"/>
    <col min="17" max="17" width="14.109375" style="14" bestFit="1" customWidth="1"/>
    <col min="18" max="16384" width="9.109375" style="14"/>
  </cols>
  <sheetData>
    <row r="1" spans="1:38" x14ac:dyDescent="0.25">
      <c r="A1" s="13" t="s">
        <v>1016</v>
      </c>
      <c r="F1" s="55"/>
      <c r="G1" s="159"/>
      <c r="H1" s="252" t="s">
        <v>1198</v>
      </c>
    </row>
    <row r="2" spans="1:38" x14ac:dyDescent="0.25">
      <c r="A2" s="13" t="s">
        <v>676</v>
      </c>
      <c r="C2" s="51"/>
      <c r="D2" s="51"/>
      <c r="E2" s="51"/>
      <c r="F2" s="51"/>
      <c r="J2" s="52"/>
      <c r="K2" s="52"/>
      <c r="L2" s="52"/>
      <c r="M2" s="52"/>
    </row>
    <row r="3" spans="1:38" x14ac:dyDescent="0.25">
      <c r="A3" s="13"/>
      <c r="C3" s="13"/>
      <c r="D3" s="53"/>
      <c r="E3" s="53"/>
      <c r="F3" s="54"/>
      <c r="J3" s="55"/>
      <c r="K3" s="60" t="s">
        <v>1177</v>
      </c>
      <c r="L3" s="55"/>
      <c r="M3" s="56"/>
    </row>
    <row r="4" spans="1:38" x14ac:dyDescent="0.25">
      <c r="F4" s="57"/>
      <c r="K4" s="226">
        <v>4641646.7118120641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x14ac:dyDescent="0.25">
      <c r="A5" s="13"/>
      <c r="B5" s="58"/>
      <c r="C5" s="59"/>
      <c r="D5" s="59"/>
      <c r="E5" s="59"/>
      <c r="F5" s="59"/>
      <c r="G5" s="59"/>
      <c r="K5" s="50" t="s">
        <v>1175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58" customFormat="1" x14ac:dyDescent="0.25">
      <c r="C6" s="59"/>
      <c r="D6" s="59" t="s">
        <v>906</v>
      </c>
      <c r="E6" s="59" t="s">
        <v>906</v>
      </c>
      <c r="F6" s="59"/>
      <c r="H6" s="59" t="s">
        <v>906</v>
      </c>
      <c r="J6" s="60"/>
      <c r="K6" s="227">
        <v>3.9513006557410711E-2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s="58" customFormat="1" x14ac:dyDescent="0.25">
      <c r="C7" s="59"/>
      <c r="D7" s="59" t="s">
        <v>675</v>
      </c>
      <c r="E7" s="59" t="s">
        <v>675</v>
      </c>
      <c r="F7" s="62"/>
      <c r="G7" s="22"/>
      <c r="H7" s="22" t="s">
        <v>333</v>
      </c>
      <c r="J7" s="60"/>
      <c r="K7" s="228">
        <v>4.0209809413007239E-2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s="58" customFormat="1" ht="13.8" thickBot="1" x14ac:dyDescent="0.3">
      <c r="A8" s="63" t="s">
        <v>952</v>
      </c>
      <c r="B8" s="64" t="s">
        <v>752</v>
      </c>
      <c r="C8" s="64" t="s">
        <v>869</v>
      </c>
      <c r="D8" s="65" t="s">
        <v>347</v>
      </c>
      <c r="E8" s="65" t="s">
        <v>674</v>
      </c>
      <c r="F8" s="65" t="s">
        <v>346</v>
      </c>
      <c r="G8" s="66" t="s">
        <v>76</v>
      </c>
      <c r="H8" s="65" t="s">
        <v>867</v>
      </c>
      <c r="I8" s="61"/>
      <c r="K8" s="58" t="s">
        <v>1178</v>
      </c>
    </row>
    <row r="9" spans="1:38" x14ac:dyDescent="0.25">
      <c r="A9" s="28"/>
      <c r="B9" s="13"/>
      <c r="C9" s="58"/>
      <c r="F9" s="48"/>
      <c r="G9" s="49"/>
      <c r="H9" s="14"/>
      <c r="I9" s="61"/>
      <c r="L9" s="229">
        <f>SUM(L10:L16)</f>
        <v>4641646.71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8" x14ac:dyDescent="0.25">
      <c r="A10" s="28">
        <v>1</v>
      </c>
      <c r="B10" s="14" t="s">
        <v>1023</v>
      </c>
      <c r="C10" s="28" t="s">
        <v>1017</v>
      </c>
      <c r="D10" s="67">
        <f>'Alloc &amp; Returns'!F$351</f>
        <v>46859859.919375867</v>
      </c>
      <c r="E10" s="67">
        <f>'Alloc &amp; Returns'!F$384</f>
        <v>45571382.277153753</v>
      </c>
      <c r="F10" s="67">
        <f>D10-E10</f>
        <v>1288477.6422221139</v>
      </c>
      <c r="G10" s="67">
        <f>'Alloc &amp; Returns'!F$392</f>
        <v>98616400.151465937</v>
      </c>
      <c r="H10" s="68">
        <f>IF(G10=0,"NA",F10/G10)</f>
        <v>1.3065551371203247E-2</v>
      </c>
      <c r="I10" s="61"/>
      <c r="J10" s="165"/>
      <c r="K10" s="68">
        <f>K$7</f>
        <v>4.0209809413007239E-2</v>
      </c>
      <c r="L10" s="67">
        <f>ROUND(K10*G10-F10,2)</f>
        <v>2676869.0099999998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</row>
    <row r="11" spans="1:38" x14ac:dyDescent="0.25">
      <c r="A11" s="28">
        <v>2</v>
      </c>
      <c r="B11" s="14" t="s">
        <v>1024</v>
      </c>
      <c r="C11" s="28" t="s">
        <v>1018</v>
      </c>
      <c r="D11" s="67">
        <f>'Alloc &amp; Returns'!G$351</f>
        <v>4502303.2770133689</v>
      </c>
      <c r="E11" s="67">
        <f>'Alloc &amp; Returns'!G$384</f>
        <v>5368374.3377924785</v>
      </c>
      <c r="F11" s="67">
        <f t="shared" ref="F11:F26" si="0">D11-E11</f>
        <v>-866071.0607791096</v>
      </c>
      <c r="G11" s="67">
        <f>'Alloc &amp; Returns'!G$392</f>
        <v>16588510.91325848</v>
      </c>
      <c r="H11" s="68">
        <f t="shared" ref="H11:H16" si="1">IF(G11=0,"NA",F11/G11)</f>
        <v>-5.2209090093005062E-2</v>
      </c>
      <c r="I11" s="61"/>
      <c r="J11" s="165"/>
      <c r="K11" s="68">
        <f t="shared" ref="K11:K15" si="2">K$7</f>
        <v>4.0209809413007239E-2</v>
      </c>
      <c r="L11" s="67">
        <f>ROUND(K11*G11-F11,2)</f>
        <v>1533091.92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</row>
    <row r="12" spans="1:38" x14ac:dyDescent="0.25">
      <c r="A12" s="28">
        <v>3</v>
      </c>
      <c r="B12" s="14" t="s">
        <v>1143</v>
      </c>
      <c r="C12" s="28" t="s">
        <v>1019</v>
      </c>
      <c r="D12" s="67">
        <f>'Alloc &amp; Returns'!H$351</f>
        <v>1390528.9561489688</v>
      </c>
      <c r="E12" s="67">
        <f>'Alloc &amp; Returns'!H$384</f>
        <v>1455809.3703876068</v>
      </c>
      <c r="F12" s="67">
        <f t="shared" si="0"/>
        <v>-65280.414238638012</v>
      </c>
      <c r="G12" s="67">
        <f>'Alloc &amp; Returns'!H$392</f>
        <v>3656491.4272460788</v>
      </c>
      <c r="H12" s="68">
        <f t="shared" si="1"/>
        <v>-1.7853293392733199E-2</v>
      </c>
      <c r="I12" s="61"/>
      <c r="J12" s="165"/>
      <c r="K12" s="68">
        <f t="shared" si="2"/>
        <v>4.0209809413007239E-2</v>
      </c>
      <c r="L12" s="67">
        <f>ROUND(K12*G12-F12,2)</f>
        <v>212307.24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</row>
    <row r="13" spans="1:38" x14ac:dyDescent="0.25">
      <c r="A13" s="28">
        <v>4</v>
      </c>
      <c r="B13" s="14" t="s">
        <v>1025</v>
      </c>
      <c r="C13" s="28" t="s">
        <v>1020</v>
      </c>
      <c r="D13" s="67">
        <f>'Alloc &amp; Returns'!I$351</f>
        <v>16379805.963107385</v>
      </c>
      <c r="E13" s="67">
        <f>'Alloc &amp; Returns'!I$384</f>
        <v>15709844.018233716</v>
      </c>
      <c r="F13" s="67">
        <f t="shared" si="0"/>
        <v>669961.94487366825</v>
      </c>
      <c r="G13" s="67">
        <f>'Alloc &amp; Returns'!I$392</f>
        <v>20919998.758337852</v>
      </c>
      <c r="H13" s="68">
        <f t="shared" si="1"/>
        <v>3.2024951464523818E-2</v>
      </c>
      <c r="I13" s="61"/>
      <c r="J13" s="165"/>
      <c r="K13" s="68">
        <f t="shared" si="2"/>
        <v>4.0209809413007239E-2</v>
      </c>
      <c r="L13" s="67">
        <f>ROUND(K13*G13-F13,2)</f>
        <v>171227.22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</row>
    <row r="14" spans="1:38" x14ac:dyDescent="0.25">
      <c r="A14" s="28">
        <v>5</v>
      </c>
      <c r="B14" s="14" t="s">
        <v>1156</v>
      </c>
      <c r="C14" s="28" t="s">
        <v>1020</v>
      </c>
      <c r="D14" s="67">
        <f>'Alloc &amp; Returns'!J$351</f>
        <v>11548430.04212722</v>
      </c>
      <c r="E14" s="67">
        <f>'Alloc &amp; Returns'!J$384</f>
        <v>11434296.905576499</v>
      </c>
      <c r="F14" s="67">
        <f t="shared" si="0"/>
        <v>114133.13655072078</v>
      </c>
      <c r="G14" s="67">
        <f>'Alloc &amp; Returns'!J$392</f>
        <v>0</v>
      </c>
      <c r="H14" s="183" t="str">
        <f t="shared" si="1"/>
        <v>NA</v>
      </c>
      <c r="I14" s="61"/>
      <c r="J14" s="165"/>
      <c r="K14" s="68" t="str">
        <f>H14</f>
        <v>NA</v>
      </c>
      <c r="L14" s="67">
        <v>0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</row>
    <row r="15" spans="1:38" x14ac:dyDescent="0.25">
      <c r="A15" s="28">
        <v>6</v>
      </c>
      <c r="B15" s="14" t="s">
        <v>1026</v>
      </c>
      <c r="C15" s="28" t="s">
        <v>1021</v>
      </c>
      <c r="D15" s="67">
        <f>'Alloc &amp; Returns'!K$351</f>
        <v>1726251.7234862596</v>
      </c>
      <c r="E15" s="67">
        <f>'Alloc &amp; Returns'!K$384</f>
        <v>1696204.8214216947</v>
      </c>
      <c r="F15" s="67">
        <f t="shared" si="0"/>
        <v>30046.902064564871</v>
      </c>
      <c r="G15" s="67">
        <f>'Alloc &amp; Returns'!K$392</f>
        <v>1944754.8143174979</v>
      </c>
      <c r="H15" s="68">
        <f t="shared" si="1"/>
        <v>1.5450226343884734E-2</v>
      </c>
      <c r="I15" s="61"/>
      <c r="J15" s="165"/>
      <c r="K15" s="68">
        <f t="shared" si="2"/>
        <v>4.0209809413007239E-2</v>
      </c>
      <c r="L15" s="67">
        <f>ROUND(K15*G15-F15,2)</f>
        <v>48151.32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38" x14ac:dyDescent="0.25">
      <c r="A16" s="28">
        <v>7</v>
      </c>
      <c r="B16" s="14" t="s">
        <v>1027</v>
      </c>
      <c r="C16" s="28" t="s">
        <v>1022</v>
      </c>
      <c r="D16" s="67">
        <f>'Alloc &amp; Returns'!L$351</f>
        <v>1290105.517354076</v>
      </c>
      <c r="E16" s="67">
        <f>'Alloc &amp; Returns'!L$384</f>
        <v>918221.31000979512</v>
      </c>
      <c r="F16" s="67">
        <f t="shared" ref="F16" si="3">D16-E16</f>
        <v>371884.20734428091</v>
      </c>
      <c r="G16" s="67">
        <f>'Alloc &amp; Returns'!L$392</f>
        <v>4034544.774028019</v>
      </c>
      <c r="H16" s="68">
        <f t="shared" si="1"/>
        <v>9.2175010607949762E-2</v>
      </c>
      <c r="I16" s="61"/>
      <c r="J16" s="165"/>
      <c r="K16" s="68">
        <f>H16</f>
        <v>9.2175010607949762E-2</v>
      </c>
      <c r="L16" s="67">
        <f>ROUND(K16*G16-F16,2)</f>
        <v>0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</row>
    <row r="17" spans="1:38" hidden="1" x14ac:dyDescent="0.25">
      <c r="A17" s="28"/>
      <c r="B17" s="14"/>
      <c r="C17" s="28"/>
      <c r="D17" s="67"/>
      <c r="E17" s="67"/>
      <c r="F17" s="67"/>
      <c r="G17" s="67"/>
      <c r="H17" s="68"/>
      <c r="I17" s="6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</row>
    <row r="18" spans="1:38" hidden="1" x14ac:dyDescent="0.25">
      <c r="A18" s="28"/>
      <c r="B18" s="14"/>
      <c r="C18" s="28"/>
      <c r="D18" s="67"/>
      <c r="E18" s="67"/>
      <c r="F18" s="67"/>
      <c r="G18" s="67"/>
      <c r="H18" s="68"/>
      <c r="I18" s="6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</row>
    <row r="19" spans="1:38" hidden="1" x14ac:dyDescent="0.25">
      <c r="A19" s="28"/>
      <c r="B19" s="14"/>
      <c r="C19" s="28"/>
      <c r="D19" s="67"/>
      <c r="E19" s="67"/>
      <c r="F19" s="69"/>
      <c r="G19" s="67"/>
      <c r="H19" s="68"/>
      <c r="I19" s="6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</row>
    <row r="20" spans="1:38" hidden="1" x14ac:dyDescent="0.25">
      <c r="A20" s="28"/>
      <c r="B20" s="14"/>
      <c r="C20" s="28"/>
      <c r="D20" s="67"/>
      <c r="E20" s="67"/>
      <c r="F20" s="69"/>
      <c r="G20" s="67"/>
      <c r="H20" s="68"/>
      <c r="I20" s="6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</row>
    <row r="21" spans="1:38" hidden="1" x14ac:dyDescent="0.25">
      <c r="A21" s="28"/>
      <c r="B21" s="14"/>
      <c r="C21" s="28"/>
      <c r="D21" s="69"/>
      <c r="E21" s="67"/>
      <c r="F21" s="69"/>
      <c r="G21" s="67"/>
      <c r="H21" s="68"/>
      <c r="I21" s="61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1:38" hidden="1" x14ac:dyDescent="0.25">
      <c r="A22" s="28"/>
      <c r="B22" s="14"/>
      <c r="C22" s="28"/>
      <c r="D22" s="69"/>
      <c r="E22" s="67"/>
      <c r="F22" s="69"/>
      <c r="G22" s="69"/>
      <c r="H22" s="68"/>
      <c r="I22" s="61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</row>
    <row r="23" spans="1:38" hidden="1" x14ac:dyDescent="0.25">
      <c r="A23" s="28"/>
      <c r="B23" s="14"/>
      <c r="C23" s="28"/>
      <c r="D23" s="69"/>
      <c r="E23" s="67"/>
      <c r="F23" s="69"/>
      <c r="G23" s="69"/>
      <c r="H23" s="68"/>
      <c r="I23" s="61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</row>
    <row r="24" spans="1:38" hidden="1" x14ac:dyDescent="0.25">
      <c r="A24" s="28"/>
      <c r="B24" s="14"/>
      <c r="C24" s="28"/>
      <c r="D24" s="69"/>
      <c r="E24" s="67"/>
      <c r="F24" s="69"/>
      <c r="G24" s="69"/>
      <c r="H24" s="68"/>
      <c r="I24" s="6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38" hidden="1" x14ac:dyDescent="0.25">
      <c r="A25" s="28"/>
      <c r="B25" s="14"/>
      <c r="C25" s="28"/>
      <c r="D25" s="69"/>
      <c r="E25" s="67"/>
      <c r="F25" s="69"/>
      <c r="G25" s="69"/>
      <c r="H25" s="68"/>
      <c r="I25" s="6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38" s="74" customFormat="1" ht="26.25" customHeight="1" thickBot="1" x14ac:dyDescent="0.3">
      <c r="A26" s="70">
        <v>8</v>
      </c>
      <c r="B26" s="233" t="s">
        <v>0</v>
      </c>
      <c r="C26" s="71"/>
      <c r="D26" s="72">
        <f>SUM(D10:D25)</f>
        <v>83697285.39861314</v>
      </c>
      <c r="E26" s="72">
        <f>SUM(E10:E25)</f>
        <v>82154133.040575534</v>
      </c>
      <c r="F26" s="72">
        <f t="shared" si="0"/>
        <v>1543152.3580376059</v>
      </c>
      <c r="G26" s="72">
        <f>SUM(G10:G25)</f>
        <v>145760700.83865386</v>
      </c>
      <c r="H26" s="73">
        <f>F26/G26</f>
        <v>1.0586888984197185E-2</v>
      </c>
      <c r="I26" s="61"/>
      <c r="J26" s="165"/>
      <c r="K26" s="165"/>
      <c r="L26" s="72">
        <f>SUM(L10:L25)</f>
        <v>4641646.71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</row>
    <row r="27" spans="1:38" s="74" customFormat="1" ht="26.4" customHeight="1" thickTop="1" x14ac:dyDescent="0.25">
      <c r="A27" s="70"/>
      <c r="B27" s="14"/>
      <c r="C27" s="70"/>
      <c r="D27" s="216"/>
      <c r="E27" s="216"/>
      <c r="F27" s="216"/>
      <c r="G27" s="216"/>
      <c r="H27" s="217"/>
      <c r="I27" s="61"/>
      <c r="L27" s="224">
        <f>L26-K4</f>
        <v>-1.8120640888810158E-3</v>
      </c>
    </row>
    <row r="28" spans="1:38" s="74" customFormat="1" ht="25.95" customHeight="1" x14ac:dyDescent="0.25">
      <c r="A28" s="70"/>
      <c r="D28" s="216"/>
      <c r="E28" s="216"/>
      <c r="F28" s="216"/>
      <c r="H28" s="250" t="s">
        <v>1195</v>
      </c>
      <c r="I28" s="61"/>
    </row>
    <row r="29" spans="1:38" x14ac:dyDescent="0.25">
      <c r="A29" s="28"/>
      <c r="B29" s="14"/>
      <c r="C29" s="28"/>
      <c r="D29" s="75"/>
      <c r="E29" s="75"/>
      <c r="F29" s="216"/>
      <c r="G29" s="69"/>
      <c r="H29" s="59" t="s">
        <v>906</v>
      </c>
      <c r="I29" s="61"/>
      <c r="J29" s="58"/>
      <c r="K29" s="60"/>
      <c r="L29" s="60"/>
      <c r="M29" s="61"/>
      <c r="N29" s="58"/>
      <c r="O29" s="58"/>
      <c r="P29" s="58"/>
    </row>
    <row r="30" spans="1:38" x14ac:dyDescent="0.25">
      <c r="A30" s="58"/>
      <c r="B30" s="14"/>
      <c r="C30" s="59"/>
      <c r="D30" s="59" t="s">
        <v>1152</v>
      </c>
      <c r="E30" s="59" t="s">
        <v>1153</v>
      </c>
      <c r="F30" s="216"/>
      <c r="G30" s="48"/>
      <c r="H30" s="22" t="s">
        <v>333</v>
      </c>
      <c r="I30" s="50"/>
      <c r="J30" s="58"/>
      <c r="K30" s="60"/>
      <c r="M30" s="50"/>
    </row>
    <row r="31" spans="1:38" ht="13.8" thickBot="1" x14ac:dyDescent="0.3">
      <c r="A31" s="63" t="s">
        <v>952</v>
      </c>
      <c r="B31" s="64" t="s">
        <v>752</v>
      </c>
      <c r="C31" s="64" t="s">
        <v>869</v>
      </c>
      <c r="D31" s="65" t="s">
        <v>347</v>
      </c>
      <c r="E31" s="65" t="s">
        <v>11</v>
      </c>
      <c r="F31" s="216"/>
      <c r="G31" s="48"/>
      <c r="H31" s="65" t="s">
        <v>867</v>
      </c>
      <c r="I31" s="50"/>
      <c r="J31" s="58"/>
      <c r="K31" s="60"/>
      <c r="M31" s="50"/>
    </row>
    <row r="32" spans="1:38" x14ac:dyDescent="0.25">
      <c r="A32" s="28"/>
      <c r="B32" s="13"/>
      <c r="C32" s="58"/>
      <c r="D32" s="58"/>
      <c r="F32" s="216"/>
      <c r="G32" s="48"/>
      <c r="H32" s="248"/>
      <c r="I32" s="50"/>
      <c r="J32" s="14"/>
      <c r="M32" s="50"/>
    </row>
    <row r="33" spans="1:13" x14ac:dyDescent="0.25">
      <c r="A33" s="28">
        <f>A26+1</f>
        <v>9</v>
      </c>
      <c r="B33" s="14" t="str">
        <f>B10</f>
        <v>R - Residential</v>
      </c>
      <c r="C33" s="28" t="str">
        <f>C10</f>
        <v>R</v>
      </c>
      <c r="D33" s="218">
        <f t="shared" ref="D33:D39" si="4">D10/D$26</f>
        <v>0.55987311531315609</v>
      </c>
      <c r="E33" s="218">
        <f>'Billing Det'!O8</f>
        <v>0.51573876863850554</v>
      </c>
      <c r="F33" s="216"/>
      <c r="G33" s="48"/>
      <c r="H33" s="68">
        <v>5.0456658553056581E-2</v>
      </c>
      <c r="I33" s="50"/>
      <c r="J33" s="14"/>
      <c r="M33" s="50"/>
    </row>
    <row r="34" spans="1:13" x14ac:dyDescent="0.25">
      <c r="A34" s="28">
        <f>A33+1</f>
        <v>10</v>
      </c>
      <c r="B34" s="14" t="str">
        <f t="shared" ref="B34:C39" si="5">B11</f>
        <v>C-1 Small Commercial Single Phase</v>
      </c>
      <c r="C34" s="28" t="str">
        <f t="shared" si="5"/>
        <v>C1</v>
      </c>
      <c r="D34" s="218">
        <f t="shared" si="4"/>
        <v>5.3792703736696958E-2</v>
      </c>
      <c r="E34" s="218">
        <f>'Billing Det'!O9</f>
        <v>5.8597222061861576E-2</v>
      </c>
      <c r="F34" s="216"/>
      <c r="G34" s="48"/>
      <c r="H34" s="68">
        <v>-2.1041711896161119E-2</v>
      </c>
      <c r="I34" s="50"/>
      <c r="J34" s="14"/>
      <c r="M34" s="50"/>
    </row>
    <row r="35" spans="1:13" x14ac:dyDescent="0.25">
      <c r="A35" s="28">
        <f t="shared" ref="A35:A39" si="6">A34+1</f>
        <v>11</v>
      </c>
      <c r="B35" s="14" t="str">
        <f t="shared" si="5"/>
        <v>C-3 Small Commercial Three Phase</v>
      </c>
      <c r="C35" s="28" t="str">
        <f t="shared" si="5"/>
        <v>C3</v>
      </c>
      <c r="D35" s="218">
        <f t="shared" si="4"/>
        <v>1.6613788004312142E-2</v>
      </c>
      <c r="E35" s="218">
        <f>'Billing Det'!O10</f>
        <v>1.8288279890905521E-2</v>
      </c>
      <c r="F35" s="216"/>
      <c r="G35" s="48"/>
      <c r="H35" s="68">
        <v>4.0430751025363483E-2</v>
      </c>
      <c r="I35" s="50"/>
      <c r="J35" s="14"/>
      <c r="M35" s="50"/>
    </row>
    <row r="36" spans="1:13" x14ac:dyDescent="0.25">
      <c r="A36" s="28">
        <f t="shared" si="6"/>
        <v>12</v>
      </c>
      <c r="B36" s="14" t="str">
        <f t="shared" si="5"/>
        <v>D - Commercial and Industrial Demand &lt; 3,000 kW</v>
      </c>
      <c r="C36" s="28" t="str">
        <f t="shared" si="5"/>
        <v>D</v>
      </c>
      <c r="D36" s="218">
        <f t="shared" si="4"/>
        <v>0.19570295362743984</v>
      </c>
      <c r="E36" s="218">
        <f>'Billing Det'!O11</f>
        <v>0.2665656905727477</v>
      </c>
      <c r="F36" s="216"/>
      <c r="G36" s="48"/>
      <c r="H36" s="68">
        <v>4.0405068044412615E-2</v>
      </c>
      <c r="I36" s="50"/>
      <c r="J36" s="14"/>
      <c r="M36" s="50"/>
    </row>
    <row r="37" spans="1:13" x14ac:dyDescent="0.25">
      <c r="A37" s="28">
        <f t="shared" si="6"/>
        <v>13</v>
      </c>
      <c r="B37" s="14" t="str">
        <f t="shared" si="5"/>
        <v>D - Commercial and Industrial - DIRECT SERVED</v>
      </c>
      <c r="C37" s="28" t="str">
        <f t="shared" si="5"/>
        <v>D</v>
      </c>
      <c r="D37" s="218">
        <f t="shared" si="4"/>
        <v>0.13797854956856911</v>
      </c>
      <c r="E37" s="218">
        <f>'Billing Det'!O12</f>
        <v>0.1021949243106165</v>
      </c>
      <c r="F37" s="216"/>
      <c r="G37" s="48"/>
      <c r="H37" s="183" t="s">
        <v>1196</v>
      </c>
      <c r="I37" s="50"/>
      <c r="J37" s="14"/>
      <c r="M37" s="50"/>
    </row>
    <row r="38" spans="1:13" x14ac:dyDescent="0.25">
      <c r="A38" s="28">
        <f t="shared" si="6"/>
        <v>14</v>
      </c>
      <c r="B38" s="14" t="str">
        <f t="shared" si="5"/>
        <v>I-E - Large Commercial Existing</v>
      </c>
      <c r="C38" s="28" t="str">
        <f t="shared" si="5"/>
        <v>I-E</v>
      </c>
      <c r="D38" s="218">
        <f t="shared" si="4"/>
        <v>2.0624942795514651E-2</v>
      </c>
      <c r="E38" s="218">
        <f>'Billing Det'!O13</f>
        <v>2.8592689740130132E-2</v>
      </c>
      <c r="F38" s="216"/>
      <c r="G38" s="48"/>
      <c r="H38" s="68">
        <v>4.0373935796178755E-2</v>
      </c>
    </row>
    <row r="39" spans="1:13" x14ac:dyDescent="0.25">
      <c r="A39" s="28">
        <f t="shared" si="6"/>
        <v>15</v>
      </c>
      <c r="B39" s="14" t="str">
        <f t="shared" si="5"/>
        <v>OL - Outdoor Lighting</v>
      </c>
      <c r="C39" s="28" t="str">
        <f t="shared" si="5"/>
        <v>OL</v>
      </c>
      <c r="D39" s="218">
        <f t="shared" si="4"/>
        <v>1.5413946954311293E-2</v>
      </c>
      <c r="E39" s="218">
        <f>'Billing Det'!O14</f>
        <v>1.0022424785232974E-2</v>
      </c>
      <c r="F39" s="216"/>
      <c r="G39" s="48"/>
      <c r="H39" s="68">
        <v>9.2175010607949762E-2</v>
      </c>
    </row>
    <row r="40" spans="1:13" hidden="1" x14ac:dyDescent="0.25">
      <c r="A40" s="28"/>
      <c r="B40" s="14"/>
      <c r="C40" s="28"/>
      <c r="D40" s="218">
        <f t="shared" ref="D40:D48" si="7">D18/D$26</f>
        <v>0</v>
      </c>
      <c r="E40" s="219">
        <f>'Billing Det'!O16</f>
        <v>0</v>
      </c>
      <c r="F40" s="216"/>
      <c r="G40" s="48"/>
      <c r="H40" s="68"/>
    </row>
    <row r="41" spans="1:13" hidden="1" x14ac:dyDescent="0.25">
      <c r="A41" s="28"/>
      <c r="B41" s="14"/>
      <c r="C41" s="28"/>
      <c r="D41" s="218">
        <f t="shared" si="7"/>
        <v>0</v>
      </c>
      <c r="E41" s="219">
        <f>'Billing Det'!O17</f>
        <v>0</v>
      </c>
      <c r="F41" s="216"/>
      <c r="G41" s="48"/>
      <c r="H41" s="68"/>
    </row>
    <row r="42" spans="1:13" hidden="1" x14ac:dyDescent="0.25">
      <c r="A42" s="28"/>
      <c r="B42" s="14"/>
      <c r="C42" s="28"/>
      <c r="D42" s="218">
        <f t="shared" si="7"/>
        <v>0</v>
      </c>
      <c r="E42" s="219">
        <f>'Billing Det'!O18</f>
        <v>0</v>
      </c>
      <c r="F42" s="216"/>
      <c r="G42" s="48"/>
      <c r="H42" s="68"/>
    </row>
    <row r="43" spans="1:13" hidden="1" x14ac:dyDescent="0.25">
      <c r="A43" s="28"/>
      <c r="B43" s="14"/>
      <c r="C43" s="28"/>
      <c r="D43" s="218">
        <f t="shared" si="7"/>
        <v>0</v>
      </c>
      <c r="E43" s="219">
        <f>'Billing Det'!O19</f>
        <v>0</v>
      </c>
      <c r="F43" s="216"/>
      <c r="G43" s="48"/>
      <c r="H43" s="68"/>
    </row>
    <row r="44" spans="1:13" hidden="1" x14ac:dyDescent="0.25">
      <c r="A44" s="28"/>
      <c r="B44" s="14"/>
      <c r="C44" s="28"/>
      <c r="D44" s="218">
        <f t="shared" si="7"/>
        <v>0</v>
      </c>
      <c r="E44" s="219">
        <f>'Billing Det'!O20</f>
        <v>0</v>
      </c>
      <c r="F44" s="216"/>
      <c r="G44" s="48"/>
      <c r="H44" s="68"/>
    </row>
    <row r="45" spans="1:13" hidden="1" x14ac:dyDescent="0.25">
      <c r="A45" s="28"/>
      <c r="B45" s="14"/>
      <c r="C45" s="28"/>
      <c r="D45" s="218">
        <f t="shared" si="7"/>
        <v>0</v>
      </c>
      <c r="E45" s="219">
        <f>'Billing Det'!O21</f>
        <v>0</v>
      </c>
      <c r="F45" s="216"/>
      <c r="G45" s="48"/>
      <c r="H45" s="68"/>
    </row>
    <row r="46" spans="1:13" hidden="1" x14ac:dyDescent="0.25">
      <c r="A46" s="28"/>
      <c r="B46" s="14"/>
      <c r="C46" s="28"/>
      <c r="D46" s="218">
        <f t="shared" si="7"/>
        <v>0</v>
      </c>
      <c r="E46" s="219">
        <f>'Billing Det'!O22</f>
        <v>0</v>
      </c>
      <c r="F46" s="216"/>
      <c r="G46" s="48"/>
      <c r="H46" s="68"/>
    </row>
    <row r="47" spans="1:13" hidden="1" x14ac:dyDescent="0.25">
      <c r="A47" s="28"/>
      <c r="B47" s="14"/>
      <c r="C47" s="28"/>
      <c r="D47" s="218">
        <f t="shared" si="7"/>
        <v>0</v>
      </c>
      <c r="E47" s="219">
        <f>'Billing Det'!O23</f>
        <v>0</v>
      </c>
      <c r="F47" s="216"/>
      <c r="G47" s="48"/>
      <c r="H47" s="68"/>
    </row>
    <row r="48" spans="1:13" ht="18.600000000000001" customHeight="1" thickBot="1" x14ac:dyDescent="0.3">
      <c r="A48" s="70">
        <v>16</v>
      </c>
      <c r="B48" s="14"/>
      <c r="C48" s="71"/>
      <c r="D48" s="220">
        <f t="shared" si="7"/>
        <v>1</v>
      </c>
      <c r="E48" s="221">
        <f>SUM(E33:E39)</f>
        <v>1</v>
      </c>
      <c r="F48" s="216"/>
      <c r="G48" s="48"/>
      <c r="H48" s="73">
        <v>4.2429914432741189E-2</v>
      </c>
    </row>
    <row r="49" spans="6:6" ht="13.8" thickTop="1" x14ac:dyDescent="0.25">
      <c r="F49" s="216"/>
    </row>
  </sheetData>
  <phoneticPr fontId="0" type="noConversion"/>
  <conditionalFormatting sqref="D40:D44">
    <cfRule type="cellIs" dxfId="10" priority="27" stopIfTrue="1" operator="lessThan">
      <formula>$H$26</formula>
    </cfRule>
    <cfRule type="cellIs" dxfId="9" priority="28" stopIfTrue="1" operator="greaterThan">
      <formula>$H$26</formula>
    </cfRule>
  </conditionalFormatting>
  <conditionalFormatting sqref="H17">
    <cfRule type="cellIs" dxfId="8" priority="19" operator="greaterThan">
      <formula>$H$26</formula>
    </cfRule>
    <cfRule type="cellIs" dxfId="7" priority="20" operator="lessThan">
      <formula>$H$26</formula>
    </cfRule>
  </conditionalFormatting>
  <conditionalFormatting sqref="H40">
    <cfRule type="cellIs" dxfId="6" priority="1" operator="greaterThan">
      <formula>$H$26</formula>
    </cfRule>
    <cfRule type="cellIs" dxfId="5" priority="2" operator="lessThan">
      <formula>$H$26</formula>
    </cfRule>
  </conditionalFormatting>
  <pageMargins left="0.75" right="0.75" top="1" bottom="1" header="0.5" footer="0.5"/>
  <pageSetup scale="98" orientation="landscape" r:id="rId1"/>
  <headerFooter alignWithMargins="0">
    <oddFooter>&amp;RExhibit JW-3
Page &amp;P of &amp;N</oddFooter>
  </headerFooter>
  <ignoredErrors>
    <ignoredError sqref="F26 K14:K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abSelected="1" view="pageBreakPreview" zoomScaleNormal="100" zoomScaleSheetLayoutView="100" workbookViewId="0">
      <selection activeCell="H7" sqref="H7"/>
    </sheetView>
  </sheetViews>
  <sheetFormatPr defaultColWidth="9.109375" defaultRowHeight="13.2" x14ac:dyDescent="0.25"/>
  <cols>
    <col min="1" max="1" width="4.44140625" style="14" customWidth="1"/>
    <col min="2" max="2" width="46.44140625" style="28" bestFit="1" customWidth="1"/>
    <col min="3" max="3" width="3.44140625" style="48" customWidth="1"/>
    <col min="4" max="4" width="10.6640625" style="14" bestFit="1" customWidth="1"/>
    <col min="5" max="5" width="14.33203125" style="50" customWidth="1"/>
    <col min="6" max="6" width="9.109375" style="50" bestFit="1" customWidth="1"/>
    <col min="7" max="7" width="9.109375" style="14"/>
    <col min="8" max="8" width="6.88671875" style="50" bestFit="1" customWidth="1"/>
    <col min="9" max="9" width="9.88671875" style="50" bestFit="1" customWidth="1"/>
    <col min="10" max="10" width="2.33203125" style="50" customWidth="1"/>
    <col min="11" max="11" width="7.88671875" style="14" bestFit="1" customWidth="1"/>
    <col min="12" max="12" width="9.88671875" style="14" bestFit="1" customWidth="1"/>
    <col min="13" max="13" width="6.88671875" style="14" bestFit="1" customWidth="1"/>
    <col min="14" max="15" width="9.109375" style="14"/>
    <col min="16" max="16" width="9.109375" style="14" customWidth="1"/>
    <col min="17" max="16384" width="9.109375" style="14"/>
  </cols>
  <sheetData>
    <row r="1" spans="1:13" x14ac:dyDescent="0.25">
      <c r="A1" s="13" t="s">
        <v>1016</v>
      </c>
    </row>
    <row r="2" spans="1:13" x14ac:dyDescent="0.25">
      <c r="A2" s="13" t="s">
        <v>964</v>
      </c>
      <c r="C2" s="51"/>
      <c r="E2" s="52"/>
      <c r="F2" s="52"/>
      <c r="H2" s="253"/>
      <c r="I2" s="253"/>
      <c r="J2" s="253"/>
      <c r="K2" s="253"/>
    </row>
    <row r="3" spans="1:13" x14ac:dyDescent="0.25">
      <c r="A3" s="13"/>
      <c r="C3" s="13"/>
      <c r="E3" s="55"/>
      <c r="F3" s="56"/>
      <c r="H3" s="55"/>
      <c r="I3" s="55"/>
      <c r="J3" s="55"/>
      <c r="K3" s="56"/>
    </row>
    <row r="4" spans="1:13" x14ac:dyDescent="0.25">
      <c r="D4" s="254" t="s">
        <v>1187</v>
      </c>
      <c r="E4" s="255"/>
      <c r="F4" s="256"/>
    </row>
    <row r="5" spans="1:13" s="58" customFormat="1" x14ac:dyDescent="0.25">
      <c r="I5" s="60"/>
      <c r="J5" s="60"/>
      <c r="K5" s="61"/>
    </row>
    <row r="6" spans="1:13" s="58" customFormat="1" x14ac:dyDescent="0.25">
      <c r="C6" s="13"/>
      <c r="D6" s="77" t="s">
        <v>723</v>
      </c>
      <c r="E6" s="78" t="s">
        <v>11</v>
      </c>
      <c r="F6" s="77" t="s">
        <v>10</v>
      </c>
      <c r="H6" s="60"/>
      <c r="I6" s="60"/>
      <c r="J6" s="60"/>
      <c r="K6" s="61"/>
    </row>
    <row r="7" spans="1:13" s="58" customFormat="1" ht="13.8" thickBot="1" x14ac:dyDescent="0.3">
      <c r="A7" s="63" t="s">
        <v>952</v>
      </c>
      <c r="B7" s="64" t="s">
        <v>752</v>
      </c>
      <c r="C7" s="48"/>
      <c r="D7" s="65" t="s">
        <v>960</v>
      </c>
      <c r="E7" s="65" t="s">
        <v>961</v>
      </c>
      <c r="F7" s="65" t="s">
        <v>962</v>
      </c>
      <c r="G7" s="61"/>
      <c r="I7" s="60"/>
      <c r="J7" s="60"/>
      <c r="K7" s="60"/>
      <c r="L7" s="61"/>
    </row>
    <row r="8" spans="1:13" x14ac:dyDescent="0.25">
      <c r="A8" s="28"/>
      <c r="B8" s="13"/>
      <c r="C8" s="13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5">
      <c r="A9" s="28">
        <v>1</v>
      </c>
      <c r="B9" s="14" t="str">
        <f>'Summary of Returns'!B10</f>
        <v>R - Residential</v>
      </c>
      <c r="D9" s="46">
        <f>'Alloc &amp; Returns'!F648</f>
        <v>51.675870612469922</v>
      </c>
      <c r="E9" s="49">
        <f>'Alloc &amp; Returns'!F649</f>
        <v>0.10282179727651891</v>
      </c>
      <c r="F9" s="33"/>
      <c r="G9" s="61"/>
      <c r="H9" s="58"/>
      <c r="I9" s="60"/>
      <c r="J9" s="60"/>
      <c r="K9" s="60"/>
      <c r="L9" s="61"/>
      <c r="M9" s="58"/>
    </row>
    <row r="10" spans="1:13" x14ac:dyDescent="0.25">
      <c r="A10" s="28">
        <v>2</v>
      </c>
      <c r="B10" s="14" t="str">
        <f>'Summary of Returns'!B11</f>
        <v>C-1 Small Commercial Single Phase</v>
      </c>
      <c r="C10" s="13"/>
      <c r="D10" s="46">
        <f>'Alloc &amp; Returns'!G648</f>
        <v>58.312216052211681</v>
      </c>
      <c r="E10" s="49">
        <f>'Alloc &amp; Returns'!G649</f>
        <v>6.8385245546033577E-2</v>
      </c>
      <c r="F10" s="33"/>
      <c r="G10" s="61"/>
      <c r="H10" s="58"/>
      <c r="I10" s="60"/>
      <c r="J10" s="60"/>
      <c r="K10" s="60"/>
      <c r="L10" s="61"/>
      <c r="M10" s="58"/>
    </row>
    <row r="11" spans="1:13" x14ac:dyDescent="0.25">
      <c r="A11" s="28">
        <v>3</v>
      </c>
      <c r="B11" s="14" t="str">
        <f>'Summary of Returns'!B12</f>
        <v>C-3 Small Commercial Three Phase</v>
      </c>
      <c r="D11" s="46">
        <f>'Alloc &amp; Returns'!H648</f>
        <v>77.651292467374091</v>
      </c>
      <c r="E11" s="49">
        <f>'Alloc &amp; Returns'!H649</f>
        <v>9.4669479599515147E-2</v>
      </c>
      <c r="F11" s="209"/>
      <c r="G11" s="61"/>
      <c r="H11" s="58"/>
      <c r="I11" s="60"/>
      <c r="J11" s="60"/>
      <c r="K11" s="60"/>
      <c r="L11" s="61"/>
      <c r="M11" s="58"/>
    </row>
    <row r="12" spans="1:13" x14ac:dyDescent="0.25">
      <c r="A12" s="28">
        <v>4</v>
      </c>
      <c r="B12" s="14" t="str">
        <f>'Summary of Returns'!B13</f>
        <v>D - Commercial and Industrial Demand &lt; 3,000 kW</v>
      </c>
      <c r="C12" s="13"/>
      <c r="D12" s="48">
        <f>'Alloc &amp; Returns'!I648</f>
        <v>109.6392387863314</v>
      </c>
      <c r="E12" s="49">
        <f>'Alloc &amp; Returns'!I649</f>
        <v>5.3309988398735096E-2</v>
      </c>
      <c r="F12" s="48">
        <f>'Alloc &amp; Returns'!I650</f>
        <v>11.516837843940428</v>
      </c>
      <c r="G12" s="61"/>
      <c r="H12" s="58"/>
      <c r="I12" s="60"/>
      <c r="J12" s="60"/>
      <c r="K12" s="60"/>
      <c r="L12" s="61"/>
      <c r="M12" s="58"/>
    </row>
    <row r="13" spans="1:13" x14ac:dyDescent="0.25">
      <c r="A13" s="28">
        <v>5</v>
      </c>
      <c r="B13" s="14" t="str">
        <f>'Summary of Returns'!B15</f>
        <v>I-E - Large Commercial Existing</v>
      </c>
      <c r="C13" s="13"/>
      <c r="D13" s="48">
        <f>'Alloc &amp; Returns'!K648</f>
        <v>511.07808423779824</v>
      </c>
      <c r="E13" s="49">
        <f>'Alloc &amp; Returns'!K649</f>
        <v>5.2783847367329363E-2</v>
      </c>
      <c r="F13" s="48">
        <f>'Alloc &amp; Returns'!K650</f>
        <v>13.023410943419702</v>
      </c>
      <c r="G13" s="61"/>
      <c r="H13" s="58"/>
      <c r="I13" s="60"/>
      <c r="J13" s="60"/>
      <c r="K13" s="60"/>
      <c r="L13" s="61"/>
      <c r="M13" s="58"/>
    </row>
    <row r="14" spans="1:13" x14ac:dyDescent="0.25">
      <c r="A14" s="28"/>
      <c r="B14" s="14"/>
      <c r="D14" s="48"/>
      <c r="E14" s="48"/>
      <c r="F14" s="48"/>
      <c r="G14" s="48"/>
      <c r="H14" s="58"/>
      <c r="I14" s="60"/>
      <c r="J14" s="60"/>
      <c r="K14" s="60"/>
      <c r="L14" s="61"/>
      <c r="M14" s="58"/>
    </row>
    <row r="15" spans="1:13" ht="15" customHeight="1" x14ac:dyDescent="0.25">
      <c r="A15" s="28"/>
      <c r="B15" s="14"/>
      <c r="C15" s="13"/>
      <c r="D15" s="13"/>
      <c r="E15" s="13"/>
      <c r="F15" s="13"/>
      <c r="G15" s="13"/>
      <c r="H15" s="58"/>
      <c r="I15" s="60"/>
      <c r="J15" s="60"/>
      <c r="K15" s="60"/>
      <c r="L15" s="61"/>
      <c r="M15" s="58"/>
    </row>
    <row r="16" spans="1:13" ht="15" customHeight="1" x14ac:dyDescent="0.25">
      <c r="A16" s="28"/>
      <c r="B16" s="14"/>
      <c r="G16" s="61"/>
      <c r="K16" s="50"/>
    </row>
    <row r="17" spans="1:11" ht="15" customHeight="1" x14ac:dyDescent="0.25">
      <c r="A17" s="28"/>
      <c r="B17" s="14"/>
      <c r="C17" s="13"/>
      <c r="E17" s="55"/>
      <c r="F17" s="56"/>
      <c r="G17" s="61"/>
      <c r="K17" s="50"/>
    </row>
    <row r="18" spans="1:11" ht="15" customHeight="1" x14ac:dyDescent="0.25">
      <c r="A18" s="28"/>
      <c r="B18" s="14"/>
      <c r="G18" s="61"/>
      <c r="K18" s="50"/>
    </row>
    <row r="19" spans="1:11" ht="15" customHeight="1" x14ac:dyDescent="0.25">
      <c r="A19" s="28"/>
      <c r="B19" s="14"/>
      <c r="C19" s="13"/>
      <c r="E19" s="55"/>
      <c r="F19" s="56"/>
      <c r="G19" s="61"/>
      <c r="K19" s="50"/>
    </row>
    <row r="20" spans="1:11" ht="15" customHeight="1" x14ac:dyDescent="0.25">
      <c r="A20" s="28"/>
      <c r="B20" s="14"/>
      <c r="G20" s="61"/>
      <c r="K20" s="50"/>
    </row>
    <row r="21" spans="1:11" ht="15" customHeight="1" x14ac:dyDescent="0.25">
      <c r="A21" s="28"/>
      <c r="B21" s="14"/>
      <c r="C21" s="13"/>
      <c r="E21" s="55"/>
      <c r="F21" s="56"/>
      <c r="G21" s="61"/>
      <c r="K21" s="50"/>
    </row>
    <row r="22" spans="1:11" ht="15" customHeight="1" x14ac:dyDescent="0.25">
      <c r="A22" s="28"/>
      <c r="B22" s="14"/>
      <c r="G22" s="61"/>
      <c r="K22" s="50"/>
    </row>
    <row r="23" spans="1:11" x14ac:dyDescent="0.25">
      <c r="A23" s="28"/>
      <c r="B23" s="14"/>
      <c r="C23" s="13"/>
      <c r="G23" s="61"/>
      <c r="K23" s="50"/>
    </row>
    <row r="24" spans="1:11" s="74" customFormat="1" ht="26.25" customHeight="1" x14ac:dyDescent="0.25">
      <c r="A24" s="70"/>
      <c r="B24" s="14"/>
      <c r="C24" s="48"/>
      <c r="G24" s="61"/>
      <c r="J24" s="79"/>
      <c r="K24" s="79"/>
    </row>
    <row r="25" spans="1:11" x14ac:dyDescent="0.25">
      <c r="A25" s="70"/>
      <c r="B25" s="14"/>
      <c r="D25" s="74"/>
      <c r="E25" s="74"/>
      <c r="F25" s="74"/>
      <c r="G25" s="61"/>
      <c r="K25" s="50"/>
    </row>
    <row r="26" spans="1:11" x14ac:dyDescent="0.25">
      <c r="A26" s="70"/>
      <c r="B26" s="14"/>
      <c r="D26" s="74"/>
      <c r="E26" s="74"/>
      <c r="F26" s="74"/>
      <c r="G26" s="50"/>
      <c r="H26" s="58"/>
      <c r="I26" s="60"/>
      <c r="K26" s="50"/>
    </row>
    <row r="27" spans="1:11" x14ac:dyDescent="0.25">
      <c r="A27" s="70"/>
      <c r="B27" s="14"/>
      <c r="D27" s="74"/>
      <c r="E27" s="74"/>
      <c r="F27" s="74"/>
      <c r="G27" s="50"/>
      <c r="H27" s="58"/>
      <c r="I27" s="60"/>
      <c r="K27" s="50"/>
    </row>
    <row r="28" spans="1:11" x14ac:dyDescent="0.25">
      <c r="A28" s="70"/>
      <c r="B28" s="14"/>
      <c r="D28" s="74"/>
      <c r="E28" s="74"/>
      <c r="F28" s="74"/>
      <c r="G28" s="50"/>
      <c r="H28" s="58"/>
      <c r="I28" s="60"/>
      <c r="K28" s="50"/>
    </row>
    <row r="29" spans="1:11" x14ac:dyDescent="0.25">
      <c r="A29" s="70"/>
      <c r="B29" s="14"/>
      <c r="C29" s="13"/>
      <c r="D29" s="74"/>
      <c r="E29" s="74"/>
      <c r="F29" s="74"/>
      <c r="G29" s="50"/>
      <c r="H29" s="14"/>
      <c r="K29" s="50"/>
    </row>
    <row r="30" spans="1:11" x14ac:dyDescent="0.25">
      <c r="A30" s="70"/>
      <c r="B30" s="14"/>
      <c r="D30" s="74"/>
      <c r="E30" s="74"/>
      <c r="F30" s="74"/>
      <c r="G30" s="50"/>
      <c r="H30" s="14"/>
      <c r="K30" s="50"/>
    </row>
    <row r="31" spans="1:11" x14ac:dyDescent="0.25">
      <c r="A31" s="70"/>
      <c r="B31" s="14"/>
      <c r="C31" s="13"/>
      <c r="D31" s="74"/>
      <c r="E31" s="74"/>
      <c r="F31" s="74"/>
      <c r="G31" s="50"/>
      <c r="H31" s="14"/>
      <c r="K31" s="50"/>
    </row>
    <row r="32" spans="1:11" x14ac:dyDescent="0.25">
      <c r="A32" s="70"/>
      <c r="B32" s="14"/>
      <c r="D32" s="74"/>
      <c r="E32" s="74"/>
      <c r="F32" s="74"/>
      <c r="G32" s="50"/>
      <c r="H32" s="14"/>
      <c r="K32" s="50"/>
    </row>
    <row r="33" spans="1:11" x14ac:dyDescent="0.25">
      <c r="A33" s="70"/>
      <c r="B33" s="14"/>
      <c r="C33" s="13"/>
      <c r="D33" s="74"/>
      <c r="E33" s="74"/>
      <c r="F33" s="74"/>
      <c r="G33" s="50"/>
      <c r="H33" s="14"/>
      <c r="K33" s="50"/>
    </row>
    <row r="34" spans="1:11" x14ac:dyDescent="0.25">
      <c r="A34" s="70"/>
      <c r="B34" s="14"/>
      <c r="D34" s="74"/>
      <c r="E34" s="74"/>
      <c r="F34" s="74"/>
      <c r="G34" s="50"/>
      <c r="H34" s="14"/>
      <c r="K34" s="50"/>
    </row>
    <row r="35" spans="1:11" x14ac:dyDescent="0.25">
      <c r="A35" s="70"/>
      <c r="B35" s="14"/>
      <c r="C35" s="13"/>
      <c r="D35" s="74"/>
      <c r="E35" s="74"/>
      <c r="F35" s="74"/>
    </row>
    <row r="36" spans="1:11" x14ac:dyDescent="0.25">
      <c r="A36" s="70"/>
      <c r="B36" s="14"/>
      <c r="D36" s="74"/>
      <c r="E36" s="74"/>
      <c r="F36" s="74"/>
    </row>
    <row r="37" spans="1:11" x14ac:dyDescent="0.25">
      <c r="A37" s="70"/>
      <c r="B37" s="14"/>
      <c r="C37" s="13"/>
      <c r="D37" s="74"/>
      <c r="E37" s="74"/>
      <c r="F37" s="74"/>
    </row>
    <row r="38" spans="1:11" x14ac:dyDescent="0.25">
      <c r="A38" s="70"/>
      <c r="B38" s="14"/>
      <c r="D38" s="74"/>
      <c r="E38" s="74"/>
      <c r="F38" s="74"/>
    </row>
    <row r="39" spans="1:11" x14ac:dyDescent="0.25">
      <c r="A39" s="28"/>
      <c r="B39" s="14"/>
      <c r="C39" s="13"/>
      <c r="D39" s="74"/>
      <c r="E39" s="74"/>
      <c r="F39" s="74"/>
    </row>
    <row r="40" spans="1:11" x14ac:dyDescent="0.25">
      <c r="A40" s="28"/>
      <c r="B40" s="14"/>
      <c r="D40" s="74"/>
      <c r="E40" s="74"/>
      <c r="F40" s="74"/>
    </row>
    <row r="41" spans="1:11" x14ac:dyDescent="0.25">
      <c r="A41" s="28"/>
      <c r="B41" s="14"/>
      <c r="C41" s="13"/>
      <c r="D41" s="74"/>
      <c r="E41" s="74"/>
      <c r="F41" s="74"/>
    </row>
    <row r="42" spans="1:11" x14ac:dyDescent="0.25">
      <c r="A42" s="28"/>
      <c r="B42" s="14"/>
      <c r="D42" s="74"/>
      <c r="E42" s="74"/>
      <c r="F42" s="74"/>
    </row>
    <row r="43" spans="1:11" x14ac:dyDescent="0.25">
      <c r="A43" s="28"/>
      <c r="B43" s="14"/>
      <c r="C43" s="13"/>
    </row>
    <row r="44" spans="1:11" x14ac:dyDescent="0.25">
      <c r="A44" s="28"/>
      <c r="B44" s="14"/>
    </row>
    <row r="45" spans="1:11" x14ac:dyDescent="0.25">
      <c r="A45" s="28"/>
      <c r="B45" s="14"/>
      <c r="C45" s="13"/>
    </row>
    <row r="46" spans="1:11" x14ac:dyDescent="0.25">
      <c r="A46" s="70"/>
      <c r="B46" s="74"/>
    </row>
    <row r="47" spans="1:11" x14ac:dyDescent="0.25">
      <c r="A47" s="70"/>
      <c r="B47" s="74"/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8"/>
  <sheetViews>
    <sheetView view="pageBreakPreview" zoomScale="75" zoomScaleNormal="100" zoomScaleSheetLayoutView="75" workbookViewId="0">
      <pane xSplit="6" ySplit="3" topLeftCell="G460" activePane="bottomRight" state="frozen"/>
      <selection activeCell="K26" sqref="K26"/>
      <selection pane="topRight" activeCell="K26" sqref="K26"/>
      <selection pane="bottomLeft" activeCell="K26" sqref="K26"/>
      <selection pane="bottomRight" activeCell="H463" sqref="H463"/>
    </sheetView>
  </sheetViews>
  <sheetFormatPr defaultColWidth="9.109375" defaultRowHeight="13.2" x14ac:dyDescent="0.25"/>
  <cols>
    <col min="1" max="1" width="7.6640625" style="14" customWidth="1"/>
    <col min="2" max="2" width="47.5546875" style="14" customWidth="1"/>
    <col min="3" max="3" width="12.88671875" style="14" customWidth="1"/>
    <col min="4" max="4" width="12.44140625" style="14" customWidth="1"/>
    <col min="5" max="5" width="2.6640625" style="14" customWidth="1"/>
    <col min="6" max="6" width="18.88671875" style="14" customWidth="1"/>
    <col min="7" max="7" width="2.5546875" style="14" customWidth="1"/>
    <col min="8" max="8" width="17.109375" style="14" customWidth="1"/>
    <col min="9" max="9" width="14.88671875" style="14" customWidth="1"/>
    <col min="10" max="10" width="2.6640625" style="14" customWidth="1"/>
    <col min="11" max="11" width="16.33203125" style="14" customWidth="1"/>
    <col min="12" max="12" width="2.6640625" style="14" customWidth="1"/>
    <col min="13" max="13" width="24.6640625" style="14" bestFit="1" customWidth="1"/>
    <col min="14" max="14" width="3.88671875" style="14" customWidth="1"/>
    <col min="15" max="15" width="16.33203125" style="14" customWidth="1"/>
    <col min="16" max="16" width="15.5546875" style="14" customWidth="1"/>
    <col min="17" max="17" width="1.88671875" style="80" customWidth="1"/>
    <col min="18" max="18" width="13.6640625" style="14" customWidth="1"/>
    <col min="19" max="19" width="15.109375" style="14" customWidth="1"/>
    <col min="20" max="20" width="1.88671875" style="14" customWidth="1"/>
    <col min="21" max="21" width="14.33203125" style="14" bestFit="1" customWidth="1"/>
    <col min="22" max="22" width="1.88671875" style="14" customWidth="1"/>
    <col min="23" max="23" width="13.88671875" style="14" customWidth="1"/>
    <col min="24" max="24" width="1.88671875" style="14" customWidth="1"/>
    <col min="25" max="25" width="15" style="14" customWidth="1"/>
    <col min="26" max="26" width="1.88671875" style="14" customWidth="1"/>
    <col min="27" max="27" width="14.109375" style="14" customWidth="1"/>
    <col min="28" max="28" width="16.109375" style="14" customWidth="1"/>
    <col min="29" max="29" width="14.6640625" style="14" customWidth="1"/>
    <col min="30" max="30" width="12.88671875" style="14" customWidth="1"/>
    <col min="31" max="31" width="9.109375" style="14"/>
    <col min="32" max="32" width="18.109375" style="14" customWidth="1"/>
    <col min="33" max="16384" width="9.109375" style="14"/>
  </cols>
  <sheetData>
    <row r="1" spans="1:30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AC1" s="28" t="str">
        <f>IF(COUNTIF(AC4:AC490,"err"),"err","ok")</f>
        <v>ok</v>
      </c>
    </row>
    <row r="2" spans="1:30" ht="48" customHeight="1" thickBot="1" x14ac:dyDescent="0.3">
      <c r="A2" s="13"/>
      <c r="B2" s="13"/>
      <c r="C2" s="22"/>
      <c r="D2" s="15" t="s">
        <v>207</v>
      </c>
      <c r="E2" s="22"/>
      <c r="F2" s="22" t="s">
        <v>0</v>
      </c>
      <c r="G2" s="22"/>
      <c r="H2" s="81" t="s">
        <v>907</v>
      </c>
      <c r="I2" s="81"/>
      <c r="K2" s="82" t="s">
        <v>349</v>
      </c>
      <c r="L2" s="13"/>
      <c r="M2" s="82" t="s">
        <v>1</v>
      </c>
      <c r="N2" s="83"/>
      <c r="O2" s="81" t="s">
        <v>355</v>
      </c>
      <c r="P2" s="81"/>
      <c r="Q2" s="13"/>
      <c r="R2" s="81" t="s">
        <v>3</v>
      </c>
      <c r="S2" s="81"/>
      <c r="T2" s="13"/>
      <c r="U2" s="84" t="s">
        <v>4</v>
      </c>
      <c r="V2" s="22"/>
      <c r="W2" s="82" t="s">
        <v>754</v>
      </c>
      <c r="X2" s="83"/>
      <c r="Y2" s="82" t="s">
        <v>1003</v>
      </c>
      <c r="Z2" s="83"/>
      <c r="AA2" s="82" t="s">
        <v>470</v>
      </c>
      <c r="AB2" s="13"/>
      <c r="AC2" s="13"/>
    </row>
    <row r="3" spans="1:30" ht="13.8" thickBot="1" x14ac:dyDescent="0.3">
      <c r="A3" s="85" t="s">
        <v>6</v>
      </c>
      <c r="B3" s="85"/>
      <c r="C3" s="86" t="s">
        <v>7</v>
      </c>
      <c r="D3" s="86" t="s">
        <v>8</v>
      </c>
      <c r="E3" s="84"/>
      <c r="F3" s="84" t="s">
        <v>9</v>
      </c>
      <c r="G3" s="87"/>
      <c r="H3" s="84" t="s">
        <v>10</v>
      </c>
      <c r="I3" s="84" t="s">
        <v>11</v>
      </c>
      <c r="J3" s="84"/>
      <c r="K3" s="84" t="s">
        <v>10</v>
      </c>
      <c r="L3" s="84"/>
      <c r="M3" s="84" t="s">
        <v>10</v>
      </c>
      <c r="N3" s="84"/>
      <c r="O3" s="84" t="s">
        <v>10</v>
      </c>
      <c r="P3" s="84" t="s">
        <v>12</v>
      </c>
      <c r="Q3" s="81"/>
      <c r="R3" s="84" t="s">
        <v>10</v>
      </c>
      <c r="S3" s="84" t="s">
        <v>12</v>
      </c>
      <c r="T3" s="84"/>
      <c r="U3" s="84" t="s">
        <v>12</v>
      </c>
      <c r="V3" s="84"/>
      <c r="W3" s="84" t="s">
        <v>12</v>
      </c>
      <c r="X3" s="84"/>
      <c r="Y3" s="84" t="s">
        <v>12</v>
      </c>
      <c r="Z3" s="84"/>
      <c r="AA3" s="84" t="s">
        <v>12</v>
      </c>
      <c r="AB3" s="84" t="s">
        <v>13</v>
      </c>
      <c r="AC3" s="88" t="s">
        <v>14</v>
      </c>
    </row>
    <row r="4" spans="1:30" x14ac:dyDescent="0.25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9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5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9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5">
      <c r="AC6" s="28"/>
    </row>
    <row r="7" spans="1:30" x14ac:dyDescent="0.25">
      <c r="A7" s="26" t="s">
        <v>357</v>
      </c>
      <c r="AC7" s="28"/>
    </row>
    <row r="8" spans="1:30" x14ac:dyDescent="0.25">
      <c r="A8" s="90">
        <v>301</v>
      </c>
      <c r="B8" s="14" t="s">
        <v>359</v>
      </c>
      <c r="C8" s="14" t="s">
        <v>360</v>
      </c>
      <c r="D8" s="14" t="s">
        <v>392</v>
      </c>
      <c r="F8" s="67">
        <v>0</v>
      </c>
      <c r="H8" s="50">
        <f>IF(VLOOKUP($D8,$C$5:$AA$496,6,)=0,0,((VLOOKUP($D8,$C$5:$AA$496,6,)/VLOOKUP($D8,$C$5:$AA$496,4,))*$F8))</f>
        <v>0</v>
      </c>
      <c r="I8" s="50">
        <f>IF(VLOOKUP($D8,$C$5:$AA$496,7,)=0,0,((VLOOKUP($D8,$C$5:$AA$496,7,)/VLOOKUP($D8,$C$5:$AA$496,4,))*$F8))</f>
        <v>0</v>
      </c>
      <c r="J8" s="50"/>
      <c r="K8" s="50">
        <f>IF(VLOOKUP($D8,$C$5:$AA$496,9,)=0,0,((VLOOKUP($D8,$C$5:$AA$496,9,)/VLOOKUP($D8,$C$5:$AA$496,4,))*$F8))</f>
        <v>0</v>
      </c>
      <c r="L8" s="50"/>
      <c r="M8" s="50">
        <f>IF(VLOOKUP($D8,$C$5:$AA$496,11,)=0,0,((VLOOKUP($D8,$C$5:$AA$496,11,)/VLOOKUP($D8,$C$5:$AA$496,4,))*$F8))</f>
        <v>0</v>
      </c>
      <c r="N8" s="50"/>
      <c r="O8" s="50">
        <f>IF(VLOOKUP($D8,$C$5:$AA$496,13,)=0,0,((VLOOKUP($D8,$C$5:$AA$496,13,)/VLOOKUP($D8,$C$5:$AA$496,4,))*$F8))</f>
        <v>0</v>
      </c>
      <c r="P8" s="50">
        <f>IF(VLOOKUP($D8,$C$5:$AA$496,14,)=0,0,((VLOOKUP($D8,$C$5:$AA$496,14,)/VLOOKUP($D8,$C$5:$AA$496,4,))*$F8))</f>
        <v>0</v>
      </c>
      <c r="Q8" s="50"/>
      <c r="R8" s="50">
        <f>IF(VLOOKUP($D8,$C$5:$AA$496,16,)=0,0,((VLOOKUP($D8,$C$5:$AA$496,16,)/VLOOKUP($D8,$C$5:$AA$496,4,))*$F8))</f>
        <v>0</v>
      </c>
      <c r="S8" s="50">
        <f>IF(VLOOKUP($D8,$C$5:$AA$496,17,)=0,0,((VLOOKUP($D8,$C$5:$AA$496,17,)/VLOOKUP($D8,$C$5:$AA$496,4,))*$F8))</f>
        <v>0</v>
      </c>
      <c r="T8" s="50"/>
      <c r="U8" s="50">
        <f>IF(VLOOKUP($D8,$C$5:$AA$496,19,)=0,0,((VLOOKUP($D8,$C$5:$AA$496,19,)/VLOOKUP($D8,$C$5:$AA$496,4,))*$F8))</f>
        <v>0</v>
      </c>
      <c r="V8" s="50"/>
      <c r="W8" s="50">
        <f>IF(VLOOKUP($D8,$C$5:$AA$496,21,)=0,0,((VLOOKUP($D8,$C$5:$AA$496,21,)/VLOOKUP($D8,$C$5:$AA$496,4,))*$F8))</f>
        <v>0</v>
      </c>
      <c r="X8" s="50"/>
      <c r="Y8" s="50">
        <f>IF(VLOOKUP($D8,$C$5:$AA$496,23,)=0,0,((VLOOKUP($D8,$C$5:$AA$496,23,)/VLOOKUP($D8,$C$5:$AA$496,4,))*$F8))</f>
        <v>0</v>
      </c>
      <c r="Z8" s="50"/>
      <c r="AA8" s="50">
        <f>IF(VLOOKUP($D8,$C$5:$AA$496,25,)=0,0,((VLOOKUP($D8,$C$5:$AA$496,25,)/VLOOKUP($D8,$C$5:$AA$496,4,))*$F8))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5">
      <c r="A9" s="90">
        <v>302</v>
      </c>
      <c r="B9" s="14" t="s">
        <v>828</v>
      </c>
      <c r="C9" s="14" t="s">
        <v>829</v>
      </c>
      <c r="D9" s="14" t="s">
        <v>392</v>
      </c>
      <c r="F9" s="50">
        <v>0</v>
      </c>
      <c r="H9" s="50">
        <f>IF(VLOOKUP($D9,$C$5:$AA$496,6,)=0,0,((VLOOKUP($D9,$C$5:$AA$496,6,)/VLOOKUP($D9,$C$5:$AA$496,4,))*$F9))</f>
        <v>0</v>
      </c>
      <c r="I9" s="50">
        <f>IF(VLOOKUP($D9,$C$5:$AA$496,7,)=0,0,((VLOOKUP($D9,$C$5:$AA$496,7,)/VLOOKUP($D9,$C$5:$AA$496,4,))*$F9))</f>
        <v>0</v>
      </c>
      <c r="J9" s="50"/>
      <c r="K9" s="50">
        <f>IF(VLOOKUP($D9,$C$5:$AA$496,9,)=0,0,((VLOOKUP($D9,$C$5:$AA$496,9,)/VLOOKUP($D9,$C$5:$AA$496,4,))*$F9))</f>
        <v>0</v>
      </c>
      <c r="L9" s="50"/>
      <c r="M9" s="50">
        <f>IF(VLOOKUP($D9,$C$5:$AA$496,11,)=0,0,((VLOOKUP($D9,$C$5:$AA$496,11,)/VLOOKUP($D9,$C$5:$AA$496,4,))*$F9))</f>
        <v>0</v>
      </c>
      <c r="N9" s="50"/>
      <c r="O9" s="50">
        <f>IF(VLOOKUP($D9,$C$5:$AA$496,13,)=0,0,((VLOOKUP($D9,$C$5:$AA$496,13,)/VLOOKUP($D9,$C$5:$AA$496,4,))*$F9))</f>
        <v>0</v>
      </c>
      <c r="P9" s="50">
        <f>IF(VLOOKUP($D9,$C$5:$AA$496,14,)=0,0,((VLOOKUP($D9,$C$5:$AA$496,14,)/VLOOKUP($D9,$C$5:$AA$496,4,))*$F9))</f>
        <v>0</v>
      </c>
      <c r="Q9" s="50"/>
      <c r="R9" s="50">
        <f>IF(VLOOKUP($D9,$C$5:$AA$496,16,)=0,0,((VLOOKUP($D9,$C$5:$AA$496,16,)/VLOOKUP($D9,$C$5:$AA$496,4,))*$F9))</f>
        <v>0</v>
      </c>
      <c r="S9" s="50">
        <f>IF(VLOOKUP($D9,$C$5:$AA$496,17,)=0,0,((VLOOKUP($D9,$C$5:$AA$496,17,)/VLOOKUP($D9,$C$5:$AA$496,4,))*$F9))</f>
        <v>0</v>
      </c>
      <c r="T9" s="50"/>
      <c r="U9" s="50">
        <f>IF(VLOOKUP($D9,$C$5:$AA$496,19,)=0,0,((VLOOKUP($D9,$C$5:$AA$496,19,)/VLOOKUP($D9,$C$5:$AA$496,4,))*$F9))</f>
        <v>0</v>
      </c>
      <c r="V9" s="50"/>
      <c r="W9" s="50">
        <f>IF(VLOOKUP($D9,$C$5:$AA$496,21,)=0,0,((VLOOKUP($D9,$C$5:$AA$496,21,)/VLOOKUP($D9,$C$5:$AA$496,4,))*$F9))</f>
        <v>0</v>
      </c>
      <c r="X9" s="50"/>
      <c r="Y9" s="50">
        <f>IF(VLOOKUP($D9,$C$5:$AA$496,23,)=0,0,((VLOOKUP($D9,$C$5:$AA$496,23,)/VLOOKUP($D9,$C$5:$AA$496,4,))*$F9))</f>
        <v>0</v>
      </c>
      <c r="Z9" s="50"/>
      <c r="AA9" s="50">
        <f>IF(VLOOKUP($D9,$C$5:$AA$496,25,)=0,0,((VLOOKUP($D9,$C$5:$AA$496,25,)/VLOOKUP($D9,$C$5:$AA$496,4,))*$F9))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5">
      <c r="A10" s="90">
        <v>303</v>
      </c>
      <c r="B10" s="14" t="s">
        <v>704</v>
      </c>
      <c r="C10" s="14" t="s">
        <v>705</v>
      </c>
      <c r="D10" s="14" t="s">
        <v>392</v>
      </c>
      <c r="F10" s="50">
        <v>0</v>
      </c>
      <c r="H10" s="50">
        <f>IF(VLOOKUP($D10,$C$5:$AA$496,6,)=0,0,((VLOOKUP($D10,$C$5:$AA$496,6,)/VLOOKUP($D10,$C$5:$AA$496,4,))*$F10))</f>
        <v>0</v>
      </c>
      <c r="I10" s="50">
        <f>IF(VLOOKUP($D10,$C$5:$AA$496,7,)=0,0,((VLOOKUP($D10,$C$5:$AA$496,7,)/VLOOKUP($D10,$C$5:$AA$496,4,))*$F10))</f>
        <v>0</v>
      </c>
      <c r="J10" s="50"/>
      <c r="K10" s="50">
        <f>IF(VLOOKUP($D10,$C$5:$AA$496,9,)=0,0,((VLOOKUP($D10,$C$5:$AA$496,9,)/VLOOKUP($D10,$C$5:$AA$496,4,))*$F10))</f>
        <v>0</v>
      </c>
      <c r="L10" s="50"/>
      <c r="M10" s="50">
        <f>IF(VLOOKUP($D10,$C$5:$AA$496,11,)=0,0,((VLOOKUP($D10,$C$5:$AA$496,11,)/VLOOKUP($D10,$C$5:$AA$496,4,))*$F10))</f>
        <v>0</v>
      </c>
      <c r="N10" s="50"/>
      <c r="O10" s="50">
        <f>IF(VLOOKUP($D10,$C$5:$AA$496,13,)=0,0,((VLOOKUP($D10,$C$5:$AA$496,13,)/VLOOKUP($D10,$C$5:$AA$496,4,))*$F10))</f>
        <v>0</v>
      </c>
      <c r="P10" s="50">
        <f>IF(VLOOKUP($D10,$C$5:$AA$496,14,)=0,0,((VLOOKUP($D10,$C$5:$AA$496,14,)/VLOOKUP($D10,$C$5:$AA$496,4,))*$F10))</f>
        <v>0</v>
      </c>
      <c r="Q10" s="50"/>
      <c r="R10" s="50">
        <f>IF(VLOOKUP($D10,$C$5:$AA$496,16,)=0,0,((VLOOKUP($D10,$C$5:$AA$496,16,)/VLOOKUP($D10,$C$5:$AA$496,4,))*$F10))</f>
        <v>0</v>
      </c>
      <c r="S10" s="50">
        <f>IF(VLOOKUP($D10,$C$5:$AA$496,17,)=0,0,((VLOOKUP($D10,$C$5:$AA$496,17,)/VLOOKUP($D10,$C$5:$AA$496,4,))*$F10))</f>
        <v>0</v>
      </c>
      <c r="T10" s="50"/>
      <c r="U10" s="50">
        <f>IF(VLOOKUP($D10,$C$5:$AA$496,19,)=0,0,((VLOOKUP($D10,$C$5:$AA$496,19,)/VLOOKUP($D10,$C$5:$AA$496,4,))*$F10))</f>
        <v>0</v>
      </c>
      <c r="V10" s="50"/>
      <c r="W10" s="50">
        <f>IF(VLOOKUP($D10,$C$5:$AA$496,21,)=0,0,((VLOOKUP($D10,$C$5:$AA$496,21,)/VLOOKUP($D10,$C$5:$AA$496,4,))*$F10))</f>
        <v>0</v>
      </c>
      <c r="X10" s="50"/>
      <c r="Y10" s="50">
        <f>IF(VLOOKUP($D10,$C$5:$AA$496,23,)=0,0,((VLOOKUP($D10,$C$5:$AA$496,23,)/VLOOKUP($D10,$C$5:$AA$496,4,))*$F10))</f>
        <v>0</v>
      </c>
      <c r="Z10" s="50"/>
      <c r="AA10" s="50">
        <f>IF(VLOOKUP($D10,$C$5:$AA$496,25,)=0,0,((VLOOKUP($D10,$C$5:$AA$496,25,)/VLOOKUP($D10,$C$5:$AA$496,4,))*$F10))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5">
      <c r="AC11" s="28"/>
    </row>
    <row r="12" spans="1:30" x14ac:dyDescent="0.25">
      <c r="B12" s="14" t="s">
        <v>19</v>
      </c>
      <c r="C12" s="14" t="s">
        <v>20</v>
      </c>
      <c r="F12" s="91">
        <f>SUM(F8:F10)</f>
        <v>0</v>
      </c>
      <c r="G12" s="91">
        <f>SUM(G8:G10)</f>
        <v>0</v>
      </c>
      <c r="H12" s="91">
        <f>SUM(H8:H10)</f>
        <v>0</v>
      </c>
      <c r="I12" s="91">
        <f>SUM(I8:I10)</f>
        <v>0</v>
      </c>
      <c r="J12" s="91"/>
      <c r="K12" s="91">
        <f>SUM(K8:K10)</f>
        <v>0</v>
      </c>
      <c r="L12" s="91"/>
      <c r="M12" s="91">
        <f>SUM(M8:M10)</f>
        <v>0</v>
      </c>
      <c r="N12" s="91"/>
      <c r="O12" s="91">
        <f>SUM(O8:O10)</f>
        <v>0</v>
      </c>
      <c r="P12" s="91">
        <f>SUM(P8:P10)</f>
        <v>0</v>
      </c>
      <c r="Q12" s="91"/>
      <c r="R12" s="91">
        <f>SUM(R8:R10)</f>
        <v>0</v>
      </c>
      <c r="S12" s="91">
        <f>SUM(S8:S10)</f>
        <v>0</v>
      </c>
      <c r="T12" s="91"/>
      <c r="U12" s="91">
        <f>SUM(U8:U10)</f>
        <v>0</v>
      </c>
      <c r="V12" s="91"/>
      <c r="W12" s="91">
        <f>SUM(W8:W10)</f>
        <v>0</v>
      </c>
      <c r="X12" s="91"/>
      <c r="Y12" s="91">
        <f>SUM(Y8:Y10)</f>
        <v>0</v>
      </c>
      <c r="Z12" s="91"/>
      <c r="AA12" s="91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5">
      <c r="AC13" s="28"/>
    </row>
    <row r="14" spans="1:30" x14ac:dyDescent="0.25">
      <c r="A14" s="26" t="s">
        <v>767</v>
      </c>
      <c r="Q14" s="14"/>
      <c r="AC14" s="28"/>
    </row>
    <row r="15" spans="1:30" x14ac:dyDescent="0.25">
      <c r="A15" s="92">
        <v>310</v>
      </c>
      <c r="B15" s="14" t="s">
        <v>17</v>
      </c>
      <c r="C15" s="14" t="s">
        <v>774</v>
      </c>
      <c r="D15" s="14" t="s">
        <v>552</v>
      </c>
      <c r="F15" s="67">
        <v>0</v>
      </c>
      <c r="G15" s="67"/>
      <c r="H15" s="50">
        <f t="shared" ref="H15:H22" si="0">IF(VLOOKUP($D15,$C$5:$AA$496,6,)=0,0,((VLOOKUP($D15,$C$5:$AA$496,6,)/VLOOKUP($D15,$C$5:$AA$496,4,))*$F15))</f>
        <v>0</v>
      </c>
      <c r="I15" s="50">
        <f t="shared" ref="I15:I22" si="1">IF(VLOOKUP($D15,$C$5:$AA$496,7,)=0,0,((VLOOKUP($D15,$C$5:$AA$496,7,)/VLOOKUP($D15,$C$5:$AA$496,4,))*$F15))</f>
        <v>0</v>
      </c>
      <c r="J15" s="50"/>
      <c r="K15" s="50">
        <f t="shared" ref="K15:K22" si="2">IF(VLOOKUP($D15,$C$5:$AA$496,9,)=0,0,((VLOOKUP($D15,$C$5:$AA$496,9,)/VLOOKUP($D15,$C$5:$AA$496,4,))*$F15))</f>
        <v>0</v>
      </c>
      <c r="L15" s="50"/>
      <c r="M15" s="50">
        <f t="shared" ref="M15:M22" si="3">IF(VLOOKUP($D15,$C$5:$AA$496,11,)=0,0,((VLOOKUP($D15,$C$5:$AA$496,11,)/VLOOKUP($D15,$C$5:$AA$496,4,))*$F15))</f>
        <v>0</v>
      </c>
      <c r="N15" s="50"/>
      <c r="O15" s="50">
        <f t="shared" ref="O15:O22" si="4">IF(VLOOKUP($D15,$C$5:$AA$496,13,)=0,0,((VLOOKUP($D15,$C$5:$AA$496,13,)/VLOOKUP($D15,$C$5:$AA$496,4,))*$F15))</f>
        <v>0</v>
      </c>
      <c r="P15" s="50">
        <f t="shared" ref="P15:P22" si="5">IF(VLOOKUP($D15,$C$5:$AA$496,14,)=0,0,((VLOOKUP($D15,$C$5:$AA$496,14,)/VLOOKUP($D15,$C$5:$AA$496,4,))*$F15))</f>
        <v>0</v>
      </c>
      <c r="Q15" s="50"/>
      <c r="R15" s="50">
        <f t="shared" ref="R15:R22" si="6">IF(VLOOKUP($D15,$C$5:$AA$496,16,)=0,0,((VLOOKUP($D15,$C$5:$AA$496,16,)/VLOOKUP($D15,$C$5:$AA$496,4,))*$F15))</f>
        <v>0</v>
      </c>
      <c r="S15" s="50">
        <f t="shared" ref="S15:S22" si="7">IF(VLOOKUP($D15,$C$5:$AA$496,17,)=0,0,((VLOOKUP($D15,$C$5:$AA$496,17,)/VLOOKUP($D15,$C$5:$AA$496,4,))*$F15))</f>
        <v>0</v>
      </c>
      <c r="T15" s="50"/>
      <c r="U15" s="50">
        <f t="shared" ref="U15:U22" si="8">IF(VLOOKUP($D15,$C$5:$AA$496,19,)=0,0,((VLOOKUP($D15,$C$5:$AA$496,19,)/VLOOKUP($D15,$C$5:$AA$496,4,))*$F15))</f>
        <v>0</v>
      </c>
      <c r="V15" s="50"/>
      <c r="W15" s="50">
        <f t="shared" ref="W15:W22" si="9">IF(VLOOKUP($D15,$C$5:$AA$496,21,)=0,0,((VLOOKUP($D15,$C$5:$AA$496,21,)/VLOOKUP($D15,$C$5:$AA$496,4,))*$F15))</f>
        <v>0</v>
      </c>
      <c r="X15" s="50"/>
      <c r="Y15" s="50">
        <f t="shared" ref="Y15:Y22" si="10">IF(VLOOKUP($D15,$C$5:$AA$496,23,)=0,0,((VLOOKUP($D15,$C$5:$AA$496,23,)/VLOOKUP($D15,$C$5:$AA$496,4,))*$F15))</f>
        <v>0</v>
      </c>
      <c r="Z15" s="50"/>
      <c r="AA15" s="50">
        <f t="shared" ref="AA15:AA22" si="11">IF(VLOOKUP($D15,$C$5:$AA$496,25,)=0,0,((VLOOKUP($D15,$C$5:$AA$496,25,)/VLOOKUP($D15,$C$5:$AA$496,4,))*$F15))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5">
      <c r="A16" s="92">
        <v>311</v>
      </c>
      <c r="B16" s="14" t="s">
        <v>53</v>
      </c>
      <c r="C16" s="14" t="s">
        <v>781</v>
      </c>
      <c r="D16" s="14" t="s">
        <v>552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5">
      <c r="A17" s="92">
        <v>312</v>
      </c>
      <c r="B17" s="14" t="s">
        <v>768</v>
      </c>
      <c r="C17" s="14" t="s">
        <v>775</v>
      </c>
      <c r="D17" s="14" t="s">
        <v>552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5">
      <c r="A18" s="92">
        <v>313</v>
      </c>
      <c r="B18" s="14" t="s">
        <v>769</v>
      </c>
      <c r="C18" s="14" t="s">
        <v>776</v>
      </c>
      <c r="D18" s="14" t="s">
        <v>552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5">
      <c r="A19" s="92">
        <v>314</v>
      </c>
      <c r="B19" s="14" t="s">
        <v>770</v>
      </c>
      <c r="C19" s="14" t="s">
        <v>777</v>
      </c>
      <c r="D19" s="14" t="s">
        <v>552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5">
      <c r="A20" s="92">
        <v>315</v>
      </c>
      <c r="B20" s="14" t="s">
        <v>771</v>
      </c>
      <c r="C20" s="14" t="s">
        <v>778</v>
      </c>
      <c r="D20" s="14" t="s">
        <v>552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5">
      <c r="A21" s="92">
        <v>316</v>
      </c>
      <c r="B21" s="14" t="s">
        <v>773</v>
      </c>
      <c r="C21" s="14" t="s">
        <v>779</v>
      </c>
      <c r="D21" s="14" t="s">
        <v>552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5">
      <c r="A22" s="92">
        <v>317</v>
      </c>
      <c r="B22" s="14" t="s">
        <v>772</v>
      </c>
      <c r="C22" s="14" t="s">
        <v>780</v>
      </c>
      <c r="D22" s="14" t="s">
        <v>552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5">
      <c r="Q23" s="14"/>
      <c r="AB23" s="50"/>
      <c r="AC23" s="28"/>
    </row>
    <row r="24" spans="1:29" x14ac:dyDescent="0.25">
      <c r="B24" s="14" t="s">
        <v>783</v>
      </c>
      <c r="C24" s="14" t="s">
        <v>782</v>
      </c>
      <c r="F24" s="91">
        <f>SUM(F15:F23)</f>
        <v>0</v>
      </c>
      <c r="G24" s="91">
        <f>SUM(G15:G23)</f>
        <v>0</v>
      </c>
      <c r="H24" s="91">
        <f>SUM(H15:H23)</f>
        <v>0</v>
      </c>
      <c r="I24" s="91">
        <f>SUM(I15:I23)</f>
        <v>0</v>
      </c>
      <c r="J24" s="91"/>
      <c r="K24" s="91">
        <f>SUM(K15:K23)</f>
        <v>0</v>
      </c>
      <c r="L24" s="91"/>
      <c r="M24" s="91">
        <f>SUM(M15:M23)</f>
        <v>0</v>
      </c>
      <c r="N24" s="91"/>
      <c r="O24" s="91">
        <f>SUM(O15:O23)</f>
        <v>0</v>
      </c>
      <c r="P24" s="91">
        <f>SUM(P15:P23)</f>
        <v>0</v>
      </c>
      <c r="Q24" s="91"/>
      <c r="R24" s="91">
        <f>SUM(R15:R23)</f>
        <v>0</v>
      </c>
      <c r="S24" s="91">
        <f>SUM(S15:S23)</f>
        <v>0</v>
      </c>
      <c r="T24" s="91"/>
      <c r="U24" s="91">
        <f>SUM(U15:U23)</f>
        <v>0</v>
      </c>
      <c r="V24" s="91"/>
      <c r="W24" s="91">
        <f>SUM(W15:W23)</f>
        <v>0</v>
      </c>
      <c r="X24" s="91"/>
      <c r="Y24" s="91">
        <f>SUM(Y15:Y23)</f>
        <v>0</v>
      </c>
      <c r="Z24" s="91"/>
      <c r="AA24" s="91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5">
      <c r="Q25" s="14"/>
      <c r="AC25" s="28"/>
    </row>
    <row r="26" spans="1:29" x14ac:dyDescent="0.25">
      <c r="A26" s="26" t="s">
        <v>349</v>
      </c>
      <c r="Q26" s="14"/>
      <c r="AC26" s="28"/>
    </row>
    <row r="27" spans="1:29" x14ac:dyDescent="0.25">
      <c r="A27" s="92">
        <v>350</v>
      </c>
      <c r="B27" s="14" t="s">
        <v>17</v>
      </c>
      <c r="C27" s="14" t="s">
        <v>351</v>
      </c>
      <c r="D27" s="14" t="s">
        <v>391</v>
      </c>
      <c r="F27" s="67">
        <v>0</v>
      </c>
      <c r="G27" s="67"/>
      <c r="H27" s="50">
        <f t="shared" ref="H27:H33" si="14">IF(VLOOKUP($D27,$C$5:$AA$496,6,)=0,0,((VLOOKUP($D27,$C$5:$AA$496,6,)/VLOOKUP($D27,$C$5:$AA$496,4,))*$F27))</f>
        <v>0</v>
      </c>
      <c r="I27" s="50">
        <f t="shared" ref="I27:I33" si="15">IF(VLOOKUP($D27,$C$5:$AA$496,7,)=0,0,((VLOOKUP($D27,$C$5:$AA$496,7,)/VLOOKUP($D27,$C$5:$AA$496,4,))*$F27))</f>
        <v>0</v>
      </c>
      <c r="J27" s="50"/>
      <c r="K27" s="50">
        <f t="shared" ref="K27:K33" si="16">IF(VLOOKUP($D27,$C$5:$AA$496,9,)=0,0,((VLOOKUP($D27,$C$5:$AA$496,9,)/VLOOKUP($D27,$C$5:$AA$496,4,))*$F27))</f>
        <v>0</v>
      </c>
      <c r="L27" s="50"/>
      <c r="M27" s="50">
        <f t="shared" ref="M27:M33" si="17">IF(VLOOKUP($D27,$C$5:$AA$496,11,)=0,0,((VLOOKUP($D27,$C$5:$AA$496,11,)/VLOOKUP($D27,$C$5:$AA$496,4,))*$F27))</f>
        <v>0</v>
      </c>
      <c r="N27" s="50"/>
      <c r="O27" s="50">
        <f t="shared" ref="O27:O33" si="18">IF(VLOOKUP($D27,$C$5:$AA$496,13,)=0,0,((VLOOKUP($D27,$C$5:$AA$496,13,)/VLOOKUP($D27,$C$5:$AA$496,4,))*$F27))</f>
        <v>0</v>
      </c>
      <c r="P27" s="50">
        <f t="shared" ref="P27:P33" si="19">IF(VLOOKUP($D27,$C$5:$AA$496,14,)=0,0,((VLOOKUP($D27,$C$5:$AA$496,14,)/VLOOKUP($D27,$C$5:$AA$496,4,))*$F27))</f>
        <v>0</v>
      </c>
      <c r="Q27" s="50"/>
      <c r="R27" s="50">
        <f t="shared" ref="R27:R33" si="20">IF(VLOOKUP($D27,$C$5:$AA$496,16,)=0,0,((VLOOKUP($D27,$C$5:$AA$496,16,)/VLOOKUP($D27,$C$5:$AA$496,4,))*$F27))</f>
        <v>0</v>
      </c>
      <c r="S27" s="50">
        <f t="shared" ref="S27:S33" si="21">IF(VLOOKUP($D27,$C$5:$AA$496,17,)=0,0,((VLOOKUP($D27,$C$5:$AA$496,17,)/VLOOKUP($D27,$C$5:$AA$496,4,))*$F27))</f>
        <v>0</v>
      </c>
      <c r="T27" s="50"/>
      <c r="U27" s="50">
        <f t="shared" ref="U27:U33" si="22">IF(VLOOKUP($D27,$C$5:$AA$496,19,)=0,0,((VLOOKUP($D27,$C$5:$AA$496,19,)/VLOOKUP($D27,$C$5:$AA$496,4,))*$F27))</f>
        <v>0</v>
      </c>
      <c r="V27" s="50"/>
      <c r="W27" s="50">
        <f t="shared" ref="W27:W33" si="23">IF(VLOOKUP($D27,$C$5:$AA$496,21,)=0,0,((VLOOKUP($D27,$C$5:$AA$496,21,)/VLOOKUP($D27,$C$5:$AA$496,4,))*$F27))</f>
        <v>0</v>
      </c>
      <c r="X27" s="50"/>
      <c r="Y27" s="50">
        <f t="shared" ref="Y27:Y33" si="24">IF(VLOOKUP($D27,$C$5:$AA$496,23,)=0,0,((VLOOKUP($D27,$C$5:$AA$496,23,)/VLOOKUP($D27,$C$5:$AA$496,4,))*$F27))</f>
        <v>0</v>
      </c>
      <c r="Z27" s="50"/>
      <c r="AA27" s="50">
        <f t="shared" ref="AA27:AA33" si="25">IF(VLOOKUP($D27,$C$5:$AA$496,25,)=0,0,((VLOOKUP($D27,$C$5:$AA$496,25,)/VLOOKUP($D27,$C$5:$AA$496,4,))*$F27))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5">
      <c r="A28" s="92">
        <v>352</v>
      </c>
      <c r="B28" s="14" t="s">
        <v>53</v>
      </c>
      <c r="C28" s="14" t="s">
        <v>418</v>
      </c>
      <c r="D28" s="14" t="s">
        <v>391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5">
      <c r="A29" s="92">
        <v>353</v>
      </c>
      <c r="B29" s="14" t="s">
        <v>22</v>
      </c>
      <c r="C29" s="14" t="s">
        <v>352</v>
      </c>
      <c r="D29" s="14" t="s">
        <v>391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5">
      <c r="A30" s="92">
        <v>354</v>
      </c>
      <c r="B30" s="14" t="s">
        <v>419</v>
      </c>
      <c r="C30" s="14" t="s">
        <v>421</v>
      </c>
      <c r="D30" s="14" t="s">
        <v>391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5">
      <c r="A31" s="92">
        <v>355</v>
      </c>
      <c r="B31" s="14" t="s">
        <v>420</v>
      </c>
      <c r="C31" s="14" t="s">
        <v>353</v>
      </c>
      <c r="D31" s="14" t="s">
        <v>391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5">
      <c r="A32" s="92">
        <v>356</v>
      </c>
      <c r="B32" s="14" t="s">
        <v>350</v>
      </c>
      <c r="C32" s="14" t="s">
        <v>354</v>
      </c>
      <c r="D32" s="14" t="s">
        <v>391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5">
      <c r="A33" s="92">
        <v>359</v>
      </c>
      <c r="B33" s="14" t="s">
        <v>422</v>
      </c>
      <c r="C33" s="14" t="s">
        <v>423</v>
      </c>
      <c r="D33" s="14" t="s">
        <v>391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5">
      <c r="Q34" s="14"/>
      <c r="AB34" s="50"/>
      <c r="AC34" s="28"/>
    </row>
    <row r="35" spans="1:29" x14ac:dyDescent="0.25">
      <c r="B35" s="14" t="s">
        <v>358</v>
      </c>
      <c r="C35" s="14" t="s">
        <v>390</v>
      </c>
      <c r="F35" s="91">
        <f>SUM(F27:F34)</f>
        <v>0</v>
      </c>
      <c r="G35" s="91">
        <f t="shared" ref="G35:AA35" si="28">SUM(G27:G34)</f>
        <v>0</v>
      </c>
      <c r="H35" s="91">
        <f t="shared" si="28"/>
        <v>0</v>
      </c>
      <c r="I35" s="91">
        <f t="shared" si="28"/>
        <v>0</v>
      </c>
      <c r="J35" s="91"/>
      <c r="K35" s="91">
        <f t="shared" si="28"/>
        <v>0</v>
      </c>
      <c r="L35" s="91"/>
      <c r="M35" s="91">
        <f t="shared" si="28"/>
        <v>0</v>
      </c>
      <c r="N35" s="91"/>
      <c r="O35" s="91">
        <f t="shared" si="28"/>
        <v>0</v>
      </c>
      <c r="P35" s="91">
        <f t="shared" si="28"/>
        <v>0</v>
      </c>
      <c r="Q35" s="91"/>
      <c r="R35" s="91">
        <f t="shared" si="28"/>
        <v>0</v>
      </c>
      <c r="S35" s="91">
        <f t="shared" si="28"/>
        <v>0</v>
      </c>
      <c r="T35" s="91"/>
      <c r="U35" s="91">
        <f t="shared" si="28"/>
        <v>0</v>
      </c>
      <c r="V35" s="91"/>
      <c r="W35" s="91">
        <f t="shared" si="28"/>
        <v>0</v>
      </c>
      <c r="X35" s="91"/>
      <c r="Y35" s="91">
        <f t="shared" si="28"/>
        <v>0</v>
      </c>
      <c r="Z35" s="91"/>
      <c r="AA35" s="91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5">
      <c r="Q36" s="14"/>
      <c r="AC36" s="28"/>
    </row>
    <row r="37" spans="1:29" x14ac:dyDescent="0.25">
      <c r="A37" s="26" t="s">
        <v>365</v>
      </c>
      <c r="Q37" s="14"/>
      <c r="AC37" s="28"/>
    </row>
    <row r="38" spans="1:29" x14ac:dyDescent="0.25">
      <c r="Q38" s="14"/>
      <c r="AC38" s="28"/>
    </row>
    <row r="39" spans="1:29" x14ac:dyDescent="0.25">
      <c r="A39" s="26" t="s">
        <v>21</v>
      </c>
      <c r="Q39" s="14"/>
      <c r="AC39" s="28"/>
    </row>
    <row r="40" spans="1:29" x14ac:dyDescent="0.25">
      <c r="A40" s="92">
        <v>360</v>
      </c>
      <c r="B40" s="14" t="s">
        <v>17</v>
      </c>
      <c r="C40" s="14" t="s">
        <v>18</v>
      </c>
      <c r="D40" s="14" t="s">
        <v>24</v>
      </c>
      <c r="F40" s="67">
        <v>274958.43</v>
      </c>
      <c r="H40" s="50">
        <f>IF(VLOOKUP($D40,$C$5:$AA$496,6,)=0,0,((VLOOKUP($D40,$C$5:$AA$496,6,)/VLOOKUP($D40,$C$5:$AA$496,4,))*$F63))</f>
        <v>0</v>
      </c>
      <c r="I40" s="50">
        <f>IF(VLOOKUP($D40,$C$5:$AA$496,7,)=0,0,((VLOOKUP($D40,$C$5:$AA$496,7,)/VLOOKUP($D40,$C$5:$AA$496,4,))*$F63))</f>
        <v>0</v>
      </c>
      <c r="J40" s="50"/>
      <c r="K40" s="50">
        <f>IF(VLOOKUP($D40,$C$5:$AA$496,9,)=0,0,((VLOOKUP($D40,$C$5:$AA$496,9,)/VLOOKUP($D40,$C$5:$AA$496,4,))*$F63))</f>
        <v>0</v>
      </c>
      <c r="L40" s="50"/>
      <c r="M40" s="50">
        <f t="shared" ref="M40:M52" si="29">IF(VLOOKUP($D40,$C$5:$AA$496,11,)=0,0,((VLOOKUP($D40,$C$5:$AA$496,11,)/VLOOKUP($D40,$C$5:$AA$496,4,))*$F40))</f>
        <v>274958.43</v>
      </c>
      <c r="N40" s="50"/>
      <c r="O40" s="50">
        <f>IF(VLOOKUP($D40,$C$5:$AA$496,13,)=0,0,((VLOOKUP($D40,$C$5:$AA$496,13,)/VLOOKUP($D40,$C$5:$AA$496,4,))*$F63))</f>
        <v>0</v>
      </c>
      <c r="P40" s="50">
        <f>IF(VLOOKUP($D40,$C$5:$AA$496,14,)=0,0,((VLOOKUP($D40,$C$5:$AA$496,14,)/VLOOKUP($D40,$C$5:$AA$496,4,))*$F63))</f>
        <v>0</v>
      </c>
      <c r="Q40" s="50"/>
      <c r="R40" s="50">
        <f>IF(VLOOKUP($D40,$C$5:$AA$496,16,)=0,0,((VLOOKUP($D40,$C$5:$AA$496,16,)/VLOOKUP($D40,$C$5:$AA$496,4,))*$F63))</f>
        <v>0</v>
      </c>
      <c r="S40" s="50">
        <f>IF(VLOOKUP($D40,$C$5:$AA$496,17,)=0,0,((VLOOKUP($D40,$C$5:$AA$496,17,)/VLOOKUP($D40,$C$5:$AA$496,4,))*$F63))</f>
        <v>0</v>
      </c>
      <c r="T40" s="50"/>
      <c r="U40" s="50">
        <f>IF(VLOOKUP($D40,$C$5:$AA$496,19,)=0,0,((VLOOKUP($D40,$C$5:$AA$496,19,)/VLOOKUP($D40,$C$5:$AA$496,4,))*$F63))</f>
        <v>0</v>
      </c>
      <c r="V40" s="50"/>
      <c r="W40" s="50">
        <f>IF(VLOOKUP($D40,$C$5:$AA$496,21,)=0,0,((VLOOKUP($D40,$C$5:$AA$496,21,)/VLOOKUP($D40,$C$5:$AA$496,4,))*$F63))</f>
        <v>0</v>
      </c>
      <c r="X40" s="50"/>
      <c r="Y40" s="50">
        <f>IF(VLOOKUP($D40,$C$5:$AA$496,23,)=0,0,((VLOOKUP($D40,$C$5:$AA$496,23,)/VLOOKUP($D40,$C$5:$AA$496,4,))*$F63))</f>
        <v>0</v>
      </c>
      <c r="Z40" s="50"/>
      <c r="AA40" s="50">
        <f>IF(VLOOKUP($D40,$C$5:$AA$496,25,)=0,0,((VLOOKUP($D40,$C$5:$AA$496,25,)/VLOOKUP($D40,$C$5:$AA$496,4,))*$F63))</f>
        <v>0</v>
      </c>
      <c r="AB40" s="50">
        <f t="shared" ref="AB40:AB52" si="30">SUM(H40:AA40)</f>
        <v>274958.43</v>
      </c>
      <c r="AC40" s="28" t="str">
        <f>IF(ABS(AB40-F40)&lt;1,"ok","err")</f>
        <v>ok</v>
      </c>
    </row>
    <row r="41" spans="1:29" x14ac:dyDescent="0.25">
      <c r="A41" s="92">
        <v>361</v>
      </c>
      <c r="B41" s="14" t="s">
        <v>53</v>
      </c>
      <c r="C41" s="14" t="s">
        <v>424</v>
      </c>
      <c r="D41" s="14" t="s">
        <v>24</v>
      </c>
      <c r="F41" s="50">
        <v>0</v>
      </c>
      <c r="H41" s="50">
        <f t="shared" ref="H41:H52" si="31">IF(VLOOKUP($D41,$C$5:$AA$496,6,)=0,0,((VLOOKUP($D41,$C$5:$AA$496,6,)/VLOOKUP($D41,$C$5:$AA$496,4,))*$F41))</f>
        <v>0</v>
      </c>
      <c r="I41" s="50">
        <f t="shared" ref="I41:I52" si="32">IF(VLOOKUP($D41,$C$5:$AA$496,7,)=0,0,((VLOOKUP($D41,$C$5:$AA$496,7,)/VLOOKUP($D41,$C$5:$AA$496,4,))*$F41))</f>
        <v>0</v>
      </c>
      <c r="J41" s="50"/>
      <c r="K41" s="50">
        <f t="shared" ref="K41:K52" si="33">IF(VLOOKUP($D41,$C$5:$AA$496,9,)=0,0,((VLOOKUP($D41,$C$5:$AA$496,9,)/VLOOKUP($D41,$C$5:$AA$496,4,))*$F41))</f>
        <v>0</v>
      </c>
      <c r="L41" s="50"/>
      <c r="M41" s="50">
        <f t="shared" si="29"/>
        <v>0</v>
      </c>
      <c r="N41" s="50"/>
      <c r="O41" s="50">
        <f t="shared" ref="O41:O52" si="34">IF(VLOOKUP($D41,$C$5:$AA$496,13,)=0,0,((VLOOKUP($D41,$C$5:$AA$496,13,)/VLOOKUP($D41,$C$5:$AA$496,4,))*$F41))</f>
        <v>0</v>
      </c>
      <c r="P41" s="50">
        <f t="shared" ref="P41:P52" si="35">IF(VLOOKUP($D41,$C$5:$AA$496,14,)=0,0,((VLOOKUP($D41,$C$5:$AA$496,14,)/VLOOKUP($D41,$C$5:$AA$496,4,))*$F41))</f>
        <v>0</v>
      </c>
      <c r="Q41" s="50"/>
      <c r="R41" s="50">
        <f t="shared" ref="R41:R52" si="36">IF(VLOOKUP($D41,$C$5:$AA$496,16,)=0,0,((VLOOKUP($D41,$C$5:$AA$496,16,)/VLOOKUP($D41,$C$5:$AA$496,4,))*$F41))</f>
        <v>0</v>
      </c>
      <c r="S41" s="50">
        <f t="shared" ref="S41:S52" si="37">IF(VLOOKUP($D41,$C$5:$AA$496,17,)=0,0,((VLOOKUP($D41,$C$5:$AA$496,17,)/VLOOKUP($D41,$C$5:$AA$496,4,))*$F41))</f>
        <v>0</v>
      </c>
      <c r="T41" s="50"/>
      <c r="U41" s="50">
        <f t="shared" ref="U41:U52" si="38">IF(VLOOKUP($D41,$C$5:$AA$496,19,)=0,0,((VLOOKUP($D41,$C$5:$AA$496,19,)/VLOOKUP($D41,$C$5:$AA$496,4,))*$F41))</f>
        <v>0</v>
      </c>
      <c r="V41" s="50"/>
      <c r="W41" s="50">
        <f t="shared" ref="W41:W52" si="39">IF(VLOOKUP($D41,$C$5:$AA$496,21,)=0,0,((VLOOKUP($D41,$C$5:$AA$496,21,)/VLOOKUP($D41,$C$5:$AA$496,4,))*$F41))</f>
        <v>0</v>
      </c>
      <c r="X41" s="50"/>
      <c r="Y41" s="50">
        <f t="shared" ref="Y41:Y52" si="40">IF(VLOOKUP($D41,$C$5:$AA$496,23,)=0,0,((VLOOKUP($D41,$C$5:$AA$496,23,)/VLOOKUP($D41,$C$5:$AA$496,4,))*$F41))</f>
        <v>0</v>
      </c>
      <c r="Z41" s="50"/>
      <c r="AA41" s="50">
        <f t="shared" ref="AA41:AA52" si="41">IF(VLOOKUP($D41,$C$5:$AA$496,25,)=0,0,((VLOOKUP($D41,$C$5:$AA$496,25,)/VLOOKUP($D41,$C$5:$AA$496,4,))*$F41))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5">
      <c r="A42" s="92">
        <v>362</v>
      </c>
      <c r="B42" s="14" t="s">
        <v>22</v>
      </c>
      <c r="C42" s="14" t="s">
        <v>23</v>
      </c>
      <c r="D42" s="14" t="s">
        <v>24</v>
      </c>
      <c r="F42" s="50">
        <v>23044451.629999999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23044451.629999999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23044451.629999999</v>
      </c>
      <c r="AC42" s="28" t="str">
        <f t="shared" si="42"/>
        <v>ok</v>
      </c>
    </row>
    <row r="43" spans="1:29" x14ac:dyDescent="0.25">
      <c r="A43" s="92">
        <v>364</v>
      </c>
      <c r="B43" s="14" t="s">
        <v>25</v>
      </c>
      <c r="C43" s="14" t="s">
        <v>26</v>
      </c>
      <c r="D43" s="14" t="s">
        <v>27</v>
      </c>
      <c r="F43" s="50">
        <v>52183251.579999998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8562190.7320729159</v>
      </c>
      <c r="P43" s="50">
        <f t="shared" si="35"/>
        <v>43621060.847927079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52183251.579999998</v>
      </c>
      <c r="AC43" s="28" t="str">
        <f t="shared" si="42"/>
        <v>ok</v>
      </c>
    </row>
    <row r="44" spans="1:29" x14ac:dyDescent="0.25">
      <c r="A44" s="92">
        <v>365</v>
      </c>
      <c r="B44" s="14" t="s">
        <v>28</v>
      </c>
      <c r="C44" s="14" t="s">
        <v>29</v>
      </c>
      <c r="D44" s="14" t="s">
        <v>30</v>
      </c>
      <c r="F44" s="50">
        <v>24705341.890000001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4053634.8916272493</v>
      </c>
      <c r="P44" s="50">
        <f t="shared" si="35"/>
        <v>20651706.998372752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24705341.890000001</v>
      </c>
      <c r="AC44" s="28" t="str">
        <f t="shared" si="42"/>
        <v>ok</v>
      </c>
    </row>
    <row r="45" spans="1:29" x14ac:dyDescent="0.25">
      <c r="A45" s="92">
        <v>366</v>
      </c>
      <c r="B45" s="14" t="s">
        <v>31</v>
      </c>
      <c r="C45" s="14" t="s">
        <v>32</v>
      </c>
      <c r="D45" s="14" t="s">
        <v>33</v>
      </c>
      <c r="F45" s="50">
        <v>5442161.6600000001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4412981.7188420705</v>
      </c>
      <c r="P45" s="50">
        <f t="shared" si="35"/>
        <v>1029179.9411579298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5442161.6600000001</v>
      </c>
      <c r="AC45" s="28" t="str">
        <f t="shared" si="42"/>
        <v>ok</v>
      </c>
    </row>
    <row r="46" spans="1:29" x14ac:dyDescent="0.25">
      <c r="A46" s="92">
        <v>367</v>
      </c>
      <c r="B46" s="14" t="s">
        <v>34</v>
      </c>
      <c r="C46" s="14" t="s">
        <v>35</v>
      </c>
      <c r="D46" s="14" t="s">
        <v>33</v>
      </c>
      <c r="F46" s="50">
        <v>21726343.809999999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17617624.032654621</v>
      </c>
      <c r="P46" s="50">
        <f t="shared" si="35"/>
        <v>4108719.7773453775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21726343.809999999</v>
      </c>
      <c r="AC46" s="28" t="str">
        <f t="shared" si="42"/>
        <v>ok</v>
      </c>
    </row>
    <row r="47" spans="1:29" x14ac:dyDescent="0.25">
      <c r="A47" s="92">
        <v>368</v>
      </c>
      <c r="B47" s="14" t="s">
        <v>36</v>
      </c>
      <c r="C47" s="14" t="s">
        <v>37</v>
      </c>
      <c r="D47" s="14" t="s">
        <v>38</v>
      </c>
      <c r="F47" s="50">
        <v>25231176.960000001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12300332.015673339</v>
      </c>
      <c r="P47" s="50">
        <f t="shared" si="35"/>
        <v>12930844.944326662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25231176.960000001</v>
      </c>
      <c r="AC47" s="28" t="str">
        <f t="shared" si="42"/>
        <v>ok</v>
      </c>
    </row>
    <row r="48" spans="1:29" x14ac:dyDescent="0.25">
      <c r="A48" s="92">
        <v>369</v>
      </c>
      <c r="B48" s="14" t="s">
        <v>39</v>
      </c>
      <c r="C48" s="14" t="s">
        <v>40</v>
      </c>
      <c r="D48" s="14" t="s">
        <v>41</v>
      </c>
      <c r="F48" s="50">
        <v>12086932.560000001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12086932.560000001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12086932.560000001</v>
      </c>
      <c r="AC48" s="28" t="str">
        <f t="shared" si="42"/>
        <v>ok</v>
      </c>
    </row>
    <row r="49" spans="1:30" x14ac:dyDescent="0.25">
      <c r="A49" s="92">
        <v>370</v>
      </c>
      <c r="B49" s="14" t="s">
        <v>42</v>
      </c>
      <c r="C49" s="14" t="s">
        <v>43</v>
      </c>
      <c r="D49" s="14" t="s">
        <v>44</v>
      </c>
      <c r="F49" s="50">
        <v>9116776.1899999995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9116776.1899999995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9116776.1899999995</v>
      </c>
      <c r="AC49" s="28" t="str">
        <f t="shared" si="42"/>
        <v>ok</v>
      </c>
    </row>
    <row r="50" spans="1:30" x14ac:dyDescent="0.25">
      <c r="A50" s="92">
        <v>371</v>
      </c>
      <c r="B50" s="14" t="s">
        <v>45</v>
      </c>
      <c r="C50" s="14" t="s">
        <v>46</v>
      </c>
      <c r="D50" s="14" t="s">
        <v>546</v>
      </c>
      <c r="F50" s="50">
        <v>3740298.98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3740298.98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3740298.98</v>
      </c>
      <c r="AC50" s="28" t="str">
        <f t="shared" si="42"/>
        <v>ok</v>
      </c>
    </row>
    <row r="51" spans="1:30" x14ac:dyDescent="0.25">
      <c r="A51" s="92">
        <v>372</v>
      </c>
      <c r="B51" s="14" t="s">
        <v>574</v>
      </c>
      <c r="C51" s="14" t="s">
        <v>575</v>
      </c>
      <c r="D51" s="14" t="s">
        <v>546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5">
      <c r="A52" s="92">
        <v>373</v>
      </c>
      <c r="B52" s="14" t="s">
        <v>47</v>
      </c>
      <c r="C52" s="14" t="s">
        <v>48</v>
      </c>
      <c r="D52" s="14" t="s">
        <v>49</v>
      </c>
      <c r="F52" s="50">
        <v>682155.26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682155.26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682155.26</v>
      </c>
      <c r="AC52" s="28" t="str">
        <f t="shared" si="42"/>
        <v>ok</v>
      </c>
    </row>
    <row r="53" spans="1:30" x14ac:dyDescent="0.25">
      <c r="A53" s="92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5">
      <c r="B54" s="14" t="s">
        <v>50</v>
      </c>
      <c r="C54" s="14" t="s">
        <v>16</v>
      </c>
      <c r="F54" s="67">
        <f>SUM(F40:F53)</f>
        <v>178233848.94999999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23319410.059999999</v>
      </c>
      <c r="N54" s="67"/>
      <c r="O54" s="67">
        <f>SUM(O40:O53)</f>
        <v>46946763.390870199</v>
      </c>
      <c r="P54" s="67">
        <f>SUM(P40:P53)</f>
        <v>82341512.509129792</v>
      </c>
      <c r="Q54" s="67"/>
      <c r="R54" s="67">
        <f>SUM(R40:R52)</f>
        <v>0</v>
      </c>
      <c r="S54" s="67">
        <f>SUM(S40:S52)</f>
        <v>12086932.560000001</v>
      </c>
      <c r="T54" s="67"/>
      <c r="U54" s="67">
        <f>SUM(U40:U52)</f>
        <v>9116776.1899999995</v>
      </c>
      <c r="V54" s="67"/>
      <c r="W54" s="67">
        <f>SUM(W40:W52)</f>
        <v>4422454.24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178233848.94999999</v>
      </c>
      <c r="AC54" s="28" t="str">
        <f>IF(ABS(AB54-F54)&lt;1,"ok","err")</f>
        <v>ok</v>
      </c>
      <c r="AD54" s="35"/>
    </row>
    <row r="55" spans="1:30" x14ac:dyDescent="0.25">
      <c r="Q55" s="14"/>
      <c r="AC55" s="28"/>
      <c r="AD55" s="35"/>
    </row>
    <row r="56" spans="1:30" x14ac:dyDescent="0.25">
      <c r="B56" s="14" t="s">
        <v>751</v>
      </c>
      <c r="C56" s="14" t="s">
        <v>392</v>
      </c>
      <c r="F56" s="91">
        <f t="shared" ref="F56:M56" si="43">F35+F54</f>
        <v>178233848.94999999</v>
      </c>
      <c r="G56" s="91">
        <f t="shared" si="43"/>
        <v>0</v>
      </c>
      <c r="H56" s="91">
        <f t="shared" si="43"/>
        <v>0</v>
      </c>
      <c r="I56" s="91">
        <f t="shared" si="43"/>
        <v>0</v>
      </c>
      <c r="J56" s="91">
        <f t="shared" si="43"/>
        <v>0</v>
      </c>
      <c r="K56" s="91">
        <f t="shared" si="43"/>
        <v>0</v>
      </c>
      <c r="L56" s="91">
        <f t="shared" si="43"/>
        <v>0</v>
      </c>
      <c r="M56" s="91">
        <f t="shared" si="43"/>
        <v>23319410.059999999</v>
      </c>
      <c r="N56" s="91"/>
      <c r="O56" s="91">
        <f t="shared" ref="O56:AA56" si="44">O35+O54</f>
        <v>46946763.390870199</v>
      </c>
      <c r="P56" s="91">
        <f t="shared" si="44"/>
        <v>82341512.509129792</v>
      </c>
      <c r="Q56" s="91">
        <f t="shared" si="44"/>
        <v>0</v>
      </c>
      <c r="R56" s="91">
        <f t="shared" si="44"/>
        <v>0</v>
      </c>
      <c r="S56" s="91">
        <f t="shared" si="44"/>
        <v>12086932.560000001</v>
      </c>
      <c r="T56" s="91">
        <f t="shared" si="44"/>
        <v>0</v>
      </c>
      <c r="U56" s="91">
        <f t="shared" si="44"/>
        <v>9116776.1899999995</v>
      </c>
      <c r="V56" s="91">
        <f t="shared" si="44"/>
        <v>0</v>
      </c>
      <c r="W56" s="91">
        <f t="shared" si="44"/>
        <v>4422454.24</v>
      </c>
      <c r="X56" s="91">
        <f t="shared" si="44"/>
        <v>0</v>
      </c>
      <c r="Y56" s="91">
        <f t="shared" si="44"/>
        <v>0</v>
      </c>
      <c r="Z56" s="91">
        <f t="shared" si="44"/>
        <v>0</v>
      </c>
      <c r="AA56" s="91">
        <f t="shared" si="44"/>
        <v>0</v>
      </c>
      <c r="AB56" s="50">
        <f>SUM(H56:AA56)</f>
        <v>178233848.94999999</v>
      </c>
      <c r="AC56" s="28" t="str">
        <f>IF(ABS(AB56-F56)&lt;1,"ok","err")</f>
        <v>ok</v>
      </c>
      <c r="AD56" s="35"/>
    </row>
    <row r="57" spans="1:30" x14ac:dyDescent="0.25">
      <c r="Q57" s="14"/>
      <c r="AC57" s="28"/>
    </row>
    <row r="58" spans="1:30" x14ac:dyDescent="0.25">
      <c r="B58" s="14" t="s">
        <v>784</v>
      </c>
      <c r="C58" s="14" t="s">
        <v>785</v>
      </c>
      <c r="F58" s="91">
        <f>F56+F24</f>
        <v>178233848.94999999</v>
      </c>
      <c r="H58" s="91">
        <f t="shared" ref="H58:Y58" si="45">H56+H24</f>
        <v>0</v>
      </c>
      <c r="I58" s="91">
        <f t="shared" si="45"/>
        <v>0</v>
      </c>
      <c r="J58" s="91">
        <f t="shared" si="45"/>
        <v>0</v>
      </c>
      <c r="K58" s="91">
        <f t="shared" si="45"/>
        <v>0</v>
      </c>
      <c r="L58" s="91">
        <f t="shared" si="45"/>
        <v>0</v>
      </c>
      <c r="M58" s="91">
        <f t="shared" si="45"/>
        <v>23319410.059999999</v>
      </c>
      <c r="N58" s="91"/>
      <c r="O58" s="91">
        <f t="shared" si="45"/>
        <v>46946763.390870199</v>
      </c>
      <c r="P58" s="91">
        <f t="shared" si="45"/>
        <v>82341512.509129792</v>
      </c>
      <c r="Q58" s="91">
        <f t="shared" si="45"/>
        <v>0</v>
      </c>
      <c r="R58" s="91">
        <f t="shared" si="45"/>
        <v>0</v>
      </c>
      <c r="S58" s="91">
        <f t="shared" si="45"/>
        <v>12086932.560000001</v>
      </c>
      <c r="T58" s="91">
        <f t="shared" si="45"/>
        <v>0</v>
      </c>
      <c r="U58" s="91">
        <f t="shared" si="45"/>
        <v>9116776.1899999995</v>
      </c>
      <c r="V58" s="91">
        <f t="shared" si="45"/>
        <v>0</v>
      </c>
      <c r="W58" s="91">
        <f t="shared" si="45"/>
        <v>4422454.24</v>
      </c>
      <c r="X58" s="91">
        <f t="shared" si="45"/>
        <v>0</v>
      </c>
      <c r="Y58" s="91">
        <f t="shared" si="45"/>
        <v>0</v>
      </c>
      <c r="AA58" s="91">
        <f>AA56+AA24</f>
        <v>0</v>
      </c>
      <c r="AB58" s="50">
        <f>SUM(H58:AA58)</f>
        <v>178233848.94999999</v>
      </c>
      <c r="AC58" s="28" t="str">
        <f>IF(ABS(AB58-F58)&lt;1,"ok","err")</f>
        <v>ok</v>
      </c>
    </row>
    <row r="59" spans="1:30" x14ac:dyDescent="0.25">
      <c r="Q59" s="14"/>
      <c r="AC59" s="28"/>
    </row>
    <row r="60" spans="1:30" x14ac:dyDescent="0.25">
      <c r="A60" s="26" t="s">
        <v>365</v>
      </c>
      <c r="Q60" s="14"/>
      <c r="AC60" s="28"/>
    </row>
    <row r="61" spans="1:30" x14ac:dyDescent="0.25">
      <c r="Q61" s="14"/>
      <c r="AC61" s="28"/>
    </row>
    <row r="62" spans="1:30" x14ac:dyDescent="0.25">
      <c r="A62" s="26" t="s">
        <v>51</v>
      </c>
      <c r="Q62" s="14"/>
      <c r="AC62" s="28"/>
    </row>
    <row r="63" spans="1:30" x14ac:dyDescent="0.25">
      <c r="A63" s="92">
        <v>389</v>
      </c>
      <c r="B63" s="14" t="s">
        <v>17</v>
      </c>
      <c r="C63" s="14" t="s">
        <v>52</v>
      </c>
      <c r="D63" s="14" t="s">
        <v>392</v>
      </c>
      <c r="F63" s="67">
        <v>298673.51</v>
      </c>
      <c r="H63" s="50">
        <f t="shared" ref="H63:H73" si="46">IF(VLOOKUP($D63,$C$5:$AA$496,6,)=0,0,((VLOOKUP($D63,$C$5:$AA$496,6,)/VLOOKUP($D63,$C$5:$AA$496,4,))*$F63))</f>
        <v>0</v>
      </c>
      <c r="I63" s="50">
        <f t="shared" ref="I63:I73" si="47">IF(VLOOKUP($D63,$C$5:$AA$496,7,)=0,0,((VLOOKUP($D63,$C$5:$AA$496,7,)/VLOOKUP($D63,$C$5:$AA$496,4,))*$F63))</f>
        <v>0</v>
      </c>
      <c r="J63" s="50"/>
      <c r="K63" s="50">
        <f t="shared" ref="K63:K73" si="48">IF(VLOOKUP($D63,$C$5:$AA$496,9,)=0,0,((VLOOKUP($D63,$C$5:$AA$496,9,)/VLOOKUP($D63,$C$5:$AA$496,4,))*$F63))</f>
        <v>0</v>
      </c>
      <c r="L63" s="50"/>
      <c r="M63" s="50">
        <f t="shared" ref="M63:M73" si="49">IF(VLOOKUP($D63,$C$5:$AA$496,11,)=0,0,((VLOOKUP($D63,$C$5:$AA$496,11,)/VLOOKUP($D63,$C$5:$AA$496,4,))*$F63))</f>
        <v>39077.257741897127</v>
      </c>
      <c r="N63" s="50"/>
      <c r="O63" s="50">
        <f t="shared" ref="O63:O73" si="50">IF(VLOOKUP($D63,$C$5:$AA$496,13,)=0,0,((VLOOKUP($D63,$C$5:$AA$496,13,)/VLOOKUP($D63,$C$5:$AA$496,4,))*$F63))</f>
        <v>78670.548202234204</v>
      </c>
      <c r="P63" s="50">
        <f t="shared" ref="P63:P73" si="51">IF(VLOOKUP($D63,$C$5:$AA$496,14,)=0,0,((VLOOKUP($D63,$C$5:$AA$496,14,)/VLOOKUP($D63,$C$5:$AA$496,4,))*$F63))</f>
        <v>137982.92919494686</v>
      </c>
      <c r="Q63" s="50"/>
      <c r="R63" s="50">
        <f t="shared" ref="R63:R73" si="52">IF(VLOOKUP($D63,$C$5:$AA$496,16,)=0,0,((VLOOKUP($D63,$C$5:$AA$496,16,)/VLOOKUP($D63,$C$5:$AA$496,4,))*$F63))</f>
        <v>0</v>
      </c>
      <c r="S63" s="50">
        <f t="shared" ref="S63:S73" si="53">IF(VLOOKUP($D63,$C$5:$AA$496,17,)=0,0,((VLOOKUP($D63,$C$5:$AA$496,17,)/VLOOKUP($D63,$C$5:$AA$496,4,))*$F63))</f>
        <v>20254.5509402157</v>
      </c>
      <c r="T63" s="50"/>
      <c r="U63" s="50">
        <f t="shared" ref="U63:U73" si="54">IF(VLOOKUP($D63,$C$5:$AA$496,19,)=0,0,((VLOOKUP($D63,$C$5:$AA$496,19,)/VLOOKUP($D63,$C$5:$AA$496,4,))*$F63))</f>
        <v>15277.342438559997</v>
      </c>
      <c r="V63" s="50"/>
      <c r="W63" s="50">
        <f t="shared" ref="W63:W73" si="55">IF(VLOOKUP($D63,$C$5:$AA$496,21,)=0,0,((VLOOKUP($D63,$C$5:$AA$496,21,)/VLOOKUP($D63,$C$5:$AA$496,4,))*$F63))</f>
        <v>7410.8814821461146</v>
      </c>
      <c r="X63" s="50"/>
      <c r="Y63" s="50">
        <f t="shared" ref="Y63:Y73" si="56">IF(VLOOKUP($D63,$C$5:$AA$496,23,)=0,0,((VLOOKUP($D63,$C$5:$AA$496,23,)/VLOOKUP($D63,$C$5:$AA$496,4,))*$F63))</f>
        <v>0</v>
      </c>
      <c r="Z63" s="50"/>
      <c r="AA63" s="50">
        <f t="shared" ref="AA63:AA73" si="57">IF(VLOOKUP($D63,$C$5:$AA$496,25,)=0,0,((VLOOKUP($D63,$C$5:$AA$496,25,)/VLOOKUP($D63,$C$5:$AA$496,4,))*$F63))</f>
        <v>0</v>
      </c>
      <c r="AB63" s="50">
        <f>SUM(H63:AA63)</f>
        <v>298673.50999999995</v>
      </c>
      <c r="AC63" s="28" t="str">
        <f>IF(ABS(AB63-F63)&lt;1,"ok","err")</f>
        <v>ok</v>
      </c>
    </row>
    <row r="64" spans="1:30" x14ac:dyDescent="0.25">
      <c r="A64" s="92">
        <v>390</v>
      </c>
      <c r="B64" s="14" t="s">
        <v>53</v>
      </c>
      <c r="C64" s="14" t="s">
        <v>54</v>
      </c>
      <c r="D64" s="14" t="s">
        <v>392</v>
      </c>
      <c r="F64" s="50">
        <v>19432032.989999998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2542410.1441044365</v>
      </c>
      <c r="N64" s="50"/>
      <c r="O64" s="50">
        <f t="shared" si="50"/>
        <v>5118393.954680481</v>
      </c>
      <c r="P64" s="50">
        <f t="shared" si="51"/>
        <v>8977323.8750669304</v>
      </c>
      <c r="Q64" s="50"/>
      <c r="R64" s="50">
        <f t="shared" si="52"/>
        <v>0</v>
      </c>
      <c r="S64" s="50">
        <f t="shared" si="53"/>
        <v>1317783.7635078751</v>
      </c>
      <c r="T64" s="50"/>
      <c r="U64" s="50">
        <f t="shared" si="54"/>
        <v>993961.00533195888</v>
      </c>
      <c r="V64" s="50"/>
      <c r="W64" s="50">
        <f t="shared" si="55"/>
        <v>482160.24730831792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19432032.990000002</v>
      </c>
      <c r="AC64" s="28" t="str">
        <f t="shared" ref="AC64:AC73" si="59">IF(ABS(AB64-F64)&lt;1,"ok","err")</f>
        <v>ok</v>
      </c>
    </row>
    <row r="65" spans="1:29" x14ac:dyDescent="0.25">
      <c r="A65" s="92">
        <v>391</v>
      </c>
      <c r="B65" s="14" t="s">
        <v>55</v>
      </c>
      <c r="C65" s="14" t="s">
        <v>56</v>
      </c>
      <c r="D65" s="14" t="s">
        <v>392</v>
      </c>
      <c r="F65" s="50">
        <v>425760.93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55704.871844978225</v>
      </c>
      <c r="N65" s="50"/>
      <c r="O65" s="50">
        <f t="shared" si="50"/>
        <v>112145.35151173286</v>
      </c>
      <c r="P65" s="50">
        <f t="shared" si="51"/>
        <v>196695.51631199141</v>
      </c>
      <c r="Q65" s="50"/>
      <c r="R65" s="50">
        <f t="shared" si="52"/>
        <v>0</v>
      </c>
      <c r="S65" s="50">
        <f t="shared" si="53"/>
        <v>28872.987246303201</v>
      </c>
      <c r="T65" s="50"/>
      <c r="U65" s="50">
        <f t="shared" si="54"/>
        <v>21777.945839822794</v>
      </c>
      <c r="V65" s="50"/>
      <c r="W65" s="50">
        <f t="shared" si="55"/>
        <v>10564.257245171519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425760.93</v>
      </c>
      <c r="AC65" s="28" t="str">
        <f t="shared" si="59"/>
        <v>ok</v>
      </c>
    </row>
    <row r="66" spans="1:29" x14ac:dyDescent="0.25">
      <c r="A66" s="92">
        <v>392</v>
      </c>
      <c r="B66" s="14" t="s">
        <v>57</v>
      </c>
      <c r="C66" s="14" t="s">
        <v>58</v>
      </c>
      <c r="D66" s="14" t="s">
        <v>392</v>
      </c>
      <c r="F66" s="50">
        <v>5227434.3599999994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683936.7837293942</v>
      </c>
      <c r="N66" s="50"/>
      <c r="O66" s="50">
        <f t="shared" si="50"/>
        <v>1376905.2595002325</v>
      </c>
      <c r="P66" s="50">
        <f t="shared" si="51"/>
        <v>2415000.5976998508</v>
      </c>
      <c r="Q66" s="50"/>
      <c r="R66" s="50">
        <f t="shared" si="52"/>
        <v>0</v>
      </c>
      <c r="S66" s="50">
        <f t="shared" si="53"/>
        <v>354498.58118068072</v>
      </c>
      <c r="T66" s="50"/>
      <c r="U66" s="50">
        <f t="shared" si="54"/>
        <v>267386.63496744225</v>
      </c>
      <c r="V66" s="50"/>
      <c r="W66" s="50">
        <f t="shared" si="55"/>
        <v>129706.50292239951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5227434.3600000003</v>
      </c>
      <c r="AC66" s="28" t="str">
        <f t="shared" si="59"/>
        <v>ok</v>
      </c>
    </row>
    <row r="67" spans="1:29" x14ac:dyDescent="0.25">
      <c r="A67" s="92">
        <v>393</v>
      </c>
      <c r="B67" s="14" t="s">
        <v>59</v>
      </c>
      <c r="C67" s="14" t="s">
        <v>60</v>
      </c>
      <c r="D67" s="14" t="s">
        <v>392</v>
      </c>
      <c r="F67" s="50">
        <v>154441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20206.448047288606</v>
      </c>
      <c r="N67" s="50"/>
      <c r="O67" s="50">
        <f t="shared" si="50"/>
        <v>40679.731305602741</v>
      </c>
      <c r="P67" s="50">
        <f t="shared" si="51"/>
        <v>71349.553456537833</v>
      </c>
      <c r="Q67" s="50"/>
      <c r="R67" s="50">
        <f t="shared" si="52"/>
        <v>0</v>
      </c>
      <c r="S67" s="50">
        <f t="shared" si="53"/>
        <v>10473.41996201087</v>
      </c>
      <c r="T67" s="50"/>
      <c r="U67" s="50">
        <f t="shared" si="54"/>
        <v>7899.7566391262635</v>
      </c>
      <c r="V67" s="50"/>
      <c r="W67" s="50">
        <f t="shared" si="55"/>
        <v>3832.0905894336861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154440.99999999997</v>
      </c>
      <c r="AC67" s="28" t="str">
        <f t="shared" si="59"/>
        <v>ok</v>
      </c>
    </row>
    <row r="68" spans="1:29" x14ac:dyDescent="0.25">
      <c r="A68" s="92">
        <v>394</v>
      </c>
      <c r="B68" s="14" t="s">
        <v>61</v>
      </c>
      <c r="C68" s="14" t="s">
        <v>62</v>
      </c>
      <c r="D68" s="14" t="s">
        <v>392</v>
      </c>
      <c r="F68" s="50">
        <v>600267.22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78536.582872555606</v>
      </c>
      <c r="N68" s="50"/>
      <c r="O68" s="50">
        <f t="shared" si="50"/>
        <v>158110.27655325417</v>
      </c>
      <c r="P68" s="50">
        <f t="shared" si="51"/>
        <v>277314.94940849487</v>
      </c>
      <c r="Q68" s="50"/>
      <c r="R68" s="50">
        <f t="shared" si="52"/>
        <v>0</v>
      </c>
      <c r="S68" s="50">
        <f t="shared" si="53"/>
        <v>40707.135310498961</v>
      </c>
      <c r="T68" s="50"/>
      <c r="U68" s="50">
        <f t="shared" si="54"/>
        <v>30704.05498827944</v>
      </c>
      <c r="V68" s="50"/>
      <c r="W68" s="50">
        <f t="shared" si="55"/>
        <v>14894.220866916947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600267.22</v>
      </c>
      <c r="AC68" s="28" t="str">
        <f t="shared" si="59"/>
        <v>ok</v>
      </c>
    </row>
    <row r="69" spans="1:29" x14ac:dyDescent="0.25">
      <c r="A69" s="92">
        <v>395</v>
      </c>
      <c r="B69" s="14" t="s">
        <v>63</v>
      </c>
      <c r="C69" s="14" t="s">
        <v>64</v>
      </c>
      <c r="D69" s="14" t="s">
        <v>392</v>
      </c>
      <c r="F69" s="50">
        <v>76627.5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10025.638255020414</v>
      </c>
      <c r="N69" s="50"/>
      <c r="O69" s="50">
        <f t="shared" si="50"/>
        <v>20183.669560674134</v>
      </c>
      <c r="P69" s="50">
        <f t="shared" si="51"/>
        <v>35400.819131518532</v>
      </c>
      <c r="Q69" s="50"/>
      <c r="R69" s="50">
        <f t="shared" si="52"/>
        <v>0</v>
      </c>
      <c r="S69" s="50">
        <f t="shared" si="53"/>
        <v>5196.4956723861405</v>
      </c>
      <c r="T69" s="50"/>
      <c r="U69" s="50">
        <f t="shared" si="54"/>
        <v>3919.5459875593124</v>
      </c>
      <c r="V69" s="50"/>
      <c r="W69" s="50">
        <f t="shared" si="55"/>
        <v>1901.3313928414721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76627.5</v>
      </c>
      <c r="AC69" s="28" t="str">
        <f t="shared" si="59"/>
        <v>ok</v>
      </c>
    </row>
    <row r="70" spans="1:29" x14ac:dyDescent="0.25">
      <c r="A70" s="92">
        <v>396</v>
      </c>
      <c r="B70" s="14" t="s">
        <v>65</v>
      </c>
      <c r="C70" s="14" t="s">
        <v>66</v>
      </c>
      <c r="D70" s="14" t="s">
        <v>392</v>
      </c>
      <c r="F70" s="50">
        <v>1139181.1599999999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149045.94586923142</v>
      </c>
      <c r="N70" s="50"/>
      <c r="O70" s="50">
        <f t="shared" si="50"/>
        <v>300060.11031529738</v>
      </c>
      <c r="P70" s="50">
        <f t="shared" si="51"/>
        <v>526285.55287845049</v>
      </c>
      <c r="Q70" s="50"/>
      <c r="R70" s="50">
        <f t="shared" si="52"/>
        <v>0</v>
      </c>
      <c r="S70" s="50">
        <f t="shared" si="53"/>
        <v>77253.596528711278</v>
      </c>
      <c r="T70" s="50"/>
      <c r="U70" s="50">
        <f t="shared" si="54"/>
        <v>58269.850181477443</v>
      </c>
      <c r="V70" s="50"/>
      <c r="W70" s="50">
        <f t="shared" si="55"/>
        <v>28266.104226831929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1139181.1599999997</v>
      </c>
      <c r="AC70" s="28" t="str">
        <f t="shared" si="59"/>
        <v>ok</v>
      </c>
    </row>
    <row r="71" spans="1:29" x14ac:dyDescent="0.25">
      <c r="A71" s="92">
        <v>397</v>
      </c>
      <c r="B71" s="14" t="s">
        <v>67</v>
      </c>
      <c r="C71" s="14" t="s">
        <v>68</v>
      </c>
      <c r="D71" s="14" t="s">
        <v>392</v>
      </c>
      <c r="F71" s="50">
        <v>3009914.6399999997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393805.29652057023</v>
      </c>
      <c r="N71" s="50"/>
      <c r="O71" s="50">
        <f t="shared" si="50"/>
        <v>792810.96864174656</v>
      </c>
      <c r="P71" s="50">
        <f t="shared" si="51"/>
        <v>1390537.910958203</v>
      </c>
      <c r="Q71" s="50"/>
      <c r="R71" s="50">
        <f t="shared" si="52"/>
        <v>0</v>
      </c>
      <c r="S71" s="50">
        <f t="shared" si="53"/>
        <v>204117.43043961615</v>
      </c>
      <c r="T71" s="50"/>
      <c r="U71" s="50">
        <f t="shared" si="54"/>
        <v>153959.07278859458</v>
      </c>
      <c r="V71" s="50"/>
      <c r="W71" s="50">
        <f t="shared" si="55"/>
        <v>74683.960651269284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3009914.6399999997</v>
      </c>
      <c r="AC71" s="28" t="str">
        <f t="shared" si="59"/>
        <v>ok</v>
      </c>
    </row>
    <row r="72" spans="1:29" x14ac:dyDescent="0.25">
      <c r="A72" s="92">
        <v>398</v>
      </c>
      <c r="B72" s="14" t="s">
        <v>361</v>
      </c>
      <c r="C72" s="14" t="s">
        <v>362</v>
      </c>
      <c r="D72" s="14" t="s">
        <v>392</v>
      </c>
      <c r="F72" s="50">
        <v>228906.8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29949.258045927465</v>
      </c>
      <c r="N72" s="50"/>
      <c r="O72" s="50">
        <f t="shared" si="50"/>
        <v>60294.009479512206</v>
      </c>
      <c r="P72" s="50">
        <f t="shared" si="51"/>
        <v>105751.6978209479</v>
      </c>
      <c r="Q72" s="50"/>
      <c r="R72" s="50">
        <f t="shared" si="52"/>
        <v>0</v>
      </c>
      <c r="S72" s="50">
        <f t="shared" si="53"/>
        <v>15523.319899249744</v>
      </c>
      <c r="T72" s="50"/>
      <c r="U72" s="50">
        <f t="shared" si="54"/>
        <v>11708.730279143152</v>
      </c>
      <c r="V72" s="50"/>
      <c r="W72" s="50">
        <f t="shared" si="55"/>
        <v>5679.7844752195269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228906.8</v>
      </c>
      <c r="AC72" s="28" t="str">
        <f t="shared" si="59"/>
        <v>ok</v>
      </c>
    </row>
    <row r="73" spans="1:29" x14ac:dyDescent="0.25">
      <c r="A73" s="92">
        <v>399</v>
      </c>
      <c r="B73" s="14" t="s">
        <v>584</v>
      </c>
      <c r="C73" s="14" t="s">
        <v>585</v>
      </c>
      <c r="D73" s="14" t="s">
        <v>392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5">
      <c r="Q74" s="14"/>
      <c r="AB74" s="50"/>
      <c r="AC74" s="28"/>
    </row>
    <row r="75" spans="1:29" x14ac:dyDescent="0.25">
      <c r="B75" s="14" t="s">
        <v>69</v>
      </c>
      <c r="C75" s="14" t="s">
        <v>70</v>
      </c>
      <c r="F75" s="67">
        <f>SUM(F63:F74)</f>
        <v>30593240.109999999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4002698.2270312998</v>
      </c>
      <c r="N75" s="67"/>
      <c r="O75" s="67">
        <f t="shared" si="60"/>
        <v>8058253.8797507696</v>
      </c>
      <c r="P75" s="67">
        <f t="shared" si="60"/>
        <v>14133643.401927872</v>
      </c>
      <c r="Q75" s="67"/>
      <c r="R75" s="67">
        <f t="shared" si="60"/>
        <v>0</v>
      </c>
      <c r="S75" s="67">
        <f t="shared" si="60"/>
        <v>2074681.2806875478</v>
      </c>
      <c r="T75" s="67"/>
      <c r="U75" s="67">
        <f t="shared" si="60"/>
        <v>1564863.939441964</v>
      </c>
      <c r="V75" s="67"/>
      <c r="W75" s="67">
        <f t="shared" si="60"/>
        <v>759099.38116054796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30593240.109999999</v>
      </c>
      <c r="AC75" s="28" t="str">
        <f>IF(ABS(AB75-F75)&lt;1,"ok","err")</f>
        <v>ok</v>
      </c>
    </row>
    <row r="76" spans="1:29" x14ac:dyDescent="0.25">
      <c r="Q76" s="14"/>
      <c r="AB76" s="50"/>
      <c r="AC76" s="28"/>
    </row>
    <row r="77" spans="1:29" hidden="1" x14ac:dyDescent="0.25">
      <c r="A77" s="90">
        <v>106</v>
      </c>
      <c r="B77" s="14" t="s">
        <v>363</v>
      </c>
      <c r="C77" s="14" t="s">
        <v>364</v>
      </c>
      <c r="D77" s="14" t="s">
        <v>392</v>
      </c>
      <c r="F77" s="67">
        <v>0</v>
      </c>
      <c r="H77" s="50">
        <f>IF(VLOOKUP($D77,$C$5:$AA$496,6,)=0,0,((VLOOKUP($D77,$C$5:$AA$496,6,)/VLOOKUP($D77,$C$5:$AA$496,4,))*$F77))</f>
        <v>0</v>
      </c>
      <c r="I77" s="50">
        <f>IF(VLOOKUP($D77,$C$5:$AA$496,7,)=0,0,((VLOOKUP($D77,$C$5:$AA$496,7,)/VLOOKUP($D77,$C$5:$AA$496,4,))*$F77))</f>
        <v>0</v>
      </c>
      <c r="J77" s="50"/>
      <c r="K77" s="50">
        <f>IF(VLOOKUP($D77,$C$5:$AA$496,9,)=0,0,((VLOOKUP($D77,$C$5:$AA$496,9,)/VLOOKUP($D77,$C$5:$AA$496,4,))*$F77))</f>
        <v>0</v>
      </c>
      <c r="L77" s="50"/>
      <c r="M77" s="50">
        <f>IF(VLOOKUP($D77,$C$5:$AA$496,11,)=0,0,((VLOOKUP($D77,$C$5:$AA$496,11,)/VLOOKUP($D77,$C$5:$AA$496,4,))*$F77))</f>
        <v>0</v>
      </c>
      <c r="N77" s="50"/>
      <c r="O77" s="50">
        <f>IF(VLOOKUP($D77,$C$5:$AA$496,13,)=0,0,((VLOOKUP($D77,$C$5:$AA$496,13,)/VLOOKUP($D77,$C$5:$AA$496,4,))*$F77))</f>
        <v>0</v>
      </c>
      <c r="P77" s="50">
        <f>IF(VLOOKUP($D77,$C$5:$AA$496,14,)=0,0,((VLOOKUP($D77,$C$5:$AA$496,14,)/VLOOKUP($D77,$C$5:$AA$496,4,))*$F77))</f>
        <v>0</v>
      </c>
      <c r="Q77" s="50"/>
      <c r="R77" s="50">
        <f>IF(VLOOKUP($D77,$C$5:$AA$496,16,)=0,0,((VLOOKUP($D77,$C$5:$AA$496,16,)/VLOOKUP($D77,$C$5:$AA$496,4,))*$F77))</f>
        <v>0</v>
      </c>
      <c r="S77" s="50">
        <f>IF(VLOOKUP($D77,$C$5:$AA$496,17,)=0,0,((VLOOKUP($D77,$C$5:$AA$496,17,)/VLOOKUP($D77,$C$5:$AA$496,4,))*$F77))</f>
        <v>0</v>
      </c>
      <c r="T77" s="50"/>
      <c r="U77" s="50">
        <f>IF(VLOOKUP($D77,$C$5:$AA$496,19,)=0,0,((VLOOKUP($D77,$C$5:$AA$496,19,)/VLOOKUP($D77,$C$5:$AA$496,4,))*$F77))</f>
        <v>0</v>
      </c>
      <c r="V77" s="50"/>
      <c r="W77" s="50">
        <f>IF(VLOOKUP($D77,$C$5:$AA$496,21,)=0,0,((VLOOKUP($D77,$C$5:$AA$496,21,)/VLOOKUP($D77,$C$5:$AA$496,4,))*$F77))</f>
        <v>0</v>
      </c>
      <c r="X77" s="50"/>
      <c r="Y77" s="50">
        <f>IF(VLOOKUP($D77,$C$5:$AA$496,23,)=0,0,((VLOOKUP($D77,$C$5:$AA$496,23,)/VLOOKUP($D77,$C$5:$AA$496,4,))*$F77))</f>
        <v>0</v>
      </c>
      <c r="Z77" s="50"/>
      <c r="AA77" s="50">
        <f>IF(VLOOKUP($D77,$C$5:$AA$496,25,)=0,0,((VLOOKUP($D77,$C$5:$AA$496,25,)/VLOOKUP($D77,$C$5:$AA$496,4,))*$F77))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5">
      <c r="A78" s="90">
        <v>102</v>
      </c>
      <c r="B78" s="14" t="s">
        <v>706</v>
      </c>
      <c r="C78" s="14" t="s">
        <v>707</v>
      </c>
      <c r="D78" s="14" t="s">
        <v>16</v>
      </c>
      <c r="F78" s="67">
        <v>0</v>
      </c>
      <c r="H78" s="50">
        <f>IF(VLOOKUP($D78,$C$5:$AA$496,6,)=0,0,((VLOOKUP($D78,$C$5:$AA$496,6,)/VLOOKUP($D78,$C$5:$AA$496,4,))*$F78))</f>
        <v>0</v>
      </c>
      <c r="I78" s="50">
        <f>IF(VLOOKUP($D78,$C$5:$AA$496,7,)=0,0,((VLOOKUP($D78,$C$5:$AA$496,7,)/VLOOKUP($D78,$C$5:$AA$496,4,))*$F78))</f>
        <v>0</v>
      </c>
      <c r="J78" s="50"/>
      <c r="K78" s="50">
        <f>IF(VLOOKUP($D78,$C$5:$AA$496,9,)=0,0,((VLOOKUP($D78,$C$5:$AA$496,9,)/VLOOKUP($D78,$C$5:$AA$496,4,))*$F78))</f>
        <v>0</v>
      </c>
      <c r="L78" s="50"/>
      <c r="M78" s="50">
        <f>IF(VLOOKUP($D78,$C$5:$AA$496,11,)=0,0,((VLOOKUP($D78,$C$5:$AA$496,11,)/VLOOKUP($D78,$C$5:$AA$496,4,))*$F78))</f>
        <v>0</v>
      </c>
      <c r="N78" s="50"/>
      <c r="O78" s="50">
        <f>IF(VLOOKUP($D78,$C$5:$AA$496,13,)=0,0,((VLOOKUP($D78,$C$5:$AA$496,13,)/VLOOKUP($D78,$C$5:$AA$496,4,))*$F78))</f>
        <v>0</v>
      </c>
      <c r="P78" s="50">
        <f>IF(VLOOKUP($D78,$C$5:$AA$496,14,)=0,0,((VLOOKUP($D78,$C$5:$AA$496,14,)/VLOOKUP($D78,$C$5:$AA$496,4,))*$F78))</f>
        <v>0</v>
      </c>
      <c r="Q78" s="50"/>
      <c r="R78" s="50">
        <f>IF(VLOOKUP($D78,$C$5:$AA$496,16,)=0,0,((VLOOKUP($D78,$C$5:$AA$496,16,)/VLOOKUP($D78,$C$5:$AA$496,4,))*$F78))</f>
        <v>0</v>
      </c>
      <c r="S78" s="50">
        <f>IF(VLOOKUP($D78,$C$5:$AA$496,17,)=0,0,((VLOOKUP($D78,$C$5:$AA$496,17,)/VLOOKUP($D78,$C$5:$AA$496,4,))*$F78))</f>
        <v>0</v>
      </c>
      <c r="T78" s="50"/>
      <c r="U78" s="50">
        <f>IF(VLOOKUP($D78,$C$5:$AA$496,19,)=0,0,((VLOOKUP($D78,$C$5:$AA$496,19,)/VLOOKUP($D78,$C$5:$AA$496,4,))*$F78))</f>
        <v>0</v>
      </c>
      <c r="V78" s="50"/>
      <c r="W78" s="50">
        <f>IF(VLOOKUP($D78,$C$5:$AA$496,21,)=0,0,((VLOOKUP($D78,$C$5:$AA$496,21,)/VLOOKUP($D78,$C$5:$AA$496,4,))*$F78))</f>
        <v>0</v>
      </c>
      <c r="X78" s="50"/>
      <c r="Y78" s="50">
        <f>IF(VLOOKUP($D78,$C$5:$AA$496,23,)=0,0,((VLOOKUP($D78,$C$5:$AA$496,23,)/VLOOKUP($D78,$C$5:$AA$496,4,))*$F78))</f>
        <v>0</v>
      </c>
      <c r="Z78" s="50"/>
      <c r="AA78" s="50">
        <f>IF(VLOOKUP($D78,$C$5:$AA$496,25,)=0,0,((VLOOKUP($D78,$C$5:$AA$496,25,)/VLOOKUP($D78,$C$5:$AA$496,4,))*$F78))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5">
      <c r="Q79" s="14"/>
      <c r="AB79" s="50"/>
      <c r="AC79" s="28"/>
    </row>
    <row r="80" spans="1:29" hidden="1" x14ac:dyDescent="0.25">
      <c r="A80" s="90">
        <v>114</v>
      </c>
      <c r="B80" s="14" t="s">
        <v>830</v>
      </c>
      <c r="D80" s="14" t="s">
        <v>782</v>
      </c>
      <c r="F80" s="67">
        <v>0</v>
      </c>
      <c r="H80" s="50">
        <f>IF(VLOOKUP($D80,$C$5:$AA$496,6,)=0,0,((VLOOKUP($D80,$C$5:$AA$496,6,)/VLOOKUP($D80,$C$5:$AA$496,4,))*$F80))</f>
        <v>0</v>
      </c>
      <c r="I80" s="50">
        <f>IF(VLOOKUP($D80,$C$5:$AA$496,7,)=0,0,((VLOOKUP($D80,$C$5:$AA$496,7,)/VLOOKUP($D80,$C$5:$AA$496,4,))*$F80))</f>
        <v>0</v>
      </c>
      <c r="J80" s="50"/>
      <c r="K80" s="50">
        <f>IF(VLOOKUP($D80,$C$5:$AA$496,9,)=0,0,((VLOOKUP($D80,$C$5:$AA$496,9,)/VLOOKUP($D80,$C$5:$AA$496,4,))*$F80))</f>
        <v>0</v>
      </c>
      <c r="L80" s="50"/>
      <c r="M80" s="50">
        <f>IF(VLOOKUP($D80,$C$5:$AA$496,11,)=0,0,((VLOOKUP($D80,$C$5:$AA$496,11,)/VLOOKUP($D80,$C$5:$AA$496,4,))*$F80))</f>
        <v>0</v>
      </c>
      <c r="N80" s="50"/>
      <c r="O80" s="50">
        <f>IF(VLOOKUP($D80,$C$5:$AA$496,13,)=0,0,((VLOOKUP($D80,$C$5:$AA$496,13,)/VLOOKUP($D80,$C$5:$AA$496,4,))*$F80))</f>
        <v>0</v>
      </c>
      <c r="P80" s="50">
        <f>IF(VLOOKUP($D80,$C$5:$AA$496,14,)=0,0,((VLOOKUP($D80,$C$5:$AA$496,14,)/VLOOKUP($D80,$C$5:$AA$496,4,))*$F80))</f>
        <v>0</v>
      </c>
      <c r="Q80" s="50"/>
      <c r="R80" s="50">
        <f>IF(VLOOKUP($D80,$C$5:$AA$496,16,)=0,0,((VLOOKUP($D80,$C$5:$AA$496,16,)/VLOOKUP($D80,$C$5:$AA$496,4,))*$F80))</f>
        <v>0</v>
      </c>
      <c r="S80" s="50">
        <f>IF(VLOOKUP($D80,$C$5:$AA$496,17,)=0,0,((VLOOKUP($D80,$C$5:$AA$496,17,)/VLOOKUP($D80,$C$5:$AA$496,4,))*$F80))</f>
        <v>0</v>
      </c>
      <c r="T80" s="50"/>
      <c r="U80" s="50">
        <f>IF(VLOOKUP($D80,$C$5:$AA$496,19,)=0,0,((VLOOKUP($D80,$C$5:$AA$496,19,)/VLOOKUP($D80,$C$5:$AA$496,4,))*$F80))</f>
        <v>0</v>
      </c>
      <c r="V80" s="50"/>
      <c r="W80" s="50">
        <f>IF(VLOOKUP($D80,$C$5:$AA$496,21,)=0,0,((VLOOKUP($D80,$C$5:$AA$496,21,)/VLOOKUP($D80,$C$5:$AA$496,4,))*$F80))</f>
        <v>0</v>
      </c>
      <c r="X80" s="50"/>
      <c r="Y80" s="50">
        <f>IF(VLOOKUP($D80,$C$5:$AA$496,23,)=0,0,((VLOOKUP($D80,$C$5:$AA$496,23,)/VLOOKUP($D80,$C$5:$AA$496,4,))*$F80))</f>
        <v>0</v>
      </c>
      <c r="Z80" s="50"/>
      <c r="AA80" s="50">
        <f>IF(VLOOKUP($D80,$C$5:$AA$496,25,)=0,0,((VLOOKUP($D80,$C$5:$AA$496,25,)/VLOOKUP($D80,$C$5:$AA$496,4,))*$F80))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5">
      <c r="Q81" s="14"/>
      <c r="AB81" s="50"/>
      <c r="AC81" s="28"/>
    </row>
    <row r="82" spans="1:29" x14ac:dyDescent="0.25">
      <c r="B82" s="14" t="s">
        <v>71</v>
      </c>
      <c r="C82" s="14" t="s">
        <v>72</v>
      </c>
      <c r="F82" s="91">
        <f>F12+F24+F35+F54+F75+F77+F78+F80</f>
        <v>208827089.06</v>
      </c>
      <c r="G82" s="91">
        <f>G12+G35+G54+G75+G77+G80</f>
        <v>0</v>
      </c>
      <c r="H82" s="91">
        <f>H12+H24+H35+H54+H75+H77+H78+H80</f>
        <v>0</v>
      </c>
      <c r="I82" s="91">
        <f>I12+I24+I35+I54+I75+I77+I78+I80</f>
        <v>0</v>
      </c>
      <c r="J82" s="91"/>
      <c r="K82" s="91">
        <f>K12+K24+K35+K54+K75+K77+K78+K80</f>
        <v>0</v>
      </c>
      <c r="L82" s="91"/>
      <c r="M82" s="91">
        <f>M12+M24+M35+M54+M75+M77+M78+M80</f>
        <v>27322108.2870313</v>
      </c>
      <c r="N82" s="91"/>
      <c r="O82" s="91">
        <f>O12+O24+O35+O54+O75+O77+O78+O80</f>
        <v>55005017.270620972</v>
      </c>
      <c r="P82" s="91">
        <f>P12+P24+P35+P54+P75+P77+P78+P80</f>
        <v>96475155.911057666</v>
      </c>
      <c r="Q82" s="91"/>
      <c r="R82" s="91">
        <f>R12+R24+R35+R54+R75+R77+R78+R80</f>
        <v>0</v>
      </c>
      <c r="S82" s="91">
        <f>S12+S24+S35+S54+S75+S77+S78+S80</f>
        <v>14161613.840687549</v>
      </c>
      <c r="T82" s="91"/>
      <c r="U82" s="91">
        <f>U12+U24+U35+U54+U75+U77+U78+U80</f>
        <v>10681640.129441964</v>
      </c>
      <c r="V82" s="91"/>
      <c r="W82" s="91">
        <f>W12+W24+W35+W54+W75+W77+W78+W80</f>
        <v>5181553.6211605482</v>
      </c>
      <c r="X82" s="91"/>
      <c r="Y82" s="91">
        <f>Y12+Y24+Y35+Y54+Y75+Y77+Y78+Y80</f>
        <v>0</v>
      </c>
      <c r="Z82" s="91"/>
      <c r="AA82" s="91">
        <f>AA12+AA24+AA35+AA54+AA75+AA77+AA78+AA80</f>
        <v>0</v>
      </c>
      <c r="AB82" s="50">
        <f>SUM(H82:AA82)</f>
        <v>208827089.06</v>
      </c>
      <c r="AC82" s="28" t="str">
        <f>IF(ABS(AB82-F82)&lt;1,"ok","err")</f>
        <v>ok</v>
      </c>
    </row>
    <row r="83" spans="1:29" x14ac:dyDescent="0.25">
      <c r="AC83" s="28"/>
    </row>
    <row r="84" spans="1:29" x14ac:dyDescent="0.25">
      <c r="A84" s="26" t="s">
        <v>73</v>
      </c>
      <c r="AC84" s="28"/>
    </row>
    <row r="85" spans="1:29" x14ac:dyDescent="0.25">
      <c r="B85" s="14" t="s">
        <v>787</v>
      </c>
      <c r="C85" s="14" t="s">
        <v>553</v>
      </c>
      <c r="D85" s="14" t="s">
        <v>782</v>
      </c>
      <c r="F85" s="67">
        <v>0</v>
      </c>
      <c r="H85" s="50">
        <f>IF(VLOOKUP($D85,$C$5:$AA$496,6,)=0,0,((VLOOKUP($D85,$C$5:$AA$496,6,)/VLOOKUP($D85,$C$5:$AA$496,4,))*$F85))</f>
        <v>0</v>
      </c>
      <c r="I85" s="50">
        <f>IF(VLOOKUP($D85,$C$5:$AA$496,7,)=0,0,((VLOOKUP($D85,$C$5:$AA$496,7,)/VLOOKUP($D85,$C$5:$AA$496,4,))*$F85))</f>
        <v>0</v>
      </c>
      <c r="J85" s="50"/>
      <c r="K85" s="50">
        <f>IF(VLOOKUP($D85,$C$5:$AA$496,9,)=0,0,((VLOOKUP($D85,$C$5:$AA$496,9,)/VLOOKUP($D85,$C$5:$AA$496,4,))*$F85))</f>
        <v>0</v>
      </c>
      <c r="L85" s="50"/>
      <c r="M85" s="50">
        <f>IF(VLOOKUP($D85,$C$5:$AA$496,11,)=0,0,((VLOOKUP($D85,$C$5:$AA$496,11,)/VLOOKUP($D85,$C$5:$AA$496,4,))*$F85))</f>
        <v>0</v>
      </c>
      <c r="N85" s="50"/>
      <c r="O85" s="50">
        <f>IF(VLOOKUP($D85,$C$5:$AA$496,13,)=0,0,((VLOOKUP($D85,$C$5:$AA$496,13,)/VLOOKUP($D85,$C$5:$AA$496,4,))*$F85))</f>
        <v>0</v>
      </c>
      <c r="P85" s="50">
        <f>IF(VLOOKUP($D85,$C$5:$AA$496,14,)=0,0,((VLOOKUP($D85,$C$5:$AA$496,14,)/VLOOKUP($D85,$C$5:$AA$496,4,))*$F85))</f>
        <v>0</v>
      </c>
      <c r="Q85" s="50"/>
      <c r="R85" s="50">
        <f>IF(VLOOKUP($D85,$C$5:$AA$496,16,)=0,0,((VLOOKUP($D85,$C$5:$AA$496,16,)/VLOOKUP($D85,$C$5:$AA$496,4,))*$F85))</f>
        <v>0</v>
      </c>
      <c r="S85" s="50">
        <f>IF(VLOOKUP($D85,$C$5:$AA$496,17,)=0,0,((VLOOKUP($D85,$C$5:$AA$496,17,)/VLOOKUP($D85,$C$5:$AA$496,4,))*$F85))</f>
        <v>0</v>
      </c>
      <c r="T85" s="50"/>
      <c r="U85" s="50">
        <f>IF(VLOOKUP($D85,$C$5:$AA$496,19,)=0,0,((VLOOKUP($D85,$C$5:$AA$496,19,)/VLOOKUP($D85,$C$5:$AA$496,4,))*$F85))</f>
        <v>0</v>
      </c>
      <c r="V85" s="50"/>
      <c r="W85" s="50">
        <f>IF(VLOOKUP($D85,$C$5:$AA$496,21,)=0,0,((VLOOKUP($D85,$C$5:$AA$496,21,)/VLOOKUP($D85,$C$5:$AA$496,4,))*$F85))</f>
        <v>0</v>
      </c>
      <c r="X85" s="50"/>
      <c r="Y85" s="50">
        <f>IF(VLOOKUP($D85,$C$5:$AA$496,23,)=0,0,((VLOOKUP($D85,$C$5:$AA$496,23,)/VLOOKUP($D85,$C$5:$AA$496,4,))*$F85))</f>
        <v>0</v>
      </c>
      <c r="Z85" s="50"/>
      <c r="AA85" s="50">
        <f>IF(VLOOKUP($D85,$C$5:$AA$496,25,)=0,0,((VLOOKUP($D85,$C$5:$AA$496,25,)/VLOOKUP($D85,$C$5:$AA$496,4,))*$F85))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5">
      <c r="B86" s="14" t="s">
        <v>425</v>
      </c>
      <c r="C86" s="14" t="s">
        <v>554</v>
      </c>
      <c r="D86" s="14" t="s">
        <v>390</v>
      </c>
      <c r="F86" s="50">
        <v>0</v>
      </c>
      <c r="H86" s="50">
        <f>IF(VLOOKUP($D86,$C$5:$AA$496,6,)=0,0,((VLOOKUP($D86,$C$5:$AA$496,6,)/VLOOKUP($D86,$C$5:$AA$496,4,))*$F86))</f>
        <v>0</v>
      </c>
      <c r="I86" s="50">
        <f>IF(VLOOKUP($D86,$C$5:$AA$496,7,)=0,0,((VLOOKUP($D86,$C$5:$AA$496,7,)/VLOOKUP($D86,$C$5:$AA$496,4,))*$F86))</f>
        <v>0</v>
      </c>
      <c r="J86" s="50"/>
      <c r="K86" s="50">
        <f>IF(VLOOKUP($D86,$C$5:$AA$496,9,)=0,0,((VLOOKUP($D86,$C$5:$AA$496,9,)/VLOOKUP($D86,$C$5:$AA$496,4,))*$F86))</f>
        <v>0</v>
      </c>
      <c r="L86" s="50"/>
      <c r="M86" s="50">
        <f>IF(VLOOKUP($D86,$C$5:$AA$496,11,)=0,0,((VLOOKUP($D86,$C$5:$AA$496,11,)/VLOOKUP($D86,$C$5:$AA$496,4,))*$F86))</f>
        <v>0</v>
      </c>
      <c r="N86" s="50"/>
      <c r="O86" s="50">
        <f>IF(VLOOKUP($D86,$C$5:$AA$496,13,)=0,0,((VLOOKUP($D86,$C$5:$AA$496,13,)/VLOOKUP($D86,$C$5:$AA$496,4,))*$F86))</f>
        <v>0</v>
      </c>
      <c r="P86" s="50">
        <f>IF(VLOOKUP($D86,$C$5:$AA$496,14,)=0,0,((VLOOKUP($D86,$C$5:$AA$496,14,)/VLOOKUP($D86,$C$5:$AA$496,4,))*$F86))</f>
        <v>0</v>
      </c>
      <c r="Q86" s="50"/>
      <c r="R86" s="50">
        <f>IF(VLOOKUP($D86,$C$5:$AA$496,16,)=0,0,((VLOOKUP($D86,$C$5:$AA$496,16,)/VLOOKUP($D86,$C$5:$AA$496,4,))*$F86))</f>
        <v>0</v>
      </c>
      <c r="S86" s="50">
        <f>IF(VLOOKUP($D86,$C$5:$AA$496,17,)=0,0,((VLOOKUP($D86,$C$5:$AA$496,17,)/VLOOKUP($D86,$C$5:$AA$496,4,))*$F86))</f>
        <v>0</v>
      </c>
      <c r="T86" s="50"/>
      <c r="U86" s="50">
        <f>IF(VLOOKUP($D86,$C$5:$AA$496,19,)=0,0,((VLOOKUP($D86,$C$5:$AA$496,19,)/VLOOKUP($D86,$C$5:$AA$496,4,))*$F86))</f>
        <v>0</v>
      </c>
      <c r="V86" s="50"/>
      <c r="W86" s="50">
        <f>IF(VLOOKUP($D86,$C$5:$AA$496,21,)=0,0,((VLOOKUP($D86,$C$5:$AA$496,21,)/VLOOKUP($D86,$C$5:$AA$496,4,))*$F86))</f>
        <v>0</v>
      </c>
      <c r="X86" s="50"/>
      <c r="Y86" s="50">
        <f>IF(VLOOKUP($D86,$C$5:$AA$496,23,)=0,0,((VLOOKUP($D86,$C$5:$AA$496,23,)/VLOOKUP($D86,$C$5:$AA$496,4,))*$F86))</f>
        <v>0</v>
      </c>
      <c r="Z86" s="50"/>
      <c r="AA86" s="50">
        <f>IF(VLOOKUP($D86,$C$5:$AA$496,25,)=0,0,((VLOOKUP($D86,$C$5:$AA$496,25,)/VLOOKUP($D86,$C$5:$AA$496,4,))*$F86))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5">
      <c r="B87" s="14" t="s">
        <v>839</v>
      </c>
      <c r="C87" s="14" t="s">
        <v>555</v>
      </c>
      <c r="D87" s="14" t="s">
        <v>16</v>
      </c>
      <c r="F87" s="50">
        <v>5894817.1300000008</v>
      </c>
      <c r="H87" s="50">
        <f>IF(VLOOKUP($D87,$C$5:$AA$496,6,)=0,0,((VLOOKUP($D87,$C$5:$AA$496,6,)/VLOOKUP($D87,$C$5:$AA$496,4,))*$F87))</f>
        <v>0</v>
      </c>
      <c r="I87" s="50">
        <f>IF(VLOOKUP($D87,$C$5:$AA$496,7,)=0,0,((VLOOKUP($D87,$C$5:$AA$496,7,)/VLOOKUP($D87,$C$5:$AA$496,4,))*$F87))</f>
        <v>0</v>
      </c>
      <c r="J87" s="50"/>
      <c r="K87" s="50">
        <f>IF(VLOOKUP($D87,$C$5:$AA$496,9,)=0,0,((VLOOKUP($D87,$C$5:$AA$496,9,)/VLOOKUP($D87,$C$5:$AA$496,4,))*$F87))</f>
        <v>0</v>
      </c>
      <c r="L87" s="50"/>
      <c r="M87" s="50">
        <f>IF(VLOOKUP($D87,$C$5:$AA$496,11,)=0,0,((VLOOKUP($D87,$C$5:$AA$496,11,)/VLOOKUP($D87,$C$5:$AA$496,4,))*$F87))</f>
        <v>771254.49903595517</v>
      </c>
      <c r="N87" s="50"/>
      <c r="O87" s="50">
        <f>IF(VLOOKUP($D87,$C$5:$AA$496,13,)=0,0,((VLOOKUP($D87,$C$5:$AA$496,13,)/VLOOKUP($D87,$C$5:$AA$496,4,))*$F87))</f>
        <v>1552693.7597144821</v>
      </c>
      <c r="P87" s="50">
        <f>IF(VLOOKUP($D87,$C$5:$AA$496,14,)=0,0,((VLOOKUP($D87,$C$5:$AA$496,14,)/VLOOKUP($D87,$C$5:$AA$496,4,))*$F87))</f>
        <v>2723321.9801312475</v>
      </c>
      <c r="Q87" s="50"/>
      <c r="R87" s="50">
        <f>IF(VLOOKUP($D87,$C$5:$AA$496,16,)=0,0,((VLOOKUP($D87,$C$5:$AA$496,16,)/VLOOKUP($D87,$C$5:$AA$496,4,))*$F87))</f>
        <v>0</v>
      </c>
      <c r="S87" s="50">
        <f>IF(VLOOKUP($D87,$C$5:$AA$496,17,)=0,0,((VLOOKUP($D87,$C$5:$AA$496,17,)/VLOOKUP($D87,$C$5:$AA$496,4,))*$F87))</f>
        <v>399757.15905585716</v>
      </c>
      <c r="T87" s="50"/>
      <c r="U87" s="50">
        <f>IF(VLOOKUP($D87,$C$5:$AA$496,19,)=0,0,((VLOOKUP($D87,$C$5:$AA$496,19,)/VLOOKUP($D87,$C$5:$AA$496,4,))*$F87))</f>
        <v>301523.69357329165</v>
      </c>
      <c r="V87" s="50"/>
      <c r="W87" s="50">
        <f>IF(VLOOKUP($D87,$C$5:$AA$496,21,)=0,0,((VLOOKUP($D87,$C$5:$AA$496,21,)/VLOOKUP($D87,$C$5:$AA$496,4,))*$F87))</f>
        <v>146266.03848916735</v>
      </c>
      <c r="X87" s="50"/>
      <c r="Y87" s="50">
        <f>IF(VLOOKUP($D87,$C$5:$AA$496,23,)=0,0,((VLOOKUP($D87,$C$5:$AA$496,23,)/VLOOKUP($D87,$C$5:$AA$496,4,))*$F87))</f>
        <v>0</v>
      </c>
      <c r="Z87" s="50"/>
      <c r="AA87" s="50">
        <f>IF(VLOOKUP($D87,$C$5:$AA$496,25,)=0,0,((VLOOKUP($D87,$C$5:$AA$496,25,)/VLOOKUP($D87,$C$5:$AA$496,4,))*$F87))</f>
        <v>0</v>
      </c>
      <c r="AB87" s="50">
        <f>SUM(H87:AA87)</f>
        <v>5894817.1300000008</v>
      </c>
      <c r="AC87" s="28" t="str">
        <f>IF(ABS(AB87-F87)&lt;1,"ok","err")</f>
        <v>ok</v>
      </c>
    </row>
    <row r="88" spans="1:29" x14ac:dyDescent="0.25">
      <c r="B88" s="14" t="s">
        <v>449</v>
      </c>
      <c r="C88" s="14" t="s">
        <v>556</v>
      </c>
      <c r="D88" s="14" t="s">
        <v>70</v>
      </c>
      <c r="F88" s="50">
        <v>0</v>
      </c>
      <c r="H88" s="50">
        <f>IF(VLOOKUP($D88,$C$5:$AA$496,6,)=0,0,((VLOOKUP($D88,$C$5:$AA$496,6,)/VLOOKUP($D88,$C$5:$AA$496,4,))*$F88))</f>
        <v>0</v>
      </c>
      <c r="I88" s="50">
        <f>IF(VLOOKUP($D88,$C$5:$AA$496,7,)=0,0,((VLOOKUP($D88,$C$5:$AA$496,7,)/VLOOKUP($D88,$C$5:$AA$496,4,))*$F88))</f>
        <v>0</v>
      </c>
      <c r="J88" s="50"/>
      <c r="K88" s="50">
        <f>IF(VLOOKUP($D88,$C$5:$AA$496,9,)=0,0,((VLOOKUP($D88,$C$5:$AA$496,9,)/VLOOKUP($D88,$C$5:$AA$496,4,))*$F88))</f>
        <v>0</v>
      </c>
      <c r="L88" s="50"/>
      <c r="M88" s="50">
        <f>IF(VLOOKUP($D88,$C$5:$AA$496,11,)=0,0,((VLOOKUP($D88,$C$5:$AA$496,11,)/VLOOKUP($D88,$C$5:$AA$496,4,))*$F88))</f>
        <v>0</v>
      </c>
      <c r="N88" s="50"/>
      <c r="O88" s="50">
        <f>IF(VLOOKUP($D88,$C$5:$AA$496,13,)=0,0,((VLOOKUP($D88,$C$5:$AA$496,13,)/VLOOKUP($D88,$C$5:$AA$496,4,))*$F88))</f>
        <v>0</v>
      </c>
      <c r="P88" s="50">
        <f>IF(VLOOKUP($D88,$C$5:$AA$496,14,)=0,0,((VLOOKUP($D88,$C$5:$AA$496,14,)/VLOOKUP($D88,$C$5:$AA$496,4,))*$F88))</f>
        <v>0</v>
      </c>
      <c r="Q88" s="50"/>
      <c r="R88" s="50">
        <f>IF(VLOOKUP($D88,$C$5:$AA$496,16,)=0,0,((VLOOKUP($D88,$C$5:$AA$496,16,)/VLOOKUP($D88,$C$5:$AA$496,4,))*$F88))</f>
        <v>0</v>
      </c>
      <c r="S88" s="50">
        <f>IF(VLOOKUP($D88,$C$5:$AA$496,17,)=0,0,((VLOOKUP($D88,$C$5:$AA$496,17,)/VLOOKUP($D88,$C$5:$AA$496,4,))*$F88))</f>
        <v>0</v>
      </c>
      <c r="T88" s="50"/>
      <c r="U88" s="50">
        <f>IF(VLOOKUP($D88,$C$5:$AA$496,19,)=0,0,((VLOOKUP($D88,$C$5:$AA$496,19,)/VLOOKUP($D88,$C$5:$AA$496,4,))*$F88))</f>
        <v>0</v>
      </c>
      <c r="V88" s="50"/>
      <c r="W88" s="50">
        <f>IF(VLOOKUP($D88,$C$5:$AA$496,21,)=0,0,((VLOOKUP($D88,$C$5:$AA$496,21,)/VLOOKUP($D88,$C$5:$AA$496,4,))*$F88))</f>
        <v>0</v>
      </c>
      <c r="X88" s="50"/>
      <c r="Y88" s="50">
        <f>IF(VLOOKUP($D88,$C$5:$AA$496,23,)=0,0,((VLOOKUP($D88,$C$5:$AA$496,23,)/VLOOKUP($D88,$C$5:$AA$496,4,))*$F88))</f>
        <v>0</v>
      </c>
      <c r="Z88" s="50"/>
      <c r="AA88" s="50">
        <f>IF(VLOOKUP($D88,$C$5:$AA$496,25,)=0,0,((VLOOKUP($D88,$C$5:$AA$496,25,)/VLOOKUP($D88,$C$5:$AA$496,4,))*$F88))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5">
      <c r="B89" s="14" t="s">
        <v>936</v>
      </c>
      <c r="C89" s="14" t="s">
        <v>557</v>
      </c>
      <c r="D89" s="14" t="s">
        <v>16</v>
      </c>
      <c r="F89" s="50">
        <v>0</v>
      </c>
      <c r="H89" s="50">
        <f>IF(VLOOKUP($D89,$C$5:$AA$496,6,)=0,0,((VLOOKUP($D89,$C$5:$AA$496,6,)/VLOOKUP($D89,$C$5:$AA$496,4,))*$F89))</f>
        <v>0</v>
      </c>
      <c r="I89" s="50">
        <f>IF(VLOOKUP($D89,$C$5:$AA$496,7,)=0,0,((VLOOKUP($D89,$C$5:$AA$496,7,)/VLOOKUP($D89,$C$5:$AA$496,4,))*$F89))</f>
        <v>0</v>
      </c>
      <c r="J89" s="50"/>
      <c r="K89" s="50">
        <f>IF(VLOOKUP($D89,$C$5:$AA$496,9,)=0,0,((VLOOKUP($D89,$C$5:$AA$496,9,)/VLOOKUP($D89,$C$5:$AA$496,4,))*$F89))</f>
        <v>0</v>
      </c>
      <c r="L89" s="50"/>
      <c r="M89" s="50">
        <f>IF(VLOOKUP($D89,$C$5:$AA$496,11,)=0,0,((VLOOKUP($D89,$C$5:$AA$496,11,)/VLOOKUP($D89,$C$5:$AA$496,4,))*$F89))</f>
        <v>0</v>
      </c>
      <c r="N89" s="50"/>
      <c r="O89" s="50">
        <f>IF(VLOOKUP($D89,$C$5:$AA$496,13,)=0,0,((VLOOKUP($D89,$C$5:$AA$496,13,)/VLOOKUP($D89,$C$5:$AA$496,4,))*$F89))</f>
        <v>0</v>
      </c>
      <c r="P89" s="50">
        <f>IF(VLOOKUP($D89,$C$5:$AA$496,14,)=0,0,((VLOOKUP($D89,$C$5:$AA$496,14,)/VLOOKUP($D89,$C$5:$AA$496,4,))*$F89))</f>
        <v>0</v>
      </c>
      <c r="Q89" s="50"/>
      <c r="R89" s="50">
        <f>IF(VLOOKUP($D89,$C$5:$AA$496,16,)=0,0,((VLOOKUP($D89,$C$5:$AA$496,16,)/VLOOKUP($D89,$C$5:$AA$496,4,))*$F89))</f>
        <v>0</v>
      </c>
      <c r="S89" s="50">
        <f>IF(VLOOKUP($D89,$C$5:$AA$496,17,)=0,0,((VLOOKUP($D89,$C$5:$AA$496,17,)/VLOOKUP($D89,$C$5:$AA$496,4,))*$F89))</f>
        <v>0</v>
      </c>
      <c r="T89" s="50"/>
      <c r="U89" s="50">
        <f>IF(VLOOKUP($D89,$C$5:$AA$496,19,)=0,0,((VLOOKUP($D89,$C$5:$AA$496,19,)/VLOOKUP($D89,$C$5:$AA$496,4,))*$F89))</f>
        <v>0</v>
      </c>
      <c r="V89" s="50"/>
      <c r="W89" s="50">
        <f>IF(VLOOKUP($D89,$C$5:$AA$496,21,)=0,0,((VLOOKUP($D89,$C$5:$AA$496,21,)/VLOOKUP($D89,$C$5:$AA$496,4,))*$F89))</f>
        <v>0</v>
      </c>
      <c r="X89" s="50"/>
      <c r="Y89" s="50">
        <f>IF(VLOOKUP($D89,$C$5:$AA$496,23,)=0,0,((VLOOKUP($D89,$C$5:$AA$496,23,)/VLOOKUP($D89,$C$5:$AA$496,4,))*$F89))</f>
        <v>0</v>
      </c>
      <c r="Z89" s="50"/>
      <c r="AA89" s="50">
        <f>IF(VLOOKUP($D89,$C$5:$AA$496,25,)=0,0,((VLOOKUP($D89,$C$5:$AA$496,25,)/VLOOKUP($D89,$C$5:$AA$496,4,))*$F89))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5">
      <c r="D90" s="50"/>
      <c r="F90" s="50"/>
      <c r="AB90" s="50"/>
      <c r="AC90" s="28"/>
    </row>
    <row r="91" spans="1:29" x14ac:dyDescent="0.25">
      <c r="A91" s="93" t="s">
        <v>74</v>
      </c>
      <c r="C91" s="14" t="s">
        <v>75</v>
      </c>
      <c r="F91" s="67">
        <f>SUM(F85:F89)</f>
        <v>5894817.1300000008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771254.49903595517</v>
      </c>
      <c r="N91" s="67"/>
      <c r="O91" s="67">
        <f>SUM(O85:O89)</f>
        <v>1552693.7597144821</v>
      </c>
      <c r="P91" s="67">
        <f>SUM(P85:P89)</f>
        <v>2723321.9801312475</v>
      </c>
      <c r="Q91" s="67"/>
      <c r="R91" s="67">
        <f>SUM(R85:R89)</f>
        <v>0</v>
      </c>
      <c r="S91" s="67">
        <f>SUM(S85:S89)</f>
        <v>399757.15905585716</v>
      </c>
      <c r="T91" s="67"/>
      <c r="U91" s="67">
        <f>SUM(U85:U89)</f>
        <v>301523.69357329165</v>
      </c>
      <c r="V91" s="67"/>
      <c r="W91" s="67">
        <f>SUM(W85:W89)</f>
        <v>146266.03848916735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5894817.1300000008</v>
      </c>
      <c r="AC91" s="28" t="str">
        <f>IF(ABS(AB91-F91)&lt;1,"ok","err")</f>
        <v>ok</v>
      </c>
    </row>
    <row r="92" spans="1:29" x14ac:dyDescent="0.25">
      <c r="A92" s="93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5">
      <c r="A93" s="13" t="s">
        <v>366</v>
      </c>
      <c r="D93" s="50"/>
      <c r="F93" s="67">
        <f>F82+F91</f>
        <v>214721906.19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28093362.786067255</v>
      </c>
      <c r="N93" s="67"/>
      <c r="O93" s="67">
        <f>O82+O91</f>
        <v>56557711.030335456</v>
      </c>
      <c r="P93" s="67">
        <f>P82+P91</f>
        <v>99198477.89118892</v>
      </c>
      <c r="Q93" s="67"/>
      <c r="R93" s="67">
        <f>R82+R91</f>
        <v>0</v>
      </c>
      <c r="S93" s="67">
        <f>S82+S91</f>
        <v>14561370.999743406</v>
      </c>
      <c r="T93" s="67"/>
      <c r="U93" s="67">
        <f>U82+U91</f>
        <v>10983163.823015256</v>
      </c>
      <c r="V93" s="67"/>
      <c r="W93" s="67">
        <f>W82+W91</f>
        <v>5327819.6596497158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214721906.19</v>
      </c>
      <c r="AC93" s="28" t="str">
        <f>IF(ABS(AB93-F93)&lt;1,"ok","err")</f>
        <v>ok</v>
      </c>
    </row>
    <row r="94" spans="1:29" x14ac:dyDescent="0.25">
      <c r="AC94" s="28"/>
    </row>
    <row r="95" spans="1:29" x14ac:dyDescent="0.25">
      <c r="A95" s="26" t="s">
        <v>76</v>
      </c>
      <c r="AC95" s="28"/>
    </row>
    <row r="96" spans="1:29" x14ac:dyDescent="0.25">
      <c r="AC96" s="28"/>
    </row>
    <row r="97" spans="1:29" x14ac:dyDescent="0.25">
      <c r="A97" s="26" t="s">
        <v>77</v>
      </c>
      <c r="AC97" s="28"/>
    </row>
    <row r="98" spans="1:29" x14ac:dyDescent="0.25">
      <c r="A98" s="14" t="s">
        <v>15</v>
      </c>
      <c r="F98" s="91">
        <f>F82</f>
        <v>208827089.06</v>
      </c>
      <c r="G98" s="91"/>
      <c r="H98" s="91">
        <f>H82</f>
        <v>0</v>
      </c>
      <c r="I98" s="91">
        <f>I82</f>
        <v>0</v>
      </c>
      <c r="J98" s="91"/>
      <c r="K98" s="91">
        <f>K82</f>
        <v>0</v>
      </c>
      <c r="L98" s="91"/>
      <c r="M98" s="91">
        <f>M82</f>
        <v>27322108.2870313</v>
      </c>
      <c r="N98" s="91"/>
      <c r="O98" s="91">
        <f>O82</f>
        <v>55005017.270620972</v>
      </c>
      <c r="P98" s="91">
        <f>P82</f>
        <v>96475155.911057666</v>
      </c>
      <c r="Q98" s="91"/>
      <c r="R98" s="91">
        <f>R82</f>
        <v>0</v>
      </c>
      <c r="S98" s="91">
        <f>S82</f>
        <v>14161613.840687549</v>
      </c>
      <c r="T98" s="91"/>
      <c r="U98" s="91">
        <f>U82</f>
        <v>10681640.129441964</v>
      </c>
      <c r="V98" s="91"/>
      <c r="W98" s="91">
        <f>W82</f>
        <v>5181553.6211605482</v>
      </c>
      <c r="X98" s="91"/>
      <c r="Y98" s="91">
        <f>Y82</f>
        <v>0</v>
      </c>
      <c r="Z98" s="91"/>
      <c r="AA98" s="91">
        <f>AA82</f>
        <v>0</v>
      </c>
      <c r="AB98" s="50">
        <f>SUM(H98:AA98)</f>
        <v>208827089.06</v>
      </c>
      <c r="AC98" s="28" t="str">
        <f>IF(ABS(AB98-F98)&lt;1,"ok","err")</f>
        <v>ok</v>
      </c>
    </row>
    <row r="99" spans="1:29" x14ac:dyDescent="0.25">
      <c r="A99" s="14" t="s">
        <v>73</v>
      </c>
      <c r="F99" s="50">
        <f>F91</f>
        <v>5894817.1300000008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771254.49903595517</v>
      </c>
      <c r="N99" s="48"/>
      <c r="O99" s="48">
        <f>O91</f>
        <v>1552693.7597144821</v>
      </c>
      <c r="P99" s="48">
        <f>P91</f>
        <v>2723321.9801312475</v>
      </c>
      <c r="Q99" s="48"/>
      <c r="R99" s="48">
        <f>R91</f>
        <v>0</v>
      </c>
      <c r="S99" s="48">
        <f>S91</f>
        <v>399757.15905585716</v>
      </c>
      <c r="T99" s="48"/>
      <c r="U99" s="48">
        <f>U91</f>
        <v>301523.69357329165</v>
      </c>
      <c r="V99" s="48"/>
      <c r="W99" s="48">
        <f>W91</f>
        <v>146266.03848916735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5894817.1300000008</v>
      </c>
      <c r="AC99" s="28" t="str">
        <f>IF(ABS(AB99-F99)&lt;1,"ok","err")</f>
        <v>ok</v>
      </c>
    </row>
    <row r="100" spans="1:29" x14ac:dyDescent="0.25">
      <c r="Q100" s="14"/>
      <c r="AB100" s="50"/>
      <c r="AC100" s="28"/>
    </row>
    <row r="101" spans="1:29" x14ac:dyDescent="0.25">
      <c r="A101" s="93" t="s">
        <v>78</v>
      </c>
      <c r="C101" s="14" t="s">
        <v>79</v>
      </c>
      <c r="F101" s="91">
        <f>F98+F99</f>
        <v>214721906.19</v>
      </c>
      <c r="G101" s="91">
        <f t="shared" ref="G101:AA101" si="61">G98+G99</f>
        <v>0</v>
      </c>
      <c r="H101" s="91">
        <f t="shared" si="61"/>
        <v>0</v>
      </c>
      <c r="I101" s="91">
        <f t="shared" si="61"/>
        <v>0</v>
      </c>
      <c r="J101" s="91"/>
      <c r="K101" s="91">
        <f t="shared" si="61"/>
        <v>0</v>
      </c>
      <c r="L101" s="91"/>
      <c r="M101" s="91">
        <f t="shared" si="61"/>
        <v>28093362.786067255</v>
      </c>
      <c r="N101" s="91"/>
      <c r="O101" s="91">
        <f t="shared" si="61"/>
        <v>56557711.030335456</v>
      </c>
      <c r="P101" s="91">
        <f t="shared" si="61"/>
        <v>99198477.89118892</v>
      </c>
      <c r="Q101" s="91"/>
      <c r="R101" s="91">
        <f t="shared" si="61"/>
        <v>0</v>
      </c>
      <c r="S101" s="91">
        <f t="shared" si="61"/>
        <v>14561370.999743406</v>
      </c>
      <c r="T101" s="91"/>
      <c r="U101" s="91">
        <f t="shared" si="61"/>
        <v>10983163.823015256</v>
      </c>
      <c r="V101" s="91"/>
      <c r="W101" s="91">
        <f t="shared" si="61"/>
        <v>5327819.6596497158</v>
      </c>
      <c r="X101" s="91"/>
      <c r="Y101" s="91">
        <f t="shared" si="61"/>
        <v>0</v>
      </c>
      <c r="Z101" s="91"/>
      <c r="AA101" s="91">
        <f t="shared" si="61"/>
        <v>0</v>
      </c>
      <c r="AB101" s="50">
        <f>SUM(H101:AA101)</f>
        <v>214721906.19</v>
      </c>
      <c r="AC101" s="28" t="str">
        <f>IF(ABS(AB101-F101)&lt;1,"ok","err")</f>
        <v>ok</v>
      </c>
    </row>
    <row r="102" spans="1:29" x14ac:dyDescent="0.25">
      <c r="Q102" s="14"/>
      <c r="AC102" s="28"/>
    </row>
    <row r="103" spans="1:29" x14ac:dyDescent="0.25">
      <c r="A103" s="26" t="s">
        <v>80</v>
      </c>
      <c r="Q103" s="14"/>
      <c r="AC103" s="28"/>
    </row>
    <row r="104" spans="1:29" x14ac:dyDescent="0.25">
      <c r="A104" s="14" t="s">
        <v>368</v>
      </c>
      <c r="C104" s="14" t="s">
        <v>393</v>
      </c>
      <c r="D104" s="14" t="s">
        <v>79</v>
      </c>
      <c r="F104" s="67"/>
      <c r="H104" s="50">
        <f t="shared" ref="H104:H122" si="62">IF(VLOOKUP($D104,$C$5:$AA$496,6,)=0,0,((VLOOKUP($D104,$C$5:$AA$496,6,)/VLOOKUP($D104,$C$5:$AA$496,4,))*$F104))</f>
        <v>0</v>
      </c>
      <c r="I104" s="50">
        <f t="shared" ref="I104:I122" si="63">IF(VLOOKUP($D104,$C$5:$AA$496,7,)=0,0,((VLOOKUP($D104,$C$5:$AA$496,7,)/VLOOKUP($D104,$C$5:$AA$496,4,))*$F104))</f>
        <v>0</v>
      </c>
      <c r="J104" s="50"/>
      <c r="K104" s="50">
        <f t="shared" ref="K104:K122" si="64">IF(VLOOKUP($D104,$C$5:$AA$496,9,)=0,0,((VLOOKUP($D104,$C$5:$AA$496,9,)/VLOOKUP($D104,$C$5:$AA$496,4,))*$F104))</f>
        <v>0</v>
      </c>
      <c r="L104" s="50"/>
      <c r="M104" s="50">
        <f t="shared" ref="M104:M122" si="65">IF(VLOOKUP($D104,$C$5:$AA$496,11,)=0,0,((VLOOKUP($D104,$C$5:$AA$496,11,)/VLOOKUP($D104,$C$5:$AA$496,4,))*$F104))</f>
        <v>0</v>
      </c>
      <c r="N104" s="50"/>
      <c r="O104" s="50">
        <f t="shared" ref="O104:O122" si="66">IF(VLOOKUP($D104,$C$5:$AA$496,13,)=0,0,((VLOOKUP($D104,$C$5:$AA$496,13,)/VLOOKUP($D104,$C$5:$AA$496,4,))*$F104))</f>
        <v>0</v>
      </c>
      <c r="P104" s="50">
        <f t="shared" ref="P104:P122" si="67">IF(VLOOKUP($D104,$C$5:$AA$496,14,)=0,0,((VLOOKUP($D104,$C$5:$AA$496,14,)/VLOOKUP($D104,$C$5:$AA$496,4,))*$F104))</f>
        <v>0</v>
      </c>
      <c r="Q104" s="50"/>
      <c r="R104" s="50">
        <f t="shared" ref="R104:R122" si="68">IF(VLOOKUP($D104,$C$5:$AA$496,16,)=0,0,((VLOOKUP($D104,$C$5:$AA$496,16,)/VLOOKUP($D104,$C$5:$AA$496,4,))*$F104))</f>
        <v>0</v>
      </c>
      <c r="S104" s="50">
        <f t="shared" ref="S104:S122" si="69">IF(VLOOKUP($D104,$C$5:$AA$496,17,)=0,0,((VLOOKUP($D104,$C$5:$AA$496,17,)/VLOOKUP($D104,$C$5:$AA$496,4,))*$F104))</f>
        <v>0</v>
      </c>
      <c r="T104" s="50"/>
      <c r="U104" s="50">
        <f t="shared" ref="U104:U122" si="70">IF(VLOOKUP($D104,$C$5:$AA$496,19,)=0,0,((VLOOKUP($D104,$C$5:$AA$496,19,)/VLOOKUP($D104,$C$5:$AA$496,4,))*$F104))</f>
        <v>0</v>
      </c>
      <c r="V104" s="50"/>
      <c r="W104" s="50">
        <f t="shared" ref="W104:W122" si="71">IF(VLOOKUP($D104,$C$5:$AA$496,21,)=0,0,((VLOOKUP($D104,$C$5:$AA$496,21,)/VLOOKUP($D104,$C$5:$AA$496,4,))*$F104))</f>
        <v>0</v>
      </c>
      <c r="X104" s="50"/>
      <c r="Y104" s="50">
        <f t="shared" ref="Y104:Y122" si="72">IF(VLOOKUP($D104,$C$5:$AA$496,23,)=0,0,((VLOOKUP($D104,$C$5:$AA$496,23,)/VLOOKUP($D104,$C$5:$AA$496,4,))*$F104))</f>
        <v>0</v>
      </c>
      <c r="Z104" s="50"/>
      <c r="AA104" s="50">
        <f t="shared" ref="AA104:AA122" si="73">IF(VLOOKUP($D104,$C$5:$AA$496,25,)=0,0,((VLOOKUP($D104,$C$5:$AA$496,25,)/VLOOKUP($D104,$C$5:$AA$496,4,))*$F104))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5">
      <c r="A105" s="14" t="s">
        <v>369</v>
      </c>
      <c r="C105" s="14" t="s">
        <v>394</v>
      </c>
      <c r="D105" s="14" t="s">
        <v>16</v>
      </c>
      <c r="F105" s="50">
        <v>0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0</v>
      </c>
      <c r="N105" s="50"/>
      <c r="O105" s="50">
        <f t="shared" si="66"/>
        <v>0</v>
      </c>
      <c r="P105" s="50">
        <f t="shared" si="67"/>
        <v>0</v>
      </c>
      <c r="Q105" s="50"/>
      <c r="R105" s="50">
        <f t="shared" si="68"/>
        <v>0</v>
      </c>
      <c r="S105" s="50">
        <f t="shared" si="69"/>
        <v>0</v>
      </c>
      <c r="T105" s="50"/>
      <c r="U105" s="50">
        <f t="shared" si="70"/>
        <v>0</v>
      </c>
      <c r="V105" s="50"/>
      <c r="W105" s="50">
        <f t="shared" si="71"/>
        <v>0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0</v>
      </c>
      <c r="AC105" s="28" t="str">
        <f t="shared" si="75"/>
        <v>ok</v>
      </c>
    </row>
    <row r="106" spans="1:29" x14ac:dyDescent="0.25">
      <c r="A106" s="14" t="s">
        <v>833</v>
      </c>
      <c r="C106" s="14" t="s">
        <v>838</v>
      </c>
      <c r="D106" s="14" t="s">
        <v>782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5">
      <c r="A107" s="14" t="s">
        <v>367</v>
      </c>
      <c r="C107" s="14" t="s">
        <v>395</v>
      </c>
      <c r="D107" s="14" t="s">
        <v>390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5">
      <c r="A108" s="14" t="s">
        <v>579</v>
      </c>
      <c r="C108" s="14" t="s">
        <v>448</v>
      </c>
      <c r="D108" s="14" t="s">
        <v>16</v>
      </c>
      <c r="F108" s="50">
        <v>3852144.11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503999.26074930758</v>
      </c>
      <c r="N108" s="50"/>
      <c r="O108" s="50">
        <f t="shared" si="66"/>
        <v>1014654.0578295932</v>
      </c>
      <c r="P108" s="50">
        <f t="shared" si="67"/>
        <v>1779635.9910822408</v>
      </c>
      <c r="Q108" s="50"/>
      <c r="R108" s="50">
        <f t="shared" si="68"/>
        <v>0</v>
      </c>
      <c r="S108" s="50">
        <f t="shared" si="69"/>
        <v>261233.24129095639</v>
      </c>
      <c r="T108" s="50"/>
      <c r="U108" s="50">
        <f t="shared" si="70"/>
        <v>197039.6527336888</v>
      </c>
      <c r="V108" s="50"/>
      <c r="W108" s="50">
        <f t="shared" si="71"/>
        <v>95581.906314213207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3852144.11</v>
      </c>
      <c r="AC108" s="28" t="str">
        <f t="shared" si="75"/>
        <v>ok</v>
      </c>
    </row>
    <row r="109" spans="1:29" x14ac:dyDescent="0.25">
      <c r="A109" s="14" t="s">
        <v>426</v>
      </c>
      <c r="C109" s="14" t="s">
        <v>436</v>
      </c>
      <c r="D109" s="14" t="s">
        <v>424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5">
      <c r="A110" s="14" t="s">
        <v>427</v>
      </c>
      <c r="C110" s="14" t="s">
        <v>437</v>
      </c>
      <c r="D110" s="14" t="s">
        <v>23</v>
      </c>
      <c r="F110" s="50">
        <v>3933927.62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3933927.62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3933927.62</v>
      </c>
      <c r="AC110" s="28" t="str">
        <f t="shared" si="75"/>
        <v>ok</v>
      </c>
    </row>
    <row r="111" spans="1:29" x14ac:dyDescent="0.25">
      <c r="A111" s="14" t="s">
        <v>428</v>
      </c>
      <c r="C111" s="14" t="s">
        <v>438</v>
      </c>
      <c r="D111" s="14" t="s">
        <v>26</v>
      </c>
      <c r="F111" s="50">
        <v>20090826.059999999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3296488.4226676053</v>
      </c>
      <c r="P111" s="50">
        <f t="shared" si="67"/>
        <v>16794337.637332391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20090826.059999995</v>
      </c>
      <c r="AC111" s="28" t="str">
        <f t="shared" ref="AC111:AC119" si="76">IF(ABS(AB111-F111)&lt;1,"ok","err")</f>
        <v>ok</v>
      </c>
    </row>
    <row r="112" spans="1:29" x14ac:dyDescent="0.25">
      <c r="A112" s="14" t="s">
        <v>429</v>
      </c>
      <c r="C112" s="14" t="s">
        <v>439</v>
      </c>
      <c r="D112" s="14" t="s">
        <v>29</v>
      </c>
      <c r="F112" s="50">
        <v>11171223.279999999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1832966.3548714647</v>
      </c>
      <c r="P112" s="50">
        <f t="shared" si="67"/>
        <v>9338256.9251285344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11171223.279999999</v>
      </c>
      <c r="AC112" s="28" t="str">
        <f t="shared" si="76"/>
        <v>ok</v>
      </c>
    </row>
    <row r="113" spans="1:29" x14ac:dyDescent="0.25">
      <c r="A113" s="14" t="s">
        <v>447</v>
      </c>
      <c r="C113" s="14" t="s">
        <v>440</v>
      </c>
      <c r="D113" s="14" t="s">
        <v>32</v>
      </c>
      <c r="F113" s="50">
        <v>1667203.04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1351914.3672622775</v>
      </c>
      <c r="P113" s="50">
        <f t="shared" si="67"/>
        <v>315288.67273772269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1667203.0400000003</v>
      </c>
      <c r="AC113" s="28" t="str">
        <f t="shared" si="76"/>
        <v>ok</v>
      </c>
    </row>
    <row r="114" spans="1:29" x14ac:dyDescent="0.25">
      <c r="A114" s="14" t="s">
        <v>430</v>
      </c>
      <c r="C114" s="14" t="s">
        <v>441</v>
      </c>
      <c r="D114" s="14" t="s">
        <v>35</v>
      </c>
      <c r="F114" s="50">
        <v>6621520.3799999999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5369309.1483578235</v>
      </c>
      <c r="P114" s="50">
        <f t="shared" si="67"/>
        <v>1252211.2316421766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6621520.3799999999</v>
      </c>
      <c r="AC114" s="28" t="str">
        <f t="shared" si="76"/>
        <v>ok</v>
      </c>
    </row>
    <row r="115" spans="1:29" x14ac:dyDescent="0.25">
      <c r="A115" s="14" t="s">
        <v>431</v>
      </c>
      <c r="C115" s="14" t="s">
        <v>442</v>
      </c>
      <c r="D115" s="14" t="s">
        <v>37</v>
      </c>
      <c r="F115" s="50">
        <v>11503771.26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5608149.2414993877</v>
      </c>
      <c r="P115" s="50">
        <f t="shared" si="67"/>
        <v>5895622.0185006121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11503771.26</v>
      </c>
      <c r="AC115" s="28" t="str">
        <f>IF(ABS(AB115-F115)&lt;1,"ok","err")</f>
        <v>ok</v>
      </c>
    </row>
    <row r="116" spans="1:29" x14ac:dyDescent="0.25">
      <c r="A116" s="14" t="s">
        <v>432</v>
      </c>
      <c r="C116" s="14" t="s">
        <v>443</v>
      </c>
      <c r="D116" s="14" t="s">
        <v>40</v>
      </c>
      <c r="F116" s="50">
        <v>3555089.55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3555089.55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3555089.55</v>
      </c>
      <c r="AC116" s="28" t="str">
        <f t="shared" si="76"/>
        <v>ok</v>
      </c>
    </row>
    <row r="117" spans="1:29" x14ac:dyDescent="0.25">
      <c r="A117" s="14" t="s">
        <v>433</v>
      </c>
      <c r="C117" s="14" t="s">
        <v>444</v>
      </c>
      <c r="D117" s="14" t="s">
        <v>43</v>
      </c>
      <c r="F117" s="50">
        <v>479102.39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479102.39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479102.39</v>
      </c>
      <c r="AC117" s="28" t="str">
        <f t="shared" si="76"/>
        <v>ok</v>
      </c>
    </row>
    <row r="118" spans="1:29" x14ac:dyDescent="0.25">
      <c r="A118" s="14" t="s">
        <v>434</v>
      </c>
      <c r="C118" s="14" t="s">
        <v>445</v>
      </c>
      <c r="D118" s="14" t="s">
        <v>46</v>
      </c>
      <c r="F118" s="50">
        <v>2256091.86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2256091.86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2256091.86</v>
      </c>
      <c r="AC118" s="28" t="str">
        <f t="shared" si="76"/>
        <v>ok</v>
      </c>
    </row>
    <row r="119" spans="1:29" x14ac:dyDescent="0.25">
      <c r="A119" s="14" t="s">
        <v>435</v>
      </c>
      <c r="C119" s="14" t="s">
        <v>446</v>
      </c>
      <c r="D119" s="14" t="s">
        <v>48</v>
      </c>
      <c r="F119" s="50">
        <v>318809.46999999997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318809.46999999997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318809.46999999997</v>
      </c>
      <c r="AC119" s="28" t="str">
        <f t="shared" si="76"/>
        <v>ok</v>
      </c>
    </row>
    <row r="120" spans="1:29" x14ac:dyDescent="0.25">
      <c r="A120" s="14" t="s">
        <v>835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5">
      <c r="A121" s="212" t="s">
        <v>836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5">
      <c r="A122" s="14" t="s">
        <v>837</v>
      </c>
      <c r="D122" s="14" t="s">
        <v>70</v>
      </c>
      <c r="F122" s="50">
        <v>6698503.29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876405.60941703827</v>
      </c>
      <c r="N122" s="50"/>
      <c r="O122" s="50">
        <f t="shared" si="66"/>
        <v>1764384.548059751</v>
      </c>
      <c r="P122" s="50">
        <f t="shared" si="67"/>
        <v>3094613.5972225615</v>
      </c>
      <c r="Q122" s="50"/>
      <c r="R122" s="50">
        <f t="shared" si="68"/>
        <v>0</v>
      </c>
      <c r="S122" s="50">
        <f t="shared" si="69"/>
        <v>454259.1544543319</v>
      </c>
      <c r="T122" s="50"/>
      <c r="U122" s="50">
        <f t="shared" si="70"/>
        <v>342632.75838272617</v>
      </c>
      <c r="V122" s="50"/>
      <c r="W122" s="50">
        <f t="shared" si="71"/>
        <v>166207.62246359183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6698503.290000001</v>
      </c>
      <c r="AC122" s="28" t="str">
        <f>IF(ABS(AB122-F122)&lt;1,"ok","err")</f>
        <v>ok</v>
      </c>
    </row>
    <row r="123" spans="1:29" x14ac:dyDescent="0.25">
      <c r="Q123" s="14"/>
      <c r="AB123" s="50"/>
      <c r="AC123" s="28"/>
    </row>
    <row r="124" spans="1:29" x14ac:dyDescent="0.25">
      <c r="A124" s="14" t="s">
        <v>834</v>
      </c>
      <c r="C124" s="14" t="s">
        <v>82</v>
      </c>
      <c r="F124" s="91">
        <f>SUM(F104:F122)</f>
        <v>72148212.310000002</v>
      </c>
      <c r="G124" s="91">
        <f>SUM(G104:G122)</f>
        <v>0</v>
      </c>
      <c r="H124" s="91">
        <f>SUM(H104:H122)</f>
        <v>0</v>
      </c>
      <c r="I124" s="91">
        <f>SUM(I104:I122)</f>
        <v>0</v>
      </c>
      <c r="J124" s="91"/>
      <c r="K124" s="91">
        <f>SUM(K104:K122)</f>
        <v>0</v>
      </c>
      <c r="L124" s="91"/>
      <c r="M124" s="91">
        <f>SUM(M104:M122)</f>
        <v>5314332.4901663456</v>
      </c>
      <c r="N124" s="91"/>
      <c r="O124" s="91">
        <f>SUM(O104:O122)</f>
        <v>20237866.140547901</v>
      </c>
      <c r="P124" s="91">
        <f>SUM(P104:P122)</f>
        <v>38469966.073646232</v>
      </c>
      <c r="Q124" s="91"/>
      <c r="R124" s="91">
        <f>SUM(R104:R122)</f>
        <v>0</v>
      </c>
      <c r="S124" s="91">
        <f>SUM(S104:S122)</f>
        <v>4270581.9457452884</v>
      </c>
      <c r="T124" s="91"/>
      <c r="U124" s="91">
        <f>SUM(U104:U122)</f>
        <v>1018774.8011164151</v>
      </c>
      <c r="V124" s="91"/>
      <c r="W124" s="91">
        <f>SUM(W104:W122)</f>
        <v>2836690.8587778048</v>
      </c>
      <c r="X124" s="91"/>
      <c r="Y124" s="91">
        <f>SUM(Y104:Y122)</f>
        <v>0</v>
      </c>
      <c r="Z124" s="91"/>
      <c r="AA124" s="91">
        <f>SUM(AA104:AA122)</f>
        <v>0</v>
      </c>
      <c r="AB124" s="50">
        <f>SUM(H124:AA124)</f>
        <v>72148212.309999987</v>
      </c>
      <c r="AC124" s="28" t="str">
        <f>IF(ABS(AB124-F124)&lt;1,"ok","err")</f>
        <v>ok</v>
      </c>
    </row>
    <row r="125" spans="1:29" x14ac:dyDescent="0.25">
      <c r="D125" s="91"/>
      <c r="F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50"/>
      <c r="AC125" s="28"/>
    </row>
    <row r="126" spans="1:29" x14ac:dyDescent="0.25">
      <c r="A126" s="26" t="s">
        <v>83</v>
      </c>
      <c r="C126" s="14" t="s">
        <v>84</v>
      </c>
      <c r="F126" s="91">
        <f>F101-F124</f>
        <v>142573693.88</v>
      </c>
      <c r="G126" s="91">
        <f>G101-G124</f>
        <v>0</v>
      </c>
      <c r="H126" s="91">
        <f>H101-H124</f>
        <v>0</v>
      </c>
      <c r="I126" s="91">
        <f>I101-I124</f>
        <v>0</v>
      </c>
      <c r="J126" s="91"/>
      <c r="K126" s="91">
        <f>K101-K124</f>
        <v>0</v>
      </c>
      <c r="L126" s="91"/>
      <c r="M126" s="91">
        <f>M101-M124</f>
        <v>22779030.295900911</v>
      </c>
      <c r="N126" s="91"/>
      <c r="O126" s="91">
        <f>O101-O124</f>
        <v>36319844.889787555</v>
      </c>
      <c r="P126" s="91">
        <f>P101-P124</f>
        <v>60728511.817542687</v>
      </c>
      <c r="Q126" s="91"/>
      <c r="R126" s="91">
        <f>R101-R124</f>
        <v>0</v>
      </c>
      <c r="S126" s="91">
        <f>S101-S124</f>
        <v>10290789.053998116</v>
      </c>
      <c r="T126" s="91"/>
      <c r="U126" s="91">
        <f>U101-U124</f>
        <v>9964389.0218988415</v>
      </c>
      <c r="V126" s="91"/>
      <c r="W126" s="91">
        <f>W101-W124</f>
        <v>2491128.800871911</v>
      </c>
      <c r="X126" s="91"/>
      <c r="Y126" s="91">
        <f>Y101-Y124</f>
        <v>0</v>
      </c>
      <c r="Z126" s="91"/>
      <c r="AA126" s="91">
        <f>AA101-AA124</f>
        <v>0</v>
      </c>
      <c r="AB126" s="50">
        <f>SUM(H126:AA126)</f>
        <v>142573693.88000003</v>
      </c>
      <c r="AC126" s="28" t="str">
        <f>IF(ABS(AB126-F126)&lt;1,"ok","err")</f>
        <v>ok</v>
      </c>
    </row>
    <row r="127" spans="1:29" x14ac:dyDescent="0.25">
      <c r="Q127" s="14"/>
      <c r="AC127" s="28"/>
    </row>
    <row r="128" spans="1:29" x14ac:dyDescent="0.25">
      <c r="A128" s="26" t="s">
        <v>85</v>
      </c>
      <c r="Q128" s="14"/>
      <c r="AC128" s="28"/>
    </row>
    <row r="129" spans="1:29" x14ac:dyDescent="0.25">
      <c r="A129" s="14" t="s">
        <v>413</v>
      </c>
      <c r="C129" s="14" t="s">
        <v>87</v>
      </c>
      <c r="D129" s="14" t="s">
        <v>88</v>
      </c>
      <c r="F129" s="67">
        <f>0.125*(F285-F180)</f>
        <v>2051329.9625000004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117818.49428932412</v>
      </c>
      <c r="N129" s="67"/>
      <c r="O129" s="67">
        <f>0.125*(O285-O180)</f>
        <v>350796.4923351733</v>
      </c>
      <c r="P129" s="67">
        <f>0.125*(P285-P180)</f>
        <v>1185408.869706159</v>
      </c>
      <c r="Q129" s="67"/>
      <c r="R129" s="67">
        <f>0.125*(R285-R180)</f>
        <v>0</v>
      </c>
      <c r="S129" s="67">
        <f>0.125*(S285-S180)</f>
        <v>27953.920099635503</v>
      </c>
      <c r="T129" s="67"/>
      <c r="U129" s="67">
        <f>0.125*(U285-U180)</f>
        <v>168009.1558975178</v>
      </c>
      <c r="V129" s="67"/>
      <c r="W129" s="67">
        <f>0.125*(W285-W180)</f>
        <v>10746.449613927649</v>
      </c>
      <c r="X129" s="67"/>
      <c r="Y129" s="67">
        <f>0.125*(Y285-Y180)</f>
        <v>189925.02518211398</v>
      </c>
      <c r="Z129" s="67"/>
      <c r="AA129" s="67">
        <f>0.125*(AA285-AA180)</f>
        <v>671.55537614869093</v>
      </c>
      <c r="AB129" s="50">
        <f>SUM(H129:AA129)</f>
        <v>2051329.9625000001</v>
      </c>
      <c r="AC129" s="28" t="str">
        <f>IF(ABS(AB129-F129)&lt;1,"ok","err")</f>
        <v>ok</v>
      </c>
    </row>
    <row r="130" spans="1:29" x14ac:dyDescent="0.25">
      <c r="A130" s="14" t="s">
        <v>955</v>
      </c>
      <c r="C130" s="14" t="s">
        <v>396</v>
      </c>
      <c r="D130" s="14" t="s">
        <v>72</v>
      </c>
      <c r="F130" s="50">
        <v>3861071.6046153847</v>
      </c>
      <c r="G130" s="50"/>
      <c r="H130" s="50">
        <f>IF(VLOOKUP($D130,$C$5:$AA$496,6,)=0,0,((VLOOKUP($D130,$C$5:$AA$496,6,)/VLOOKUP($D130,$C$5:$AA$496,4,))*$F130))</f>
        <v>0</v>
      </c>
      <c r="I130" s="50">
        <f>IF(VLOOKUP($D130,$C$5:$AA$496,7,)=0,0,((VLOOKUP($D130,$C$5:$AA$496,7,)/VLOOKUP($D130,$C$5:$AA$496,4,))*$F130))</f>
        <v>0</v>
      </c>
      <c r="J130" s="50"/>
      <c r="K130" s="50">
        <f>IF(VLOOKUP($D130,$C$5:$AA$496,9,)=0,0,((VLOOKUP($D130,$C$5:$AA$496,9,)/VLOOKUP($D130,$C$5:$AA$496,4,))*$F130))</f>
        <v>0</v>
      </c>
      <c r="L130" s="50"/>
      <c r="M130" s="50">
        <f>IF(VLOOKUP($D130,$C$5:$AA$496,11,)=0,0,((VLOOKUP($D130,$C$5:$AA$496,11,)/VLOOKUP($D130,$C$5:$AA$496,4,))*$F130))</f>
        <v>505167.29874529451</v>
      </c>
      <c r="N130" s="50"/>
      <c r="O130" s="50">
        <f>IF(VLOOKUP($D130,$C$5:$AA$496,13,)=0,0,((VLOOKUP($D130,$C$5:$AA$496,13,)/VLOOKUP($D130,$C$5:$AA$496,4,))*$F130))</f>
        <v>1017005.5582872829</v>
      </c>
      <c r="P130" s="50">
        <f>IF(VLOOKUP($D130,$C$5:$AA$496,14,)=0,0,((VLOOKUP($D130,$C$5:$AA$496,14,)/VLOOKUP($D130,$C$5:$AA$496,4,))*$F130))</f>
        <v>1783760.3670853316</v>
      </c>
      <c r="Q130" s="50"/>
      <c r="R130" s="50">
        <f>IF(VLOOKUP($D130,$C$5:$AA$496,16,)=0,0,((VLOOKUP($D130,$C$5:$AA$496,16,)/VLOOKUP($D130,$C$5:$AA$496,4,))*$F130))</f>
        <v>0</v>
      </c>
      <c r="S130" s="50">
        <f>IF(VLOOKUP($D130,$C$5:$AA$496,17,)=0,0,((VLOOKUP($D130,$C$5:$AA$496,17,)/VLOOKUP($D130,$C$5:$AA$496,4,))*$F130))</f>
        <v>261838.65954333442</v>
      </c>
      <c r="T130" s="50"/>
      <c r="U130" s="50">
        <f>IF(VLOOKUP($D130,$C$5:$AA$496,19,)=0,0,((VLOOKUP($D130,$C$5:$AA$496,19,)/VLOOKUP($D130,$C$5:$AA$496,4,))*$F130))</f>
        <v>197496.29983425565</v>
      </c>
      <c r="V130" s="50"/>
      <c r="W130" s="50">
        <f>IF(VLOOKUP($D130,$C$5:$AA$496,21,)=0,0,((VLOOKUP($D130,$C$5:$AA$496,21,)/VLOOKUP($D130,$C$5:$AA$496,4,))*$F130))</f>
        <v>95803.421119885505</v>
      </c>
      <c r="X130" s="50"/>
      <c r="Y130" s="50">
        <f>IF(VLOOKUP($D130,$C$5:$AA$496,23,)=0,0,((VLOOKUP($D130,$C$5:$AA$496,23,)/VLOOKUP($D130,$C$5:$AA$496,4,))*$F130))</f>
        <v>0</v>
      </c>
      <c r="Z130" s="50"/>
      <c r="AA130" s="50">
        <f>IF(VLOOKUP($D130,$C$5:$AA$496,25,)=0,0,((VLOOKUP($D130,$C$5:$AA$496,25,)/VLOOKUP($D130,$C$5:$AA$496,4,))*$F130))</f>
        <v>0</v>
      </c>
      <c r="AB130" s="50">
        <f>SUM(H130:AA130)</f>
        <v>3861071.6046153847</v>
      </c>
      <c r="AC130" s="28" t="str">
        <f>IF(ABS(AB130-F130)&lt;1,"ok","err")</f>
        <v>ok</v>
      </c>
    </row>
    <row r="131" spans="1:29" x14ac:dyDescent="0.25">
      <c r="A131" s="14" t="s">
        <v>956</v>
      </c>
      <c r="C131" s="14" t="s">
        <v>89</v>
      </c>
      <c r="D131" s="14" t="s">
        <v>72</v>
      </c>
      <c r="F131" s="50">
        <v>517285.5015384616</v>
      </c>
      <c r="H131" s="50">
        <f>IF(VLOOKUP($D131,$C$5:$AA$496,6,)=0,0,((VLOOKUP($D131,$C$5:$AA$496,6,)/VLOOKUP($D131,$C$5:$AA$496,4,))*$F131))</f>
        <v>0</v>
      </c>
      <c r="I131" s="50">
        <f>IF(VLOOKUP($D131,$C$5:$AA$496,7,)=0,0,((VLOOKUP($D131,$C$5:$AA$496,7,)/VLOOKUP($D131,$C$5:$AA$496,4,))*$F131))</f>
        <v>0</v>
      </c>
      <c r="J131" s="50"/>
      <c r="K131" s="50">
        <f>IF(VLOOKUP($D131,$C$5:$AA$496,9,)=0,0,((VLOOKUP($D131,$C$5:$AA$496,9,)/VLOOKUP($D131,$C$5:$AA$496,4,))*$F131))</f>
        <v>0</v>
      </c>
      <c r="L131" s="50"/>
      <c r="M131" s="50">
        <f>IF(VLOOKUP($D131,$C$5:$AA$496,11,)=0,0,((VLOOKUP($D131,$C$5:$AA$496,11,)/VLOOKUP($D131,$C$5:$AA$496,4,))*$F131))</f>
        <v>67679.583869908602</v>
      </c>
      <c r="N131" s="50"/>
      <c r="O131" s="50">
        <f>IF(VLOOKUP($D131,$C$5:$AA$496,13,)=0,0,((VLOOKUP($D131,$C$5:$AA$496,13,)/VLOOKUP($D131,$C$5:$AA$496,4,))*$F131))</f>
        <v>136252.90700570814</v>
      </c>
      <c r="P131" s="50">
        <f>IF(VLOOKUP($D131,$C$5:$AA$496,14,)=0,0,((VLOOKUP($D131,$C$5:$AA$496,14,)/VLOOKUP($D131,$C$5:$AA$496,4,))*$F131))</f>
        <v>238978.57139173179</v>
      </c>
      <c r="Q131" s="50"/>
      <c r="R131" s="50">
        <f>IF(VLOOKUP($D131,$C$5:$AA$496,16,)=0,0,((VLOOKUP($D131,$C$5:$AA$496,16,)/VLOOKUP($D131,$C$5:$AA$496,4,))*$F131))</f>
        <v>0</v>
      </c>
      <c r="S131" s="50">
        <f>IF(VLOOKUP($D131,$C$5:$AA$496,17,)=0,0,((VLOOKUP($D131,$C$5:$AA$496,17,)/VLOOKUP($D131,$C$5:$AA$496,4,))*$F131))</f>
        <v>35079.728167207722</v>
      </c>
      <c r="T131" s="50"/>
      <c r="U131" s="50">
        <f>IF(VLOOKUP($D131,$C$5:$AA$496,19,)=0,0,((VLOOKUP($D131,$C$5:$AA$496,19,)/VLOOKUP($D131,$C$5:$AA$496,4,))*$F131))</f>
        <v>26459.48663309756</v>
      </c>
      <c r="V131" s="50"/>
      <c r="W131" s="50">
        <f>IF(VLOOKUP($D131,$C$5:$AA$496,21,)=0,0,((VLOOKUP($D131,$C$5:$AA$496,21,)/VLOOKUP($D131,$C$5:$AA$496,4,))*$F131))</f>
        <v>12835.224470807772</v>
      </c>
      <c r="X131" s="50"/>
      <c r="Y131" s="50">
        <f>IF(VLOOKUP($D131,$C$5:$AA$496,23,)=0,0,((VLOOKUP($D131,$C$5:$AA$496,23,)/VLOOKUP($D131,$C$5:$AA$496,4,))*$F131))</f>
        <v>0</v>
      </c>
      <c r="Z131" s="50"/>
      <c r="AA131" s="50">
        <f>IF(VLOOKUP($D131,$C$5:$AA$496,25,)=0,0,((VLOOKUP($D131,$C$5:$AA$496,25,)/VLOOKUP($D131,$C$5:$AA$496,4,))*$F131))</f>
        <v>0</v>
      </c>
      <c r="AB131" s="50">
        <f>SUM(H131:AA131)</f>
        <v>517285.5015384616</v>
      </c>
      <c r="AC131" s="28" t="str">
        <f>IF(ABS(AB131-F131)&lt;1,"ok","err")</f>
        <v>ok</v>
      </c>
    </row>
    <row r="132" spans="1:29" x14ac:dyDescent="0.25">
      <c r="Q132" s="14"/>
      <c r="AB132" s="50"/>
      <c r="AC132" s="28"/>
    </row>
    <row r="133" spans="1:29" x14ac:dyDescent="0.25">
      <c r="A133" s="94" t="s">
        <v>90</v>
      </c>
      <c r="C133" s="14" t="s">
        <v>91</v>
      </c>
      <c r="F133" s="91">
        <f>SUM(F129:F132)</f>
        <v>6429687.0686538471</v>
      </c>
      <c r="G133" s="91">
        <f t="shared" ref="G133:W133" si="77">SUM(G129:G132)</f>
        <v>0</v>
      </c>
      <c r="H133" s="91">
        <f t="shared" si="77"/>
        <v>0</v>
      </c>
      <c r="I133" s="91">
        <f t="shared" si="77"/>
        <v>0</v>
      </c>
      <c r="J133" s="91"/>
      <c r="K133" s="91">
        <f t="shared" si="77"/>
        <v>0</v>
      </c>
      <c r="L133" s="91"/>
      <c r="M133" s="91">
        <f t="shared" si="77"/>
        <v>690665.37690452719</v>
      </c>
      <c r="N133" s="91"/>
      <c r="O133" s="91">
        <f t="shared" si="77"/>
        <v>1504054.9576281644</v>
      </c>
      <c r="P133" s="91">
        <f t="shared" si="77"/>
        <v>3208147.8081832225</v>
      </c>
      <c r="Q133" s="91"/>
      <c r="R133" s="91">
        <f t="shared" si="77"/>
        <v>0</v>
      </c>
      <c r="S133" s="91">
        <f t="shared" si="77"/>
        <v>324872.30781017768</v>
      </c>
      <c r="T133" s="91"/>
      <c r="U133" s="91">
        <f t="shared" si="77"/>
        <v>391964.94236487104</v>
      </c>
      <c r="V133" s="91"/>
      <c r="W133" s="91">
        <f t="shared" si="77"/>
        <v>119385.09520462093</v>
      </c>
      <c r="X133" s="91"/>
      <c r="Y133" s="91">
        <f>SUM(Y129:Y132)</f>
        <v>189925.02518211398</v>
      </c>
      <c r="Z133" s="91"/>
      <c r="AA133" s="91">
        <f>SUM(AA129:AA132)</f>
        <v>671.55537614869093</v>
      </c>
      <c r="AB133" s="50">
        <f>SUM(H133:AA133)</f>
        <v>6429687.0686538471</v>
      </c>
      <c r="AC133" s="28" t="str">
        <f>IF(ABS(AB133-F133)&lt;1,"ok","err")</f>
        <v>ok</v>
      </c>
    </row>
    <row r="134" spans="1:29" x14ac:dyDescent="0.25">
      <c r="Q134" s="14"/>
      <c r="AC134" s="28"/>
    </row>
    <row r="135" spans="1:29" hidden="1" x14ac:dyDescent="0.25">
      <c r="A135" s="26" t="s">
        <v>937</v>
      </c>
      <c r="Q135" s="14"/>
      <c r="AC135" s="28"/>
    </row>
    <row r="136" spans="1:29" hidden="1" x14ac:dyDescent="0.25">
      <c r="A136" s="31">
        <v>1</v>
      </c>
      <c r="C136" s="14" t="s">
        <v>938</v>
      </c>
      <c r="D136" s="14" t="s">
        <v>16</v>
      </c>
      <c r="F136" s="67">
        <v>0</v>
      </c>
      <c r="H136" s="50">
        <f>IF(VLOOKUP($D136,$C$5:$AA$496,6,)=0,0,((VLOOKUP($D136,$C$5:$AA$496,6,)/VLOOKUP($D136,$C$5:$AA$496,4,))*$F136))</f>
        <v>0</v>
      </c>
      <c r="I136" s="50">
        <f>IF(VLOOKUP($D136,$C$5:$AA$496,7,)=0,0,((VLOOKUP($D136,$C$5:$AA$496,7,)/VLOOKUP($D136,$C$5:$AA$496,4,))*$F136))</f>
        <v>0</v>
      </c>
      <c r="J136" s="50"/>
      <c r="K136" s="50">
        <f>IF(VLOOKUP($D136,$C$5:$AA$496,9,)=0,0,((VLOOKUP($D136,$C$5:$AA$496,9,)/VLOOKUP($D136,$C$5:$AA$496,4,))*$F136))</f>
        <v>0</v>
      </c>
      <c r="L136" s="50"/>
      <c r="M136" s="50">
        <f>IF(VLOOKUP($D136,$C$5:$AA$496,11,)=0,0,((VLOOKUP($D136,$C$5:$AA$496,11,)/VLOOKUP($D136,$C$5:$AA$496,4,))*$F136))</f>
        <v>0</v>
      </c>
      <c r="N136" s="50"/>
      <c r="O136" s="50">
        <f>IF(VLOOKUP($D136,$C$5:$AA$496,13,)=0,0,((VLOOKUP($D136,$C$5:$AA$496,13,)/VLOOKUP($D136,$C$5:$AA$496,4,))*$F136))</f>
        <v>0</v>
      </c>
      <c r="P136" s="50">
        <f>IF(VLOOKUP($D136,$C$5:$AA$496,14,)=0,0,((VLOOKUP($D136,$C$5:$AA$496,14,)/VLOOKUP($D136,$C$5:$AA$496,4,))*$F136))</f>
        <v>0</v>
      </c>
      <c r="Q136" s="50"/>
      <c r="R136" s="50">
        <f>IF(VLOOKUP($D136,$C$5:$AA$496,16,)=0,0,((VLOOKUP($D136,$C$5:$AA$496,16,)/VLOOKUP($D136,$C$5:$AA$496,4,))*$F136))</f>
        <v>0</v>
      </c>
      <c r="S136" s="50">
        <f>IF(VLOOKUP($D136,$C$5:$AA$496,17,)=0,0,((VLOOKUP($D136,$C$5:$AA$496,17,)/VLOOKUP($D136,$C$5:$AA$496,4,))*$F136))</f>
        <v>0</v>
      </c>
      <c r="T136" s="50"/>
      <c r="U136" s="50">
        <f>IF(VLOOKUP($D136,$C$5:$AA$496,19,)=0,0,((VLOOKUP($D136,$C$5:$AA$496,19,)/VLOOKUP($D136,$C$5:$AA$496,4,))*$F136))</f>
        <v>0</v>
      </c>
      <c r="V136" s="50"/>
      <c r="W136" s="50">
        <f>IF(VLOOKUP($D136,$C$5:$AA$496,21,)=0,0,((VLOOKUP($D136,$C$5:$AA$496,21,)/VLOOKUP($D136,$C$5:$AA$496,4,))*$F136))</f>
        <v>0</v>
      </c>
      <c r="X136" s="50"/>
      <c r="Y136" s="50">
        <f>IF(VLOOKUP($D136,$C$5:$AA$496,23,)=0,0,((VLOOKUP($D136,$C$5:$AA$496,23,)/VLOOKUP($D136,$C$5:$AA$496,4,))*$F136))</f>
        <v>0</v>
      </c>
      <c r="Z136" s="50"/>
      <c r="AA136" s="50">
        <f>IF(VLOOKUP($D136,$C$5:$AA$496,25,)=0,0,((VLOOKUP($D136,$C$5:$AA$496,25,)/VLOOKUP($D136,$C$5:$AA$496,4,))*$F136))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5">
      <c r="A137" s="31">
        <v>2</v>
      </c>
      <c r="C137" s="14" t="s">
        <v>939</v>
      </c>
      <c r="D137" s="14" t="s">
        <v>16</v>
      </c>
      <c r="F137" s="67">
        <v>0</v>
      </c>
      <c r="H137" s="50">
        <f>IF(VLOOKUP($D137,$C$5:$AA$496,6,)=0,0,((VLOOKUP($D137,$C$5:$AA$496,6,)/VLOOKUP($D137,$C$5:$AA$496,4,))*$F137))</f>
        <v>0</v>
      </c>
      <c r="I137" s="50">
        <f>IF(VLOOKUP($D137,$C$5:$AA$496,7,)=0,0,((VLOOKUP($D137,$C$5:$AA$496,7,)/VLOOKUP($D137,$C$5:$AA$496,4,))*$F137))</f>
        <v>0</v>
      </c>
      <c r="J137" s="50"/>
      <c r="K137" s="50">
        <f>IF(VLOOKUP($D137,$C$5:$AA$496,9,)=0,0,((VLOOKUP($D137,$C$5:$AA$496,9,)/VLOOKUP($D137,$C$5:$AA$496,4,))*$F137))</f>
        <v>0</v>
      </c>
      <c r="L137" s="50"/>
      <c r="M137" s="50">
        <f>IF(VLOOKUP($D137,$C$5:$AA$496,11,)=0,0,((VLOOKUP($D137,$C$5:$AA$496,11,)/VLOOKUP($D137,$C$5:$AA$496,4,))*$F137))</f>
        <v>0</v>
      </c>
      <c r="N137" s="50"/>
      <c r="O137" s="50">
        <f>IF(VLOOKUP($D137,$C$5:$AA$496,13,)=0,0,((VLOOKUP($D137,$C$5:$AA$496,13,)/VLOOKUP($D137,$C$5:$AA$496,4,))*$F137))</f>
        <v>0</v>
      </c>
      <c r="P137" s="50">
        <f>IF(VLOOKUP($D137,$C$5:$AA$496,14,)=0,0,((VLOOKUP($D137,$C$5:$AA$496,14,)/VLOOKUP($D137,$C$5:$AA$496,4,))*$F137))</f>
        <v>0</v>
      </c>
      <c r="Q137" s="50"/>
      <c r="R137" s="50">
        <f>IF(VLOOKUP($D137,$C$5:$AA$496,16,)=0,0,((VLOOKUP($D137,$C$5:$AA$496,16,)/VLOOKUP($D137,$C$5:$AA$496,4,))*$F137))</f>
        <v>0</v>
      </c>
      <c r="S137" s="50">
        <f>IF(VLOOKUP($D137,$C$5:$AA$496,17,)=0,0,((VLOOKUP($D137,$C$5:$AA$496,17,)/VLOOKUP($D137,$C$5:$AA$496,4,))*$F137))</f>
        <v>0</v>
      </c>
      <c r="T137" s="50"/>
      <c r="U137" s="50">
        <f>IF(VLOOKUP($D137,$C$5:$AA$496,19,)=0,0,((VLOOKUP($D137,$C$5:$AA$496,19,)/VLOOKUP($D137,$C$5:$AA$496,4,))*$F137))</f>
        <v>0</v>
      </c>
      <c r="V137" s="50"/>
      <c r="W137" s="50">
        <f>IF(VLOOKUP($D137,$C$5:$AA$496,21,)=0,0,((VLOOKUP($D137,$C$5:$AA$496,21,)/VLOOKUP($D137,$C$5:$AA$496,4,))*$F137))</f>
        <v>0</v>
      </c>
      <c r="X137" s="50"/>
      <c r="Y137" s="50">
        <f>IF(VLOOKUP($D137,$C$5:$AA$496,23,)=0,0,((VLOOKUP($D137,$C$5:$AA$496,23,)/VLOOKUP($D137,$C$5:$AA$496,4,))*$F137))</f>
        <v>0</v>
      </c>
      <c r="Z137" s="50"/>
      <c r="AA137" s="50">
        <f>IF(VLOOKUP($D137,$C$5:$AA$496,25,)=0,0,((VLOOKUP($D137,$C$5:$AA$496,25,)/VLOOKUP($D137,$C$5:$AA$496,4,))*$F137))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5">
      <c r="A138" s="31">
        <v>3</v>
      </c>
      <c r="C138" s="14" t="s">
        <v>940</v>
      </c>
      <c r="D138" s="14" t="s">
        <v>16</v>
      </c>
      <c r="F138" s="67">
        <v>0</v>
      </c>
      <c r="H138" s="50">
        <f>IF(VLOOKUP($D138,$C$5:$AA$496,6,)=0,0,((VLOOKUP($D138,$C$5:$AA$496,6,)/VLOOKUP($D138,$C$5:$AA$496,4,))*$F138))</f>
        <v>0</v>
      </c>
      <c r="I138" s="50">
        <f>IF(VLOOKUP($D138,$C$5:$AA$496,7,)=0,0,((VLOOKUP($D138,$C$5:$AA$496,7,)/VLOOKUP($D138,$C$5:$AA$496,4,))*$F138))</f>
        <v>0</v>
      </c>
      <c r="J138" s="50"/>
      <c r="K138" s="50">
        <f>IF(VLOOKUP($D138,$C$5:$AA$496,9,)=0,0,((VLOOKUP($D138,$C$5:$AA$496,9,)/VLOOKUP($D138,$C$5:$AA$496,4,))*$F138))</f>
        <v>0</v>
      </c>
      <c r="L138" s="50"/>
      <c r="M138" s="50">
        <f>IF(VLOOKUP($D138,$C$5:$AA$496,11,)=0,0,((VLOOKUP($D138,$C$5:$AA$496,11,)/VLOOKUP($D138,$C$5:$AA$496,4,))*$F138))</f>
        <v>0</v>
      </c>
      <c r="N138" s="50"/>
      <c r="O138" s="50">
        <f>IF(VLOOKUP($D138,$C$5:$AA$496,13,)=0,0,((VLOOKUP($D138,$C$5:$AA$496,13,)/VLOOKUP($D138,$C$5:$AA$496,4,))*$F138))</f>
        <v>0</v>
      </c>
      <c r="P138" s="50">
        <f>IF(VLOOKUP($D138,$C$5:$AA$496,14,)=0,0,((VLOOKUP($D138,$C$5:$AA$496,14,)/VLOOKUP($D138,$C$5:$AA$496,4,))*$F138))</f>
        <v>0</v>
      </c>
      <c r="Q138" s="50"/>
      <c r="R138" s="50">
        <f>IF(VLOOKUP($D138,$C$5:$AA$496,16,)=0,0,((VLOOKUP($D138,$C$5:$AA$496,16,)/VLOOKUP($D138,$C$5:$AA$496,4,))*$F138))</f>
        <v>0</v>
      </c>
      <c r="S138" s="50">
        <f>IF(VLOOKUP($D138,$C$5:$AA$496,17,)=0,0,((VLOOKUP($D138,$C$5:$AA$496,17,)/VLOOKUP($D138,$C$5:$AA$496,4,))*$F138))</f>
        <v>0</v>
      </c>
      <c r="T138" s="50"/>
      <c r="U138" s="50">
        <f>IF(VLOOKUP($D138,$C$5:$AA$496,19,)=0,0,((VLOOKUP($D138,$C$5:$AA$496,19,)/VLOOKUP($D138,$C$5:$AA$496,4,))*$F138))</f>
        <v>0</v>
      </c>
      <c r="V138" s="50"/>
      <c r="W138" s="50">
        <f>IF(VLOOKUP($D138,$C$5:$AA$496,21,)=0,0,((VLOOKUP($D138,$C$5:$AA$496,21,)/VLOOKUP($D138,$C$5:$AA$496,4,))*$F138))</f>
        <v>0</v>
      </c>
      <c r="X138" s="50"/>
      <c r="Y138" s="50">
        <f>IF(VLOOKUP($D138,$C$5:$AA$496,23,)=0,0,((VLOOKUP($D138,$C$5:$AA$496,23,)/VLOOKUP($D138,$C$5:$AA$496,4,))*$F138))</f>
        <v>0</v>
      </c>
      <c r="Z138" s="50"/>
      <c r="AA138" s="50">
        <f>IF(VLOOKUP($D138,$C$5:$AA$496,25,)=0,0,((VLOOKUP($D138,$C$5:$AA$496,25,)/VLOOKUP($D138,$C$5:$AA$496,4,))*$F138))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5">
      <c r="A139" s="31">
        <v>4</v>
      </c>
      <c r="C139" s="14" t="s">
        <v>941</v>
      </c>
      <c r="D139" s="14" t="s">
        <v>16</v>
      </c>
      <c r="F139" s="67">
        <v>0</v>
      </c>
      <c r="H139" s="50">
        <f>IF(VLOOKUP($D139,$C$5:$AA$496,6,)=0,0,((VLOOKUP($D139,$C$5:$AA$496,6,)/VLOOKUP($D139,$C$5:$AA$496,4,))*$F139))</f>
        <v>0</v>
      </c>
      <c r="I139" s="50">
        <f>IF(VLOOKUP($D139,$C$5:$AA$496,7,)=0,0,((VLOOKUP($D139,$C$5:$AA$496,7,)/VLOOKUP($D139,$C$5:$AA$496,4,))*$F139))</f>
        <v>0</v>
      </c>
      <c r="J139" s="50"/>
      <c r="K139" s="50">
        <f>IF(VLOOKUP($D139,$C$5:$AA$496,9,)=0,0,((VLOOKUP($D139,$C$5:$AA$496,9,)/VLOOKUP($D139,$C$5:$AA$496,4,))*$F139))</f>
        <v>0</v>
      </c>
      <c r="L139" s="50"/>
      <c r="M139" s="50">
        <f>IF(VLOOKUP($D139,$C$5:$AA$496,11,)=0,0,((VLOOKUP($D139,$C$5:$AA$496,11,)/VLOOKUP($D139,$C$5:$AA$496,4,))*$F139))</f>
        <v>0</v>
      </c>
      <c r="N139" s="50"/>
      <c r="O139" s="50">
        <f>IF(VLOOKUP($D139,$C$5:$AA$496,13,)=0,0,((VLOOKUP($D139,$C$5:$AA$496,13,)/VLOOKUP($D139,$C$5:$AA$496,4,))*$F139))</f>
        <v>0</v>
      </c>
      <c r="P139" s="50">
        <f>IF(VLOOKUP($D139,$C$5:$AA$496,14,)=0,0,((VLOOKUP($D139,$C$5:$AA$496,14,)/VLOOKUP($D139,$C$5:$AA$496,4,))*$F139))</f>
        <v>0</v>
      </c>
      <c r="Q139" s="50"/>
      <c r="R139" s="50">
        <f>IF(VLOOKUP($D139,$C$5:$AA$496,16,)=0,0,((VLOOKUP($D139,$C$5:$AA$496,16,)/VLOOKUP($D139,$C$5:$AA$496,4,))*$F139))</f>
        <v>0</v>
      </c>
      <c r="S139" s="50">
        <f>IF(VLOOKUP($D139,$C$5:$AA$496,17,)=0,0,((VLOOKUP($D139,$C$5:$AA$496,17,)/VLOOKUP($D139,$C$5:$AA$496,4,))*$F139))</f>
        <v>0</v>
      </c>
      <c r="T139" s="50"/>
      <c r="U139" s="50">
        <f>IF(VLOOKUP($D139,$C$5:$AA$496,19,)=0,0,((VLOOKUP($D139,$C$5:$AA$496,19,)/VLOOKUP($D139,$C$5:$AA$496,4,))*$F139))</f>
        <v>0</v>
      </c>
      <c r="V139" s="50"/>
      <c r="W139" s="50">
        <f>IF(VLOOKUP($D139,$C$5:$AA$496,21,)=0,0,((VLOOKUP($D139,$C$5:$AA$496,21,)/VLOOKUP($D139,$C$5:$AA$496,4,))*$F139))</f>
        <v>0</v>
      </c>
      <c r="X139" s="50"/>
      <c r="Y139" s="50">
        <f>IF(VLOOKUP($D139,$C$5:$AA$496,23,)=0,0,((VLOOKUP($D139,$C$5:$AA$496,23,)/VLOOKUP($D139,$C$5:$AA$496,4,))*$F139))</f>
        <v>0</v>
      </c>
      <c r="Z139" s="50"/>
      <c r="AA139" s="50">
        <f>IF(VLOOKUP($D139,$C$5:$AA$496,25,)=0,0,((VLOOKUP($D139,$C$5:$AA$496,25,)/VLOOKUP($D139,$C$5:$AA$496,4,))*$F139))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5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5">
      <c r="A141" s="14" t="s">
        <v>942</v>
      </c>
      <c r="F141" s="91">
        <v>0</v>
      </c>
      <c r="G141" s="91">
        <f>SUM(G139:G139)</f>
        <v>0</v>
      </c>
      <c r="H141" s="91">
        <f>SUM(H136:H139)</f>
        <v>0</v>
      </c>
      <c r="I141" s="91">
        <f>SUM(I136:I139)</f>
        <v>0</v>
      </c>
      <c r="J141" s="91"/>
      <c r="K141" s="91">
        <f>SUM(K136:K139)</f>
        <v>0</v>
      </c>
      <c r="L141" s="91"/>
      <c r="M141" s="91">
        <f>SUM(M136:M139)</f>
        <v>0</v>
      </c>
      <c r="N141" s="91"/>
      <c r="O141" s="91">
        <f>SUM(O136:O139)</f>
        <v>0</v>
      </c>
      <c r="P141" s="91">
        <f>SUM(P136:P139)</f>
        <v>0</v>
      </c>
      <c r="Q141" s="91"/>
      <c r="R141" s="91">
        <f>SUM(R136:R139)</f>
        <v>0</v>
      </c>
      <c r="S141" s="91">
        <f>SUM(S136:S139)</f>
        <v>0</v>
      </c>
      <c r="T141" s="91"/>
      <c r="U141" s="91">
        <f>SUM(U136:U139)</f>
        <v>0</v>
      </c>
      <c r="V141" s="91"/>
      <c r="W141" s="91">
        <f>SUM(W136:W139)</f>
        <v>0</v>
      </c>
      <c r="X141" s="91"/>
      <c r="Y141" s="91">
        <f>SUM(Y136:Y139)</f>
        <v>0</v>
      </c>
      <c r="Z141" s="91"/>
      <c r="AA141" s="91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5">
      <c r="A142" s="14" t="s">
        <v>1155</v>
      </c>
      <c r="C142" s="14" t="s">
        <v>92</v>
      </c>
      <c r="D142" s="14" t="s">
        <v>72</v>
      </c>
      <c r="F142" s="67">
        <v>3242680.11</v>
      </c>
      <c r="H142" s="50">
        <f>IF(VLOOKUP($D142,$C$5:$AA$496,6,)=0,0,((VLOOKUP($D142,$C$5:$AA$496,6,)/VLOOKUP($D142,$C$5:$AA$496,4,))*$F142))</f>
        <v>0</v>
      </c>
      <c r="I142" s="50">
        <f>IF(VLOOKUP($D142,$C$5:$AA$496,7,)=0,0,((VLOOKUP($D142,$C$5:$AA$496,7,)/VLOOKUP($D142,$C$5:$AA$496,4,))*$F142))</f>
        <v>0</v>
      </c>
      <c r="J142" s="50"/>
      <c r="K142" s="50">
        <f>IF(VLOOKUP($D142,$C$5:$AA$496,9,)=0,0,((VLOOKUP($D142,$C$5:$AA$496,9,)/VLOOKUP($D142,$C$5:$AA$496,4,))*$F142))</f>
        <v>0</v>
      </c>
      <c r="L142" s="50"/>
      <c r="M142" s="50">
        <f>IF(VLOOKUP($D142,$C$5:$AA$496,11,)=0,0,((VLOOKUP($D142,$C$5:$AA$496,11,)/VLOOKUP($D142,$C$5:$AA$496,4,))*$F142))</f>
        <v>424259.40764881804</v>
      </c>
      <c r="N142" s="50"/>
      <c r="O142" s="50">
        <f>IF(VLOOKUP($D142,$C$5:$AA$496,13,)=0,0,((VLOOKUP($D142,$C$5:$AA$496,13,)/VLOOKUP($D142,$C$5:$AA$496,4,))*$F142))</f>
        <v>854121.35109732731</v>
      </c>
      <c r="P142" s="50">
        <f>IF(VLOOKUP($D142,$C$5:$AA$496,14,)=0,0,((VLOOKUP($D142,$C$5:$AA$496,14,)/VLOOKUP($D142,$C$5:$AA$496,4,))*$F142))</f>
        <v>1498072.2596389363</v>
      </c>
      <c r="Q142" s="50"/>
      <c r="R142" s="50">
        <f>IF(VLOOKUP($D142,$C$5:$AA$496,16,)=0,0,((VLOOKUP($D142,$C$5:$AA$496,16,)/VLOOKUP($D142,$C$5:$AA$496,4,))*$F142))</f>
        <v>0</v>
      </c>
      <c r="S142" s="50">
        <f>IF(VLOOKUP($D142,$C$5:$AA$496,17,)=0,0,((VLOOKUP($D142,$C$5:$AA$496,17,)/VLOOKUP($D142,$C$5:$AA$496,4,))*$F142))</f>
        <v>219902.42613353708</v>
      </c>
      <c r="T142" s="50"/>
      <c r="U142" s="50">
        <f>IF(VLOOKUP($D142,$C$5:$AA$496,19,)=0,0,((VLOOKUP($D142,$C$5:$AA$496,19,)/VLOOKUP($D142,$C$5:$AA$496,4,))*$F142))</f>
        <v>165865.17652394882</v>
      </c>
      <c r="V142" s="50"/>
      <c r="W142" s="50">
        <f>IF(VLOOKUP($D142,$C$5:$AA$496,21,)=0,0,((VLOOKUP($D142,$C$5:$AA$496,21,)/VLOOKUP($D142,$C$5:$AA$496,4,))*$F142))</f>
        <v>80459.488957432215</v>
      </c>
      <c r="X142" s="50"/>
      <c r="Y142" s="50">
        <f>IF(VLOOKUP($D142,$C$5:$AA$496,23,)=0,0,((VLOOKUP($D142,$C$5:$AA$496,23,)/VLOOKUP($D142,$C$5:$AA$496,4,))*$F142))</f>
        <v>0</v>
      </c>
      <c r="Z142" s="50"/>
      <c r="AA142" s="50">
        <f>IF(VLOOKUP($D142,$C$5:$AA$496,25,)=0,0,((VLOOKUP($D142,$C$5:$AA$496,25,)/VLOOKUP($D142,$C$5:$AA$496,4,))*$F142))</f>
        <v>0</v>
      </c>
      <c r="AB142" s="50">
        <f>SUM(H142:AA142)</f>
        <v>3242680.11</v>
      </c>
      <c r="AC142" s="28" t="str">
        <f>IF(ABS(AB142-F142)&lt;1,"ok","err")</f>
        <v>ok</v>
      </c>
    </row>
    <row r="143" spans="1:29" x14ac:dyDescent="0.25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5">
      <c r="A144" s="13" t="s">
        <v>93</v>
      </c>
      <c r="C144" s="14" t="s">
        <v>94</v>
      </c>
      <c r="F144" s="91">
        <f>F126+F133-F142</f>
        <v>145760700.83865383</v>
      </c>
      <c r="G144" s="91"/>
      <c r="H144" s="91">
        <f>H126+H133-H142</f>
        <v>0</v>
      </c>
      <c r="I144" s="91">
        <f>I126+I133-I142</f>
        <v>0</v>
      </c>
      <c r="J144" s="91"/>
      <c r="K144" s="91">
        <f>K126+K133-K142</f>
        <v>0</v>
      </c>
      <c r="L144" s="91"/>
      <c r="M144" s="91">
        <f>M126+M133-M142</f>
        <v>23045436.265156623</v>
      </c>
      <c r="N144" s="91"/>
      <c r="O144" s="91">
        <f>O126+O133-O142</f>
        <v>36969778.496318385</v>
      </c>
      <c r="P144" s="91">
        <f>P126+P133-P142</f>
        <v>62438587.366086975</v>
      </c>
      <c r="Q144" s="91"/>
      <c r="R144" s="91">
        <f>R126+R133-R142</f>
        <v>0</v>
      </c>
      <c r="S144" s="91">
        <f>S126+S133-S142</f>
        <v>10395758.935674757</v>
      </c>
      <c r="T144" s="91"/>
      <c r="U144" s="91">
        <f>U126+U133-U142</f>
        <v>10190488.787739765</v>
      </c>
      <c r="V144" s="91"/>
      <c r="W144" s="91">
        <f>W126+W133-W142</f>
        <v>2530054.4071191</v>
      </c>
      <c r="X144" s="91"/>
      <c r="Y144" s="91">
        <f>Y126+Y133-Y142</f>
        <v>189925.02518211398</v>
      </c>
      <c r="Z144" s="91"/>
      <c r="AA144" s="91">
        <f>AA126+AA133-AA142</f>
        <v>671.55537614869093</v>
      </c>
      <c r="AB144" s="50">
        <f>SUM(H144:AA144)</f>
        <v>145760700.83865386</v>
      </c>
      <c r="AC144" s="28" t="str">
        <f>IF(ABS(AB144-F144)&lt;1,"ok","err")</f>
        <v>ok</v>
      </c>
    </row>
    <row r="145" spans="1:29" x14ac:dyDescent="0.25">
      <c r="Q145" s="14"/>
      <c r="AC145" s="28"/>
    </row>
    <row r="146" spans="1:29" x14ac:dyDescent="0.25">
      <c r="A146" s="26" t="s">
        <v>86</v>
      </c>
      <c r="Q146" s="14"/>
      <c r="AC146" s="28"/>
    </row>
    <row r="147" spans="1:29" x14ac:dyDescent="0.25">
      <c r="A147" s="26"/>
      <c r="Q147" s="14"/>
      <c r="AC147" s="28"/>
    </row>
    <row r="148" spans="1:29" x14ac:dyDescent="0.25">
      <c r="A148" s="13" t="s">
        <v>788</v>
      </c>
      <c r="Q148" s="14"/>
      <c r="AC148" s="28"/>
    </row>
    <row r="149" spans="1:29" x14ac:dyDescent="0.25">
      <c r="A149" s="14">
        <v>500</v>
      </c>
      <c r="B149" s="14" t="s">
        <v>793</v>
      </c>
      <c r="C149" s="14" t="s">
        <v>806</v>
      </c>
      <c r="D149" s="14" t="s">
        <v>782</v>
      </c>
      <c r="F149" s="67">
        <v>0</v>
      </c>
      <c r="H149" s="50">
        <f t="shared" ref="H149:H157" si="78">IF(VLOOKUP($D149,$C$5:$AA$496,6,)=0,0,((VLOOKUP($D149,$C$5:$AA$496,6,)/VLOOKUP($D149,$C$5:$AA$496,4,))*$F149))</f>
        <v>0</v>
      </c>
      <c r="I149" s="50">
        <f t="shared" ref="I149:I157" si="79">IF(VLOOKUP($D149,$C$5:$AA$496,7,)=0,0,((VLOOKUP($D149,$C$5:$AA$496,7,)/VLOOKUP($D149,$C$5:$AA$496,4,))*$F149))</f>
        <v>0</v>
      </c>
      <c r="J149" s="50"/>
      <c r="K149" s="50">
        <f t="shared" ref="K149:K157" si="80">IF(VLOOKUP($D149,$C$5:$AA$496,9,)=0,0,((VLOOKUP($D149,$C$5:$AA$496,9,)/VLOOKUP($D149,$C$5:$AA$496,4,))*$F149))</f>
        <v>0</v>
      </c>
      <c r="L149" s="50"/>
      <c r="M149" s="50">
        <f t="shared" ref="M149:M157" si="81">IF(VLOOKUP($D149,$C$5:$AA$496,11,)=0,0,((VLOOKUP($D149,$C$5:$AA$496,11,)/VLOOKUP($D149,$C$5:$AA$496,4,))*$F149))</f>
        <v>0</v>
      </c>
      <c r="N149" s="50"/>
      <c r="O149" s="50">
        <f t="shared" ref="O149:O157" si="82">IF(VLOOKUP($D149,$C$5:$AA$496,13,)=0,0,((VLOOKUP($D149,$C$5:$AA$496,13,)/VLOOKUP($D149,$C$5:$AA$496,4,))*$F149))</f>
        <v>0</v>
      </c>
      <c r="P149" s="50">
        <f t="shared" ref="P149:P157" si="83">IF(VLOOKUP($D149,$C$5:$AA$496,14,)=0,0,((VLOOKUP($D149,$C$5:$AA$496,14,)/VLOOKUP($D149,$C$5:$AA$496,4,))*$F149))</f>
        <v>0</v>
      </c>
      <c r="Q149" s="50"/>
      <c r="R149" s="50">
        <f t="shared" ref="R149:R157" si="84">IF(VLOOKUP($D149,$C$5:$AA$496,16,)=0,0,((VLOOKUP($D149,$C$5:$AA$496,16,)/VLOOKUP($D149,$C$5:$AA$496,4,))*$F149))</f>
        <v>0</v>
      </c>
      <c r="S149" s="50">
        <f t="shared" ref="S149:S157" si="85">IF(VLOOKUP($D149,$C$5:$AA$496,17,)=0,0,((VLOOKUP($D149,$C$5:$AA$496,17,)/VLOOKUP($D149,$C$5:$AA$496,4,))*$F149))</f>
        <v>0</v>
      </c>
      <c r="T149" s="50"/>
      <c r="U149" s="50">
        <f t="shared" ref="U149:U157" si="86">IF(VLOOKUP($D149,$C$5:$AA$496,19,)=0,0,((VLOOKUP($D149,$C$5:$AA$496,19,)/VLOOKUP($D149,$C$5:$AA$496,4,))*$F149))</f>
        <v>0</v>
      </c>
      <c r="V149" s="50"/>
      <c r="W149" s="50">
        <f t="shared" ref="W149:W157" si="87">IF(VLOOKUP($D149,$C$5:$AA$496,21,)=0,0,((VLOOKUP($D149,$C$5:$AA$496,21,)/VLOOKUP($D149,$C$5:$AA$496,4,))*$F149))</f>
        <v>0</v>
      </c>
      <c r="X149" s="50"/>
      <c r="Y149" s="50">
        <f t="shared" ref="Y149:Y157" si="88">IF(VLOOKUP($D149,$C$5:$AA$496,23,)=0,0,((VLOOKUP($D149,$C$5:$AA$496,23,)/VLOOKUP($D149,$C$5:$AA$496,4,))*$F149))</f>
        <v>0</v>
      </c>
      <c r="Z149" s="50"/>
      <c r="AA149" s="50">
        <f t="shared" ref="AA149:AA157" si="89">IF(VLOOKUP($D149,$C$5:$AA$496,25,)=0,0,((VLOOKUP($D149,$C$5:$AA$496,25,)/VLOOKUP($D149,$C$5:$AA$496,4,))*$F149))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5">
      <c r="A150" s="14">
        <v>501</v>
      </c>
      <c r="B150" s="14" t="s">
        <v>794</v>
      </c>
      <c r="C150" s="14" t="s">
        <v>807</v>
      </c>
      <c r="D150" s="14" t="s">
        <v>786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5">
      <c r="A151" s="14">
        <v>502</v>
      </c>
      <c r="B151" s="14" t="s">
        <v>795</v>
      </c>
      <c r="C151" s="14" t="s">
        <v>808</v>
      </c>
      <c r="D151" s="14" t="s">
        <v>552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5">
      <c r="A152" s="14">
        <v>503</v>
      </c>
      <c r="B152" s="14" t="s">
        <v>796</v>
      </c>
      <c r="C152" s="14" t="s">
        <v>809</v>
      </c>
      <c r="D152" s="14" t="s">
        <v>552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5">
      <c r="A153" s="14">
        <v>504</v>
      </c>
      <c r="B153" s="14" t="s">
        <v>797</v>
      </c>
      <c r="C153" s="14" t="s">
        <v>810</v>
      </c>
      <c r="D153" s="14" t="s">
        <v>552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5">
      <c r="A154" s="14">
        <v>505</v>
      </c>
      <c r="B154" s="14" t="s">
        <v>798</v>
      </c>
      <c r="C154" s="14" t="s">
        <v>811</v>
      </c>
      <c r="D154" s="14" t="s">
        <v>552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5">
      <c r="A155" s="14">
        <v>506</v>
      </c>
      <c r="B155" s="14" t="s">
        <v>799</v>
      </c>
      <c r="C155" s="14" t="s">
        <v>812</v>
      </c>
      <c r="D155" s="14" t="s">
        <v>552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5">
      <c r="A156" s="14">
        <v>507</v>
      </c>
      <c r="B156" s="14" t="s">
        <v>114</v>
      </c>
      <c r="C156" s="14" t="s">
        <v>813</v>
      </c>
      <c r="D156" s="14" t="s">
        <v>552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5">
      <c r="A157" s="14">
        <v>509</v>
      </c>
      <c r="B157" s="14" t="s">
        <v>800</v>
      </c>
      <c r="C157" s="14" t="s">
        <v>814</v>
      </c>
      <c r="D157" s="14" t="s">
        <v>786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5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5">
      <c r="A159" s="14" t="s">
        <v>792</v>
      </c>
      <c r="C159" s="14" t="s">
        <v>815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5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5">
      <c r="A161" s="13" t="s">
        <v>789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5">
      <c r="A162" s="14">
        <v>510</v>
      </c>
      <c r="B162" s="14" t="s">
        <v>801</v>
      </c>
      <c r="C162" s="14" t="s">
        <v>817</v>
      </c>
      <c r="D162" s="14" t="s">
        <v>786</v>
      </c>
      <c r="F162" s="67">
        <v>0</v>
      </c>
      <c r="H162" s="50">
        <f>IF(VLOOKUP($D162,$C$5:$AA$496,6,)=0,0,((VLOOKUP($D162,$C$5:$AA$496,6,)/VLOOKUP($D162,$C$5:$AA$496,4,))*$F162))</f>
        <v>0</v>
      </c>
      <c r="I162" s="50">
        <f>IF(VLOOKUP($D162,$C$5:$AA$496,7,)=0,0,((VLOOKUP($D162,$C$5:$AA$496,7,)/VLOOKUP($D162,$C$5:$AA$496,4,))*$F162))</f>
        <v>0</v>
      </c>
      <c r="J162" s="50"/>
      <c r="K162" s="50">
        <f>IF(VLOOKUP($D162,$C$5:$AA$496,9,)=0,0,((VLOOKUP($D162,$C$5:$AA$496,9,)/VLOOKUP($D162,$C$5:$AA$496,4,))*$F162))</f>
        <v>0</v>
      </c>
      <c r="L162" s="50"/>
      <c r="M162" s="50">
        <f>IF(VLOOKUP($D162,$C$5:$AA$496,11,)=0,0,((VLOOKUP($D162,$C$5:$AA$496,11,)/VLOOKUP($D162,$C$5:$AA$496,4,))*$F162))</f>
        <v>0</v>
      </c>
      <c r="N162" s="50"/>
      <c r="O162" s="50">
        <f>IF(VLOOKUP($D162,$C$5:$AA$496,13,)=0,0,((VLOOKUP($D162,$C$5:$AA$496,13,)/VLOOKUP($D162,$C$5:$AA$496,4,))*$F162))</f>
        <v>0</v>
      </c>
      <c r="P162" s="50">
        <f>IF(VLOOKUP($D162,$C$5:$AA$496,14,)=0,0,((VLOOKUP($D162,$C$5:$AA$496,14,)/VLOOKUP($D162,$C$5:$AA$496,4,))*$F162))</f>
        <v>0</v>
      </c>
      <c r="Q162" s="50"/>
      <c r="R162" s="50">
        <f>IF(VLOOKUP($D162,$C$5:$AA$496,16,)=0,0,((VLOOKUP($D162,$C$5:$AA$496,16,)/VLOOKUP($D162,$C$5:$AA$496,4,))*$F162))</f>
        <v>0</v>
      </c>
      <c r="S162" s="50">
        <f>IF(VLOOKUP($D162,$C$5:$AA$496,17,)=0,0,((VLOOKUP($D162,$C$5:$AA$496,17,)/VLOOKUP($D162,$C$5:$AA$496,4,))*$F162))</f>
        <v>0</v>
      </c>
      <c r="T162" s="50"/>
      <c r="U162" s="50">
        <f>IF(VLOOKUP($D162,$C$5:$AA$496,19,)=0,0,((VLOOKUP($D162,$C$5:$AA$496,19,)/VLOOKUP($D162,$C$5:$AA$496,4,))*$F162))</f>
        <v>0</v>
      </c>
      <c r="V162" s="50"/>
      <c r="W162" s="50">
        <f>IF(VLOOKUP($D162,$C$5:$AA$496,21,)=0,0,((VLOOKUP($D162,$C$5:$AA$496,21,)/VLOOKUP($D162,$C$5:$AA$496,4,))*$F162))</f>
        <v>0</v>
      </c>
      <c r="X162" s="50"/>
      <c r="Y162" s="50">
        <f>IF(VLOOKUP($D162,$C$5:$AA$496,23,)=0,0,((VLOOKUP($D162,$C$5:$AA$496,23,)/VLOOKUP($D162,$C$5:$AA$496,4,))*$F162))</f>
        <v>0</v>
      </c>
      <c r="Z162" s="50"/>
      <c r="AA162" s="50">
        <f>IF(VLOOKUP($D162,$C$5:$AA$496,25,)=0,0,((VLOOKUP($D162,$C$5:$AA$496,25,)/VLOOKUP($D162,$C$5:$AA$496,4,))*$F162))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5">
      <c r="A163" s="14">
        <v>511</v>
      </c>
      <c r="B163" s="14" t="s">
        <v>802</v>
      </c>
      <c r="C163" s="14" t="s">
        <v>818</v>
      </c>
      <c r="D163" s="14" t="s">
        <v>552</v>
      </c>
      <c r="F163" s="50">
        <v>0</v>
      </c>
      <c r="H163" s="50">
        <f>IF(VLOOKUP($D163,$C$5:$AA$496,6,)=0,0,((VLOOKUP($D163,$C$5:$AA$496,6,)/VLOOKUP($D163,$C$5:$AA$496,4,))*$F163))</f>
        <v>0</v>
      </c>
      <c r="I163" s="50">
        <f>IF(VLOOKUP($D163,$C$5:$AA$496,7,)=0,0,((VLOOKUP($D163,$C$5:$AA$496,7,)/VLOOKUP($D163,$C$5:$AA$496,4,))*$F163))</f>
        <v>0</v>
      </c>
      <c r="J163" s="50"/>
      <c r="K163" s="50">
        <f>IF(VLOOKUP($D163,$C$5:$AA$496,9,)=0,0,((VLOOKUP($D163,$C$5:$AA$496,9,)/VLOOKUP($D163,$C$5:$AA$496,4,))*$F163))</f>
        <v>0</v>
      </c>
      <c r="L163" s="50"/>
      <c r="M163" s="50">
        <f>IF(VLOOKUP($D163,$C$5:$AA$496,11,)=0,0,((VLOOKUP($D163,$C$5:$AA$496,11,)/VLOOKUP($D163,$C$5:$AA$496,4,))*$F163))</f>
        <v>0</v>
      </c>
      <c r="N163" s="50"/>
      <c r="O163" s="50">
        <f>IF(VLOOKUP($D163,$C$5:$AA$496,13,)=0,0,((VLOOKUP($D163,$C$5:$AA$496,13,)/VLOOKUP($D163,$C$5:$AA$496,4,))*$F163))</f>
        <v>0</v>
      </c>
      <c r="P163" s="50">
        <f>IF(VLOOKUP($D163,$C$5:$AA$496,14,)=0,0,((VLOOKUP($D163,$C$5:$AA$496,14,)/VLOOKUP($D163,$C$5:$AA$496,4,))*$F163))</f>
        <v>0</v>
      </c>
      <c r="Q163" s="50"/>
      <c r="R163" s="50">
        <f>IF(VLOOKUP($D163,$C$5:$AA$496,16,)=0,0,((VLOOKUP($D163,$C$5:$AA$496,16,)/VLOOKUP($D163,$C$5:$AA$496,4,))*$F163))</f>
        <v>0</v>
      </c>
      <c r="S163" s="50">
        <f>IF(VLOOKUP($D163,$C$5:$AA$496,17,)=0,0,((VLOOKUP($D163,$C$5:$AA$496,17,)/VLOOKUP($D163,$C$5:$AA$496,4,))*$F163))</f>
        <v>0</v>
      </c>
      <c r="T163" s="50"/>
      <c r="U163" s="50">
        <f>IF(VLOOKUP($D163,$C$5:$AA$496,19,)=0,0,((VLOOKUP($D163,$C$5:$AA$496,19,)/VLOOKUP($D163,$C$5:$AA$496,4,))*$F163))</f>
        <v>0</v>
      </c>
      <c r="V163" s="50"/>
      <c r="W163" s="50">
        <f>IF(VLOOKUP($D163,$C$5:$AA$496,21,)=0,0,((VLOOKUP($D163,$C$5:$AA$496,21,)/VLOOKUP($D163,$C$5:$AA$496,4,))*$F163))</f>
        <v>0</v>
      </c>
      <c r="X163" s="50"/>
      <c r="Y163" s="50">
        <f>IF(VLOOKUP($D163,$C$5:$AA$496,23,)=0,0,((VLOOKUP($D163,$C$5:$AA$496,23,)/VLOOKUP($D163,$C$5:$AA$496,4,))*$F163))</f>
        <v>0</v>
      </c>
      <c r="Z163" s="50"/>
      <c r="AA163" s="50">
        <f>IF(VLOOKUP($D163,$C$5:$AA$496,25,)=0,0,((VLOOKUP($D163,$C$5:$AA$496,25,)/VLOOKUP($D163,$C$5:$AA$496,4,))*$F163))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5">
      <c r="A164" s="14">
        <v>512</v>
      </c>
      <c r="B164" s="14" t="s">
        <v>803</v>
      </c>
      <c r="C164" s="14" t="s">
        <v>819</v>
      </c>
      <c r="D164" s="14" t="s">
        <v>786</v>
      </c>
      <c r="F164" s="50">
        <v>0</v>
      </c>
      <c r="H164" s="50">
        <f>IF(VLOOKUP($D164,$C$5:$AA$496,6,)=0,0,((VLOOKUP($D164,$C$5:$AA$496,6,)/VLOOKUP($D164,$C$5:$AA$496,4,))*$F164))</f>
        <v>0</v>
      </c>
      <c r="I164" s="50">
        <f>IF(VLOOKUP($D164,$C$5:$AA$496,7,)=0,0,((VLOOKUP($D164,$C$5:$AA$496,7,)/VLOOKUP($D164,$C$5:$AA$496,4,))*$F164))</f>
        <v>0</v>
      </c>
      <c r="J164" s="50"/>
      <c r="K164" s="50">
        <f>IF(VLOOKUP($D164,$C$5:$AA$496,9,)=0,0,((VLOOKUP($D164,$C$5:$AA$496,9,)/VLOOKUP($D164,$C$5:$AA$496,4,))*$F164))</f>
        <v>0</v>
      </c>
      <c r="L164" s="50"/>
      <c r="M164" s="50">
        <f>IF(VLOOKUP($D164,$C$5:$AA$496,11,)=0,0,((VLOOKUP($D164,$C$5:$AA$496,11,)/VLOOKUP($D164,$C$5:$AA$496,4,))*$F164))</f>
        <v>0</v>
      </c>
      <c r="N164" s="50"/>
      <c r="O164" s="50">
        <f>IF(VLOOKUP($D164,$C$5:$AA$496,13,)=0,0,((VLOOKUP($D164,$C$5:$AA$496,13,)/VLOOKUP($D164,$C$5:$AA$496,4,))*$F164))</f>
        <v>0</v>
      </c>
      <c r="P164" s="50">
        <f>IF(VLOOKUP($D164,$C$5:$AA$496,14,)=0,0,((VLOOKUP($D164,$C$5:$AA$496,14,)/VLOOKUP($D164,$C$5:$AA$496,4,))*$F164))</f>
        <v>0</v>
      </c>
      <c r="Q164" s="50"/>
      <c r="R164" s="50">
        <f>IF(VLOOKUP($D164,$C$5:$AA$496,16,)=0,0,((VLOOKUP($D164,$C$5:$AA$496,16,)/VLOOKUP($D164,$C$5:$AA$496,4,))*$F164))</f>
        <v>0</v>
      </c>
      <c r="S164" s="50">
        <f>IF(VLOOKUP($D164,$C$5:$AA$496,17,)=0,0,((VLOOKUP($D164,$C$5:$AA$496,17,)/VLOOKUP($D164,$C$5:$AA$496,4,))*$F164))</f>
        <v>0</v>
      </c>
      <c r="T164" s="50"/>
      <c r="U164" s="50">
        <f>IF(VLOOKUP($D164,$C$5:$AA$496,19,)=0,0,((VLOOKUP($D164,$C$5:$AA$496,19,)/VLOOKUP($D164,$C$5:$AA$496,4,))*$F164))</f>
        <v>0</v>
      </c>
      <c r="V164" s="50"/>
      <c r="W164" s="50">
        <f>IF(VLOOKUP($D164,$C$5:$AA$496,21,)=0,0,((VLOOKUP($D164,$C$5:$AA$496,21,)/VLOOKUP($D164,$C$5:$AA$496,4,))*$F164))</f>
        <v>0</v>
      </c>
      <c r="X164" s="50"/>
      <c r="Y164" s="50">
        <f>IF(VLOOKUP($D164,$C$5:$AA$496,23,)=0,0,((VLOOKUP($D164,$C$5:$AA$496,23,)/VLOOKUP($D164,$C$5:$AA$496,4,))*$F164))</f>
        <v>0</v>
      </c>
      <c r="Z164" s="50"/>
      <c r="AA164" s="50">
        <f>IF(VLOOKUP($D164,$C$5:$AA$496,25,)=0,0,((VLOOKUP($D164,$C$5:$AA$496,25,)/VLOOKUP($D164,$C$5:$AA$496,4,))*$F164))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5">
      <c r="A165" s="14">
        <v>513</v>
      </c>
      <c r="B165" s="14" t="s">
        <v>804</v>
      </c>
      <c r="C165" s="14" t="s">
        <v>820</v>
      </c>
      <c r="D165" s="14" t="s">
        <v>786</v>
      </c>
      <c r="F165" s="50">
        <v>0</v>
      </c>
      <c r="H165" s="50">
        <f>IF(VLOOKUP($D165,$C$5:$AA$496,6,)=0,0,((VLOOKUP($D165,$C$5:$AA$496,6,)/VLOOKUP($D165,$C$5:$AA$496,4,))*$F165))</f>
        <v>0</v>
      </c>
      <c r="I165" s="50">
        <f>IF(VLOOKUP($D165,$C$5:$AA$496,7,)=0,0,((VLOOKUP($D165,$C$5:$AA$496,7,)/VLOOKUP($D165,$C$5:$AA$496,4,))*$F165))</f>
        <v>0</v>
      </c>
      <c r="J165" s="50"/>
      <c r="K165" s="50">
        <f>IF(VLOOKUP($D165,$C$5:$AA$496,9,)=0,0,((VLOOKUP($D165,$C$5:$AA$496,9,)/VLOOKUP($D165,$C$5:$AA$496,4,))*$F165))</f>
        <v>0</v>
      </c>
      <c r="L165" s="50"/>
      <c r="M165" s="50">
        <f>IF(VLOOKUP($D165,$C$5:$AA$496,11,)=0,0,((VLOOKUP($D165,$C$5:$AA$496,11,)/VLOOKUP($D165,$C$5:$AA$496,4,))*$F165))</f>
        <v>0</v>
      </c>
      <c r="N165" s="50"/>
      <c r="O165" s="50">
        <f>IF(VLOOKUP($D165,$C$5:$AA$496,13,)=0,0,((VLOOKUP($D165,$C$5:$AA$496,13,)/VLOOKUP($D165,$C$5:$AA$496,4,))*$F165))</f>
        <v>0</v>
      </c>
      <c r="P165" s="50">
        <f>IF(VLOOKUP($D165,$C$5:$AA$496,14,)=0,0,((VLOOKUP($D165,$C$5:$AA$496,14,)/VLOOKUP($D165,$C$5:$AA$496,4,))*$F165))</f>
        <v>0</v>
      </c>
      <c r="Q165" s="50"/>
      <c r="R165" s="50">
        <f>IF(VLOOKUP($D165,$C$5:$AA$496,16,)=0,0,((VLOOKUP($D165,$C$5:$AA$496,16,)/VLOOKUP($D165,$C$5:$AA$496,4,))*$F165))</f>
        <v>0</v>
      </c>
      <c r="S165" s="50">
        <f>IF(VLOOKUP($D165,$C$5:$AA$496,17,)=0,0,((VLOOKUP($D165,$C$5:$AA$496,17,)/VLOOKUP($D165,$C$5:$AA$496,4,))*$F165))</f>
        <v>0</v>
      </c>
      <c r="T165" s="50"/>
      <c r="U165" s="50">
        <f>IF(VLOOKUP($D165,$C$5:$AA$496,19,)=0,0,((VLOOKUP($D165,$C$5:$AA$496,19,)/VLOOKUP($D165,$C$5:$AA$496,4,))*$F165))</f>
        <v>0</v>
      </c>
      <c r="V165" s="50"/>
      <c r="W165" s="50">
        <f>IF(VLOOKUP($D165,$C$5:$AA$496,21,)=0,0,((VLOOKUP($D165,$C$5:$AA$496,21,)/VLOOKUP($D165,$C$5:$AA$496,4,))*$F165))</f>
        <v>0</v>
      </c>
      <c r="X165" s="50"/>
      <c r="Y165" s="50">
        <f>IF(VLOOKUP($D165,$C$5:$AA$496,23,)=0,0,((VLOOKUP($D165,$C$5:$AA$496,23,)/VLOOKUP($D165,$C$5:$AA$496,4,))*$F165))</f>
        <v>0</v>
      </c>
      <c r="Z165" s="50"/>
      <c r="AA165" s="50">
        <f>IF(VLOOKUP($D165,$C$5:$AA$496,25,)=0,0,((VLOOKUP($D165,$C$5:$AA$496,25,)/VLOOKUP($D165,$C$5:$AA$496,4,))*$F165))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5">
      <c r="A166" s="14">
        <v>514</v>
      </c>
      <c r="B166" s="14" t="s">
        <v>805</v>
      </c>
      <c r="C166" s="14" t="s">
        <v>821</v>
      </c>
      <c r="D166" s="14" t="s">
        <v>552</v>
      </c>
      <c r="F166" s="50">
        <v>0</v>
      </c>
      <c r="H166" s="50">
        <f>IF(VLOOKUP($D166,$C$5:$AA$496,6,)=0,0,((VLOOKUP($D166,$C$5:$AA$496,6,)/VLOOKUP($D166,$C$5:$AA$496,4,))*$F166))</f>
        <v>0</v>
      </c>
      <c r="I166" s="50">
        <f>IF(VLOOKUP($D166,$C$5:$AA$496,7,)=0,0,((VLOOKUP($D166,$C$5:$AA$496,7,)/VLOOKUP($D166,$C$5:$AA$496,4,))*$F166))</f>
        <v>0</v>
      </c>
      <c r="J166" s="50"/>
      <c r="K166" s="50">
        <f>IF(VLOOKUP($D166,$C$5:$AA$496,9,)=0,0,((VLOOKUP($D166,$C$5:$AA$496,9,)/VLOOKUP($D166,$C$5:$AA$496,4,))*$F166))</f>
        <v>0</v>
      </c>
      <c r="L166" s="50"/>
      <c r="M166" s="50">
        <f>IF(VLOOKUP($D166,$C$5:$AA$496,11,)=0,0,((VLOOKUP($D166,$C$5:$AA$496,11,)/VLOOKUP($D166,$C$5:$AA$496,4,))*$F166))</f>
        <v>0</v>
      </c>
      <c r="N166" s="50"/>
      <c r="O166" s="50">
        <f>IF(VLOOKUP($D166,$C$5:$AA$496,13,)=0,0,((VLOOKUP($D166,$C$5:$AA$496,13,)/VLOOKUP($D166,$C$5:$AA$496,4,))*$F166))</f>
        <v>0</v>
      </c>
      <c r="P166" s="50">
        <f>IF(VLOOKUP($D166,$C$5:$AA$496,14,)=0,0,((VLOOKUP($D166,$C$5:$AA$496,14,)/VLOOKUP($D166,$C$5:$AA$496,4,))*$F166))</f>
        <v>0</v>
      </c>
      <c r="Q166" s="50"/>
      <c r="R166" s="50">
        <f>IF(VLOOKUP($D166,$C$5:$AA$496,16,)=0,0,((VLOOKUP($D166,$C$5:$AA$496,16,)/VLOOKUP($D166,$C$5:$AA$496,4,))*$F166))</f>
        <v>0</v>
      </c>
      <c r="S166" s="50">
        <f>IF(VLOOKUP($D166,$C$5:$AA$496,17,)=0,0,((VLOOKUP($D166,$C$5:$AA$496,17,)/VLOOKUP($D166,$C$5:$AA$496,4,))*$F166))</f>
        <v>0</v>
      </c>
      <c r="T166" s="50"/>
      <c r="U166" s="50">
        <f>IF(VLOOKUP($D166,$C$5:$AA$496,19,)=0,0,((VLOOKUP($D166,$C$5:$AA$496,19,)/VLOOKUP($D166,$C$5:$AA$496,4,))*$F166))</f>
        <v>0</v>
      </c>
      <c r="V166" s="50"/>
      <c r="W166" s="50">
        <f>IF(VLOOKUP($D166,$C$5:$AA$496,21,)=0,0,((VLOOKUP($D166,$C$5:$AA$496,21,)/VLOOKUP($D166,$C$5:$AA$496,4,))*$F166))</f>
        <v>0</v>
      </c>
      <c r="X166" s="50"/>
      <c r="Y166" s="50">
        <f>IF(VLOOKUP($D166,$C$5:$AA$496,23,)=0,0,((VLOOKUP($D166,$C$5:$AA$496,23,)/VLOOKUP($D166,$C$5:$AA$496,4,))*$F166))</f>
        <v>0</v>
      </c>
      <c r="Z166" s="50"/>
      <c r="AA166" s="50">
        <f>IF(VLOOKUP($D166,$C$5:$AA$496,25,)=0,0,((VLOOKUP($D166,$C$5:$AA$496,25,)/VLOOKUP($D166,$C$5:$AA$496,4,))*$F166))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5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5">
      <c r="A168" s="14" t="s">
        <v>790</v>
      </c>
      <c r="C168" s="14" t="s">
        <v>816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5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5">
      <c r="A170" s="14" t="s">
        <v>791</v>
      </c>
      <c r="C170" s="14" t="s">
        <v>824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5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5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5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5">
      <c r="A174" s="13" t="s">
        <v>95</v>
      </c>
      <c r="H174" s="67"/>
      <c r="I174" s="67"/>
      <c r="Q174" s="14"/>
      <c r="AC174" s="28"/>
    </row>
    <row r="175" spans="1:29" x14ac:dyDescent="0.25">
      <c r="A175" s="14">
        <v>555</v>
      </c>
      <c r="B175" s="14" t="s">
        <v>378</v>
      </c>
      <c r="C175" s="14" t="s">
        <v>397</v>
      </c>
      <c r="D175" s="14" t="s">
        <v>96</v>
      </c>
      <c r="F175" s="67">
        <v>70722285.650000006</v>
      </c>
      <c r="G175" s="67"/>
      <c r="H175" s="67">
        <f>IF(VLOOKUP($D175,$C$5:$AA$496,6,)=0,0,((VLOOKUP($D175,$C$5:$AA$496,6,)/VLOOKUP($D175,$C$5:$AA$496,4,))*$F175))</f>
        <v>18054874.878003754</v>
      </c>
      <c r="I175" s="67">
        <f>IF(VLOOKUP($D175,$C$5:$AA$496,7,)=0,0,((VLOOKUP($D175,$C$5:$AA$496,7,)/VLOOKUP($D175,$C$5:$AA$496,4,))*$F175))</f>
        <v>52667410.771996282</v>
      </c>
      <c r="J175" s="50"/>
      <c r="K175" s="50">
        <f>IF(VLOOKUP($D175,$C$5:$AA$496,9,)=0,0,((VLOOKUP($D175,$C$5:$AA$496,9,)/VLOOKUP($D175,$C$5:$AA$496,4,))*$F175))</f>
        <v>0</v>
      </c>
      <c r="L175" s="50"/>
      <c r="M175" s="50">
        <f>IF(VLOOKUP($D175,$C$5:$AA$496,11,)=0,0,((VLOOKUP($D175,$C$5:$AA$496,11,)/VLOOKUP($D175,$C$5:$AA$496,4,))*$F175))</f>
        <v>0</v>
      </c>
      <c r="N175" s="50"/>
      <c r="O175" s="50">
        <f>IF(VLOOKUP($D175,$C$5:$AA$496,13,)=0,0,((VLOOKUP($D175,$C$5:$AA$496,13,)/VLOOKUP($D175,$C$5:$AA$496,4,))*$F175))</f>
        <v>0</v>
      </c>
      <c r="P175" s="50">
        <f>IF(VLOOKUP($D175,$C$5:$AA$496,14,)=0,0,((VLOOKUP($D175,$C$5:$AA$496,14,)/VLOOKUP($D175,$C$5:$AA$496,4,))*$F175))</f>
        <v>0</v>
      </c>
      <c r="Q175" s="50"/>
      <c r="R175" s="50">
        <f>IF(VLOOKUP($D175,$C$5:$AA$496,16,)=0,0,((VLOOKUP($D175,$C$5:$AA$496,16,)/VLOOKUP($D175,$C$5:$AA$496,4,))*$F175))</f>
        <v>0</v>
      </c>
      <c r="S175" s="50">
        <f>IF(VLOOKUP($D175,$C$5:$AA$496,17,)=0,0,((VLOOKUP($D175,$C$5:$AA$496,17,)/VLOOKUP($D175,$C$5:$AA$496,4,))*$F175))</f>
        <v>0</v>
      </c>
      <c r="T175" s="50"/>
      <c r="U175" s="50">
        <f>IF(VLOOKUP($D175,$C$5:$AA$496,19,)=0,0,((VLOOKUP($D175,$C$5:$AA$496,19,)/VLOOKUP($D175,$C$5:$AA$496,4,))*$F175))</f>
        <v>0</v>
      </c>
      <c r="V175" s="50"/>
      <c r="W175" s="50">
        <f>IF(VLOOKUP($D175,$C$5:$AA$496,21,)=0,0,((VLOOKUP($D175,$C$5:$AA$496,21,)/VLOOKUP($D175,$C$5:$AA$496,4,))*$F175))</f>
        <v>0</v>
      </c>
      <c r="X175" s="50"/>
      <c r="Y175" s="50">
        <f>IF(VLOOKUP($D175,$C$5:$AA$496,23,)=0,0,((VLOOKUP($D175,$C$5:$AA$496,23,)/VLOOKUP($D175,$C$5:$AA$496,4,))*$F175))</f>
        <v>0</v>
      </c>
      <c r="Z175" s="50"/>
      <c r="AA175" s="50">
        <f>IF(VLOOKUP($D175,$C$5:$AA$496,25,)=0,0,((VLOOKUP($D175,$C$5:$AA$496,25,)/VLOOKUP($D175,$C$5:$AA$496,4,))*$F175))</f>
        <v>0</v>
      </c>
      <c r="AB175" s="50">
        <f>SUM(H175:AA175)</f>
        <v>70722285.650000036</v>
      </c>
      <c r="AC175" s="28" t="str">
        <f>IF(ABS(AB175-F175)&lt;1,"ok","err")</f>
        <v>ok</v>
      </c>
    </row>
    <row r="176" spans="1:29" x14ac:dyDescent="0.25">
      <c r="A176" s="14">
        <v>556</v>
      </c>
      <c r="B176" s="14" t="s">
        <v>908</v>
      </c>
      <c r="C176" s="14" t="s">
        <v>909</v>
      </c>
      <c r="D176" s="14" t="s">
        <v>96</v>
      </c>
      <c r="F176" s="50">
        <v>0</v>
      </c>
      <c r="G176" s="67"/>
      <c r="H176" s="50">
        <f>IF(VLOOKUP($D176,$C$5:$AA$496,6,)=0,0,((VLOOKUP($D176,$C$5:$AA$496,6,)/VLOOKUP($D176,$C$5:$AA$496,4,))*$F176))</f>
        <v>0</v>
      </c>
      <c r="I176" s="50">
        <f>IF(VLOOKUP($D176,$C$5:$AA$496,7,)=0,0,((VLOOKUP($D176,$C$5:$AA$496,7,)/VLOOKUP($D176,$C$5:$AA$496,4,))*$F176))</f>
        <v>0</v>
      </c>
      <c r="J176" s="50"/>
      <c r="K176" s="50">
        <f>IF(VLOOKUP($D176,$C$5:$AA$496,9,)=0,0,((VLOOKUP($D176,$C$5:$AA$496,9,)/VLOOKUP($D176,$C$5:$AA$496,4,))*$F176))</f>
        <v>0</v>
      </c>
      <c r="L176" s="50"/>
      <c r="M176" s="50">
        <f>IF(VLOOKUP($D176,$C$5:$AA$496,11,)=0,0,((VLOOKUP($D176,$C$5:$AA$496,11,)/VLOOKUP($D176,$C$5:$AA$496,4,))*$F176))</f>
        <v>0</v>
      </c>
      <c r="N176" s="50"/>
      <c r="O176" s="50">
        <f>IF(VLOOKUP($D176,$C$5:$AA$496,13,)=0,0,((VLOOKUP($D176,$C$5:$AA$496,13,)/VLOOKUP($D176,$C$5:$AA$496,4,))*$F176))</f>
        <v>0</v>
      </c>
      <c r="P176" s="50">
        <f>IF(VLOOKUP($D176,$C$5:$AA$496,14,)=0,0,((VLOOKUP($D176,$C$5:$AA$496,14,)/VLOOKUP($D176,$C$5:$AA$496,4,))*$F176))</f>
        <v>0</v>
      </c>
      <c r="Q176" s="50"/>
      <c r="R176" s="50">
        <f>IF(VLOOKUP($D176,$C$5:$AA$496,16,)=0,0,((VLOOKUP($D176,$C$5:$AA$496,16,)/VLOOKUP($D176,$C$5:$AA$496,4,))*$F176))</f>
        <v>0</v>
      </c>
      <c r="S176" s="50">
        <f>IF(VLOOKUP($D176,$C$5:$AA$496,17,)=0,0,((VLOOKUP($D176,$C$5:$AA$496,17,)/VLOOKUP($D176,$C$5:$AA$496,4,))*$F176))</f>
        <v>0</v>
      </c>
      <c r="T176" s="50"/>
      <c r="U176" s="50">
        <f>IF(VLOOKUP($D176,$C$5:$AA$496,19,)=0,0,((VLOOKUP($D176,$C$5:$AA$496,19,)/VLOOKUP($D176,$C$5:$AA$496,4,))*$F176))</f>
        <v>0</v>
      </c>
      <c r="V176" s="50"/>
      <c r="W176" s="50">
        <f>IF(VLOOKUP($D176,$C$5:$AA$496,21,)=0,0,((VLOOKUP($D176,$C$5:$AA$496,21,)/VLOOKUP($D176,$C$5:$AA$496,4,))*$F176))</f>
        <v>0</v>
      </c>
      <c r="X176" s="50"/>
      <c r="Y176" s="50">
        <f>IF(VLOOKUP($D176,$C$5:$AA$496,23,)=0,0,((VLOOKUP($D176,$C$5:$AA$496,23,)/VLOOKUP($D176,$C$5:$AA$496,4,))*$F176))</f>
        <v>0</v>
      </c>
      <c r="Z176" s="50"/>
      <c r="AA176" s="50">
        <f>IF(VLOOKUP($D176,$C$5:$AA$496,25,)=0,0,((VLOOKUP($D176,$C$5:$AA$496,25,)/VLOOKUP($D176,$C$5:$AA$496,4,))*$F176))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5">
      <c r="A177" s="14">
        <v>557</v>
      </c>
      <c r="B177" s="14" t="s">
        <v>398</v>
      </c>
      <c r="C177" s="14" t="s">
        <v>400</v>
      </c>
      <c r="D177" s="14" t="s">
        <v>96</v>
      </c>
      <c r="F177" s="50">
        <v>0</v>
      </c>
      <c r="G177" s="67"/>
      <c r="H177" s="50">
        <f>IF(VLOOKUP($D177,$C$5:$AA$496,6,)=0,0,((VLOOKUP($D177,$C$5:$AA$496,6,)/VLOOKUP($D177,$C$5:$AA$496,4,))*$F177))</f>
        <v>0</v>
      </c>
      <c r="I177" s="50">
        <f>IF(VLOOKUP($D177,$C$5:$AA$496,7,)=0,0,((VLOOKUP($D177,$C$5:$AA$496,7,)/VLOOKUP($D177,$C$5:$AA$496,4,))*$F177))</f>
        <v>0</v>
      </c>
      <c r="J177" s="50"/>
      <c r="K177" s="50">
        <f>IF(VLOOKUP($D177,$C$5:$AA$496,9,)=0,0,((VLOOKUP($D177,$C$5:$AA$496,9,)/VLOOKUP($D177,$C$5:$AA$496,4,))*$F177))</f>
        <v>0</v>
      </c>
      <c r="L177" s="50"/>
      <c r="M177" s="50">
        <f>IF(VLOOKUP($D177,$C$5:$AA$496,11,)=0,0,((VLOOKUP($D177,$C$5:$AA$496,11,)/VLOOKUP($D177,$C$5:$AA$496,4,))*$F177))</f>
        <v>0</v>
      </c>
      <c r="N177" s="50"/>
      <c r="O177" s="50">
        <f>IF(VLOOKUP($D177,$C$5:$AA$496,13,)=0,0,((VLOOKUP($D177,$C$5:$AA$496,13,)/VLOOKUP($D177,$C$5:$AA$496,4,))*$F177))</f>
        <v>0</v>
      </c>
      <c r="P177" s="50">
        <f>IF(VLOOKUP($D177,$C$5:$AA$496,14,)=0,0,((VLOOKUP($D177,$C$5:$AA$496,14,)/VLOOKUP($D177,$C$5:$AA$496,4,))*$F177))</f>
        <v>0</v>
      </c>
      <c r="Q177" s="50"/>
      <c r="R177" s="50">
        <f>IF(VLOOKUP($D177,$C$5:$AA$496,16,)=0,0,((VLOOKUP($D177,$C$5:$AA$496,16,)/VLOOKUP($D177,$C$5:$AA$496,4,))*$F177))</f>
        <v>0</v>
      </c>
      <c r="S177" s="50">
        <f>IF(VLOOKUP($D177,$C$5:$AA$496,17,)=0,0,((VLOOKUP($D177,$C$5:$AA$496,17,)/VLOOKUP($D177,$C$5:$AA$496,4,))*$F177))</f>
        <v>0</v>
      </c>
      <c r="T177" s="50"/>
      <c r="U177" s="50">
        <f>IF(VLOOKUP($D177,$C$5:$AA$496,19,)=0,0,((VLOOKUP($D177,$C$5:$AA$496,19,)/VLOOKUP($D177,$C$5:$AA$496,4,))*$F177))</f>
        <v>0</v>
      </c>
      <c r="V177" s="50"/>
      <c r="W177" s="50">
        <f>IF(VLOOKUP($D177,$C$5:$AA$496,21,)=0,0,((VLOOKUP($D177,$C$5:$AA$496,21,)/VLOOKUP($D177,$C$5:$AA$496,4,))*$F177))</f>
        <v>0</v>
      </c>
      <c r="X177" s="50"/>
      <c r="Y177" s="50">
        <f>IF(VLOOKUP($D177,$C$5:$AA$496,23,)=0,0,((VLOOKUP($D177,$C$5:$AA$496,23,)/VLOOKUP($D177,$C$5:$AA$496,4,))*$F177))</f>
        <v>0</v>
      </c>
      <c r="Z177" s="50"/>
      <c r="AA177" s="50">
        <f>IF(VLOOKUP($D177,$C$5:$AA$496,25,)=0,0,((VLOOKUP($D177,$C$5:$AA$496,25,)/VLOOKUP($D177,$C$5:$AA$496,4,))*$F177))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5">
      <c r="A178" s="14">
        <v>559</v>
      </c>
      <c r="B178" s="14" t="s">
        <v>831</v>
      </c>
      <c r="C178" s="14" t="s">
        <v>832</v>
      </c>
      <c r="D178" s="14" t="s">
        <v>96</v>
      </c>
      <c r="F178" s="50">
        <v>0</v>
      </c>
      <c r="G178" s="67"/>
      <c r="H178" s="50">
        <f>IF(VLOOKUP($D178,$C$5:$AA$496,6,)=0,0,((VLOOKUP($D178,$C$5:$AA$496,6,)/VLOOKUP($D178,$C$5:$AA$496,4,))*$F178))</f>
        <v>0</v>
      </c>
      <c r="I178" s="50">
        <f>IF(VLOOKUP($D178,$C$5:$AA$496,7,)=0,0,((VLOOKUP($D178,$C$5:$AA$496,7,)/VLOOKUP($D178,$C$5:$AA$496,4,))*$F178))</f>
        <v>0</v>
      </c>
      <c r="J178" s="50"/>
      <c r="K178" s="50">
        <f>IF(VLOOKUP($D178,$C$5:$AA$496,9,)=0,0,((VLOOKUP($D178,$C$5:$AA$496,9,)/VLOOKUP($D178,$C$5:$AA$496,4,))*$F178))</f>
        <v>0</v>
      </c>
      <c r="L178" s="50"/>
      <c r="M178" s="50">
        <f>IF(VLOOKUP($D178,$C$5:$AA$496,11,)=0,0,((VLOOKUP($D178,$C$5:$AA$496,11,)/VLOOKUP($D178,$C$5:$AA$496,4,))*$F178))</f>
        <v>0</v>
      </c>
      <c r="N178" s="50"/>
      <c r="O178" s="50">
        <f>IF(VLOOKUP($D178,$C$5:$AA$496,13,)=0,0,((VLOOKUP($D178,$C$5:$AA$496,13,)/VLOOKUP($D178,$C$5:$AA$496,4,))*$F178))</f>
        <v>0</v>
      </c>
      <c r="P178" s="50">
        <f>IF(VLOOKUP($D178,$C$5:$AA$496,14,)=0,0,((VLOOKUP($D178,$C$5:$AA$496,14,)/VLOOKUP($D178,$C$5:$AA$496,4,))*$F178))</f>
        <v>0</v>
      </c>
      <c r="Q178" s="50"/>
      <c r="R178" s="50">
        <f>IF(VLOOKUP($D178,$C$5:$AA$496,16,)=0,0,((VLOOKUP($D178,$C$5:$AA$496,16,)/VLOOKUP($D178,$C$5:$AA$496,4,))*$F178))</f>
        <v>0</v>
      </c>
      <c r="S178" s="50">
        <f>IF(VLOOKUP($D178,$C$5:$AA$496,17,)=0,0,((VLOOKUP($D178,$C$5:$AA$496,17,)/VLOOKUP($D178,$C$5:$AA$496,4,))*$F178))</f>
        <v>0</v>
      </c>
      <c r="T178" s="50"/>
      <c r="U178" s="50">
        <f>IF(VLOOKUP($D178,$C$5:$AA$496,19,)=0,0,((VLOOKUP($D178,$C$5:$AA$496,19,)/VLOOKUP($D178,$C$5:$AA$496,4,))*$F178))</f>
        <v>0</v>
      </c>
      <c r="V178" s="50"/>
      <c r="W178" s="50">
        <f>IF(VLOOKUP($D178,$C$5:$AA$496,21,)=0,0,((VLOOKUP($D178,$C$5:$AA$496,21,)/VLOOKUP($D178,$C$5:$AA$496,4,))*$F178))</f>
        <v>0</v>
      </c>
      <c r="X178" s="50"/>
      <c r="Y178" s="50">
        <f>IF(VLOOKUP($D178,$C$5:$AA$496,23,)=0,0,((VLOOKUP($D178,$C$5:$AA$496,23,)/VLOOKUP($D178,$C$5:$AA$496,4,))*$F178))</f>
        <v>0</v>
      </c>
      <c r="Z178" s="50"/>
      <c r="AA178" s="50">
        <f>IF(VLOOKUP($D178,$C$5:$AA$496,25,)=0,0,((VLOOKUP($D178,$C$5:$AA$496,25,)/VLOOKUP($D178,$C$5:$AA$496,4,))*$F178))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5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5">
      <c r="A180" s="14" t="s">
        <v>399</v>
      </c>
      <c r="C180" s="14" t="s">
        <v>401</v>
      </c>
      <c r="F180" s="67">
        <f>SUM(F175:F179)</f>
        <v>70722285.650000006</v>
      </c>
      <c r="G180" s="67"/>
      <c r="H180" s="67">
        <f>SUM(H175:H179)</f>
        <v>18054874.878003754</v>
      </c>
      <c r="I180" s="67">
        <f t="shared" ref="I180:AA180" si="92">SUM(I175:I179)</f>
        <v>52667410.771996282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70722285.650000036</v>
      </c>
      <c r="AC180" s="28" t="str">
        <f>IF(ABS(AB180-F180)&lt;1,"ok","err")</f>
        <v>ok</v>
      </c>
    </row>
    <row r="181" spans="1:29" x14ac:dyDescent="0.25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5">
      <c r="A182" s="13" t="s">
        <v>370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5">
      <c r="A183" s="14">
        <v>560</v>
      </c>
      <c r="B183" s="14" t="s">
        <v>373</v>
      </c>
      <c r="C183" s="14" t="s">
        <v>403</v>
      </c>
      <c r="D183" s="14" t="s">
        <v>390</v>
      </c>
      <c r="F183" s="67">
        <v>0</v>
      </c>
      <c r="G183" s="67"/>
      <c r="H183" s="50">
        <f t="shared" ref="H183:H197" si="93">IF((VLOOKUP($D183,$C$5:$AA$496,6,)=0),0,((VLOOKUP($D183,$C$5:$AA$496,6,)/VLOOKUP($D183,$C$5:$AA$496,4,))*$F183))</f>
        <v>0</v>
      </c>
      <c r="I183" s="50">
        <f t="shared" ref="I183:I197" si="94">IF((VLOOKUP($D183,$C$5:$AA$496,7,)=0),0,((VLOOKUP($D183,$C$5:$AA$496,7,)/VLOOKUP($D183,$C$5:$AA$496,4,))*$F183))</f>
        <v>0</v>
      </c>
      <c r="J183" s="50"/>
      <c r="K183" s="50">
        <f t="shared" ref="K183:K197" si="95">IF((VLOOKUP($D183,$C$5:$AA$496,9,)=0),0,((VLOOKUP($D183,$C$5:$AA$496,9,)/VLOOKUP($D183,$C$5:$AA$496,4,))*$F183))</f>
        <v>0</v>
      </c>
      <c r="L183" s="50"/>
      <c r="M183" s="50">
        <f t="shared" ref="M183:M197" si="96">IF((VLOOKUP($D183,$C$5:$AA$496,11,)=0),0,((VLOOKUP($D183,$C$5:$AA$496,11,)/VLOOKUP($D183,$C$5:$AA$496,4,))*$F183))</f>
        <v>0</v>
      </c>
      <c r="N183" s="50"/>
      <c r="O183" s="50">
        <f t="shared" ref="O183:O197" si="97">IF((VLOOKUP($D183,$C$5:$AA$496,13,)=0),0,((VLOOKUP($D183,$C$5:$AA$496,13,)/VLOOKUP($D183,$C$5:$AA$496,4,))*$F183))</f>
        <v>0</v>
      </c>
      <c r="P183" s="50">
        <f t="shared" ref="P183:P197" si="98">IF((VLOOKUP($D183,$C$5:$AA$496,14,)=0),0,((VLOOKUP($D183,$C$5:$AA$496,14,)/VLOOKUP($D183,$C$5:$AA$496,4,))*$F183))</f>
        <v>0</v>
      </c>
      <c r="Q183" s="50"/>
      <c r="R183" s="50">
        <f t="shared" ref="R183:R197" si="99">IF((VLOOKUP($D183,$C$5:$AA$496,16,)=0),0,((VLOOKUP($D183,$C$5:$AA$496,16,)/VLOOKUP($D183,$C$5:$AA$496,4,))*$F183))</f>
        <v>0</v>
      </c>
      <c r="S183" s="50">
        <f t="shared" ref="S183:S197" si="100">IF((VLOOKUP($D183,$C$5:$AA$496,17,)=0),0,((VLOOKUP($D183,$C$5:$AA$496,17,)/VLOOKUP($D183,$C$5:$AA$496,4,))*$F183))</f>
        <v>0</v>
      </c>
      <c r="T183" s="50"/>
      <c r="U183" s="50">
        <f t="shared" ref="U183:U197" si="101">IF((VLOOKUP($D183,$C$5:$AA$496,19,)=0),0,((VLOOKUP($D183,$C$5:$AA$496,19,)/VLOOKUP($D183,$C$5:$AA$496,4,))*$F183))</f>
        <v>0</v>
      </c>
      <c r="V183" s="50"/>
      <c r="W183" s="50">
        <f t="shared" ref="W183:W197" si="102">IF((VLOOKUP($D183,$C$5:$AA$496,21,)=0),0,((VLOOKUP($D183,$C$5:$AA$496,21,)/VLOOKUP($D183,$C$5:$AA$496,4,))*$F183))</f>
        <v>0</v>
      </c>
      <c r="X183" s="50"/>
      <c r="Y183" s="50">
        <f t="shared" ref="Y183:Y197" si="103">IF((VLOOKUP($D183,$C$5:$AA$496,23,)=0),0,((VLOOKUP($D183,$C$5:$AA$496,23,)/VLOOKUP($D183,$C$5:$AA$496,4,))*$F183))</f>
        <v>0</v>
      </c>
      <c r="Z183" s="50"/>
      <c r="AA183" s="50">
        <f t="shared" ref="AA183:AA197" si="104">IF((VLOOKUP($D183,$C$5:$AA$496,25,)=0),0,((VLOOKUP($D183,$C$5:$AA$496,25,)/VLOOKUP($D183,$C$5:$AA$496,4,))*$F183))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5">
      <c r="A184" s="14">
        <v>561</v>
      </c>
      <c r="B184" s="14" t="s">
        <v>100</v>
      </c>
      <c r="C184" s="14" t="s">
        <v>404</v>
      </c>
      <c r="D184" s="14" t="s">
        <v>390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5">
      <c r="A185" s="14">
        <v>562</v>
      </c>
      <c r="B185" s="14" t="s">
        <v>371</v>
      </c>
      <c r="C185" s="14" t="s">
        <v>405</v>
      </c>
      <c r="D185" s="14" t="s">
        <v>390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5">
      <c r="A186" s="14">
        <v>563</v>
      </c>
      <c r="B186" s="14" t="s">
        <v>102</v>
      </c>
      <c r="C186" s="14" t="s">
        <v>406</v>
      </c>
      <c r="D186" s="14" t="s">
        <v>390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5">
      <c r="A187" s="14">
        <v>564</v>
      </c>
      <c r="B187" s="14" t="s">
        <v>104</v>
      </c>
      <c r="C187" s="14" t="s">
        <v>911</v>
      </c>
      <c r="D187" s="14" t="s">
        <v>390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5">
      <c r="A188" s="14">
        <v>565</v>
      </c>
      <c r="B188" s="14" t="s">
        <v>910</v>
      </c>
      <c r="C188" s="14" t="s">
        <v>912</v>
      </c>
      <c r="D188" s="14" t="s">
        <v>390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5">
      <c r="A189" s="14">
        <v>566</v>
      </c>
      <c r="B189" s="14" t="s">
        <v>586</v>
      </c>
      <c r="C189" s="14" t="s">
        <v>587</v>
      </c>
      <c r="D189" s="14" t="s">
        <v>390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5">
      <c r="A190" s="14">
        <v>567</v>
      </c>
      <c r="B190" s="14" t="s">
        <v>114</v>
      </c>
      <c r="C190" s="14" t="s">
        <v>913</v>
      </c>
      <c r="D190" s="14" t="s">
        <v>390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5">
      <c r="A191" s="14">
        <v>568</v>
      </c>
      <c r="B191" s="14" t="s">
        <v>914</v>
      </c>
      <c r="C191" s="14" t="s">
        <v>407</v>
      </c>
      <c r="D191" s="14" t="s">
        <v>390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5">
      <c r="A192" s="14">
        <v>569</v>
      </c>
      <c r="B192" s="14" t="s">
        <v>802</v>
      </c>
      <c r="C192" s="14" t="s">
        <v>915</v>
      </c>
      <c r="D192" s="14" t="s">
        <v>390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5">
      <c r="A193" s="14">
        <v>570</v>
      </c>
      <c r="B193" s="14" t="s">
        <v>374</v>
      </c>
      <c r="C193" s="14" t="s">
        <v>408</v>
      </c>
      <c r="D193" s="14" t="s">
        <v>390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5">
      <c r="A194" s="14">
        <v>571</v>
      </c>
      <c r="B194" s="14" t="s">
        <v>375</v>
      </c>
      <c r="C194" s="14" t="s">
        <v>409</v>
      </c>
      <c r="D194" s="14" t="s">
        <v>390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5">
      <c r="A195" s="14">
        <v>572</v>
      </c>
      <c r="B195" s="14" t="s">
        <v>921</v>
      </c>
      <c r="C195" s="14" t="s">
        <v>918</v>
      </c>
      <c r="D195" s="14" t="s">
        <v>390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5">
      <c r="A196" s="14">
        <v>573</v>
      </c>
      <c r="B196" s="14" t="s">
        <v>916</v>
      </c>
      <c r="C196" s="14" t="s">
        <v>919</v>
      </c>
      <c r="D196" s="14" t="s">
        <v>390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5">
      <c r="A197" s="14">
        <v>574</v>
      </c>
      <c r="B197" s="14" t="s">
        <v>917</v>
      </c>
      <c r="C197" s="14" t="s">
        <v>920</v>
      </c>
      <c r="D197" s="14" t="s">
        <v>390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5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5">
      <c r="A199" s="14" t="s">
        <v>376</v>
      </c>
      <c r="F199" s="91">
        <f>SUM(F183:F197)</f>
        <v>0</v>
      </c>
      <c r="G199" s="91">
        <f t="shared" ref="G199:AA199" si="107">SUM(G183:G197)</f>
        <v>0</v>
      </c>
      <c r="H199" s="91">
        <f t="shared" si="107"/>
        <v>0</v>
      </c>
      <c r="I199" s="91">
        <f t="shared" si="107"/>
        <v>0</v>
      </c>
      <c r="J199" s="91"/>
      <c r="K199" s="91">
        <f t="shared" si="107"/>
        <v>0</v>
      </c>
      <c r="L199" s="91"/>
      <c r="M199" s="91">
        <f t="shared" si="107"/>
        <v>0</v>
      </c>
      <c r="N199" s="91"/>
      <c r="O199" s="91">
        <f t="shared" si="107"/>
        <v>0</v>
      </c>
      <c r="P199" s="91">
        <f t="shared" si="107"/>
        <v>0</v>
      </c>
      <c r="Q199" s="91"/>
      <c r="R199" s="91">
        <f t="shared" si="107"/>
        <v>0</v>
      </c>
      <c r="S199" s="91">
        <f t="shared" si="107"/>
        <v>0</v>
      </c>
      <c r="T199" s="91"/>
      <c r="U199" s="91">
        <f t="shared" si="107"/>
        <v>0</v>
      </c>
      <c r="V199" s="91"/>
      <c r="W199" s="91">
        <f t="shared" si="107"/>
        <v>0</v>
      </c>
      <c r="X199" s="91"/>
      <c r="Y199" s="91">
        <f t="shared" si="107"/>
        <v>0</v>
      </c>
      <c r="Z199" s="91"/>
      <c r="AA199" s="91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5">
      <c r="B200" s="91"/>
      <c r="Q200" s="14"/>
      <c r="AC200" s="28"/>
    </row>
    <row r="201" spans="1:29" x14ac:dyDescent="0.25">
      <c r="A201" s="13" t="s">
        <v>97</v>
      </c>
      <c r="Q201" s="14"/>
      <c r="AC201" s="28"/>
    </row>
    <row r="202" spans="1:29" x14ac:dyDescent="0.25">
      <c r="A202" s="14">
        <v>580</v>
      </c>
      <c r="B202" s="14" t="s">
        <v>98</v>
      </c>
      <c r="C202" s="14" t="s">
        <v>99</v>
      </c>
      <c r="D202" s="14" t="s">
        <v>16</v>
      </c>
      <c r="F202" s="67">
        <v>780896.0199999999</v>
      </c>
      <c r="H202" s="50">
        <f t="shared" ref="H202:H213" si="108">IF(VLOOKUP($D202,$C$5:$AA$496,6,)=0,0,((VLOOKUP($D202,$C$5:$AA$496,6,)/VLOOKUP($D202,$C$5:$AA$496,4,))*$F202))</f>
        <v>0</v>
      </c>
      <c r="I202" s="50">
        <f t="shared" ref="I202:I213" si="109">IF(VLOOKUP($D202,$C$5:$AA$496,7,)=0,0,((VLOOKUP($D202,$C$5:$AA$496,7,)/VLOOKUP($D202,$C$5:$AA$496,4,))*$F202))</f>
        <v>0</v>
      </c>
      <c r="J202" s="50"/>
      <c r="K202" s="50">
        <f t="shared" ref="K202:K213" si="110">IF(VLOOKUP($D202,$C$5:$AA$496,9,)=0,0,((VLOOKUP($D202,$C$5:$AA$496,9,)/VLOOKUP($D202,$C$5:$AA$496,4,))*$F202))</f>
        <v>0</v>
      </c>
      <c r="L202" s="50"/>
      <c r="M202" s="50">
        <f t="shared" ref="M202:M213" si="111">IF(VLOOKUP($D202,$C$5:$AA$496,11,)=0,0,((VLOOKUP($D202,$C$5:$AA$496,11,)/VLOOKUP($D202,$C$5:$AA$496,4,))*$F202))</f>
        <v>102169.33883142717</v>
      </c>
      <c r="N202" s="50"/>
      <c r="O202" s="50">
        <f t="shared" ref="O202:O213" si="112">IF(VLOOKUP($D202,$C$5:$AA$496,13,)=0,0,((VLOOKUP($D202,$C$5:$AA$496,13,)/VLOOKUP($D202,$C$5:$AA$496,4,))*$F202))</f>
        <v>205687.86961502826</v>
      </c>
      <c r="P202" s="50">
        <f t="shared" ref="P202:P213" si="113">IF(VLOOKUP($D202,$C$5:$AA$496,14,)=0,0,((VLOOKUP($D202,$C$5:$AA$496,14,)/VLOOKUP($D202,$C$5:$AA$496,4,))*$F202))</f>
        <v>360762.89536449284</v>
      </c>
      <c r="Q202" s="50"/>
      <c r="R202" s="50">
        <f t="shared" ref="R202:R213" si="114">IF(VLOOKUP($D202,$C$5:$AA$496,16,)=0,0,((VLOOKUP($D202,$C$5:$AA$496,16,)/VLOOKUP($D202,$C$5:$AA$496,4,))*$F202))</f>
        <v>0</v>
      </c>
      <c r="S202" s="50">
        <f t="shared" ref="S202:S213" si="115">IF(VLOOKUP($D202,$C$5:$AA$496,17,)=0,0,((VLOOKUP($D202,$C$5:$AA$496,17,)/VLOOKUP($D202,$C$5:$AA$496,4,))*$F202))</f>
        <v>52956.481530958998</v>
      </c>
      <c r="T202" s="50"/>
      <c r="U202" s="50">
        <f t="shared" ref="U202:U213" si="116">IF(VLOOKUP($D202,$C$5:$AA$496,19,)=0,0,((VLOOKUP($D202,$C$5:$AA$496,19,)/VLOOKUP($D202,$C$5:$AA$496,4,))*$F202))</f>
        <v>39943.334467287023</v>
      </c>
      <c r="V202" s="50"/>
      <c r="W202" s="50">
        <f t="shared" ref="W202:W213" si="117">IF(VLOOKUP($D202,$C$5:$AA$496,21,)=0,0,((VLOOKUP($D202,$C$5:$AA$496,21,)/VLOOKUP($D202,$C$5:$AA$496,4,))*$F202))</f>
        <v>19376.100190805675</v>
      </c>
      <c r="X202" s="50"/>
      <c r="Y202" s="50">
        <f t="shared" ref="Y202:Y213" si="118">IF(VLOOKUP($D202,$C$5:$AA$496,23,)=0,0,((VLOOKUP($D202,$C$5:$AA$496,23,)/VLOOKUP($D202,$C$5:$AA$496,4,))*$F202))</f>
        <v>0</v>
      </c>
      <c r="Z202" s="50"/>
      <c r="AA202" s="50">
        <f t="shared" ref="AA202:AA213" si="119">IF(VLOOKUP($D202,$C$5:$AA$496,25,)=0,0,((VLOOKUP($D202,$C$5:$AA$496,25,)/VLOOKUP($D202,$C$5:$AA$496,4,))*$F202))</f>
        <v>0</v>
      </c>
      <c r="AB202" s="50">
        <f t="shared" ref="AB202:AB213" si="120">SUM(H202:AA202)</f>
        <v>780896.02</v>
      </c>
      <c r="AC202" s="28" t="str">
        <f t="shared" ref="AC202:AC213" si="121">IF(ABS(AB202-F202)&lt;1,"ok","err")</f>
        <v>ok</v>
      </c>
    </row>
    <row r="203" spans="1:29" x14ac:dyDescent="0.25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5">
      <c r="A204" s="14">
        <v>582</v>
      </c>
      <c r="B204" s="14" t="s">
        <v>371</v>
      </c>
      <c r="C204" s="14" t="s">
        <v>377</v>
      </c>
      <c r="D204" s="14" t="s">
        <v>23</v>
      </c>
      <c r="F204" s="50">
        <v>331830.48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331830.48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331830.48</v>
      </c>
      <c r="AC204" s="28" t="str">
        <f t="shared" si="121"/>
        <v>ok</v>
      </c>
    </row>
    <row r="205" spans="1:29" x14ac:dyDescent="0.25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916257.99000000011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150338.95804937804</v>
      </c>
      <c r="P205" s="50">
        <f t="shared" si="113"/>
        <v>765919.0319506221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916257.99000000011</v>
      </c>
      <c r="AC205" s="28" t="str">
        <f t="shared" si="121"/>
        <v>ok</v>
      </c>
    </row>
    <row r="206" spans="1:29" x14ac:dyDescent="0.25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291570.75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236431.12238953068</v>
      </c>
      <c r="P206" s="50">
        <f t="shared" si="113"/>
        <v>55139.627610469302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291570.75</v>
      </c>
      <c r="AC206" s="28" t="str">
        <f t="shared" si="121"/>
        <v>ok</v>
      </c>
    </row>
    <row r="207" spans="1:29" x14ac:dyDescent="0.25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5900.68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5900.68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5900.68</v>
      </c>
      <c r="AC207" s="28" t="str">
        <f t="shared" si="121"/>
        <v>ok</v>
      </c>
    </row>
    <row r="208" spans="1:29" x14ac:dyDescent="0.25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742819.39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742819.39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742819.39</v>
      </c>
      <c r="AC208" s="28" t="str">
        <f t="shared" si="121"/>
        <v>ok</v>
      </c>
    </row>
    <row r="209" spans="1:29" x14ac:dyDescent="0.25">
      <c r="A209" s="14">
        <v>586</v>
      </c>
      <c r="B209" s="14" t="s">
        <v>450</v>
      </c>
      <c r="C209" s="14" t="s">
        <v>451</v>
      </c>
      <c r="D209" s="14" t="s">
        <v>471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5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17458.569999999992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17458.569999999992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17458.569999999992</v>
      </c>
      <c r="AC210" s="28" t="str">
        <f t="shared" si="121"/>
        <v>ok</v>
      </c>
    </row>
    <row r="211" spans="1:29" x14ac:dyDescent="0.25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1040264.9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136104.13463567238</v>
      </c>
      <c r="N211" s="50"/>
      <c r="O211" s="50">
        <f t="shared" si="112"/>
        <v>274005.58542517666</v>
      </c>
      <c r="P211" s="50">
        <f t="shared" si="113"/>
        <v>480587.64247518464</v>
      </c>
      <c r="Q211" s="50"/>
      <c r="R211" s="50">
        <f t="shared" si="114"/>
        <v>0</v>
      </c>
      <c r="S211" s="50">
        <f t="shared" si="115"/>
        <v>70545.588085024327</v>
      </c>
      <c r="T211" s="50"/>
      <c r="U211" s="50">
        <f t="shared" si="116"/>
        <v>53210.219761753804</v>
      </c>
      <c r="V211" s="50"/>
      <c r="W211" s="50">
        <f t="shared" si="117"/>
        <v>25811.729617188277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1040264.9000000001</v>
      </c>
      <c r="AC211" s="28" t="str">
        <f t="shared" si="121"/>
        <v>ok</v>
      </c>
    </row>
    <row r="212" spans="1:29" x14ac:dyDescent="0.25">
      <c r="A212" s="14">
        <v>588</v>
      </c>
      <c r="B212" s="14" t="s">
        <v>709</v>
      </c>
      <c r="C212" s="14" t="s">
        <v>550</v>
      </c>
      <c r="D212" s="14" t="s">
        <v>551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5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5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5">
      <c r="A215" s="14" t="s">
        <v>116</v>
      </c>
      <c r="C215" s="14" t="s">
        <v>117</v>
      </c>
      <c r="F215" s="67">
        <f>SUM(F202:F214)</f>
        <v>4126998.7800000003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570103.95346709946</v>
      </c>
      <c r="N215" s="67"/>
      <c r="O215" s="67">
        <f t="shared" si="122"/>
        <v>866463.53547911358</v>
      </c>
      <c r="P215" s="67">
        <f t="shared" si="122"/>
        <v>1662409.1974007688</v>
      </c>
      <c r="Q215" s="67"/>
      <c r="R215" s="67">
        <f t="shared" si="122"/>
        <v>0</v>
      </c>
      <c r="S215" s="67">
        <f t="shared" si="122"/>
        <v>140960.63961598332</v>
      </c>
      <c r="T215" s="67"/>
      <c r="U215" s="67">
        <f t="shared" si="122"/>
        <v>835972.94422904088</v>
      </c>
      <c r="V215" s="67"/>
      <c r="W215" s="67">
        <f t="shared" si="122"/>
        <v>51088.509807993949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4126998.78</v>
      </c>
      <c r="AC215" s="28" t="str">
        <f>IF(ABS(AB215-F215)&lt;1,"ok","err")</f>
        <v>ok</v>
      </c>
    </row>
    <row r="216" spans="1:29" x14ac:dyDescent="0.25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5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5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5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5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0</v>
      </c>
      <c r="H220" s="50">
        <f t="shared" ref="H220:H227" si="123">IF(VLOOKUP($D220,$C$5:$AA$496,6,)=0,0,((VLOOKUP($D220,$C$5:$AA$496,6,)/VLOOKUP($D220,$C$5:$AA$496,4,))*$F220))</f>
        <v>0</v>
      </c>
      <c r="I220" s="50">
        <f t="shared" ref="I220:I227" si="124">IF(VLOOKUP($D220,$C$5:$AA$496,7,)=0,0,((VLOOKUP($D220,$C$5:$AA$496,7,)/VLOOKUP($D220,$C$5:$AA$496,4,))*$F220))</f>
        <v>0</v>
      </c>
      <c r="J220" s="50"/>
      <c r="K220" s="50">
        <f t="shared" ref="K220:K227" si="125">IF(VLOOKUP($D220,$C$5:$AA$496,9,)=0,0,((VLOOKUP($D220,$C$5:$AA$496,9,)/VLOOKUP($D220,$C$5:$AA$496,4,))*$F220))</f>
        <v>0</v>
      </c>
      <c r="L220" s="50"/>
      <c r="M220" s="50">
        <f t="shared" ref="M220:M227" si="126">IF(VLOOKUP($D220,$C$5:$AA$496,11,)=0,0,((VLOOKUP($D220,$C$5:$AA$496,11,)/VLOOKUP($D220,$C$5:$AA$496,4,))*$F220))</f>
        <v>0</v>
      </c>
      <c r="N220" s="50"/>
      <c r="O220" s="50">
        <f t="shared" ref="O220:O227" si="127">IF(VLOOKUP($D220,$C$5:$AA$496,13,)=0,0,((VLOOKUP($D220,$C$5:$AA$496,13,)/VLOOKUP($D220,$C$5:$AA$496,4,))*$F220))</f>
        <v>0</v>
      </c>
      <c r="P220" s="50">
        <f t="shared" ref="P220:P227" si="128">IF(VLOOKUP($D220,$C$5:$AA$496,14,)=0,0,((VLOOKUP($D220,$C$5:$AA$496,14,)/VLOOKUP($D220,$C$5:$AA$496,4,))*$F220))</f>
        <v>0</v>
      </c>
      <c r="Q220" s="50"/>
      <c r="R220" s="50">
        <f t="shared" ref="R220:R227" si="129">IF(VLOOKUP($D220,$C$5:$AA$496,16,)=0,0,((VLOOKUP($D220,$C$5:$AA$496,16,)/VLOOKUP($D220,$C$5:$AA$496,4,))*$F220))</f>
        <v>0</v>
      </c>
      <c r="S220" s="50">
        <f t="shared" ref="S220:S227" si="130">IF(VLOOKUP($D220,$C$5:$AA$496,17,)=0,0,((VLOOKUP($D220,$C$5:$AA$496,17,)/VLOOKUP($D220,$C$5:$AA$496,4,))*$F220))</f>
        <v>0</v>
      </c>
      <c r="T220" s="50"/>
      <c r="U220" s="50">
        <f t="shared" ref="U220:U227" si="131">IF(VLOOKUP($D220,$C$5:$AA$496,19,)=0,0,((VLOOKUP($D220,$C$5:$AA$496,19,)/VLOOKUP($D220,$C$5:$AA$496,4,))*$F220))</f>
        <v>0</v>
      </c>
      <c r="V220" s="50"/>
      <c r="W220" s="50">
        <f t="shared" ref="W220:W227" si="132">IF(VLOOKUP($D220,$C$5:$AA$496,21,)=0,0,((VLOOKUP($D220,$C$5:$AA$496,21,)/VLOOKUP($D220,$C$5:$AA$496,4,))*$F220))</f>
        <v>0</v>
      </c>
      <c r="X220" s="50"/>
      <c r="Y220" s="50">
        <f t="shared" ref="Y220:Y227" si="133">IF(VLOOKUP($D220,$C$5:$AA$496,23,)=0,0,((VLOOKUP($D220,$C$5:$AA$496,23,)/VLOOKUP($D220,$C$5:$AA$496,4,))*$F220))</f>
        <v>0</v>
      </c>
      <c r="Z220" s="50"/>
      <c r="AA220" s="50">
        <f t="shared" ref="AA220:AA227" si="134">IF(VLOOKUP($D220,$C$5:$AA$496,25,)=0,0,((VLOOKUP($D220,$C$5:$AA$496,25,)/VLOOKUP($D220,$C$5:$AA$496,4,))*$F220))</f>
        <v>0</v>
      </c>
      <c r="AB220" s="50">
        <f t="shared" ref="AB220:AB227" si="135">SUM(H220:AA220)</f>
        <v>0</v>
      </c>
      <c r="AC220" s="28" t="str">
        <f t="shared" ref="AC220:AC227" si="136">IF(ABS(AB220-F220)&lt;1,"ok","err")</f>
        <v>ok</v>
      </c>
    </row>
    <row r="221" spans="1:29" x14ac:dyDescent="0.25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98633.079999999987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98633.079999999987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98633.079999999987</v>
      </c>
      <c r="AC221" s="28" t="str">
        <f t="shared" si="136"/>
        <v>ok</v>
      </c>
    </row>
    <row r="222" spans="1:29" x14ac:dyDescent="0.25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6712196.4399999995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1101332.4085854294</v>
      </c>
      <c r="P222" s="50">
        <f t="shared" si="128"/>
        <v>5610864.0314145703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6712196.4399999995</v>
      </c>
      <c r="AC222" s="28" t="str">
        <f t="shared" si="136"/>
        <v>ok</v>
      </c>
    </row>
    <row r="223" spans="1:29" x14ac:dyDescent="0.25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146373.63999999996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118692.57802245628</v>
      </c>
      <c r="P223" s="50">
        <f t="shared" si="128"/>
        <v>27681.061977543672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146373.63999999996</v>
      </c>
      <c r="AC223" s="28" t="str">
        <f t="shared" si="136"/>
        <v>ok</v>
      </c>
    </row>
    <row r="224" spans="1:29" x14ac:dyDescent="0.25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1115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543.56838839577347</v>
      </c>
      <c r="P224" s="50">
        <f t="shared" si="128"/>
        <v>571.43161160422653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1115</v>
      </c>
      <c r="AC224" s="28" t="str">
        <f t="shared" si="136"/>
        <v>ok</v>
      </c>
    </row>
    <row r="225" spans="1:29" x14ac:dyDescent="0.25">
      <c r="A225" s="14">
        <v>596</v>
      </c>
      <c r="B225" s="14" t="s">
        <v>379</v>
      </c>
      <c r="C225" s="14" t="s">
        <v>380</v>
      </c>
      <c r="D225" s="14" t="s">
        <v>48</v>
      </c>
      <c r="F225" s="50">
        <v>6368.6699999999992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6368.6699999999992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6368.6699999999992</v>
      </c>
      <c r="AC225" s="28" t="str">
        <f t="shared" si="136"/>
        <v>ok</v>
      </c>
    </row>
    <row r="226" spans="1:29" x14ac:dyDescent="0.25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166885.53000000003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166885.53000000003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166885.53000000003</v>
      </c>
      <c r="AC226" s="28" t="str">
        <f t="shared" si="136"/>
        <v>ok</v>
      </c>
    </row>
    <row r="227" spans="1:29" x14ac:dyDescent="0.25">
      <c r="A227" s="14">
        <v>598</v>
      </c>
      <c r="B227" s="14" t="s">
        <v>383</v>
      </c>
      <c r="C227" s="14" t="s">
        <v>131</v>
      </c>
      <c r="D227" s="14" t="s">
        <v>16</v>
      </c>
      <c r="F227" s="50">
        <v>54677.100000000006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7153.7349572095754</v>
      </c>
      <c r="N227" s="50"/>
      <c r="O227" s="50">
        <f t="shared" si="127"/>
        <v>14401.938193676368</v>
      </c>
      <c r="P227" s="50">
        <f t="shared" si="128"/>
        <v>25260.045384959081</v>
      </c>
      <c r="Q227" s="50"/>
      <c r="R227" s="50">
        <f t="shared" si="129"/>
        <v>0</v>
      </c>
      <c r="S227" s="50">
        <f t="shared" si="130"/>
        <v>3707.9287922563608</v>
      </c>
      <c r="T227" s="50"/>
      <c r="U227" s="50">
        <f t="shared" si="131"/>
        <v>2796.7688873626216</v>
      </c>
      <c r="V227" s="50"/>
      <c r="W227" s="50">
        <f t="shared" si="132"/>
        <v>1356.6837845360017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54677.100000000006</v>
      </c>
      <c r="AC227" s="28" t="str">
        <f t="shared" si="136"/>
        <v>ok</v>
      </c>
    </row>
    <row r="228" spans="1:29" x14ac:dyDescent="0.25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5">
      <c r="A229" s="14" t="s">
        <v>132</v>
      </c>
      <c r="C229" s="14" t="s">
        <v>133</v>
      </c>
      <c r="F229" s="67">
        <f t="shared" ref="F229:M229" si="137">SUM(F220:F228)</f>
        <v>7186249.459999999</v>
      </c>
      <c r="G229" s="67">
        <f t="shared" si="137"/>
        <v>0</v>
      </c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105786.81495720956</v>
      </c>
      <c r="N229" s="67"/>
      <c r="O229" s="67">
        <f t="shared" ref="O229:AA229" si="138">SUM(O220:O228)</f>
        <v>1234970.4931899577</v>
      </c>
      <c r="P229" s="67">
        <f t="shared" si="138"/>
        <v>5664376.5703886775</v>
      </c>
      <c r="Q229" s="67"/>
      <c r="R229" s="67">
        <f t="shared" si="138"/>
        <v>0</v>
      </c>
      <c r="S229" s="67">
        <f t="shared" si="138"/>
        <v>3707.9287922563608</v>
      </c>
      <c r="T229" s="67"/>
      <c r="U229" s="67">
        <f t="shared" si="138"/>
        <v>169682.29888736265</v>
      </c>
      <c r="V229" s="67"/>
      <c r="W229" s="67">
        <f t="shared" si="138"/>
        <v>7725.3537845360006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7186249.459999999</v>
      </c>
      <c r="AC229" s="28" t="str">
        <f>IF(ABS(AB229-F229)&lt;1,"ok","err")</f>
        <v>ok</v>
      </c>
    </row>
    <row r="230" spans="1:29" x14ac:dyDescent="0.25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5">
      <c r="A231" s="14" t="s">
        <v>381</v>
      </c>
      <c r="F231" s="50">
        <f>F215+F229</f>
        <v>11313248.239999998</v>
      </c>
      <c r="G231" s="50">
        <f>G215+G229</f>
        <v>0</v>
      </c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675890.76842430898</v>
      </c>
      <c r="N231" s="50"/>
      <c r="O231" s="50">
        <f>O215+O229</f>
        <v>2101434.0286690714</v>
      </c>
      <c r="P231" s="50">
        <f>P215+P229</f>
        <v>7326785.7677894458</v>
      </c>
      <c r="Q231" s="50"/>
      <c r="R231" s="50">
        <f>R215+R229</f>
        <v>0</v>
      </c>
      <c r="S231" s="50">
        <f>S215+S229</f>
        <v>144668.56840823969</v>
      </c>
      <c r="T231" s="50"/>
      <c r="U231" s="50">
        <f>U215+U229</f>
        <v>1005655.2431164035</v>
      </c>
      <c r="V231" s="50"/>
      <c r="W231" s="50">
        <f>W215+W229</f>
        <v>58813.863592529946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11313248.239999998</v>
      </c>
      <c r="AC231" s="28" t="str">
        <f>IF(ABS(AB231-F231)&lt;1,"ok","err")</f>
        <v>ok</v>
      </c>
    </row>
    <row r="232" spans="1:29" x14ac:dyDescent="0.25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5">
      <c r="A233" s="14" t="s">
        <v>382</v>
      </c>
      <c r="F233" s="50">
        <f>F231+F199</f>
        <v>11313248.239999998</v>
      </c>
      <c r="G233" s="50">
        <f>G231+G199</f>
        <v>0</v>
      </c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675890.76842430898</v>
      </c>
      <c r="N233" s="50"/>
      <c r="O233" s="50">
        <f>O231+O199</f>
        <v>2101434.0286690714</v>
      </c>
      <c r="P233" s="50">
        <f>P231+P199</f>
        <v>7326785.7677894458</v>
      </c>
      <c r="Q233" s="50"/>
      <c r="R233" s="50">
        <f>R231+R199</f>
        <v>0</v>
      </c>
      <c r="S233" s="50">
        <f>S231+S199</f>
        <v>144668.56840823969</v>
      </c>
      <c r="T233" s="50"/>
      <c r="U233" s="50">
        <f>U231+U199</f>
        <v>1005655.2431164035</v>
      </c>
      <c r="V233" s="50"/>
      <c r="W233" s="50">
        <f>W231+W199</f>
        <v>58813.863592529946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11313248.239999998</v>
      </c>
      <c r="AC233" s="28" t="str">
        <f>IF(ABS(AB233-F233)&lt;1,"ok","err")</f>
        <v>ok</v>
      </c>
    </row>
    <row r="234" spans="1:29" x14ac:dyDescent="0.25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5">
      <c r="A235" s="14" t="s">
        <v>826</v>
      </c>
      <c r="F235" s="50">
        <f>F170+F199+F231</f>
        <v>11313248.239999998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675890.76842430898</v>
      </c>
      <c r="N235" s="50"/>
      <c r="O235" s="50">
        <f>O170+O199+O231</f>
        <v>2101434.0286690714</v>
      </c>
      <c r="P235" s="50">
        <f>P170+P199+P231</f>
        <v>7326785.7677894458</v>
      </c>
      <c r="Q235" s="50"/>
      <c r="R235" s="50">
        <f>R170+R199+R231</f>
        <v>0</v>
      </c>
      <c r="S235" s="50">
        <f>S170+S199+S231</f>
        <v>144668.56840823969</v>
      </c>
      <c r="T235" s="50"/>
      <c r="U235" s="50">
        <f>U170+U199+U231</f>
        <v>1005655.2431164035</v>
      </c>
      <c r="V235" s="50"/>
      <c r="W235" s="50">
        <f>W170+W199+W231</f>
        <v>58813.863592529946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11313248.239999998</v>
      </c>
      <c r="AC235" s="28" t="str">
        <f>IF(ABS(AB235-F235)&lt;1,"ok","err")</f>
        <v>ok</v>
      </c>
    </row>
    <row r="236" spans="1:29" x14ac:dyDescent="0.25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5">
      <c r="A237" s="14" t="s">
        <v>825</v>
      </c>
      <c r="C237" s="14" t="s">
        <v>134</v>
      </c>
      <c r="F237" s="67">
        <f>F231+F199+F180+F170</f>
        <v>82035533.890000001</v>
      </c>
      <c r="G237" s="67"/>
      <c r="H237" s="67">
        <f>H231+H199+H180+H170</f>
        <v>18054874.878003754</v>
      </c>
      <c r="I237" s="67">
        <f>I231+I199+I180+I170</f>
        <v>52667410.771996282</v>
      </c>
      <c r="J237" s="67"/>
      <c r="K237" s="67">
        <f>K231+K199+K180+K170</f>
        <v>0</v>
      </c>
      <c r="L237" s="67"/>
      <c r="M237" s="67">
        <f>M231+M199+M180+M170</f>
        <v>675890.76842430898</v>
      </c>
      <c r="N237" s="67"/>
      <c r="O237" s="67">
        <f>O231+O199+O180+O170</f>
        <v>2101434.0286690714</v>
      </c>
      <c r="P237" s="67">
        <f>P231+P199+P180+P170</f>
        <v>7326785.7677894458</v>
      </c>
      <c r="Q237" s="67"/>
      <c r="R237" s="67">
        <f>R231+R199+R180+R170</f>
        <v>0</v>
      </c>
      <c r="S237" s="67">
        <f>S231+S199+S180+S170</f>
        <v>144668.56840823969</v>
      </c>
      <c r="T237" s="67"/>
      <c r="U237" s="67">
        <f>U231+U199+U180+U170</f>
        <v>1005655.2431164035</v>
      </c>
      <c r="V237" s="67"/>
      <c r="W237" s="67">
        <f>W231+W199+W180+W170</f>
        <v>58813.863592529946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82035533.89000003</v>
      </c>
      <c r="AC237" s="28" t="str">
        <f>IF(ABS(AB237-F237)&lt;1,"ok","err")</f>
        <v>ok</v>
      </c>
    </row>
    <row r="238" spans="1:29" x14ac:dyDescent="0.25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5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5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127824.45000000001</v>
      </c>
      <c r="H240" s="50">
        <f>IF(VLOOKUP($D240,$C$5:$AA$496,6,)=0,0,((VLOOKUP($D240,$C$5:$AA$496,6,)/VLOOKUP($D240,$C$5:$AA$496,4,))*$F240))</f>
        <v>0</v>
      </c>
      <c r="I240" s="50">
        <f>IF(VLOOKUP($D240,$C$5:$AA$496,7,)=0,0,((VLOOKUP($D240,$C$5:$AA$496,7,)/VLOOKUP($D240,$C$5:$AA$496,4,))*$F240))</f>
        <v>0</v>
      </c>
      <c r="J240" s="50"/>
      <c r="K240" s="50">
        <f>IF(VLOOKUP($D240,$C$5:$AA$496,9,)=0,0,((VLOOKUP($D240,$C$5:$AA$496,9,)/VLOOKUP($D240,$C$5:$AA$496,4,))*$F240))</f>
        <v>0</v>
      </c>
      <c r="L240" s="50"/>
      <c r="M240" s="50">
        <f>IF(VLOOKUP($D240,$C$5:$AA$496,11,)=0,0,((VLOOKUP($D240,$C$5:$AA$496,11,)/VLOOKUP($D240,$C$5:$AA$496,4,))*$F240))</f>
        <v>0</v>
      </c>
      <c r="N240" s="50"/>
      <c r="O240" s="50">
        <f>IF(VLOOKUP($D240,$C$5:$AA$496,13,)=0,0,((VLOOKUP($D240,$C$5:$AA$496,13,)/VLOOKUP($D240,$C$5:$AA$496,4,))*$F240))</f>
        <v>0</v>
      </c>
      <c r="P240" s="50">
        <f>IF(VLOOKUP($D240,$C$5:$AA$496,14,)=0,0,((VLOOKUP($D240,$C$5:$AA$496,14,)/VLOOKUP($D240,$C$5:$AA$496,4,))*$F240))</f>
        <v>0</v>
      </c>
      <c r="Q240" s="50"/>
      <c r="R240" s="50">
        <f>IF(VLOOKUP($D240,$C$5:$AA$496,16,)=0,0,((VLOOKUP($D240,$C$5:$AA$496,16,)/VLOOKUP($D240,$C$5:$AA$496,4,))*$F240))</f>
        <v>0</v>
      </c>
      <c r="S240" s="50">
        <f>IF(VLOOKUP($D240,$C$5:$AA$496,17,)=0,0,((VLOOKUP($D240,$C$5:$AA$496,17,)/VLOOKUP($D240,$C$5:$AA$496,4,))*$F240))</f>
        <v>0</v>
      </c>
      <c r="T240" s="50"/>
      <c r="U240" s="50">
        <f>IF(VLOOKUP($D240,$C$5:$AA$496,19,)=0,0,((VLOOKUP($D240,$C$5:$AA$496,19,)/VLOOKUP($D240,$C$5:$AA$496,4,))*$F240))</f>
        <v>0</v>
      </c>
      <c r="V240" s="50"/>
      <c r="W240" s="50">
        <f>IF(VLOOKUP($D240,$C$5:$AA$496,21,)=0,0,((VLOOKUP($D240,$C$5:$AA$496,21,)/VLOOKUP($D240,$C$5:$AA$496,4,))*$F240))</f>
        <v>0</v>
      </c>
      <c r="X240" s="50"/>
      <c r="Y240" s="50">
        <f>IF(VLOOKUP($D240,$C$5:$AA$496,23,)=0,0,((VLOOKUP($D240,$C$5:$AA$496,23,)/VLOOKUP($D240,$C$5:$AA$496,4,))*$F240))</f>
        <v>127824.45000000001</v>
      </c>
      <c r="Z240" s="50"/>
      <c r="AA240" s="50">
        <f>IF(VLOOKUP($D240,$C$5:$AA$496,25,)=0,0,((VLOOKUP($D240,$C$5:$AA$496,25,)/VLOOKUP($D240,$C$5:$AA$496,4,))*$F240))</f>
        <v>0</v>
      </c>
      <c r="AB240" s="50">
        <f>SUM(H240:AA240)</f>
        <v>127824.45000000001</v>
      </c>
      <c r="AC240" s="28" t="str">
        <f>IF(ABS(AB240-F240)&lt;1,"ok","err")</f>
        <v>ok</v>
      </c>
    </row>
    <row r="241" spans="1:29" x14ac:dyDescent="0.25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33554.93</v>
      </c>
      <c r="H241" s="50">
        <f>IF(VLOOKUP($D241,$C$5:$AA$496,6,)=0,0,((VLOOKUP($D241,$C$5:$AA$496,6,)/VLOOKUP($D241,$C$5:$AA$496,4,))*$F241))</f>
        <v>0</v>
      </c>
      <c r="I241" s="50">
        <f>IF(VLOOKUP($D241,$C$5:$AA$496,7,)=0,0,((VLOOKUP($D241,$C$5:$AA$496,7,)/VLOOKUP($D241,$C$5:$AA$496,4,))*$F241))</f>
        <v>0</v>
      </c>
      <c r="J241" s="50"/>
      <c r="K241" s="50">
        <f>IF(VLOOKUP($D241,$C$5:$AA$496,9,)=0,0,((VLOOKUP($D241,$C$5:$AA$496,9,)/VLOOKUP($D241,$C$5:$AA$496,4,))*$F241))</f>
        <v>0</v>
      </c>
      <c r="L241" s="50"/>
      <c r="M241" s="50">
        <f>IF(VLOOKUP($D241,$C$5:$AA$496,11,)=0,0,((VLOOKUP($D241,$C$5:$AA$496,11,)/VLOOKUP($D241,$C$5:$AA$496,4,))*$F241))</f>
        <v>0</v>
      </c>
      <c r="N241" s="50"/>
      <c r="O241" s="50">
        <f>IF(VLOOKUP($D241,$C$5:$AA$496,13,)=0,0,((VLOOKUP($D241,$C$5:$AA$496,13,)/VLOOKUP($D241,$C$5:$AA$496,4,))*$F241))</f>
        <v>0</v>
      </c>
      <c r="P241" s="50">
        <f>IF(VLOOKUP($D241,$C$5:$AA$496,14,)=0,0,((VLOOKUP($D241,$C$5:$AA$496,14,)/VLOOKUP($D241,$C$5:$AA$496,4,))*$F241))</f>
        <v>0</v>
      </c>
      <c r="Q241" s="50"/>
      <c r="R241" s="50">
        <f>IF(VLOOKUP($D241,$C$5:$AA$496,16,)=0,0,((VLOOKUP($D241,$C$5:$AA$496,16,)/VLOOKUP($D241,$C$5:$AA$496,4,))*$F241))</f>
        <v>0</v>
      </c>
      <c r="S241" s="50">
        <f>IF(VLOOKUP($D241,$C$5:$AA$496,17,)=0,0,((VLOOKUP($D241,$C$5:$AA$496,17,)/VLOOKUP($D241,$C$5:$AA$496,4,))*$F241))</f>
        <v>0</v>
      </c>
      <c r="T241" s="50"/>
      <c r="U241" s="50">
        <f>IF(VLOOKUP($D241,$C$5:$AA$496,19,)=0,0,((VLOOKUP($D241,$C$5:$AA$496,19,)/VLOOKUP($D241,$C$5:$AA$496,4,))*$F241))</f>
        <v>0</v>
      </c>
      <c r="V241" s="50"/>
      <c r="W241" s="50">
        <f>IF(VLOOKUP($D241,$C$5:$AA$496,21,)=0,0,((VLOOKUP($D241,$C$5:$AA$496,21,)/VLOOKUP($D241,$C$5:$AA$496,4,))*$F241))</f>
        <v>0</v>
      </c>
      <c r="X241" s="50"/>
      <c r="Y241" s="50">
        <f>IF(VLOOKUP($D241,$C$5:$AA$496,23,)=0,0,((VLOOKUP($D241,$C$5:$AA$496,23,)/VLOOKUP($D241,$C$5:$AA$496,4,))*$F241))</f>
        <v>33554.93</v>
      </c>
      <c r="Z241" s="50"/>
      <c r="AA241" s="50">
        <f>IF(VLOOKUP($D241,$C$5:$AA$496,25,)=0,0,((VLOOKUP($D241,$C$5:$AA$496,25,)/VLOOKUP($D241,$C$5:$AA$496,4,))*$F241))</f>
        <v>0</v>
      </c>
      <c r="AB241" s="50">
        <f>SUM(H241:AA241)</f>
        <v>33554.93</v>
      </c>
      <c r="AC241" s="28" t="str">
        <f>IF(ABS(AB241-F241)&lt;1,"ok","err")</f>
        <v>ok</v>
      </c>
    </row>
    <row r="242" spans="1:29" x14ac:dyDescent="0.25">
      <c r="A242" s="14">
        <v>903</v>
      </c>
      <c r="B242" s="14" t="s">
        <v>452</v>
      </c>
      <c r="C242" s="14" t="s">
        <v>142</v>
      </c>
      <c r="D242" s="14" t="s">
        <v>139</v>
      </c>
      <c r="F242" s="67">
        <v>869127.93</v>
      </c>
      <c r="H242" s="50">
        <f>IF(VLOOKUP($D242,$C$5:$AA$496,6,)=0,0,((VLOOKUP($D242,$C$5:$AA$496,6,)/VLOOKUP($D242,$C$5:$AA$496,4,))*$F242))</f>
        <v>0</v>
      </c>
      <c r="I242" s="50">
        <f>IF(VLOOKUP($D242,$C$5:$AA$496,7,)=0,0,((VLOOKUP($D242,$C$5:$AA$496,7,)/VLOOKUP($D242,$C$5:$AA$496,4,))*$F242))</f>
        <v>0</v>
      </c>
      <c r="J242" s="50"/>
      <c r="K242" s="50">
        <f>IF(VLOOKUP($D242,$C$5:$AA$496,9,)=0,0,((VLOOKUP($D242,$C$5:$AA$496,9,)/VLOOKUP($D242,$C$5:$AA$496,4,))*$F242))</f>
        <v>0</v>
      </c>
      <c r="L242" s="50"/>
      <c r="M242" s="50">
        <f>IF(VLOOKUP($D242,$C$5:$AA$496,11,)=0,0,((VLOOKUP($D242,$C$5:$AA$496,11,)/VLOOKUP($D242,$C$5:$AA$496,4,))*$F242))</f>
        <v>0</v>
      </c>
      <c r="N242" s="50"/>
      <c r="O242" s="50">
        <f>IF(VLOOKUP($D242,$C$5:$AA$496,13,)=0,0,((VLOOKUP($D242,$C$5:$AA$496,13,)/VLOOKUP($D242,$C$5:$AA$496,4,))*$F242))</f>
        <v>0</v>
      </c>
      <c r="P242" s="50">
        <f>IF(VLOOKUP($D242,$C$5:$AA$496,14,)=0,0,((VLOOKUP($D242,$C$5:$AA$496,14,)/VLOOKUP($D242,$C$5:$AA$496,4,))*$F242))</f>
        <v>0</v>
      </c>
      <c r="Q242" s="50"/>
      <c r="R242" s="50">
        <f>IF(VLOOKUP($D242,$C$5:$AA$496,16,)=0,0,((VLOOKUP($D242,$C$5:$AA$496,16,)/VLOOKUP($D242,$C$5:$AA$496,4,))*$F242))</f>
        <v>0</v>
      </c>
      <c r="S242" s="50">
        <f>IF(VLOOKUP($D242,$C$5:$AA$496,17,)=0,0,((VLOOKUP($D242,$C$5:$AA$496,17,)/VLOOKUP($D242,$C$5:$AA$496,4,))*$F242))</f>
        <v>0</v>
      </c>
      <c r="T242" s="50"/>
      <c r="U242" s="50">
        <f>IF(VLOOKUP($D242,$C$5:$AA$496,19,)=0,0,((VLOOKUP($D242,$C$5:$AA$496,19,)/VLOOKUP($D242,$C$5:$AA$496,4,))*$F242))</f>
        <v>0</v>
      </c>
      <c r="V242" s="50"/>
      <c r="W242" s="50">
        <f>IF(VLOOKUP($D242,$C$5:$AA$496,21,)=0,0,((VLOOKUP($D242,$C$5:$AA$496,21,)/VLOOKUP($D242,$C$5:$AA$496,4,))*$F242))</f>
        <v>0</v>
      </c>
      <c r="X242" s="50"/>
      <c r="Y242" s="50">
        <f>IF(VLOOKUP($D242,$C$5:$AA$496,23,)=0,0,((VLOOKUP($D242,$C$5:$AA$496,23,)/VLOOKUP($D242,$C$5:$AA$496,4,))*$F242))</f>
        <v>869127.93</v>
      </c>
      <c r="Z242" s="50"/>
      <c r="AA242" s="50">
        <f>IF(VLOOKUP($D242,$C$5:$AA$496,25,)=0,0,((VLOOKUP($D242,$C$5:$AA$496,25,)/VLOOKUP($D242,$C$5:$AA$496,4,))*$F242))</f>
        <v>0</v>
      </c>
      <c r="AB242" s="50">
        <f>SUM(H242:AA242)</f>
        <v>869127.93</v>
      </c>
      <c r="AC242" s="28" t="str">
        <f>IF(ABS(AB242-F242)&lt;1,"ok","err")</f>
        <v>ok</v>
      </c>
    </row>
    <row r="243" spans="1:29" x14ac:dyDescent="0.25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104056.33</v>
      </c>
      <c r="H243" s="50">
        <f>IF(VLOOKUP($D243,$C$5:$AA$496,6,)=0,0,((VLOOKUP($D243,$C$5:$AA$496,6,)/VLOOKUP($D243,$C$5:$AA$496,4,))*$F243))</f>
        <v>0</v>
      </c>
      <c r="I243" s="50">
        <f>IF(VLOOKUP($D243,$C$5:$AA$496,7,)=0,0,((VLOOKUP($D243,$C$5:$AA$496,7,)/VLOOKUP($D243,$C$5:$AA$496,4,))*$F243))</f>
        <v>0</v>
      </c>
      <c r="J243" s="50"/>
      <c r="K243" s="50">
        <f>IF(VLOOKUP($D243,$C$5:$AA$496,9,)=0,0,((VLOOKUP($D243,$C$5:$AA$496,9,)/VLOOKUP($D243,$C$5:$AA$496,4,))*$F243))</f>
        <v>0</v>
      </c>
      <c r="L243" s="50"/>
      <c r="M243" s="50">
        <f>IF(VLOOKUP($D243,$C$5:$AA$496,11,)=0,0,((VLOOKUP($D243,$C$5:$AA$496,11,)/VLOOKUP($D243,$C$5:$AA$496,4,))*$F243))</f>
        <v>0</v>
      </c>
      <c r="N243" s="50"/>
      <c r="O243" s="50">
        <f>IF(VLOOKUP($D243,$C$5:$AA$496,13,)=0,0,((VLOOKUP($D243,$C$5:$AA$496,13,)/VLOOKUP($D243,$C$5:$AA$496,4,))*$F243))</f>
        <v>0</v>
      </c>
      <c r="P243" s="50">
        <f>IF(VLOOKUP($D243,$C$5:$AA$496,14,)=0,0,((VLOOKUP($D243,$C$5:$AA$496,14,)/VLOOKUP($D243,$C$5:$AA$496,4,))*$F243))</f>
        <v>0</v>
      </c>
      <c r="Q243" s="50"/>
      <c r="R243" s="50">
        <f>IF(VLOOKUP($D243,$C$5:$AA$496,16,)=0,0,((VLOOKUP($D243,$C$5:$AA$496,16,)/VLOOKUP($D243,$C$5:$AA$496,4,))*$F243))</f>
        <v>0</v>
      </c>
      <c r="S243" s="50">
        <f>IF(VLOOKUP($D243,$C$5:$AA$496,17,)=0,0,((VLOOKUP($D243,$C$5:$AA$496,17,)/VLOOKUP($D243,$C$5:$AA$496,4,))*$F243))</f>
        <v>0</v>
      </c>
      <c r="T243" s="50"/>
      <c r="U243" s="50">
        <f>IF(VLOOKUP($D243,$C$5:$AA$496,19,)=0,0,((VLOOKUP($D243,$C$5:$AA$496,19,)/VLOOKUP($D243,$C$5:$AA$496,4,))*$F243))</f>
        <v>0</v>
      </c>
      <c r="V243" s="50"/>
      <c r="W243" s="50">
        <f>IF(VLOOKUP($D243,$C$5:$AA$496,21,)=0,0,((VLOOKUP($D243,$C$5:$AA$496,21,)/VLOOKUP($D243,$C$5:$AA$496,4,))*$F243))</f>
        <v>0</v>
      </c>
      <c r="X243" s="50"/>
      <c r="Y243" s="50">
        <f>IF(VLOOKUP($D243,$C$5:$AA$496,23,)=0,0,((VLOOKUP($D243,$C$5:$AA$496,23,)/VLOOKUP($D243,$C$5:$AA$496,4,))*$F243))</f>
        <v>104056.33</v>
      </c>
      <c r="Z243" s="50"/>
      <c r="AA243" s="50">
        <f>IF(VLOOKUP($D243,$C$5:$AA$496,25,)=0,0,((VLOOKUP($D243,$C$5:$AA$496,25,)/VLOOKUP($D243,$C$5:$AA$496,4,))*$F243))</f>
        <v>0</v>
      </c>
      <c r="AB243" s="50">
        <f>SUM(H243:AA243)</f>
        <v>104056.33</v>
      </c>
      <c r="AC243" s="28" t="str">
        <f>IF(ABS(AB243-F243)&lt;1,"ok","err")</f>
        <v>ok</v>
      </c>
    </row>
    <row r="244" spans="1:29" x14ac:dyDescent="0.25">
      <c r="A244" s="14">
        <v>905</v>
      </c>
      <c r="B244" s="14" t="s">
        <v>453</v>
      </c>
      <c r="C244" s="14" t="s">
        <v>142</v>
      </c>
      <c r="D244" s="14" t="s">
        <v>139</v>
      </c>
      <c r="F244" s="50">
        <v>0</v>
      </c>
      <c r="H244" s="50">
        <f>IF(VLOOKUP($D244,$C$5:$AA$496,6,)=0,0,((VLOOKUP($D244,$C$5:$AA$496,6,)/VLOOKUP($D244,$C$5:$AA$496,4,))*$F244))</f>
        <v>0</v>
      </c>
      <c r="I244" s="50">
        <f>IF(VLOOKUP($D244,$C$5:$AA$496,7,)=0,0,((VLOOKUP($D244,$C$5:$AA$496,7,)/VLOOKUP($D244,$C$5:$AA$496,4,))*$F244))</f>
        <v>0</v>
      </c>
      <c r="J244" s="50"/>
      <c r="K244" s="50">
        <f>IF(VLOOKUP($D244,$C$5:$AA$496,9,)=0,0,((VLOOKUP($D244,$C$5:$AA$496,9,)/VLOOKUP($D244,$C$5:$AA$496,4,))*$F244))</f>
        <v>0</v>
      </c>
      <c r="L244" s="50"/>
      <c r="M244" s="50">
        <f>IF(VLOOKUP($D244,$C$5:$AA$496,11,)=0,0,((VLOOKUP($D244,$C$5:$AA$496,11,)/VLOOKUP($D244,$C$5:$AA$496,4,))*$F244))</f>
        <v>0</v>
      </c>
      <c r="N244" s="50"/>
      <c r="O244" s="50">
        <f>IF(VLOOKUP($D244,$C$5:$AA$496,13,)=0,0,((VLOOKUP($D244,$C$5:$AA$496,13,)/VLOOKUP($D244,$C$5:$AA$496,4,))*$F244))</f>
        <v>0</v>
      </c>
      <c r="P244" s="50">
        <f>IF(VLOOKUP($D244,$C$5:$AA$496,14,)=0,0,((VLOOKUP($D244,$C$5:$AA$496,14,)/VLOOKUP($D244,$C$5:$AA$496,4,))*$F244))</f>
        <v>0</v>
      </c>
      <c r="Q244" s="50"/>
      <c r="R244" s="50">
        <f>IF(VLOOKUP($D244,$C$5:$AA$496,16,)=0,0,((VLOOKUP($D244,$C$5:$AA$496,16,)/VLOOKUP($D244,$C$5:$AA$496,4,))*$F244))</f>
        <v>0</v>
      </c>
      <c r="S244" s="50">
        <f>IF(VLOOKUP($D244,$C$5:$AA$496,17,)=0,0,((VLOOKUP($D244,$C$5:$AA$496,17,)/VLOOKUP($D244,$C$5:$AA$496,4,))*$F244))</f>
        <v>0</v>
      </c>
      <c r="T244" s="50"/>
      <c r="U244" s="50">
        <f>IF(VLOOKUP($D244,$C$5:$AA$496,19,)=0,0,((VLOOKUP($D244,$C$5:$AA$496,19,)/VLOOKUP($D244,$C$5:$AA$496,4,))*$F244))</f>
        <v>0</v>
      </c>
      <c r="V244" s="50"/>
      <c r="W244" s="50">
        <f>IF(VLOOKUP($D244,$C$5:$AA$496,21,)=0,0,((VLOOKUP($D244,$C$5:$AA$496,21,)/VLOOKUP($D244,$C$5:$AA$496,4,))*$F244))</f>
        <v>0</v>
      </c>
      <c r="X244" s="50"/>
      <c r="Y244" s="50">
        <f>IF(VLOOKUP($D244,$C$5:$AA$496,23,)=0,0,((VLOOKUP($D244,$C$5:$AA$496,23,)/VLOOKUP($D244,$C$5:$AA$496,4,))*$F244))</f>
        <v>0</v>
      </c>
      <c r="Z244" s="50"/>
      <c r="AA244" s="50">
        <f>IF(VLOOKUP($D244,$C$5:$AA$496,25,)=0,0,((VLOOKUP($D244,$C$5:$AA$496,25,)/VLOOKUP($D244,$C$5:$AA$496,4,))*$F244))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5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5">
      <c r="A246" s="14" t="s">
        <v>145</v>
      </c>
      <c r="C246" s="14" t="s">
        <v>146</v>
      </c>
      <c r="F246" s="67">
        <f>SUM(F240:F245)</f>
        <v>1134563.6400000001</v>
      </c>
      <c r="G246" s="67">
        <f t="shared" ref="G246:W246" si="139">SUM(G240:G245)</f>
        <v>0</v>
      </c>
      <c r="H246" s="67">
        <f t="shared" si="139"/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1134563.6400000001</v>
      </c>
      <c r="Z246" s="67"/>
      <c r="AA246" s="67">
        <f>SUM(AA240:AA245)</f>
        <v>0</v>
      </c>
      <c r="AB246" s="50">
        <f>SUM(H246:AA246)</f>
        <v>1134563.6400000001</v>
      </c>
      <c r="AC246" s="28" t="str">
        <f>IF(ABS(AB246-F246)&lt;1,"ok","err")</f>
        <v>ok</v>
      </c>
    </row>
    <row r="247" spans="1:29" x14ac:dyDescent="0.25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5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5">
      <c r="A249" s="14">
        <v>907</v>
      </c>
      <c r="B249" s="14" t="s">
        <v>384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IF(VLOOKUP($D249,$C$5:$AA$496,6,)=0,0,((VLOOKUP($D249,$C$5:$AA$496,6,)/VLOOKUP($D249,$C$5:$AA$496,4,))*$F249))</f>
        <v>0</v>
      </c>
      <c r="I249" s="50">
        <f t="shared" ref="I249:I260" si="141">IF(VLOOKUP($D249,$C$5:$AA$496,7,)=0,0,((VLOOKUP($D249,$C$5:$AA$496,7,)/VLOOKUP($D249,$C$5:$AA$496,4,))*$F249))</f>
        <v>0</v>
      </c>
      <c r="J249" s="50"/>
      <c r="K249" s="50">
        <f t="shared" ref="K249:K260" si="142">IF(VLOOKUP($D249,$C$5:$AA$496,9,)=0,0,((VLOOKUP($D249,$C$5:$AA$496,9,)/VLOOKUP($D249,$C$5:$AA$496,4,))*$F249))</f>
        <v>0</v>
      </c>
      <c r="L249" s="50"/>
      <c r="M249" s="50">
        <f t="shared" ref="M249:M260" si="143">IF(VLOOKUP($D249,$C$5:$AA$496,11,)=0,0,((VLOOKUP($D249,$C$5:$AA$496,11,)/VLOOKUP($D249,$C$5:$AA$496,4,))*$F249))</f>
        <v>0</v>
      </c>
      <c r="N249" s="50"/>
      <c r="O249" s="50">
        <f t="shared" ref="O249:O260" si="144">IF(VLOOKUP($D249,$C$5:$AA$496,13,)=0,0,((VLOOKUP($D249,$C$5:$AA$496,13,)/VLOOKUP($D249,$C$5:$AA$496,4,))*$F249))</f>
        <v>0</v>
      </c>
      <c r="P249" s="50">
        <f t="shared" ref="P249:P260" si="145">IF(VLOOKUP($D249,$C$5:$AA$496,14,)=0,0,((VLOOKUP($D249,$C$5:$AA$496,14,)/VLOOKUP($D249,$C$5:$AA$496,4,))*$F249))</f>
        <v>0</v>
      </c>
      <c r="Q249" s="50"/>
      <c r="R249" s="50">
        <f t="shared" ref="R249:R260" si="146">IF(VLOOKUP($D249,$C$5:$AA$496,16,)=0,0,((VLOOKUP($D249,$C$5:$AA$496,16,)/VLOOKUP($D249,$C$5:$AA$496,4,))*$F249))</f>
        <v>0</v>
      </c>
      <c r="S249" s="50">
        <f t="shared" ref="S249:S260" si="147">IF(VLOOKUP($D249,$C$5:$AA$496,17,)=0,0,((VLOOKUP($D249,$C$5:$AA$496,17,)/VLOOKUP($D249,$C$5:$AA$496,4,))*$F249))</f>
        <v>0</v>
      </c>
      <c r="T249" s="50"/>
      <c r="U249" s="50">
        <f t="shared" ref="U249:U260" si="148">IF(VLOOKUP($D249,$C$5:$AA$496,19,)=0,0,((VLOOKUP($D249,$C$5:$AA$496,19,)/VLOOKUP($D249,$C$5:$AA$496,4,))*$F249))</f>
        <v>0</v>
      </c>
      <c r="V249" s="50"/>
      <c r="W249" s="50">
        <f t="shared" ref="W249:W260" si="149">IF(VLOOKUP($D249,$C$5:$AA$496,21,)=0,0,((VLOOKUP($D249,$C$5:$AA$496,21,)/VLOOKUP($D249,$C$5:$AA$496,4,))*$F249))</f>
        <v>0</v>
      </c>
      <c r="X249" s="50"/>
      <c r="Y249" s="50">
        <f t="shared" ref="Y249:Y260" si="150">IF(VLOOKUP($D249,$C$5:$AA$496,23,)=0,0,((VLOOKUP($D249,$C$5:$AA$496,23,)/VLOOKUP($D249,$C$5:$AA$496,4,))*$F249))</f>
        <v>0</v>
      </c>
      <c r="Z249" s="50"/>
      <c r="AA249" s="50">
        <f t="shared" ref="AA249:AA260" si="151">IF(VLOOKUP($D249,$C$5:$AA$496,25,)=0,0,((VLOOKUP($D249,$C$5:$AA$496,25,)/VLOOKUP($D249,$C$5:$AA$496,4,))*$F249))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5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608.0200000000001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608.0200000000001</v>
      </c>
      <c r="Z250" s="50"/>
      <c r="AA250" s="50">
        <f t="shared" si="151"/>
        <v>0</v>
      </c>
      <c r="AB250" s="50">
        <f t="shared" si="152"/>
        <v>608.0200000000001</v>
      </c>
      <c r="AC250" s="28" t="str">
        <f t="shared" si="153"/>
        <v>ok</v>
      </c>
    </row>
    <row r="251" spans="1:29" x14ac:dyDescent="0.25">
      <c r="A251" s="14">
        <v>908</v>
      </c>
      <c r="B251" s="14" t="s">
        <v>454</v>
      </c>
      <c r="C251" s="14" t="s">
        <v>455</v>
      </c>
      <c r="D251" s="14" t="s">
        <v>471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5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0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0</v>
      </c>
      <c r="Z252" s="50"/>
      <c r="AA252" s="50">
        <f t="shared" si="151"/>
        <v>0</v>
      </c>
      <c r="AB252" s="50">
        <f t="shared" si="152"/>
        <v>0</v>
      </c>
      <c r="AC252" s="28" t="str">
        <f t="shared" si="153"/>
        <v>ok</v>
      </c>
    </row>
    <row r="253" spans="1:29" x14ac:dyDescent="0.25">
      <c r="A253" s="14">
        <v>909</v>
      </c>
      <c r="B253" s="14" t="s">
        <v>456</v>
      </c>
      <c r="C253" s="14" t="s">
        <v>457</v>
      </c>
      <c r="D253" s="14" t="s">
        <v>471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5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0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0</v>
      </c>
      <c r="Z254" s="50"/>
      <c r="AA254" s="50">
        <f t="shared" si="151"/>
        <v>0</v>
      </c>
      <c r="AB254" s="50">
        <f t="shared" si="152"/>
        <v>0</v>
      </c>
      <c r="AC254" s="28" t="str">
        <f t="shared" si="153"/>
        <v>ok</v>
      </c>
    </row>
    <row r="255" spans="1:29" x14ac:dyDescent="0.25">
      <c r="A255" s="14">
        <v>911</v>
      </c>
      <c r="B255" s="14" t="s">
        <v>384</v>
      </c>
      <c r="C255" s="14" t="s">
        <v>710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5">
      <c r="A256" s="14">
        <v>912</v>
      </c>
      <c r="B256" s="14" t="s">
        <v>588</v>
      </c>
      <c r="C256" s="14" t="s">
        <v>589</v>
      </c>
      <c r="D256" s="14" t="s">
        <v>471</v>
      </c>
      <c r="F256" s="50">
        <v>4365.63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4365.63</v>
      </c>
      <c r="AB256" s="50">
        <f t="shared" si="152"/>
        <v>4365.63</v>
      </c>
      <c r="AC256" s="28" t="str">
        <f t="shared" si="153"/>
        <v>ok</v>
      </c>
    </row>
    <row r="257" spans="1:29" x14ac:dyDescent="0.25">
      <c r="A257" s="14">
        <v>913</v>
      </c>
      <c r="B257" s="14" t="s">
        <v>638</v>
      </c>
      <c r="C257" s="14" t="s">
        <v>577</v>
      </c>
      <c r="D257" s="14" t="s">
        <v>471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5">
      <c r="A258" s="14">
        <v>914</v>
      </c>
      <c r="B258" s="14" t="s">
        <v>933</v>
      </c>
      <c r="C258" s="14" t="s">
        <v>934</v>
      </c>
      <c r="D258" s="14" t="s">
        <v>471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5">
      <c r="A259" s="14">
        <v>916</v>
      </c>
      <c r="B259" s="14" t="s">
        <v>640</v>
      </c>
      <c r="C259" s="14" t="s">
        <v>641</v>
      </c>
      <c r="D259" s="14" t="s">
        <v>471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5">
      <c r="A260" s="14">
        <v>917</v>
      </c>
      <c r="B260" s="14" t="s">
        <v>640</v>
      </c>
      <c r="C260" s="14" t="s">
        <v>922</v>
      </c>
      <c r="D260" s="14" t="s">
        <v>471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5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5">
      <c r="A262" s="14" t="s">
        <v>156</v>
      </c>
      <c r="C262" s="14" t="s">
        <v>157</v>
      </c>
      <c r="F262" s="67">
        <f>SUM(F249:F260)</f>
        <v>4973.6500000000005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608.0200000000001</v>
      </c>
      <c r="Z262" s="67"/>
      <c r="AA262" s="67">
        <f>SUM(AA249:AA261)</f>
        <v>4365.63</v>
      </c>
      <c r="AB262" s="50">
        <f>SUM(H262:AA262)</f>
        <v>4973.6500000000005</v>
      </c>
      <c r="AC262" s="28" t="str">
        <f>IF(ABS(AB262-F262)&lt;1,"ok","err")</f>
        <v>ok</v>
      </c>
    </row>
    <row r="263" spans="1:29" x14ac:dyDescent="0.25">
      <c r="D263" s="91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5">
      <c r="A264" s="14" t="s">
        <v>410</v>
      </c>
      <c r="C264" s="14" t="s">
        <v>411</v>
      </c>
      <c r="F264" s="50">
        <f t="shared" ref="F264:M264" si="155">F233+F246+F262</f>
        <v>12452785.529999999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675890.76842430898</v>
      </c>
      <c r="N264" s="50"/>
      <c r="O264" s="50">
        <f t="shared" ref="O264:AA264" si="156">O233+O246+O262</f>
        <v>2101434.0286690714</v>
      </c>
      <c r="P264" s="50">
        <f t="shared" si="156"/>
        <v>7326785.7677894458</v>
      </c>
      <c r="Q264" s="50"/>
      <c r="R264" s="50">
        <f t="shared" si="156"/>
        <v>0</v>
      </c>
      <c r="S264" s="50">
        <f t="shared" si="156"/>
        <v>144668.56840823969</v>
      </c>
      <c r="T264" s="50"/>
      <c r="U264" s="50">
        <f t="shared" si="156"/>
        <v>1005655.2431164035</v>
      </c>
      <c r="V264" s="50"/>
      <c r="W264" s="50">
        <f t="shared" si="156"/>
        <v>58813.863592529946</v>
      </c>
      <c r="X264" s="50"/>
      <c r="Y264" s="50">
        <f t="shared" si="156"/>
        <v>1135171.6600000001</v>
      </c>
      <c r="Z264" s="50"/>
      <c r="AA264" s="50">
        <f t="shared" si="156"/>
        <v>4365.63</v>
      </c>
      <c r="AB264" s="50">
        <f>SUM(H264:AA264)</f>
        <v>12452785.529999999</v>
      </c>
      <c r="AC264" s="28" t="str">
        <f>IF(ABS(AB264-F264)&lt;1,"ok","err")</f>
        <v>ok</v>
      </c>
    </row>
    <row r="265" spans="1:29" x14ac:dyDescent="0.25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5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5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5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5">
      <c r="A269" s="14">
        <v>920</v>
      </c>
      <c r="B269" s="14" t="s">
        <v>159</v>
      </c>
      <c r="C269" s="14" t="s">
        <v>160</v>
      </c>
      <c r="D269" s="14" t="s">
        <v>411</v>
      </c>
      <c r="F269" s="67">
        <v>1814671.8699999999</v>
      </c>
      <c r="H269" s="50">
        <f>IF((VLOOKUP($D269,$C$5:$AA$496,6,)=0),0,((VLOOKUP($D269,$C$5:$AA$496,6,)/VLOOKUP($D269,$C$5:$AA$496,4,))*$F269))</f>
        <v>0</v>
      </c>
      <c r="I269" s="50">
        <f>(VLOOKUP($D269,$C$5:$AA$496,7,)/VLOOKUP($D269,$C$5:$AA$496,4,))*$F269</f>
        <v>0</v>
      </c>
      <c r="J269" s="50"/>
      <c r="K269" s="50">
        <f>(VLOOKUP($D269,$C$5:$AA$496,9,)/VLOOKUP($D269,$C$5:$AA$496,4,))*$F269</f>
        <v>0</v>
      </c>
      <c r="L269" s="50"/>
      <c r="M269" s="50">
        <f>(VLOOKUP($D269,$C$5:$AA$496,11,)/VLOOKUP($D269,$C$5:$AA$496,4,))*$F269</f>
        <v>98493.623109260894</v>
      </c>
      <c r="N269" s="50"/>
      <c r="O269" s="50">
        <f>(VLOOKUP($D269,$C$5:$AA$496,13,)/VLOOKUP($D269,$C$5:$AA$496,4,))*$F269</f>
        <v>306229.73545152968</v>
      </c>
      <c r="P269" s="50">
        <f>(VLOOKUP($D269,$C$5:$AA$496,14,)/VLOOKUP($D269,$C$5:$AA$496,4,))*$F269</f>
        <v>1067689.7950497232</v>
      </c>
      <c r="Q269" s="50"/>
      <c r="R269" s="50">
        <f>(VLOOKUP($D269,$C$5:$AA$496,16,)/VLOOKUP($D269,$C$5:$AA$496,4,))*$F269</f>
        <v>0</v>
      </c>
      <c r="S269" s="50">
        <f>(VLOOKUP($D269,$C$5:$AA$496,17,)/VLOOKUP($D269,$C$5:$AA$496,4,))*$F269</f>
        <v>21081.707456629043</v>
      </c>
      <c r="T269" s="50"/>
      <c r="U269" s="50">
        <f>(VLOOKUP($D269,$C$5:$AA$496,19,)/VLOOKUP($D269,$C$5:$AA$496,4,))*$F269</f>
        <v>146548.27839160163</v>
      </c>
      <c r="V269" s="50"/>
      <c r="W269" s="50">
        <f>(VLOOKUP($D269,$C$5:$AA$496,21,)/VLOOKUP($D269,$C$5:$AA$496,4,))*$F269</f>
        <v>8570.6016192331572</v>
      </c>
      <c r="X269" s="50"/>
      <c r="Y269" s="50">
        <f>(VLOOKUP($D269,$C$5:$AA$496,23,)/VLOOKUP($D269,$C$5:$AA$496,4,))*$F269</f>
        <v>165421.95110166684</v>
      </c>
      <c r="Z269" s="50"/>
      <c r="AA269" s="50">
        <f>(VLOOKUP($D269,$C$5:$AA$496,25,)/VLOOKUP($D269,$C$5:$AA$496,4,))*$F269</f>
        <v>636.1778203553547</v>
      </c>
      <c r="AB269" s="50">
        <f t="shared" ref="AB269:AB281" si="157">SUM(H269:AA269)</f>
        <v>1814671.8699999996</v>
      </c>
      <c r="AC269" s="28" t="str">
        <f t="shared" ref="AC269:AC281" si="158">IF(ABS(AB269-F269)&lt;1,"ok","err")</f>
        <v>ok</v>
      </c>
    </row>
    <row r="270" spans="1:29" x14ac:dyDescent="0.25">
      <c r="A270" s="14">
        <v>921</v>
      </c>
      <c r="B270" s="14" t="s">
        <v>161</v>
      </c>
      <c r="C270" s="14" t="s">
        <v>162</v>
      </c>
      <c r="D270" s="14" t="s">
        <v>516</v>
      </c>
      <c r="F270" s="50">
        <v>403941.76</v>
      </c>
      <c r="H270" s="50">
        <f>IF(VLOOKUP($D270,$C$5:$AA$496,6,)=0,0,((VLOOKUP($D270,$C$5:$AA$496,6,)/VLOOKUP($D270,$C$5:$AA$496,4,))*$F270))</f>
        <v>0</v>
      </c>
      <c r="I270" s="50">
        <f>IF(VLOOKUP($D270,$C$5:$AA$496,7,)=0,0,((VLOOKUP($D270,$C$5:$AA$496,7,)/VLOOKUP($D270,$C$5:$AA$496,4,))*$F270))</f>
        <v>0</v>
      </c>
      <c r="J270" s="50"/>
      <c r="K270" s="50">
        <f>IF(VLOOKUP($D270,$C$5:$AA$496,9,)=0,0,((VLOOKUP($D270,$C$5:$AA$496,9,)/VLOOKUP($D270,$C$5:$AA$496,4,))*$F270))</f>
        <v>0</v>
      </c>
      <c r="L270" s="50"/>
      <c r="M270" s="50">
        <f>IF(VLOOKUP($D270,$C$5:$AA$496,11,)=0,0,((VLOOKUP($D270,$C$5:$AA$496,11,)/VLOOKUP($D270,$C$5:$AA$496,4,))*$F270))</f>
        <v>26779.930353974076</v>
      </c>
      <c r="N270" s="50"/>
      <c r="O270" s="50">
        <f>IF(VLOOKUP($D270,$C$5:$AA$496,13,)=0,0,((VLOOKUP($D270,$C$5:$AA$496,13,)/VLOOKUP($D270,$C$5:$AA$496,4,))*$F270))</f>
        <v>68984.644663284533</v>
      </c>
      <c r="P270" s="50">
        <f>IF(VLOOKUP($D270,$C$5:$AA$496,14,)=0,0,((VLOOKUP($D270,$C$5:$AA$496,14,)/VLOOKUP($D270,$C$5:$AA$496,4,))*$F270))</f>
        <v>174587.40294492643</v>
      </c>
      <c r="Q270" s="50"/>
      <c r="R270" s="50">
        <f>IF(VLOOKUP($D270,$C$5:$AA$496,16,)=0,0,((VLOOKUP($D270,$C$5:$AA$496,16,)/VLOOKUP($D270,$C$5:$AA$496,4,))*$F270))</f>
        <v>0</v>
      </c>
      <c r="S270" s="50">
        <f>IF(VLOOKUP($D270,$C$5:$AA$496,17,)=0,0,((VLOOKUP($D270,$C$5:$AA$496,17,)/VLOOKUP($D270,$C$5:$AA$496,4,))*$F270))</f>
        <v>9420.429008441879</v>
      </c>
      <c r="T270" s="50"/>
      <c r="U270" s="50">
        <f>IF(VLOOKUP($D270,$C$5:$AA$496,19,)=0,0,((VLOOKUP($D270,$C$5:$AA$496,19,)/VLOOKUP($D270,$C$5:$AA$496,4,))*$F270))</f>
        <v>46648.343915812773</v>
      </c>
      <c r="V270" s="50"/>
      <c r="W270" s="50">
        <f>IF(VLOOKUP($D270,$C$5:$AA$496,21,)=0,0,((VLOOKUP($D270,$C$5:$AA$496,21,)/VLOOKUP($D270,$C$5:$AA$496,4,))*$F270))</f>
        <v>3818.8784530845032</v>
      </c>
      <c r="X270" s="50"/>
      <c r="Y270" s="50">
        <f>IF(VLOOKUP($D270,$C$5:$AA$496,23,)=0,0,((VLOOKUP($D270,$C$5:$AA$496,23,)/VLOOKUP($D270,$C$5:$AA$496,4,))*$F270))</f>
        <v>73702.130660475872</v>
      </c>
      <c r="Z270" s="50"/>
      <c r="AA270" s="50">
        <f>IF(VLOOKUP($D270,$C$5:$AA$496,25,)=0,0,((VLOOKUP($D270,$C$5:$AA$496,25,)/VLOOKUP($D270,$C$5:$AA$496,4,))*$F270))</f>
        <v>0</v>
      </c>
      <c r="AB270" s="50">
        <f>SUM(H270:AA270)</f>
        <v>403941.76000000007</v>
      </c>
      <c r="AC270" s="28" t="str">
        <f>IF(ABS(AB270-F270)&lt;1,"ok","err")</f>
        <v>ok</v>
      </c>
    </row>
    <row r="271" spans="1:29" x14ac:dyDescent="0.25">
      <c r="A271" s="14">
        <v>923</v>
      </c>
      <c r="B271" s="14" t="s">
        <v>163</v>
      </c>
      <c r="C271" s="14" t="s">
        <v>164</v>
      </c>
      <c r="D271" s="14" t="s">
        <v>411</v>
      </c>
      <c r="F271" s="50">
        <v>274379.65000000002</v>
      </c>
      <c r="H271" s="50">
        <f t="shared" ref="H271:H281" si="159">IF((VLOOKUP($D271,$C$5:$AA$496,6,)=0),0,((VLOOKUP($D271,$C$5:$AA$496,6,)/VLOOKUP($D271,$C$5:$AA$496,4,))*$F271))</f>
        <v>0</v>
      </c>
      <c r="I271" s="50">
        <f t="shared" ref="I271:I281" si="160">(VLOOKUP($D271,$C$5:$AA$496,7,)/VLOOKUP($D271,$C$5:$AA$496,4,))*$F271</f>
        <v>0</v>
      </c>
      <c r="J271" s="50"/>
      <c r="K271" s="50">
        <f t="shared" ref="K271:K281" si="161">(VLOOKUP($D271,$C$5:$AA$496,9,)/VLOOKUP($D271,$C$5:$AA$496,4,))*$F271</f>
        <v>0</v>
      </c>
      <c r="L271" s="50"/>
      <c r="M271" s="50">
        <f t="shared" ref="M271:M281" si="162">(VLOOKUP($D271,$C$5:$AA$496,11,)/VLOOKUP($D271,$C$5:$AA$496,4,))*$F271</f>
        <v>14892.304378945886</v>
      </c>
      <c r="N271" s="50"/>
      <c r="O271" s="50">
        <f t="shared" ref="O271:O281" si="163">(VLOOKUP($D271,$C$5:$AA$496,13,)/VLOOKUP($D271,$C$5:$AA$496,4,))*$F271</f>
        <v>46302.149177406558</v>
      </c>
      <c r="P271" s="50">
        <f t="shared" ref="P271:P281" si="164">(VLOOKUP($D271,$C$5:$AA$496,14,)/VLOOKUP($D271,$C$5:$AA$496,4,))*$F271</f>
        <v>161435.44026739933</v>
      </c>
      <c r="Q271" s="50"/>
      <c r="R271" s="50">
        <f t="shared" ref="R271:R281" si="165">(VLOOKUP($D271,$C$5:$AA$496,16,)/VLOOKUP($D271,$C$5:$AA$496,4,))*$F271</f>
        <v>0</v>
      </c>
      <c r="S271" s="50">
        <f t="shared" ref="S271:S281" si="166">(VLOOKUP($D271,$C$5:$AA$496,17,)/VLOOKUP($D271,$C$5:$AA$496,4,))*$F271</f>
        <v>3187.5688431497356</v>
      </c>
      <c r="T271" s="50"/>
      <c r="U271" s="50">
        <f t="shared" ref="U271:U281" si="167">(VLOOKUP($D271,$C$5:$AA$496,19,)/VLOOKUP($D271,$C$5:$AA$496,4,))*$F271</f>
        <v>22158.201710147314</v>
      </c>
      <c r="V271" s="50"/>
      <c r="W271" s="50">
        <f t="shared" ref="W271:W281" si="168">(VLOOKUP($D271,$C$5:$AA$496,21,)/VLOOKUP($D271,$C$5:$AA$496,4,))*$F271</f>
        <v>1295.8809311209675</v>
      </c>
      <c r="X271" s="50"/>
      <c r="Y271" s="50">
        <f t="shared" ref="Y271:Y281" si="169">(VLOOKUP($D271,$C$5:$AA$496,23,)/VLOOKUP($D271,$C$5:$AA$496,4,))*$F271</f>
        <v>25011.914162527064</v>
      </c>
      <c r="Z271" s="50"/>
      <c r="AA271" s="50">
        <f t="shared" ref="AA271:AA281" si="170">(VLOOKUP($D271,$C$5:$AA$496,25,)/VLOOKUP($D271,$C$5:$AA$496,4,))*$F271</f>
        <v>96.190529303165491</v>
      </c>
      <c r="AB271" s="50">
        <f t="shared" si="157"/>
        <v>274379.65000000002</v>
      </c>
      <c r="AC271" s="28" t="str">
        <f t="shared" si="158"/>
        <v>ok</v>
      </c>
    </row>
    <row r="272" spans="1:29" x14ac:dyDescent="0.25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38681.500000000007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6180.1517265345556</v>
      </c>
      <c r="N272" s="50"/>
      <c r="O272" s="50">
        <f t="shared" si="163"/>
        <v>9853.8940941432375</v>
      </c>
      <c r="P272" s="50">
        <f t="shared" si="164"/>
        <v>16476.180604869645</v>
      </c>
      <c r="Q272" s="50"/>
      <c r="R272" s="50">
        <f t="shared" si="165"/>
        <v>0</v>
      </c>
      <c r="S272" s="50">
        <f t="shared" si="166"/>
        <v>2791.981788220105</v>
      </c>
      <c r="T272" s="50"/>
      <c r="U272" s="50">
        <f t="shared" si="167"/>
        <v>2703.4265821505005</v>
      </c>
      <c r="V272" s="50"/>
      <c r="W272" s="50">
        <f t="shared" si="168"/>
        <v>675.86520408197225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38681.500000000015</v>
      </c>
      <c r="AC272" s="28" t="str">
        <f t="shared" si="158"/>
        <v>ok</v>
      </c>
    </row>
    <row r="273" spans="1:29" x14ac:dyDescent="0.25">
      <c r="A273" s="14">
        <v>925</v>
      </c>
      <c r="B273" s="14" t="s">
        <v>167</v>
      </c>
      <c r="C273" s="14" t="s">
        <v>168</v>
      </c>
      <c r="D273" s="14" t="s">
        <v>516</v>
      </c>
      <c r="F273" s="50">
        <v>187683.00999999998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12442.72921033027</v>
      </c>
      <c r="N273" s="50"/>
      <c r="O273" s="50">
        <f t="shared" si="163"/>
        <v>32052.258608235195</v>
      </c>
      <c r="P273" s="50">
        <f t="shared" si="164"/>
        <v>81118.350558225662</v>
      </c>
      <c r="Q273" s="50"/>
      <c r="R273" s="50">
        <f t="shared" si="165"/>
        <v>0</v>
      </c>
      <c r="S273" s="50">
        <f t="shared" si="166"/>
        <v>4377.0034368214046</v>
      </c>
      <c r="T273" s="50"/>
      <c r="U273" s="50">
        <f t="shared" si="167"/>
        <v>21674.168072236273</v>
      </c>
      <c r="V273" s="50"/>
      <c r="W273" s="50">
        <f t="shared" si="168"/>
        <v>1774.3612418261564</v>
      </c>
      <c r="X273" s="50"/>
      <c r="Y273" s="50">
        <f t="shared" si="169"/>
        <v>34244.138872325057</v>
      </c>
      <c r="Z273" s="50"/>
      <c r="AA273" s="50">
        <f t="shared" si="170"/>
        <v>0</v>
      </c>
      <c r="AB273" s="50">
        <f t="shared" si="157"/>
        <v>187683.01</v>
      </c>
      <c r="AC273" s="28" t="str">
        <f t="shared" si="158"/>
        <v>ok</v>
      </c>
    </row>
    <row r="274" spans="1:29" x14ac:dyDescent="0.25">
      <c r="A274" s="14">
        <v>926</v>
      </c>
      <c r="B274" s="14" t="s">
        <v>169</v>
      </c>
      <c r="C274" s="14" t="s">
        <v>170</v>
      </c>
      <c r="D274" s="14" t="s">
        <v>516</v>
      </c>
      <c r="F274" s="50">
        <v>79393.989999999991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5263.544731607135</v>
      </c>
      <c r="N274" s="50"/>
      <c r="O274" s="50">
        <f t="shared" si="163"/>
        <v>13558.801616724066</v>
      </c>
      <c r="P274" s="50">
        <f t="shared" si="164"/>
        <v>34314.824304215188</v>
      </c>
      <c r="Q274" s="50"/>
      <c r="R274" s="50">
        <f t="shared" si="165"/>
        <v>0</v>
      </c>
      <c r="S274" s="50">
        <f t="shared" si="166"/>
        <v>1851.567529170404</v>
      </c>
      <c r="T274" s="50"/>
      <c r="U274" s="50">
        <f t="shared" si="167"/>
        <v>9168.643891556545</v>
      </c>
      <c r="V274" s="50"/>
      <c r="W274" s="50">
        <f t="shared" si="168"/>
        <v>750.59334720779168</v>
      </c>
      <c r="X274" s="50"/>
      <c r="Y274" s="50">
        <f t="shared" si="169"/>
        <v>14486.014579518875</v>
      </c>
      <c r="Z274" s="50"/>
      <c r="AA274" s="50">
        <f t="shared" si="170"/>
        <v>0</v>
      </c>
      <c r="AB274" s="50">
        <f t="shared" si="157"/>
        <v>79393.990000000005</v>
      </c>
      <c r="AC274" s="28" t="str">
        <f t="shared" si="158"/>
        <v>ok</v>
      </c>
    </row>
    <row r="275" spans="1:29" x14ac:dyDescent="0.25">
      <c r="A275" s="14">
        <v>928</v>
      </c>
      <c r="B275" s="14" t="s">
        <v>578</v>
      </c>
      <c r="C275" s="14" t="s">
        <v>172</v>
      </c>
      <c r="D275" s="14" t="s">
        <v>411</v>
      </c>
      <c r="F275" s="50">
        <v>90982.76999999999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4938.2055268298</v>
      </c>
      <c r="N275" s="50"/>
      <c r="O275" s="50">
        <f t="shared" si="163"/>
        <v>15353.535836617873</v>
      </c>
      <c r="P275" s="50">
        <f t="shared" si="164"/>
        <v>53531.09653612259</v>
      </c>
      <c r="Q275" s="50"/>
      <c r="R275" s="50">
        <f t="shared" si="165"/>
        <v>0</v>
      </c>
      <c r="S275" s="50">
        <f t="shared" si="166"/>
        <v>1056.9801474542971</v>
      </c>
      <c r="T275" s="50"/>
      <c r="U275" s="50">
        <f t="shared" si="167"/>
        <v>7347.5367790867122</v>
      </c>
      <c r="V275" s="50"/>
      <c r="W275" s="50">
        <f t="shared" si="168"/>
        <v>429.70692871561289</v>
      </c>
      <c r="X275" s="50"/>
      <c r="Y275" s="50">
        <f t="shared" si="169"/>
        <v>8293.8119992096417</v>
      </c>
      <c r="Z275" s="50"/>
      <c r="AA275" s="50">
        <f t="shared" si="170"/>
        <v>31.896245963460355</v>
      </c>
      <c r="AB275" s="50">
        <f t="shared" si="157"/>
        <v>90982.77</v>
      </c>
      <c r="AC275" s="28" t="str">
        <f t="shared" si="158"/>
        <v>ok</v>
      </c>
    </row>
    <row r="276" spans="1:29" x14ac:dyDescent="0.25">
      <c r="A276" s="14">
        <v>929</v>
      </c>
      <c r="B276" s="14" t="s">
        <v>935</v>
      </c>
      <c r="C276" s="14" t="s">
        <v>386</v>
      </c>
      <c r="D276" s="14" t="s">
        <v>411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5">
      <c r="A277" s="14">
        <v>930</v>
      </c>
      <c r="B277" s="14" t="s">
        <v>173</v>
      </c>
      <c r="C277" s="14" t="s">
        <v>174</v>
      </c>
      <c r="D277" s="14" t="s">
        <v>411</v>
      </c>
      <c r="F277" s="50">
        <v>691859.68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37551.563835292087</v>
      </c>
      <c r="N277" s="50"/>
      <c r="O277" s="50">
        <f t="shared" si="163"/>
        <v>116752.79166364111</v>
      </c>
      <c r="P277" s="50">
        <f t="shared" si="164"/>
        <v>407066.16559960629</v>
      </c>
      <c r="Q277" s="50"/>
      <c r="R277" s="50">
        <f t="shared" si="165"/>
        <v>0</v>
      </c>
      <c r="S277" s="50">
        <f t="shared" si="166"/>
        <v>8037.5871891357338</v>
      </c>
      <c r="T277" s="50"/>
      <c r="U277" s="50">
        <f t="shared" si="167"/>
        <v>55872.825643439566</v>
      </c>
      <c r="V277" s="50"/>
      <c r="W277" s="50">
        <f t="shared" si="168"/>
        <v>3267.61757412933</v>
      </c>
      <c r="X277" s="50"/>
      <c r="Y277" s="50">
        <f t="shared" si="169"/>
        <v>63068.580081188389</v>
      </c>
      <c r="Z277" s="50"/>
      <c r="AA277" s="50">
        <f t="shared" si="170"/>
        <v>242.54841356754665</v>
      </c>
      <c r="AB277" s="50">
        <f t="shared" si="157"/>
        <v>691859.68</v>
      </c>
      <c r="AC277" s="28" t="str">
        <f t="shared" si="158"/>
        <v>ok</v>
      </c>
    </row>
    <row r="278" spans="1:29" x14ac:dyDescent="0.25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5">
      <c r="A279" s="14">
        <v>932</v>
      </c>
      <c r="B279" s="14" t="s">
        <v>177</v>
      </c>
      <c r="C279" s="14" t="s">
        <v>925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5">
      <c r="A280" s="14">
        <v>933</v>
      </c>
      <c r="B280" s="14" t="s">
        <v>923</v>
      </c>
      <c r="C280" s="14" t="s">
        <v>924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5">
      <c r="A281" s="14">
        <v>935</v>
      </c>
      <c r="B281" s="14" t="s">
        <v>926</v>
      </c>
      <c r="C281" s="14" t="s">
        <v>711</v>
      </c>
      <c r="D281" s="14" t="s">
        <v>84</v>
      </c>
      <c r="F281" s="50">
        <v>376259.94000000006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60115.133017509361</v>
      </c>
      <c r="N281" s="50"/>
      <c r="O281" s="50">
        <f t="shared" si="163"/>
        <v>95850.098900732613</v>
      </c>
      <c r="P281" s="50">
        <f t="shared" si="164"/>
        <v>160265.9339947369</v>
      </c>
      <c r="Q281" s="50"/>
      <c r="R281" s="50">
        <f t="shared" si="165"/>
        <v>0</v>
      </c>
      <c r="S281" s="50">
        <f t="shared" si="166"/>
        <v>27157.966989821733</v>
      </c>
      <c r="T281" s="50"/>
      <c r="U281" s="50">
        <f t="shared" si="167"/>
        <v>26296.579077707749</v>
      </c>
      <c r="V281" s="50"/>
      <c r="W281" s="50">
        <f t="shared" si="168"/>
        <v>6574.228019491763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376259.94000000018</v>
      </c>
      <c r="AC281" s="28" t="str">
        <f t="shared" si="158"/>
        <v>ok</v>
      </c>
    </row>
    <row r="282" spans="1:29" x14ac:dyDescent="0.25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5">
      <c r="A283" s="14" t="s">
        <v>178</v>
      </c>
      <c r="C283" s="14" t="s">
        <v>179</v>
      </c>
      <c r="F283" s="67">
        <f>SUM(F269:F282)</f>
        <v>3957854.1699999995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266657.18589028408</v>
      </c>
      <c r="N283" s="67"/>
      <c r="O283" s="67">
        <f>SUM(O269:O282)</f>
        <v>704937.91001231479</v>
      </c>
      <c r="P283" s="67">
        <f>SUM(P269:P282)</f>
        <v>2156485.1898598252</v>
      </c>
      <c r="Q283" s="67"/>
      <c r="R283" s="67">
        <f>SUM(R269:R282)</f>
        <v>0</v>
      </c>
      <c r="S283" s="67">
        <f>SUM(S269:S282)</f>
        <v>78962.792388844333</v>
      </c>
      <c r="T283" s="67"/>
      <c r="U283" s="67">
        <f>SUM(U269:U282)</f>
        <v>338418.00406373909</v>
      </c>
      <c r="V283" s="67"/>
      <c r="W283" s="67">
        <f>SUM(W269:W282)</f>
        <v>27157.733318891253</v>
      </c>
      <c r="X283" s="67"/>
      <c r="Y283" s="67">
        <f>SUM(Y269:Y282)</f>
        <v>384228.54145691177</v>
      </c>
      <c r="Z283" s="67"/>
      <c r="AA283" s="67">
        <f>SUM(AA269:AA282)</f>
        <v>1006.8130091895272</v>
      </c>
      <c r="AB283" s="50">
        <f>SUM(H283:AA283)</f>
        <v>3957854.17</v>
      </c>
      <c r="AC283" s="28" t="str">
        <f>IF(ABS(AB283-F283)&lt;1,"ok","err")</f>
        <v>ok</v>
      </c>
    </row>
    <row r="284" spans="1:29" x14ac:dyDescent="0.25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5">
      <c r="A285" s="14" t="s">
        <v>180</v>
      </c>
      <c r="C285" s="14" t="s">
        <v>181</v>
      </c>
      <c r="F285" s="67">
        <f>F237+F246+F262+F283</f>
        <v>87132925.350000009</v>
      </c>
      <c r="G285" s="67"/>
      <c r="H285" s="67">
        <f>H237+H246+H262+H283</f>
        <v>18054874.878003754</v>
      </c>
      <c r="I285" s="67">
        <f>I237+I246+I262+I283</f>
        <v>52667410.771996282</v>
      </c>
      <c r="J285" s="67"/>
      <c r="K285" s="67">
        <f>K237+K246+K262+K283</f>
        <v>0</v>
      </c>
      <c r="L285" s="67"/>
      <c r="M285" s="67">
        <f>M237+M246+M262+M283</f>
        <v>942547.95431459299</v>
      </c>
      <c r="N285" s="67"/>
      <c r="O285" s="67">
        <f>O237+O246+O262+O283</f>
        <v>2806371.9386813864</v>
      </c>
      <c r="P285" s="67">
        <f>P237+P246+P262+P283</f>
        <v>9483270.9576492719</v>
      </c>
      <c r="Q285" s="67"/>
      <c r="R285" s="67">
        <f>R237+R246+R262+R283</f>
        <v>0</v>
      </c>
      <c r="S285" s="67">
        <f>S237+S246+S262+S283</f>
        <v>223631.36079708402</v>
      </c>
      <c r="T285" s="67"/>
      <c r="U285" s="67">
        <f>U237+U246+U262+U283</f>
        <v>1344073.2471801424</v>
      </c>
      <c r="V285" s="67"/>
      <c r="W285" s="67">
        <f>W237+W246+W262+W283</f>
        <v>85971.596911421191</v>
      </c>
      <c r="X285" s="67"/>
      <c r="Y285" s="67">
        <f>Y237+Y246+Y262+Y283</f>
        <v>1519400.2014569119</v>
      </c>
      <c r="Z285" s="67"/>
      <c r="AA285" s="67">
        <f>AA237+AA246+AA262+AA283</f>
        <v>5372.4430091895274</v>
      </c>
      <c r="AB285" s="50">
        <f>SUM(H285:AA285)</f>
        <v>87132925.350000039</v>
      </c>
      <c r="AC285" s="28" t="str">
        <f>IF(ABS(AB285-F285)&lt;1,"ok","err")</f>
        <v>ok</v>
      </c>
    </row>
    <row r="286" spans="1:29" x14ac:dyDescent="0.25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5">
      <c r="A287" s="14" t="s">
        <v>412</v>
      </c>
      <c r="C287" s="14" t="s">
        <v>88</v>
      </c>
      <c r="F287" s="91">
        <f>F285-F180</f>
        <v>16410639.700000003</v>
      </c>
      <c r="G287" s="91"/>
      <c r="H287" s="91">
        <f>H285-H180</f>
        <v>0</v>
      </c>
      <c r="I287" s="91">
        <f>I285-I180</f>
        <v>0</v>
      </c>
      <c r="J287" s="91"/>
      <c r="K287" s="91">
        <f>K285-K180</f>
        <v>0</v>
      </c>
      <c r="L287" s="91"/>
      <c r="M287" s="91">
        <f>M285-M180</f>
        <v>942547.95431459299</v>
      </c>
      <c r="N287" s="91"/>
      <c r="O287" s="91">
        <f>O285-O180</f>
        <v>2806371.9386813864</v>
      </c>
      <c r="P287" s="91">
        <f>P285-P180</f>
        <v>9483270.9576492719</v>
      </c>
      <c r="Q287" s="91">
        <f>Q285-Q180</f>
        <v>0</v>
      </c>
      <c r="R287" s="91">
        <f>R285-R180</f>
        <v>0</v>
      </c>
      <c r="S287" s="91">
        <f>S285-S180</f>
        <v>223631.36079708402</v>
      </c>
      <c r="T287" s="91"/>
      <c r="U287" s="91">
        <f>U285-U180</f>
        <v>1344073.2471801424</v>
      </c>
      <c r="V287" s="91"/>
      <c r="W287" s="91">
        <f>W285-W180</f>
        <v>85971.596911421191</v>
      </c>
      <c r="X287" s="91"/>
      <c r="Y287" s="91">
        <f>Y285-Y180</f>
        <v>1519400.2014569119</v>
      </c>
      <c r="Z287" s="91"/>
      <c r="AA287" s="91">
        <f>AA285-AA180</f>
        <v>5372.4430091895274</v>
      </c>
      <c r="AB287" s="50">
        <f>SUM(H287:AA287)</f>
        <v>16410639.700000001</v>
      </c>
      <c r="AC287" s="28" t="str">
        <f>IF(ABS(AB287-F287)&lt;1,"ok","err")</f>
        <v>ok</v>
      </c>
    </row>
    <row r="288" spans="1:29" x14ac:dyDescent="0.25">
      <c r="Q288" s="14"/>
      <c r="AC288" s="28"/>
    </row>
    <row r="289" spans="1:29" x14ac:dyDescent="0.25">
      <c r="AC289" s="28"/>
    </row>
    <row r="290" spans="1:29" x14ac:dyDescent="0.25">
      <c r="A290" s="26" t="s">
        <v>183</v>
      </c>
      <c r="AC290" s="28"/>
    </row>
    <row r="291" spans="1:29" x14ac:dyDescent="0.25">
      <c r="AC291" s="28"/>
    </row>
    <row r="292" spans="1:29" x14ac:dyDescent="0.25">
      <c r="A292" s="13" t="s">
        <v>184</v>
      </c>
      <c r="AC292" s="28"/>
    </row>
    <row r="293" spans="1:29" x14ac:dyDescent="0.25">
      <c r="A293" s="14" t="s">
        <v>766</v>
      </c>
      <c r="C293" s="14" t="s">
        <v>827</v>
      </c>
      <c r="D293" s="14" t="s">
        <v>782</v>
      </c>
      <c r="F293" s="50">
        <v>0</v>
      </c>
      <c r="H293" s="50">
        <f t="shared" ref="H293:H310" si="171">IF((VLOOKUP($D293,$C$5:$AA$496,6,)=0),0,((VLOOKUP($D293,$C$5:$AA$496,6,)/VLOOKUP($D293,$C$5:$AA$496,4,))*$F293))</f>
        <v>0</v>
      </c>
      <c r="I293" s="50">
        <f t="shared" ref="I293:I310" si="172">IF((VLOOKUP($D293,$C$5:$AA$496,7,)=0),0,((VLOOKUP($D293,$C$5:$AA$496,7,)/VLOOKUP($D293,$C$5:$AA$496,4,))*$F293))</f>
        <v>0</v>
      </c>
      <c r="J293" s="50"/>
      <c r="K293" s="50">
        <f t="shared" ref="K293:K310" si="173">IF((VLOOKUP($D293,$C$5:$AA$496,9,)=0),0,((VLOOKUP($D293,$C$5:$AA$496,9,)/VLOOKUP($D293,$C$5:$AA$496,4,))*$F293))</f>
        <v>0</v>
      </c>
      <c r="L293" s="50"/>
      <c r="M293" s="50">
        <f t="shared" ref="M293:M310" si="174">IF((VLOOKUP($D293,$C$5:$AA$496,11,)=0),0,((VLOOKUP($D293,$C$5:$AA$496,11,)/VLOOKUP($D293,$C$5:$AA$496,4,))*$F293))</f>
        <v>0</v>
      </c>
      <c r="N293" s="50"/>
      <c r="O293" s="50">
        <f t="shared" ref="O293:O310" si="175">IF((VLOOKUP($D293,$C$5:$AA$496,13,)=0),0,((VLOOKUP($D293,$C$5:$AA$496,13,)/VLOOKUP($D293,$C$5:$AA$496,4,))*$F293))</f>
        <v>0</v>
      </c>
      <c r="P293" s="50">
        <f t="shared" ref="P293:P310" si="176">IF((VLOOKUP($D293,$C$5:$AA$496,14,)=0),0,((VLOOKUP($D293,$C$5:$AA$496,14,)/VLOOKUP($D293,$C$5:$AA$496,4,))*$F293))</f>
        <v>0</v>
      </c>
      <c r="Q293" s="50"/>
      <c r="R293" s="50">
        <f t="shared" ref="R293:R310" si="177">IF((VLOOKUP($D293,$C$5:$AA$496,16,)=0),0,((VLOOKUP($D293,$C$5:$AA$496,16,)/VLOOKUP($D293,$C$5:$AA$496,4,))*$F293))</f>
        <v>0</v>
      </c>
      <c r="S293" s="50">
        <f t="shared" ref="S293:S310" si="178">IF((VLOOKUP($D293,$C$5:$AA$496,17,)=0),0,((VLOOKUP($D293,$C$5:$AA$496,17,)/VLOOKUP($D293,$C$5:$AA$496,4,))*$F293))</f>
        <v>0</v>
      </c>
      <c r="T293" s="50"/>
      <c r="U293" s="50">
        <f t="shared" ref="U293:U310" si="179">IF((VLOOKUP($D293,$C$5:$AA$496,19,)=0),0,((VLOOKUP($D293,$C$5:$AA$496,19,)/VLOOKUP($D293,$C$5:$AA$496,4,))*$F293))</f>
        <v>0</v>
      </c>
      <c r="V293" s="50"/>
      <c r="W293" s="50">
        <f t="shared" ref="W293:W310" si="180">IF((VLOOKUP($D293,$C$5:$AA$496,21,)=0),0,((VLOOKUP($D293,$C$5:$AA$496,21,)/VLOOKUP($D293,$C$5:$AA$496,4,))*$F293))</f>
        <v>0</v>
      </c>
      <c r="X293" s="50"/>
      <c r="Y293" s="50">
        <f t="shared" ref="Y293:Y310" si="181">IF((VLOOKUP($D293,$C$5:$AA$496,23,)=0),0,((VLOOKUP($D293,$C$5:$AA$496,23,)/VLOOKUP($D293,$C$5:$AA$496,4,))*$F293))</f>
        <v>0</v>
      </c>
      <c r="Z293" s="50"/>
      <c r="AA293" s="50">
        <f t="shared" ref="AA293:AA310" si="182">IF((VLOOKUP($D293,$C$5:$AA$496,25,)=0),0,((VLOOKUP($D293,$C$5:$AA$496,25,)/VLOOKUP($D293,$C$5:$AA$496,4,))*$F293))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5">
      <c r="A294" s="14" t="s">
        <v>367</v>
      </c>
      <c r="C294" s="14" t="s">
        <v>414</v>
      </c>
      <c r="D294" s="14" t="s">
        <v>390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5">
      <c r="A295" s="14" t="s">
        <v>426</v>
      </c>
      <c r="C295" s="14" t="s">
        <v>458</v>
      </c>
      <c r="D295" s="14" t="s">
        <v>424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5">
      <c r="A296" s="14" t="s">
        <v>427</v>
      </c>
      <c r="C296" s="14" t="s">
        <v>459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5">
      <c r="A297" s="14" t="s">
        <v>428</v>
      </c>
      <c r="C297" s="14" t="s">
        <v>460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5">
      <c r="A298" s="14" t="s">
        <v>429</v>
      </c>
      <c r="C298" s="14" t="s">
        <v>461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5">
      <c r="A299" s="14" t="s">
        <v>447</v>
      </c>
      <c r="C299" s="14" t="s">
        <v>462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5">
      <c r="A300" s="14" t="s">
        <v>430</v>
      </c>
      <c r="C300" s="14" t="s">
        <v>463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5">
      <c r="A301" s="14" t="s">
        <v>431</v>
      </c>
      <c r="C301" s="14" t="s">
        <v>464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5">
      <c r="A302" s="14" t="s">
        <v>432</v>
      </c>
      <c r="C302" s="14" t="s">
        <v>465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5">
      <c r="A303" s="14" t="s">
        <v>433</v>
      </c>
      <c r="C303" s="14" t="s">
        <v>466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5">
      <c r="A304" s="14" t="s">
        <v>434</v>
      </c>
      <c r="C304" s="14" t="s">
        <v>467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5">
      <c r="A305" s="14" t="s">
        <v>435</v>
      </c>
      <c r="C305" s="14" t="s">
        <v>468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5">
      <c r="A306" s="14" t="s">
        <v>580</v>
      </c>
      <c r="C306" s="14" t="s">
        <v>469</v>
      </c>
      <c r="D306" s="14" t="s">
        <v>16</v>
      </c>
      <c r="F306" s="50">
        <v>6598130.71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863273.25904931</v>
      </c>
      <c r="N306" s="50"/>
      <c r="O306" s="50">
        <f t="shared" si="175"/>
        <v>1737946.4287465494</v>
      </c>
      <c r="P306" s="50">
        <f t="shared" si="176"/>
        <v>3048242.8876164295</v>
      </c>
      <c r="Q306" s="50"/>
      <c r="R306" s="50">
        <f t="shared" si="177"/>
        <v>0</v>
      </c>
      <c r="S306" s="50">
        <f t="shared" si="178"/>
        <v>447452.38563639804</v>
      </c>
      <c r="T306" s="50"/>
      <c r="U306" s="50">
        <f t="shared" si="179"/>
        <v>337498.63625685789</v>
      </c>
      <c r="V306" s="50"/>
      <c r="W306" s="50">
        <f t="shared" si="180"/>
        <v>163717.11269445554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6598130.709999999</v>
      </c>
      <c r="AC306" s="28" t="str">
        <f t="shared" si="184"/>
        <v>ok</v>
      </c>
    </row>
    <row r="307" spans="1:29" x14ac:dyDescent="0.25">
      <c r="A307" s="14" t="s">
        <v>81</v>
      </c>
      <c r="C307" s="14" t="s">
        <v>415</v>
      </c>
      <c r="D307" s="14" t="s">
        <v>70</v>
      </c>
      <c r="F307" s="50">
        <v>728269.2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95283.85437960409</v>
      </c>
      <c r="N307" s="50"/>
      <c r="O307" s="50">
        <f t="shared" si="175"/>
        <v>191825.97480038504</v>
      </c>
      <c r="P307" s="50">
        <f t="shared" si="176"/>
        <v>336450.05028554623</v>
      </c>
      <c r="Q307" s="50"/>
      <c r="R307" s="50">
        <f t="shared" si="177"/>
        <v>0</v>
      </c>
      <c r="S307" s="50">
        <f t="shared" si="178"/>
        <v>49387.592523990941</v>
      </c>
      <c r="T307" s="50"/>
      <c r="U307" s="50">
        <f t="shared" si="179"/>
        <v>37251.438722691331</v>
      </c>
      <c r="V307" s="50"/>
      <c r="W307" s="50">
        <f t="shared" si="180"/>
        <v>18070.289287782383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728269.2</v>
      </c>
      <c r="AC307" s="28" t="str">
        <f>IF(ABS(AB307-F307)&lt;1,"ok","err")</f>
        <v>ok</v>
      </c>
    </row>
    <row r="308" spans="1:29" x14ac:dyDescent="0.25">
      <c r="A308" s="14" t="s">
        <v>765</v>
      </c>
      <c r="C308" s="14" t="s">
        <v>415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5">
      <c r="A309" s="14" t="s">
        <v>387</v>
      </c>
      <c r="C309" s="14" t="s">
        <v>416</v>
      </c>
      <c r="D309" s="14" t="s">
        <v>392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5">
      <c r="A310" s="14" t="s">
        <v>388</v>
      </c>
      <c r="C310" s="14" t="s">
        <v>417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5">
      <c r="F311" s="50"/>
      <c r="AC311" s="28"/>
    </row>
    <row r="312" spans="1:29" x14ac:dyDescent="0.25">
      <c r="A312" s="14" t="s">
        <v>185</v>
      </c>
      <c r="C312" s="14" t="s">
        <v>186</v>
      </c>
      <c r="F312" s="67">
        <f>SUM(F293:F311)</f>
        <v>7326399.9100000001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958557.1134289141</v>
      </c>
      <c r="O312" s="50">
        <f>SUM(O293:O311)</f>
        <v>1929772.4035469345</v>
      </c>
      <c r="P312" s="50">
        <f>SUM(P293:P311)</f>
        <v>3384692.9379019756</v>
      </c>
      <c r="R312" s="50">
        <f>SUM(R293:R311)</f>
        <v>0</v>
      </c>
      <c r="S312" s="50">
        <f>SUM(S293:S311)</f>
        <v>496839.978160389</v>
      </c>
      <c r="U312" s="50">
        <f>SUM(U293:U311)</f>
        <v>374750.07497954922</v>
      </c>
      <c r="W312" s="50">
        <f>SUM(W293:W311)</f>
        <v>181787.40198223793</v>
      </c>
      <c r="Y312" s="50">
        <f>SUM(Y293:Y311)</f>
        <v>0</v>
      </c>
      <c r="AA312" s="50">
        <f>SUM(AA293:AA311)</f>
        <v>0</v>
      </c>
      <c r="AB312" s="50">
        <f>SUM(H312:AA312)</f>
        <v>7326399.9099999992</v>
      </c>
      <c r="AC312" s="28" t="str">
        <f>IF(ABS(AB312-F312)&lt;1,"ok","err")</f>
        <v>ok</v>
      </c>
    </row>
    <row r="313" spans="1:29" x14ac:dyDescent="0.25">
      <c r="F313" s="50"/>
      <c r="AC313" s="28"/>
    </row>
    <row r="314" spans="1:29" x14ac:dyDescent="0.25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IF(VLOOKUP($D314,$C$5:$AA$496,6,)=0,0,((VLOOKUP($D314,$C$5:$AA$496,6,)/VLOOKUP($D314,$C$5:$AA$496,4,))*$F314))</f>
        <v>0</v>
      </c>
      <c r="I314" s="50">
        <f>IF(VLOOKUP($D314,$C$5:$AA$496,7,)=0,0,((VLOOKUP($D314,$C$5:$AA$496,7,)/VLOOKUP($D314,$C$5:$AA$496,4,))*$F314))</f>
        <v>0</v>
      </c>
      <c r="J314" s="50"/>
      <c r="K314" s="50">
        <f>IF(VLOOKUP($D314,$C$5:$AA$496,9,)=0,0,((VLOOKUP($D314,$C$5:$AA$496,9,)/VLOOKUP($D314,$C$5:$AA$496,4,))*$F314))</f>
        <v>0</v>
      </c>
      <c r="L314" s="50"/>
      <c r="M314" s="50">
        <f>IF(VLOOKUP($D314,$C$5:$AA$496,11,)=0,0,((VLOOKUP($D314,$C$5:$AA$496,11,)/VLOOKUP($D314,$C$5:$AA$496,4,))*$F314))</f>
        <v>0</v>
      </c>
      <c r="N314" s="50"/>
      <c r="O314" s="50">
        <f>IF(VLOOKUP($D314,$C$5:$AA$496,13,)=0,0,((VLOOKUP($D314,$C$5:$AA$496,13,)/VLOOKUP($D314,$C$5:$AA$496,4,))*$F314))</f>
        <v>0</v>
      </c>
      <c r="P314" s="50">
        <f>IF(VLOOKUP($D314,$C$5:$AA$496,14,)=0,0,((VLOOKUP($D314,$C$5:$AA$496,14,)/VLOOKUP($D314,$C$5:$AA$496,4,))*$F314))</f>
        <v>0</v>
      </c>
      <c r="Q314" s="50"/>
      <c r="R314" s="50">
        <f>IF(VLOOKUP($D314,$C$5:$AA$496,16,)=0,0,((VLOOKUP($D314,$C$5:$AA$496,16,)/VLOOKUP($D314,$C$5:$AA$496,4,))*$F314))</f>
        <v>0</v>
      </c>
      <c r="S314" s="50">
        <f>IF(VLOOKUP($D314,$C$5:$AA$496,17,)=0,0,((VLOOKUP($D314,$C$5:$AA$496,17,)/VLOOKUP($D314,$C$5:$AA$496,4,))*$F314))</f>
        <v>0</v>
      </c>
      <c r="T314" s="50"/>
      <c r="U314" s="50">
        <f>IF(VLOOKUP($D314,$C$5:$AA$496,19,)=0,0,((VLOOKUP($D314,$C$5:$AA$496,19,)/VLOOKUP($D314,$C$5:$AA$496,4,))*$F314))</f>
        <v>0</v>
      </c>
      <c r="V314" s="50"/>
      <c r="W314" s="50">
        <f>IF(VLOOKUP($D314,$C$5:$AA$496,21,)=0,0,((VLOOKUP($D314,$C$5:$AA$496,21,)/VLOOKUP($D314,$C$5:$AA$496,4,))*$F314))</f>
        <v>0</v>
      </c>
      <c r="X314" s="50"/>
      <c r="Y314" s="50">
        <f>IF(VLOOKUP($D314,$C$5:$AA$496,23,)=0,0,((VLOOKUP($D314,$C$5:$AA$496,23,)/VLOOKUP($D314,$C$5:$AA$496,4,))*$F314))</f>
        <v>0</v>
      </c>
      <c r="Z314" s="50"/>
      <c r="AA314" s="50">
        <f>IF(VLOOKUP($D314,$C$5:$AA$496,25,)=0,0,((VLOOKUP($D314,$C$5:$AA$496,25,)/VLOOKUP($D314,$C$5:$AA$496,4,))*$F314))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5">
      <c r="AC315" s="28"/>
    </row>
    <row r="316" spans="1:29" x14ac:dyDescent="0.25">
      <c r="A316" s="14" t="s">
        <v>1041</v>
      </c>
      <c r="C316" s="14" t="s">
        <v>189</v>
      </c>
      <c r="D316" s="14" t="s">
        <v>84</v>
      </c>
      <c r="F316" s="67">
        <v>67856</v>
      </c>
      <c r="G316" s="67">
        <v>600157</v>
      </c>
      <c r="H316" s="50">
        <f>IF(VLOOKUP($D316,$C$5:$AA$496,6,)=0,0,((VLOOKUP($D316,$C$5:$AA$496,6,)/VLOOKUP($D316,$C$5:$AA$496,4,))*$F316))</f>
        <v>0</v>
      </c>
      <c r="I316" s="50">
        <f>IF(VLOOKUP($D316,$C$5:$AA$496,7,)=0,0,((VLOOKUP($D316,$C$5:$AA$496,7,)/VLOOKUP($D316,$C$5:$AA$496,4,))*$F316))</f>
        <v>0</v>
      </c>
      <c r="J316" s="50"/>
      <c r="K316" s="50">
        <f>IF(VLOOKUP($D316,$C$5:$AA$496,9,)=0,0,((VLOOKUP($D316,$C$5:$AA$496,9,)/VLOOKUP($D316,$C$5:$AA$496,4,))*$F316))</f>
        <v>0</v>
      </c>
      <c r="L316" s="50"/>
      <c r="M316" s="50">
        <f>IF(VLOOKUP($D316,$C$5:$AA$496,11,)=0,0,((VLOOKUP($D316,$C$5:$AA$496,11,)/VLOOKUP($D316,$C$5:$AA$496,4,))*$F316))</f>
        <v>10841.367980965804</v>
      </c>
      <c r="N316" s="50"/>
      <c r="O316" s="50">
        <f>IF(VLOOKUP($D316,$C$5:$AA$496,13,)=0,0,((VLOOKUP($D316,$C$5:$AA$496,13,)/VLOOKUP($D316,$C$5:$AA$496,4,))*$F316))</f>
        <v>17285.933525126569</v>
      </c>
      <c r="P316" s="50">
        <f>IF(VLOOKUP($D316,$C$5:$AA$496,14,)=0,0,((VLOOKUP($D316,$C$5:$AA$496,14,)/VLOOKUP($D316,$C$5:$AA$496,4,))*$F316))</f>
        <v>28902.904776806336</v>
      </c>
      <c r="Q316" s="50"/>
      <c r="R316" s="50">
        <f>IF(VLOOKUP($D316,$C$5:$AA$496,16,)=0,0,((VLOOKUP($D316,$C$5:$AA$496,16,)/VLOOKUP($D316,$C$5:$AA$496,4,))*$F316))</f>
        <v>0</v>
      </c>
      <c r="S316" s="50">
        <f>IF(VLOOKUP($D316,$C$5:$AA$496,17,)=0,0,((VLOOKUP($D316,$C$5:$AA$496,17,)/VLOOKUP($D316,$C$5:$AA$496,4,))*$F316))</f>
        <v>4897.7603304283293</v>
      </c>
      <c r="T316" s="50"/>
      <c r="U316" s="50">
        <f>IF(VLOOKUP($D316,$C$5:$AA$496,19,)=0,0,((VLOOKUP($D316,$C$5:$AA$496,19,)/VLOOKUP($D316,$C$5:$AA$496,4,))*$F316))</f>
        <v>4742.4146984580311</v>
      </c>
      <c r="V316" s="50"/>
      <c r="W316" s="50">
        <f>IF(VLOOKUP($D316,$C$5:$AA$496,21,)=0,0,((VLOOKUP($D316,$C$5:$AA$496,21,)/VLOOKUP($D316,$C$5:$AA$496,4,))*$F316))</f>
        <v>1185.6186882149425</v>
      </c>
      <c r="X316" s="50"/>
      <c r="Y316" s="50">
        <f>IF(VLOOKUP($D316,$C$5:$AA$496,23,)=0,0,((VLOOKUP($D316,$C$5:$AA$496,23,)/VLOOKUP($D316,$C$5:$AA$496,4,))*$F316))</f>
        <v>0</v>
      </c>
      <c r="Z316" s="50"/>
      <c r="AA316" s="50">
        <f>IF(VLOOKUP($D316,$C$5:$AA$496,25,)=0,0,((VLOOKUP($D316,$C$5:$AA$496,25,)/VLOOKUP($D316,$C$5:$AA$496,4,))*$F316))</f>
        <v>0</v>
      </c>
      <c r="AB316" s="50">
        <f>SUM(H316:AA316)</f>
        <v>67856.000000000015</v>
      </c>
      <c r="AC316" s="28" t="str">
        <f>IF(ABS(AB316-F316)&lt;1,"ok","err")</f>
        <v>ok</v>
      </c>
    </row>
    <row r="317" spans="1:29" x14ac:dyDescent="0.25">
      <c r="Q317" s="14"/>
    </row>
    <row r="318" spans="1:29" x14ac:dyDescent="0.25">
      <c r="A318" s="14" t="s">
        <v>190</v>
      </c>
      <c r="C318" s="14" t="s">
        <v>191</v>
      </c>
      <c r="D318" s="14" t="s">
        <v>84</v>
      </c>
      <c r="F318" s="67">
        <v>2368869.5</v>
      </c>
      <c r="H318" s="50">
        <f>IF(VLOOKUP($D318,$C$5:$AA$496,6,)=0,0,((VLOOKUP($D318,$C$5:$AA$496,6,)/VLOOKUP($D318,$C$5:$AA$496,4,))*$F318))</f>
        <v>0</v>
      </c>
      <c r="I318" s="50">
        <f>IF(VLOOKUP($D318,$C$5:$AA$496,7,)=0,0,((VLOOKUP($D318,$C$5:$AA$496,7,)/VLOOKUP($D318,$C$5:$AA$496,4,))*$F318))</f>
        <v>0</v>
      </c>
      <c r="J318" s="50"/>
      <c r="K318" s="50">
        <f>IF(VLOOKUP($D318,$C$5:$AA$496,9,)=0,0,((VLOOKUP($D318,$C$5:$AA$496,9,)/VLOOKUP($D318,$C$5:$AA$496,4,))*$F318))</f>
        <v>0</v>
      </c>
      <c r="L318" s="50"/>
      <c r="M318" s="50">
        <f>IF(VLOOKUP($D318,$C$5:$AA$496,11,)=0,0,((VLOOKUP($D318,$C$5:$AA$496,11,)/VLOOKUP($D318,$C$5:$AA$496,4,))*$F318))</f>
        <v>378474.79881493858</v>
      </c>
      <c r="N318" s="50"/>
      <c r="O318" s="50">
        <f>IF(VLOOKUP($D318,$C$5:$AA$496,13,)=0,0,((VLOOKUP($D318,$C$5:$AA$496,13,)/VLOOKUP($D318,$C$5:$AA$496,4,))*$F318))</f>
        <v>603456.15283393965</v>
      </c>
      <c r="P318" s="50">
        <f>IF(VLOOKUP($D318,$C$5:$AA$496,14,)=0,0,((VLOOKUP($D318,$C$5:$AA$496,14,)/VLOOKUP($D318,$C$5:$AA$496,4,))*$F318))</f>
        <v>1009007.450883943</v>
      </c>
      <c r="Q318" s="50"/>
      <c r="R318" s="50">
        <f>IF(VLOOKUP($D318,$C$5:$AA$496,16,)=0,0,((VLOOKUP($D318,$C$5:$AA$496,16,)/VLOOKUP($D318,$C$5:$AA$496,4,))*$F318))</f>
        <v>0</v>
      </c>
      <c r="S318" s="50">
        <f>IF(VLOOKUP($D318,$C$5:$AA$496,17,)=0,0,((VLOOKUP($D318,$C$5:$AA$496,17,)/VLOOKUP($D318,$C$5:$AA$496,4,))*$F318))</f>
        <v>170982.00697155137</v>
      </c>
      <c r="T318" s="50"/>
      <c r="U318" s="50">
        <f>IF(VLOOKUP($D318,$C$5:$AA$496,19,)=0,0,((VLOOKUP($D318,$C$5:$AA$496,19,)/VLOOKUP($D318,$C$5:$AA$496,4,))*$F318))</f>
        <v>165558.85309374155</v>
      </c>
      <c r="V318" s="50"/>
      <c r="W318" s="50">
        <f>IF(VLOOKUP($D318,$C$5:$AA$496,21,)=0,0,((VLOOKUP($D318,$C$5:$AA$496,21,)/VLOOKUP($D318,$C$5:$AA$496,4,))*$F318))</f>
        <v>41390.237401886152</v>
      </c>
      <c r="X318" s="50"/>
      <c r="Y318" s="50">
        <f>IF(VLOOKUP($D318,$C$5:$AA$496,23,)=0,0,((VLOOKUP($D318,$C$5:$AA$496,23,)/VLOOKUP($D318,$C$5:$AA$496,4,))*$F318))</f>
        <v>0</v>
      </c>
      <c r="Z318" s="50"/>
      <c r="AA318" s="50">
        <f>IF(VLOOKUP($D318,$C$5:$AA$496,25,)=0,0,((VLOOKUP($D318,$C$5:$AA$496,25,)/VLOOKUP($D318,$C$5:$AA$496,4,))*$F318))</f>
        <v>0</v>
      </c>
      <c r="AB318" s="50">
        <f>SUM(H318:AA318)</f>
        <v>2368869.5000000005</v>
      </c>
      <c r="AC318" s="28" t="str">
        <f>IF(ABS(AB318-F318)&lt;1,"ok","err")</f>
        <v>ok</v>
      </c>
    </row>
    <row r="319" spans="1:29" x14ac:dyDescent="0.25">
      <c r="AC319" s="28"/>
    </row>
    <row r="320" spans="1:29" x14ac:dyDescent="0.25">
      <c r="A320" s="14" t="s">
        <v>192</v>
      </c>
      <c r="C320" s="14" t="s">
        <v>193</v>
      </c>
      <c r="D320" s="14" t="s">
        <v>84</v>
      </c>
      <c r="F320" s="67">
        <v>153310.46</v>
      </c>
      <c r="H320" s="50">
        <f>IF(VLOOKUP($D320,$C$5:$AA$496,6,)=0,0,((VLOOKUP($D320,$C$5:$AA$496,6,)/VLOOKUP($D320,$C$5:$AA$496,4,))*$F320))</f>
        <v>0</v>
      </c>
      <c r="I320" s="50">
        <f>IF(VLOOKUP($D320,$C$5:$AA$496,7,)=0,0,((VLOOKUP($D320,$C$5:$AA$496,7,)/VLOOKUP($D320,$C$5:$AA$496,4,))*$F320))</f>
        <v>0</v>
      </c>
      <c r="J320" s="50"/>
      <c r="K320" s="50">
        <f>IF(VLOOKUP($D320,$C$5:$AA$496,9,)=0,0,((VLOOKUP($D320,$C$5:$AA$496,9,)/VLOOKUP($D320,$C$5:$AA$496,4,))*$F320))</f>
        <v>0</v>
      </c>
      <c r="L320" s="50"/>
      <c r="M320" s="50">
        <f>IF(VLOOKUP($D320,$C$5:$AA$496,11,)=0,0,((VLOOKUP($D320,$C$5:$AA$496,11,)/VLOOKUP($D320,$C$5:$AA$496,4,))*$F320))</f>
        <v>24494.445770324488</v>
      </c>
      <c r="N320" s="50"/>
      <c r="O320" s="50">
        <f>IF(VLOOKUP($D320,$C$5:$AA$496,13,)=0,0,((VLOOKUP($D320,$C$5:$AA$496,13,)/VLOOKUP($D320,$C$5:$AA$496,4,))*$F320))</f>
        <v>39054.975540358639</v>
      </c>
      <c r="P320" s="50">
        <f>IF(VLOOKUP($D320,$C$5:$AA$496,14,)=0,0,((VLOOKUP($D320,$C$5:$AA$496,14,)/VLOOKUP($D320,$C$5:$AA$496,4,))*$F320))</f>
        <v>65301.780633523587</v>
      </c>
      <c r="Q320" s="50"/>
      <c r="R320" s="50">
        <f>IF(VLOOKUP($D320,$C$5:$AA$496,16,)=0,0,((VLOOKUP($D320,$C$5:$AA$496,16,)/VLOOKUP($D320,$C$5:$AA$496,4,))*$F320))</f>
        <v>0</v>
      </c>
      <c r="S320" s="50">
        <f>IF(VLOOKUP($D320,$C$5:$AA$496,17,)=0,0,((VLOOKUP($D320,$C$5:$AA$496,17,)/VLOOKUP($D320,$C$5:$AA$496,4,))*$F320))</f>
        <v>11065.755264497157</v>
      </c>
      <c r="T320" s="50"/>
      <c r="U320" s="50">
        <f>IF(VLOOKUP($D320,$C$5:$AA$496,19,)=0,0,((VLOOKUP($D320,$C$5:$AA$496,19,)/VLOOKUP($D320,$C$5:$AA$496,4,))*$F320))</f>
        <v>10714.775096253272</v>
      </c>
      <c r="V320" s="50"/>
      <c r="W320" s="50">
        <f>IF(VLOOKUP($D320,$C$5:$AA$496,21,)=0,0,((VLOOKUP($D320,$C$5:$AA$496,21,)/VLOOKUP($D320,$C$5:$AA$496,4,))*$F320))</f>
        <v>2678.7276950428763</v>
      </c>
      <c r="X320" s="50"/>
      <c r="Y320" s="50">
        <f>IF(VLOOKUP($D320,$C$5:$AA$496,23,)=0,0,((VLOOKUP($D320,$C$5:$AA$496,23,)/VLOOKUP($D320,$C$5:$AA$496,4,))*$F320))</f>
        <v>0</v>
      </c>
      <c r="Z320" s="50"/>
      <c r="AA320" s="50">
        <f>IF(VLOOKUP($D320,$C$5:$AA$496,25,)=0,0,((VLOOKUP($D320,$C$5:$AA$496,25,)/VLOOKUP($D320,$C$5:$AA$496,4,))*$F320))</f>
        <v>0</v>
      </c>
      <c r="AB320" s="50">
        <f>SUM(H320:AA320)</f>
        <v>153310.46000000002</v>
      </c>
      <c r="AC320" s="28" t="str">
        <f>IF(ABS(AB320-F320)&lt;1,"ok","err")</f>
        <v>ok</v>
      </c>
    </row>
    <row r="321" spans="1:29" x14ac:dyDescent="0.25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5">
      <c r="A322" s="14" t="s">
        <v>194</v>
      </c>
      <c r="C322" s="14" t="s">
        <v>857</v>
      </c>
      <c r="D322" s="14" t="s">
        <v>84</v>
      </c>
      <c r="F322" s="67">
        <v>1413.4</v>
      </c>
      <c r="H322" s="50">
        <f>IF(VLOOKUP($D322,$C$5:$AA$496,6,)=0,0,((VLOOKUP($D322,$C$5:$AA$496,6,)/VLOOKUP($D322,$C$5:$AA$496,4,))*$F322))</f>
        <v>0</v>
      </c>
      <c r="I322" s="50">
        <f>IF(VLOOKUP($D322,$C$5:$AA$496,7,)=0,0,((VLOOKUP($D322,$C$5:$AA$496,7,)/VLOOKUP($D322,$C$5:$AA$496,4,))*$F322))</f>
        <v>0</v>
      </c>
      <c r="J322" s="50"/>
      <c r="K322" s="50">
        <f>IF(VLOOKUP($D322,$C$5:$AA$496,9,)=0,0,((VLOOKUP($D322,$C$5:$AA$496,9,)/VLOOKUP($D322,$C$5:$AA$496,4,))*$F322))</f>
        <v>0</v>
      </c>
      <c r="L322" s="50"/>
      <c r="M322" s="50">
        <f>IF(VLOOKUP($D322,$C$5:$AA$496,11,)=0,0,((VLOOKUP($D322,$C$5:$AA$496,11,)/VLOOKUP($D322,$C$5:$AA$496,4,))*$F322))</f>
        <v>225.81922754505229</v>
      </c>
      <c r="N322" s="50"/>
      <c r="O322" s="50">
        <f>IF(VLOOKUP($D322,$C$5:$AA$496,13,)=0,0,((VLOOKUP($D322,$C$5:$AA$496,13,)/VLOOKUP($D322,$C$5:$AA$496,4,))*$F322))</f>
        <v>360.05568327655465</v>
      </c>
      <c r="P322" s="50">
        <f>IF(VLOOKUP($D322,$C$5:$AA$496,14,)=0,0,((VLOOKUP($D322,$C$5:$AA$496,14,)/VLOOKUP($D322,$C$5:$AA$496,4,))*$F322))</f>
        <v>602.03026425869609</v>
      </c>
      <c r="Q322" s="50"/>
      <c r="R322" s="50">
        <f>IF(VLOOKUP($D322,$C$5:$AA$496,16,)=0,0,((VLOOKUP($D322,$C$5:$AA$496,16,)/VLOOKUP($D322,$C$5:$AA$496,4,))*$F322))</f>
        <v>0</v>
      </c>
      <c r="S322" s="50">
        <f>IF(VLOOKUP($D322,$C$5:$AA$496,17,)=0,0,((VLOOKUP($D322,$C$5:$AA$496,17,)/VLOOKUP($D322,$C$5:$AA$496,4,))*$F322))</f>
        <v>102.01742588757664</v>
      </c>
      <c r="T322" s="50"/>
      <c r="U322" s="50">
        <f>IF(VLOOKUP($D322,$C$5:$AA$496,19,)=0,0,((VLOOKUP($D322,$C$5:$AA$496,19,)/VLOOKUP($D322,$C$5:$AA$496,4,))*$F322))</f>
        <v>98.781669046224081</v>
      </c>
      <c r="V322" s="50"/>
      <c r="W322" s="50">
        <f>IF(VLOOKUP($D322,$C$5:$AA$496,21,)=0,0,((VLOOKUP($D322,$C$5:$AA$496,21,)/VLOOKUP($D322,$C$5:$AA$496,4,))*$F322))</f>
        <v>24.695729985896602</v>
      </c>
      <c r="X322" s="50"/>
      <c r="Y322" s="50">
        <f>IF(VLOOKUP($D322,$C$5:$AA$496,23,)=0,0,((VLOOKUP($D322,$C$5:$AA$496,23,)/VLOOKUP($D322,$C$5:$AA$496,4,))*$F322))</f>
        <v>0</v>
      </c>
      <c r="Z322" s="50"/>
      <c r="AA322" s="50">
        <f>IF(VLOOKUP($D322,$C$5:$AA$496,25,)=0,0,((VLOOKUP($D322,$C$5:$AA$496,25,)/VLOOKUP($D322,$C$5:$AA$496,4,))*$F322))</f>
        <v>0</v>
      </c>
      <c r="AB322" s="50">
        <f>SUM(H322:AA322)</f>
        <v>1413.4000000000003</v>
      </c>
      <c r="AC322" s="28" t="str">
        <f>IF(ABS(AB322-F322)&lt;1,"ok","err")</f>
        <v>ok</v>
      </c>
    </row>
    <row r="323" spans="1:29" x14ac:dyDescent="0.25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5">
      <c r="A324" s="14" t="s">
        <v>858</v>
      </c>
      <c r="C324" s="14" t="s">
        <v>859</v>
      </c>
      <c r="D324" s="14" t="s">
        <v>84</v>
      </c>
      <c r="F324" s="67">
        <v>0</v>
      </c>
      <c r="H324" s="50">
        <f>IF(VLOOKUP($D324,$C$5:$AA$496,6,)=0,0,((VLOOKUP($D324,$C$5:$AA$496,6,)/VLOOKUP($D324,$C$5:$AA$496,4,))*$F324))</f>
        <v>0</v>
      </c>
      <c r="I324" s="50">
        <f>IF(VLOOKUP($D324,$C$5:$AA$496,7,)=0,0,((VLOOKUP($D324,$C$5:$AA$496,7,)/VLOOKUP($D324,$C$5:$AA$496,4,))*$F324))</f>
        <v>0</v>
      </c>
      <c r="J324" s="50"/>
      <c r="K324" s="50">
        <f>IF(VLOOKUP($D324,$C$5:$AA$496,9,)=0,0,((VLOOKUP($D324,$C$5:$AA$496,9,)/VLOOKUP($D324,$C$5:$AA$496,4,))*$F324))</f>
        <v>0</v>
      </c>
      <c r="L324" s="50"/>
      <c r="M324" s="50">
        <f>IF(VLOOKUP($D324,$C$5:$AA$496,11,)=0,0,((VLOOKUP($D324,$C$5:$AA$496,11,)/VLOOKUP($D324,$C$5:$AA$496,4,))*$F324))</f>
        <v>0</v>
      </c>
      <c r="N324" s="50"/>
      <c r="O324" s="50">
        <f>IF(VLOOKUP($D324,$C$5:$AA$496,13,)=0,0,((VLOOKUP($D324,$C$5:$AA$496,13,)/VLOOKUP($D324,$C$5:$AA$496,4,))*$F324))</f>
        <v>0</v>
      </c>
      <c r="P324" s="50">
        <f>IF(VLOOKUP($D324,$C$5:$AA$496,14,)=0,0,((VLOOKUP($D324,$C$5:$AA$496,14,)/VLOOKUP($D324,$C$5:$AA$496,4,))*$F324))</f>
        <v>0</v>
      </c>
      <c r="Q324" s="50"/>
      <c r="R324" s="50">
        <f>IF(VLOOKUP($D324,$C$5:$AA$496,16,)=0,0,((VLOOKUP($D324,$C$5:$AA$496,16,)/VLOOKUP($D324,$C$5:$AA$496,4,))*$F324))</f>
        <v>0</v>
      </c>
      <c r="S324" s="50">
        <f>IF(VLOOKUP($D324,$C$5:$AA$496,17,)=0,0,((VLOOKUP($D324,$C$5:$AA$496,17,)/VLOOKUP($D324,$C$5:$AA$496,4,))*$F324))</f>
        <v>0</v>
      </c>
      <c r="T324" s="50"/>
      <c r="U324" s="50">
        <f>IF(VLOOKUP($D324,$C$5:$AA$496,19,)=0,0,((VLOOKUP($D324,$C$5:$AA$496,19,)/VLOOKUP($D324,$C$5:$AA$496,4,))*$F324))</f>
        <v>0</v>
      </c>
      <c r="V324" s="50"/>
      <c r="W324" s="50">
        <f>IF(VLOOKUP($D324,$C$5:$AA$496,21,)=0,0,((VLOOKUP($D324,$C$5:$AA$496,21,)/VLOOKUP($D324,$C$5:$AA$496,4,))*$F324))</f>
        <v>0</v>
      </c>
      <c r="X324" s="50"/>
      <c r="Y324" s="50">
        <f>IF(VLOOKUP($D324,$C$5:$AA$496,23,)=0,0,((VLOOKUP($D324,$C$5:$AA$496,23,)/VLOOKUP($D324,$C$5:$AA$496,4,))*$F324))</f>
        <v>0</v>
      </c>
      <c r="Z324" s="50"/>
      <c r="AA324" s="50">
        <f>IF(VLOOKUP($D324,$C$5:$AA$496,25,)=0,0,((VLOOKUP($D324,$C$5:$AA$496,25,)/VLOOKUP($D324,$C$5:$AA$496,4,))*$F324))</f>
        <v>0</v>
      </c>
      <c r="AB324" s="50">
        <f>SUM(H324:AA324)</f>
        <v>0</v>
      </c>
      <c r="AC324" s="28" t="str">
        <f>IF(ABS(AB324-F324)&lt;1,"ok","err")</f>
        <v>ok</v>
      </c>
    </row>
    <row r="325" spans="1:29" x14ac:dyDescent="0.25">
      <c r="AC325" s="28"/>
    </row>
    <row r="326" spans="1:29" x14ac:dyDescent="0.25">
      <c r="A326" s="14" t="s">
        <v>194</v>
      </c>
      <c r="C326" s="14" t="s">
        <v>195</v>
      </c>
      <c r="D326" s="14" t="s">
        <v>84</v>
      </c>
      <c r="F326" s="67">
        <v>0</v>
      </c>
      <c r="H326" s="50">
        <f>IF(VLOOKUP($D326,$C$5:$AA$496,6,)=0,0,((VLOOKUP($D326,$C$5:$AA$496,6,)/VLOOKUP($D326,$C$5:$AA$496,4,))*$F326))</f>
        <v>0</v>
      </c>
      <c r="I326" s="50">
        <f>IF(VLOOKUP($D326,$C$5:$AA$496,7,)=0,0,((VLOOKUP($D326,$C$5:$AA$496,7,)/VLOOKUP($D326,$C$5:$AA$496,4,))*$F326))</f>
        <v>0</v>
      </c>
      <c r="J326" s="50"/>
      <c r="K326" s="50">
        <f>IF(VLOOKUP($D326,$C$5:$AA$496,9,)=0,0,((VLOOKUP($D326,$C$5:$AA$496,9,)/VLOOKUP($D326,$C$5:$AA$496,4,))*$F326))</f>
        <v>0</v>
      </c>
      <c r="L326" s="50"/>
      <c r="M326" s="50">
        <f>IF(VLOOKUP($D326,$C$5:$AA$496,11,)=0,0,((VLOOKUP($D326,$C$5:$AA$496,11,)/VLOOKUP($D326,$C$5:$AA$496,4,))*$F326))</f>
        <v>0</v>
      </c>
      <c r="N326" s="50"/>
      <c r="O326" s="50">
        <f>IF(VLOOKUP($D326,$C$5:$AA$496,13,)=0,0,((VLOOKUP($D326,$C$5:$AA$496,13,)/VLOOKUP($D326,$C$5:$AA$496,4,))*$F326))</f>
        <v>0</v>
      </c>
      <c r="P326" s="50">
        <f>IF(VLOOKUP($D326,$C$5:$AA$496,14,)=0,0,((VLOOKUP($D326,$C$5:$AA$496,14,)/VLOOKUP($D326,$C$5:$AA$496,4,))*$F326))</f>
        <v>0</v>
      </c>
      <c r="Q326" s="50"/>
      <c r="R326" s="50">
        <f>IF(VLOOKUP($D326,$C$5:$AA$496,16,)=0,0,((VLOOKUP($D326,$C$5:$AA$496,16,)/VLOOKUP($D326,$C$5:$AA$496,4,))*$F326))</f>
        <v>0</v>
      </c>
      <c r="S326" s="50">
        <f>IF(VLOOKUP($D326,$C$5:$AA$496,17,)=0,0,((VLOOKUP($D326,$C$5:$AA$496,17,)/VLOOKUP($D326,$C$5:$AA$496,4,))*$F326))</f>
        <v>0</v>
      </c>
      <c r="T326" s="50"/>
      <c r="U326" s="50">
        <f>IF(VLOOKUP($D326,$C$5:$AA$496,19,)=0,0,((VLOOKUP($D326,$C$5:$AA$496,19,)/VLOOKUP($D326,$C$5:$AA$496,4,))*$F326))</f>
        <v>0</v>
      </c>
      <c r="V326" s="50"/>
      <c r="W326" s="50">
        <f>IF(VLOOKUP($D326,$C$5:$AA$496,21,)=0,0,((VLOOKUP($D326,$C$5:$AA$496,21,)/VLOOKUP($D326,$C$5:$AA$496,4,))*$F326))</f>
        <v>0</v>
      </c>
      <c r="X326" s="50"/>
      <c r="Y326" s="50">
        <f>IF(VLOOKUP($D326,$C$5:$AA$496,23,)=0,0,((VLOOKUP($D326,$C$5:$AA$496,23,)/VLOOKUP($D326,$C$5:$AA$496,4,))*$F326))</f>
        <v>0</v>
      </c>
      <c r="Z326" s="50"/>
      <c r="AA326" s="50">
        <f>IF(VLOOKUP($D326,$C$5:$AA$496,25,)=0,0,((VLOOKUP($D326,$C$5:$AA$496,25,)/VLOOKUP($D326,$C$5:$AA$496,4,))*$F326))</f>
        <v>0</v>
      </c>
      <c r="AB326" s="50">
        <f>SUM(H326:AA326)</f>
        <v>0</v>
      </c>
      <c r="AC326" s="28" t="str">
        <f>IF(ABS(AB326-F326)&lt;1,"ok","err")</f>
        <v>ok</v>
      </c>
    </row>
    <row r="327" spans="1:29" x14ac:dyDescent="0.25">
      <c r="AB327" s="50"/>
      <c r="AC327" s="28"/>
    </row>
    <row r="328" spans="1:29" x14ac:dyDescent="0.25">
      <c r="A328" s="13" t="s">
        <v>196</v>
      </c>
      <c r="C328" s="14" t="s">
        <v>197</v>
      </c>
      <c r="F328" s="91">
        <f>SUM(F312:F326)</f>
        <v>9917849.2700000014</v>
      </c>
      <c r="G328" s="91"/>
      <c r="H328" s="91">
        <f>SUM(H312:H326)</f>
        <v>0</v>
      </c>
      <c r="I328" s="91">
        <f>SUM(I312:I326)</f>
        <v>0</v>
      </c>
      <c r="J328" s="91"/>
      <c r="K328" s="91">
        <f>SUM(K312:K326)</f>
        <v>0</v>
      </c>
      <c r="L328" s="91"/>
      <c r="M328" s="91">
        <f>SUM(M312:M326)</f>
        <v>1372593.545222688</v>
      </c>
      <c r="N328" s="91"/>
      <c r="O328" s="91">
        <f>SUM(O312:O326)</f>
        <v>2589929.5211296361</v>
      </c>
      <c r="P328" s="91">
        <f>SUM(P312:P326)</f>
        <v>4488507.1044605067</v>
      </c>
      <c r="Q328" s="91">
        <f>SUM(Q312:Q326)</f>
        <v>0</v>
      </c>
      <c r="R328" s="91">
        <f>SUM(R312:R326)</f>
        <v>0</v>
      </c>
      <c r="S328" s="91">
        <f>SUM(S312:S326)</f>
        <v>683887.51815275336</v>
      </c>
      <c r="T328" s="91">
        <f>T312+T314+T316+T318+T322+T326</f>
        <v>0</v>
      </c>
      <c r="U328" s="91">
        <f>SUM(U312:U326)</f>
        <v>555864.8995370483</v>
      </c>
      <c r="V328" s="91">
        <f>V312+V314+V316+V318+V322+V326</f>
        <v>0</v>
      </c>
      <c r="W328" s="91">
        <f>SUM(W312:W326)</f>
        <v>227066.6814973678</v>
      </c>
      <c r="X328" s="91">
        <f>X312+X314+X316+X318+X322+X326</f>
        <v>0</v>
      </c>
      <c r="Y328" s="91">
        <f>SUM(Y312:Y326)</f>
        <v>0</v>
      </c>
      <c r="Z328" s="91">
        <f>Z312+Z314+Z316+Z318+Z322+Z326</f>
        <v>0</v>
      </c>
      <c r="AA328" s="91">
        <f>SUM(AA312:AA326)</f>
        <v>0</v>
      </c>
      <c r="AB328" s="50">
        <f>SUM(H328:AA328)</f>
        <v>9917849.2699999977</v>
      </c>
      <c r="AC328" s="28" t="str">
        <f>IF(ABS(AB328-F328)&lt;1,"ok","err")</f>
        <v>ok</v>
      </c>
    </row>
    <row r="329" spans="1:29" x14ac:dyDescent="0.25">
      <c r="D329" s="91"/>
      <c r="AC329" s="28"/>
    </row>
    <row r="330" spans="1:29" x14ac:dyDescent="0.25">
      <c r="A330" s="13" t="s">
        <v>389</v>
      </c>
      <c r="F330" s="91">
        <f>F285+F328</f>
        <v>97050774.620000005</v>
      </c>
      <c r="G330" s="91">
        <f>G285+G328</f>
        <v>0</v>
      </c>
      <c r="H330" s="91">
        <f>H285+H328</f>
        <v>18054874.878003754</v>
      </c>
      <c r="I330" s="91">
        <f>I285+I328</f>
        <v>52667410.771996282</v>
      </c>
      <c r="J330" s="91"/>
      <c r="K330" s="91">
        <f>K285+K328</f>
        <v>0</v>
      </c>
      <c r="L330" s="91"/>
      <c r="M330" s="91">
        <f>M285+M328</f>
        <v>2315141.4995372808</v>
      </c>
      <c r="N330" s="91"/>
      <c r="O330" s="91">
        <f t="shared" ref="O330:AA330" si="185">O285+O328</f>
        <v>5396301.4598110225</v>
      </c>
      <c r="P330" s="91">
        <f t="shared" si="185"/>
        <v>13971778.06210978</v>
      </c>
      <c r="Q330" s="91">
        <f t="shared" si="185"/>
        <v>0</v>
      </c>
      <c r="R330" s="91">
        <f t="shared" si="185"/>
        <v>0</v>
      </c>
      <c r="S330" s="91">
        <f t="shared" si="185"/>
        <v>907518.87894983741</v>
      </c>
      <c r="T330" s="91">
        <f t="shared" si="185"/>
        <v>0</v>
      </c>
      <c r="U330" s="91">
        <f t="shared" si="185"/>
        <v>1899938.1467171907</v>
      </c>
      <c r="V330" s="91">
        <f t="shared" si="185"/>
        <v>0</v>
      </c>
      <c r="W330" s="91">
        <f t="shared" si="185"/>
        <v>313038.27840878896</v>
      </c>
      <c r="X330" s="91">
        <f t="shared" si="185"/>
        <v>0</v>
      </c>
      <c r="Y330" s="91">
        <f t="shared" si="185"/>
        <v>1519400.2014569119</v>
      </c>
      <c r="Z330" s="91">
        <f t="shared" si="185"/>
        <v>0</v>
      </c>
      <c r="AA330" s="91">
        <f t="shared" si="185"/>
        <v>5372.4430091895274</v>
      </c>
      <c r="AB330" s="50">
        <f>SUM(H330:AA330)</f>
        <v>97050774.62000002</v>
      </c>
      <c r="AC330" s="28" t="str">
        <f>IF(ABS(AB330-F330)&lt;1,"ok","err")</f>
        <v>ok</v>
      </c>
    </row>
    <row r="331" spans="1:29" x14ac:dyDescent="0.25">
      <c r="F331" s="91"/>
      <c r="AC331" s="28"/>
    </row>
    <row r="332" spans="1:29" x14ac:dyDescent="0.25">
      <c r="AC332" s="28"/>
    </row>
    <row r="333" spans="1:29" x14ac:dyDescent="0.25">
      <c r="AC333" s="28"/>
    </row>
    <row r="334" spans="1:29" x14ac:dyDescent="0.25">
      <c r="A334" s="26" t="s">
        <v>182</v>
      </c>
      <c r="Q334" s="14"/>
      <c r="AC334" s="28"/>
    </row>
    <row r="335" spans="1:29" x14ac:dyDescent="0.25">
      <c r="A335" s="26"/>
      <c r="Q335" s="14"/>
      <c r="AC335" s="28"/>
    </row>
    <row r="336" spans="1:29" x14ac:dyDescent="0.25">
      <c r="A336" s="13" t="s">
        <v>788</v>
      </c>
      <c r="Q336" s="14"/>
      <c r="AC336" s="28"/>
    </row>
    <row r="337" spans="1:29" x14ac:dyDescent="0.25">
      <c r="A337" s="14">
        <v>500</v>
      </c>
      <c r="B337" s="14" t="s">
        <v>793</v>
      </c>
      <c r="C337" s="14" t="s">
        <v>840</v>
      </c>
      <c r="D337" s="14" t="s">
        <v>782</v>
      </c>
      <c r="F337" s="67">
        <v>0</v>
      </c>
      <c r="H337" s="50">
        <f t="shared" ref="H337:H345" si="186">IF(VLOOKUP($D337,$C$5:$AA$496,6,)=0,0,((VLOOKUP($D337,$C$5:$AA$496,6,)/VLOOKUP($D337,$C$5:$AA$496,4,))*$F337))</f>
        <v>0</v>
      </c>
      <c r="I337" s="50">
        <f t="shared" ref="I337:I345" si="187">IF(VLOOKUP($D337,$C$5:$AA$496,7,)=0,0,((VLOOKUP($D337,$C$5:$AA$496,7,)/VLOOKUP($D337,$C$5:$AA$496,4,))*$F337))</f>
        <v>0</v>
      </c>
      <c r="J337" s="50"/>
      <c r="K337" s="50">
        <f t="shared" ref="K337:K345" si="188">IF(VLOOKUP($D337,$C$5:$AA$496,9,)=0,0,((VLOOKUP($D337,$C$5:$AA$496,9,)/VLOOKUP($D337,$C$5:$AA$496,4,))*$F337))</f>
        <v>0</v>
      </c>
      <c r="L337" s="50"/>
      <c r="M337" s="50">
        <f t="shared" ref="M337:M345" si="189">IF(VLOOKUP($D337,$C$5:$AA$496,11,)=0,0,((VLOOKUP($D337,$C$5:$AA$496,11,)/VLOOKUP($D337,$C$5:$AA$496,4,))*$F337))</f>
        <v>0</v>
      </c>
      <c r="N337" s="50"/>
      <c r="O337" s="50">
        <f t="shared" ref="O337:O345" si="190">IF(VLOOKUP($D337,$C$5:$AA$496,13,)=0,0,((VLOOKUP($D337,$C$5:$AA$496,13,)/VLOOKUP($D337,$C$5:$AA$496,4,))*$F337))</f>
        <v>0</v>
      </c>
      <c r="P337" s="50">
        <f t="shared" ref="P337:P345" si="191">IF(VLOOKUP($D337,$C$5:$AA$496,14,)=0,0,((VLOOKUP($D337,$C$5:$AA$496,14,)/VLOOKUP($D337,$C$5:$AA$496,4,))*$F337))</f>
        <v>0</v>
      </c>
      <c r="Q337" s="50"/>
      <c r="R337" s="50">
        <f t="shared" ref="R337:R345" si="192">IF(VLOOKUP($D337,$C$5:$AA$496,16,)=0,0,((VLOOKUP($D337,$C$5:$AA$496,16,)/VLOOKUP($D337,$C$5:$AA$496,4,))*$F337))</f>
        <v>0</v>
      </c>
      <c r="S337" s="50">
        <f t="shared" ref="S337:S345" si="193">IF(VLOOKUP($D337,$C$5:$AA$496,17,)=0,0,((VLOOKUP($D337,$C$5:$AA$496,17,)/VLOOKUP($D337,$C$5:$AA$496,4,))*$F337))</f>
        <v>0</v>
      </c>
      <c r="T337" s="50"/>
      <c r="U337" s="50">
        <f t="shared" ref="U337:U345" si="194">IF(VLOOKUP($D337,$C$5:$AA$496,19,)=0,0,((VLOOKUP($D337,$C$5:$AA$496,19,)/VLOOKUP($D337,$C$5:$AA$496,4,))*$F337))</f>
        <v>0</v>
      </c>
      <c r="V337" s="50"/>
      <c r="W337" s="50">
        <f t="shared" ref="W337:W345" si="195">IF(VLOOKUP($D337,$C$5:$AA$496,21,)=0,0,((VLOOKUP($D337,$C$5:$AA$496,21,)/VLOOKUP($D337,$C$5:$AA$496,4,))*$F337))</f>
        <v>0</v>
      </c>
      <c r="X337" s="50"/>
      <c r="Y337" s="50">
        <f t="shared" ref="Y337:Y345" si="196">IF(VLOOKUP($D337,$C$5:$AA$496,23,)=0,0,((VLOOKUP($D337,$C$5:$AA$496,23,)/VLOOKUP($D337,$C$5:$AA$496,4,))*$F337))</f>
        <v>0</v>
      </c>
      <c r="Z337" s="50"/>
      <c r="AA337" s="50">
        <f t="shared" ref="AA337:AA345" si="197">IF(VLOOKUP($D337,$C$5:$AA$496,25,)=0,0,((VLOOKUP($D337,$C$5:$AA$496,25,)/VLOOKUP($D337,$C$5:$AA$496,4,))*$F337))</f>
        <v>0</v>
      </c>
      <c r="AB337" s="50">
        <f t="shared" ref="AB337:AB345" si="198">SUM(H337:AA337)</f>
        <v>0</v>
      </c>
      <c r="AC337" s="28" t="str">
        <f t="shared" ref="AC337:AC345" si="199">IF(ABS(AB337-F337)&lt;1,"ok","err")</f>
        <v>ok</v>
      </c>
    </row>
    <row r="338" spans="1:29" x14ac:dyDescent="0.25">
      <c r="A338" s="14">
        <v>501</v>
      </c>
      <c r="B338" s="14" t="s">
        <v>794</v>
      </c>
      <c r="C338" s="14" t="s">
        <v>841</v>
      </c>
      <c r="D338" s="14" t="s">
        <v>786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5">
      <c r="A339" s="14">
        <v>502</v>
      </c>
      <c r="B339" s="14" t="s">
        <v>795</v>
      </c>
      <c r="C339" s="14" t="s">
        <v>842</v>
      </c>
      <c r="D339" s="14" t="s">
        <v>552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5">
      <c r="A340" s="14">
        <v>503</v>
      </c>
      <c r="B340" s="14" t="s">
        <v>796</v>
      </c>
      <c r="C340" s="14" t="s">
        <v>843</v>
      </c>
      <c r="D340" s="14" t="s">
        <v>552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5">
      <c r="A341" s="14">
        <v>504</v>
      </c>
      <c r="B341" s="14" t="s">
        <v>797</v>
      </c>
      <c r="C341" s="14" t="s">
        <v>844</v>
      </c>
      <c r="D341" s="14" t="s">
        <v>552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5">
      <c r="A342" s="14">
        <v>505</v>
      </c>
      <c r="B342" s="14" t="s">
        <v>798</v>
      </c>
      <c r="C342" s="14" t="s">
        <v>845</v>
      </c>
      <c r="D342" s="14" t="s">
        <v>552</v>
      </c>
      <c r="F342" s="50">
        <v>0</v>
      </c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28" t="str">
        <f t="shared" si="199"/>
        <v>ok</v>
      </c>
    </row>
    <row r="343" spans="1:29" x14ac:dyDescent="0.25">
      <c r="A343" s="14">
        <v>506</v>
      </c>
      <c r="B343" s="14" t="s">
        <v>799</v>
      </c>
      <c r="C343" s="14" t="s">
        <v>846</v>
      </c>
      <c r="D343" s="14" t="s">
        <v>552</v>
      </c>
      <c r="F343" s="50">
        <v>0</v>
      </c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28" t="str">
        <f t="shared" si="199"/>
        <v>ok</v>
      </c>
    </row>
    <row r="344" spans="1:29" x14ac:dyDescent="0.25">
      <c r="A344" s="14">
        <v>507</v>
      </c>
      <c r="B344" s="14" t="s">
        <v>114</v>
      </c>
      <c r="C344" s="14" t="s">
        <v>847</v>
      </c>
      <c r="D344" s="14" t="s">
        <v>552</v>
      </c>
      <c r="F344" s="50">
        <v>0</v>
      </c>
      <c r="H344" s="50">
        <f t="shared" si="186"/>
        <v>0</v>
      </c>
      <c r="I344" s="50">
        <f t="shared" si="187"/>
        <v>0</v>
      </c>
      <c r="J344" s="50"/>
      <c r="K344" s="50">
        <f t="shared" si="188"/>
        <v>0</v>
      </c>
      <c r="L344" s="50"/>
      <c r="M344" s="50">
        <f t="shared" si="189"/>
        <v>0</v>
      </c>
      <c r="N344" s="50"/>
      <c r="O344" s="50">
        <f t="shared" si="190"/>
        <v>0</v>
      </c>
      <c r="P344" s="50">
        <f t="shared" si="191"/>
        <v>0</v>
      </c>
      <c r="Q344" s="50"/>
      <c r="R344" s="50">
        <f t="shared" si="192"/>
        <v>0</v>
      </c>
      <c r="S344" s="50">
        <f t="shared" si="193"/>
        <v>0</v>
      </c>
      <c r="T344" s="50"/>
      <c r="U344" s="50">
        <f t="shared" si="194"/>
        <v>0</v>
      </c>
      <c r="V344" s="50"/>
      <c r="W344" s="50">
        <f t="shared" si="195"/>
        <v>0</v>
      </c>
      <c r="X344" s="50"/>
      <c r="Y344" s="50">
        <f t="shared" si="196"/>
        <v>0</v>
      </c>
      <c r="Z344" s="50"/>
      <c r="AA344" s="50">
        <f t="shared" si="197"/>
        <v>0</v>
      </c>
      <c r="AB344" s="50">
        <f t="shared" si="198"/>
        <v>0</v>
      </c>
      <c r="AC344" s="28" t="str">
        <f t="shared" si="199"/>
        <v>ok</v>
      </c>
    </row>
    <row r="345" spans="1:29" x14ac:dyDescent="0.25">
      <c r="A345" s="14">
        <v>509</v>
      </c>
      <c r="B345" s="14" t="s">
        <v>800</v>
      </c>
      <c r="C345" s="14" t="s">
        <v>848</v>
      </c>
      <c r="D345" s="14" t="s">
        <v>786</v>
      </c>
      <c r="F345" s="50">
        <v>0</v>
      </c>
      <c r="H345" s="50">
        <f t="shared" si="186"/>
        <v>0</v>
      </c>
      <c r="I345" s="50">
        <f t="shared" si="187"/>
        <v>0</v>
      </c>
      <c r="J345" s="50"/>
      <c r="K345" s="50">
        <f t="shared" si="188"/>
        <v>0</v>
      </c>
      <c r="L345" s="50"/>
      <c r="M345" s="50">
        <f t="shared" si="189"/>
        <v>0</v>
      </c>
      <c r="N345" s="50"/>
      <c r="O345" s="50">
        <f t="shared" si="190"/>
        <v>0</v>
      </c>
      <c r="P345" s="50">
        <f t="shared" si="191"/>
        <v>0</v>
      </c>
      <c r="Q345" s="50"/>
      <c r="R345" s="50">
        <f t="shared" si="192"/>
        <v>0</v>
      </c>
      <c r="S345" s="50">
        <f t="shared" si="193"/>
        <v>0</v>
      </c>
      <c r="T345" s="50"/>
      <c r="U345" s="50">
        <f t="shared" si="194"/>
        <v>0</v>
      </c>
      <c r="V345" s="50"/>
      <c r="W345" s="50">
        <f t="shared" si="195"/>
        <v>0</v>
      </c>
      <c r="X345" s="50"/>
      <c r="Y345" s="50">
        <f t="shared" si="196"/>
        <v>0</v>
      </c>
      <c r="Z345" s="50"/>
      <c r="AA345" s="50">
        <f t="shared" si="197"/>
        <v>0</v>
      </c>
      <c r="AB345" s="50">
        <f t="shared" si="198"/>
        <v>0</v>
      </c>
      <c r="AC345" s="28" t="str">
        <f t="shared" si="199"/>
        <v>ok</v>
      </c>
    </row>
    <row r="346" spans="1:29" x14ac:dyDescent="0.25"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28"/>
    </row>
    <row r="347" spans="1:29" x14ac:dyDescent="0.25">
      <c r="A347" s="14" t="s">
        <v>792</v>
      </c>
      <c r="C347" s="14" t="s">
        <v>849</v>
      </c>
      <c r="F347" s="67">
        <f>SUM(F337:F346)</f>
        <v>0</v>
      </c>
      <c r="H347" s="67">
        <f>SUM(H337:H346)</f>
        <v>0</v>
      </c>
      <c r="I347" s="67">
        <f>SUM(I337:I346)</f>
        <v>0</v>
      </c>
      <c r="J347" s="67"/>
      <c r="K347" s="67">
        <f>SUM(K337:K346)</f>
        <v>0</v>
      </c>
      <c r="L347" s="67"/>
      <c r="M347" s="67">
        <f>SUM(M337:M346)</f>
        <v>0</v>
      </c>
      <c r="N347" s="67"/>
      <c r="O347" s="67">
        <f>SUM(O337:O346)</f>
        <v>0</v>
      </c>
      <c r="P347" s="67">
        <f>SUM(P337:P346)</f>
        <v>0</v>
      </c>
      <c r="Q347" s="67"/>
      <c r="R347" s="67">
        <f>SUM(R337:R346)</f>
        <v>0</v>
      </c>
      <c r="S347" s="67">
        <f>SUM(S337:S346)</f>
        <v>0</v>
      </c>
      <c r="T347" s="67"/>
      <c r="U347" s="67">
        <f>SUM(U337:U346)</f>
        <v>0</v>
      </c>
      <c r="V347" s="67"/>
      <c r="W347" s="67">
        <f>SUM(W337:W346)</f>
        <v>0</v>
      </c>
      <c r="X347" s="67"/>
      <c r="Y347" s="67">
        <f>SUM(Y337:Y346)</f>
        <v>0</v>
      </c>
      <c r="Z347" s="67"/>
      <c r="AA347" s="67">
        <f>SUM(AA337:AA346)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5">
      <c r="A348" s="13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C348" s="28"/>
    </row>
    <row r="349" spans="1:29" x14ac:dyDescent="0.25">
      <c r="A349" s="13" t="s">
        <v>789</v>
      </c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C349" s="28"/>
    </row>
    <row r="350" spans="1:29" x14ac:dyDescent="0.25">
      <c r="A350" s="14">
        <v>510</v>
      </c>
      <c r="B350" s="14" t="s">
        <v>801</v>
      </c>
      <c r="C350" s="14" t="s">
        <v>850</v>
      </c>
      <c r="D350" s="14" t="s">
        <v>786</v>
      </c>
      <c r="F350" s="67">
        <v>0</v>
      </c>
      <c r="H350" s="50">
        <f>IF(VLOOKUP($D350,$C$5:$AA$496,6,)=0,0,((VLOOKUP($D350,$C$5:$AA$496,6,)/VLOOKUP($D350,$C$5:$AA$496,4,))*$F350))</f>
        <v>0</v>
      </c>
      <c r="I350" s="50">
        <f>IF(VLOOKUP($D350,$C$5:$AA$496,7,)=0,0,((VLOOKUP($D350,$C$5:$AA$496,7,)/VLOOKUP($D350,$C$5:$AA$496,4,))*$F350))</f>
        <v>0</v>
      </c>
      <c r="J350" s="50"/>
      <c r="K350" s="50">
        <f>IF(VLOOKUP($D350,$C$5:$AA$496,9,)=0,0,((VLOOKUP($D350,$C$5:$AA$496,9,)/VLOOKUP($D350,$C$5:$AA$496,4,))*$F350))</f>
        <v>0</v>
      </c>
      <c r="L350" s="50"/>
      <c r="M350" s="50">
        <f>IF(VLOOKUP($D350,$C$5:$AA$496,11,)=0,0,((VLOOKUP($D350,$C$5:$AA$496,11,)/VLOOKUP($D350,$C$5:$AA$496,4,))*$F350))</f>
        <v>0</v>
      </c>
      <c r="N350" s="50"/>
      <c r="O350" s="50">
        <f>IF(VLOOKUP($D350,$C$5:$AA$496,13,)=0,0,((VLOOKUP($D350,$C$5:$AA$496,13,)/VLOOKUP($D350,$C$5:$AA$496,4,))*$F350))</f>
        <v>0</v>
      </c>
      <c r="P350" s="50">
        <f>IF(VLOOKUP($D350,$C$5:$AA$496,14,)=0,0,((VLOOKUP($D350,$C$5:$AA$496,14,)/VLOOKUP($D350,$C$5:$AA$496,4,))*$F350))</f>
        <v>0</v>
      </c>
      <c r="Q350" s="50"/>
      <c r="R350" s="50">
        <f>IF(VLOOKUP($D350,$C$5:$AA$496,16,)=0,0,((VLOOKUP($D350,$C$5:$AA$496,16,)/VLOOKUP($D350,$C$5:$AA$496,4,))*$F350))</f>
        <v>0</v>
      </c>
      <c r="S350" s="50">
        <f>IF(VLOOKUP($D350,$C$5:$AA$496,17,)=0,0,((VLOOKUP($D350,$C$5:$AA$496,17,)/VLOOKUP($D350,$C$5:$AA$496,4,))*$F350))</f>
        <v>0</v>
      </c>
      <c r="T350" s="50"/>
      <c r="U350" s="50">
        <f>IF(VLOOKUP($D350,$C$5:$AA$496,19,)=0,0,((VLOOKUP($D350,$C$5:$AA$496,19,)/VLOOKUP($D350,$C$5:$AA$496,4,))*$F350))</f>
        <v>0</v>
      </c>
      <c r="V350" s="50"/>
      <c r="W350" s="50">
        <f>IF(VLOOKUP($D350,$C$5:$AA$496,21,)=0,0,((VLOOKUP($D350,$C$5:$AA$496,21,)/VLOOKUP($D350,$C$5:$AA$496,4,))*$F350))</f>
        <v>0</v>
      </c>
      <c r="X350" s="50"/>
      <c r="Y350" s="50">
        <f>IF(VLOOKUP($D350,$C$5:$AA$496,23,)=0,0,((VLOOKUP($D350,$C$5:$AA$496,23,)/VLOOKUP($D350,$C$5:$AA$496,4,))*$F350))</f>
        <v>0</v>
      </c>
      <c r="Z350" s="50"/>
      <c r="AA350" s="50">
        <f>IF(VLOOKUP($D350,$C$5:$AA$496,25,)=0,0,((VLOOKUP($D350,$C$5:$AA$496,25,)/VLOOKUP($D350,$C$5:$AA$496,4,))*$F350))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5">
      <c r="A351" s="14">
        <v>511</v>
      </c>
      <c r="B351" s="14" t="s">
        <v>802</v>
      </c>
      <c r="C351" s="14" t="s">
        <v>851</v>
      </c>
      <c r="D351" s="14" t="s">
        <v>552</v>
      </c>
      <c r="F351" s="50">
        <v>0</v>
      </c>
      <c r="H351" s="50">
        <f>IF(VLOOKUP($D351,$C$5:$AA$496,6,)=0,0,((VLOOKUP($D351,$C$5:$AA$496,6,)/VLOOKUP($D351,$C$5:$AA$496,4,))*$F351))</f>
        <v>0</v>
      </c>
      <c r="I351" s="50">
        <f>IF(VLOOKUP($D351,$C$5:$AA$496,7,)=0,0,((VLOOKUP($D351,$C$5:$AA$496,7,)/VLOOKUP($D351,$C$5:$AA$496,4,))*$F351))</f>
        <v>0</v>
      </c>
      <c r="J351" s="50"/>
      <c r="K351" s="50">
        <f>IF(VLOOKUP($D351,$C$5:$AA$496,9,)=0,0,((VLOOKUP($D351,$C$5:$AA$496,9,)/VLOOKUP($D351,$C$5:$AA$496,4,))*$F351))</f>
        <v>0</v>
      </c>
      <c r="L351" s="50"/>
      <c r="M351" s="50">
        <f>IF(VLOOKUP($D351,$C$5:$AA$496,11,)=0,0,((VLOOKUP($D351,$C$5:$AA$496,11,)/VLOOKUP($D351,$C$5:$AA$496,4,))*$F351))</f>
        <v>0</v>
      </c>
      <c r="N351" s="50"/>
      <c r="O351" s="50">
        <f>IF(VLOOKUP($D351,$C$5:$AA$496,13,)=0,0,((VLOOKUP($D351,$C$5:$AA$496,13,)/VLOOKUP($D351,$C$5:$AA$496,4,))*$F351))</f>
        <v>0</v>
      </c>
      <c r="P351" s="50">
        <f>IF(VLOOKUP($D351,$C$5:$AA$496,14,)=0,0,((VLOOKUP($D351,$C$5:$AA$496,14,)/VLOOKUP($D351,$C$5:$AA$496,4,))*$F351))</f>
        <v>0</v>
      </c>
      <c r="Q351" s="50"/>
      <c r="R351" s="50">
        <f>IF(VLOOKUP($D351,$C$5:$AA$496,16,)=0,0,((VLOOKUP($D351,$C$5:$AA$496,16,)/VLOOKUP($D351,$C$5:$AA$496,4,))*$F351))</f>
        <v>0</v>
      </c>
      <c r="S351" s="50">
        <f>IF(VLOOKUP($D351,$C$5:$AA$496,17,)=0,0,((VLOOKUP($D351,$C$5:$AA$496,17,)/VLOOKUP($D351,$C$5:$AA$496,4,))*$F351))</f>
        <v>0</v>
      </c>
      <c r="T351" s="50"/>
      <c r="U351" s="50">
        <f>IF(VLOOKUP($D351,$C$5:$AA$496,19,)=0,0,((VLOOKUP($D351,$C$5:$AA$496,19,)/VLOOKUP($D351,$C$5:$AA$496,4,))*$F351))</f>
        <v>0</v>
      </c>
      <c r="V351" s="50"/>
      <c r="W351" s="50">
        <f>IF(VLOOKUP($D351,$C$5:$AA$496,21,)=0,0,((VLOOKUP($D351,$C$5:$AA$496,21,)/VLOOKUP($D351,$C$5:$AA$496,4,))*$F351))</f>
        <v>0</v>
      </c>
      <c r="X351" s="50"/>
      <c r="Y351" s="50">
        <f>IF(VLOOKUP($D351,$C$5:$AA$496,23,)=0,0,((VLOOKUP($D351,$C$5:$AA$496,23,)/VLOOKUP($D351,$C$5:$AA$496,4,))*$F351))</f>
        <v>0</v>
      </c>
      <c r="Z351" s="50"/>
      <c r="AA351" s="50">
        <f>IF(VLOOKUP($D351,$C$5:$AA$496,25,)=0,0,((VLOOKUP($D351,$C$5:$AA$496,25,)/VLOOKUP($D351,$C$5:$AA$496,4,))*$F351))</f>
        <v>0</v>
      </c>
      <c r="AB351" s="50">
        <f>SUM(H351:AA351)</f>
        <v>0</v>
      </c>
      <c r="AC351" s="28" t="str">
        <f>IF(ABS(AB351-F351)&lt;1,"ok","err")</f>
        <v>ok</v>
      </c>
    </row>
    <row r="352" spans="1:29" x14ac:dyDescent="0.25">
      <c r="A352" s="14">
        <v>512</v>
      </c>
      <c r="B352" s="14" t="s">
        <v>803</v>
      </c>
      <c r="C352" s="14" t="s">
        <v>852</v>
      </c>
      <c r="D352" s="14" t="s">
        <v>786</v>
      </c>
      <c r="F352" s="50">
        <v>0</v>
      </c>
      <c r="H352" s="50">
        <f>IF(VLOOKUP($D352,$C$5:$AA$496,6,)=0,0,((VLOOKUP($D352,$C$5:$AA$496,6,)/VLOOKUP($D352,$C$5:$AA$496,4,))*$F352))</f>
        <v>0</v>
      </c>
      <c r="I352" s="50">
        <f>IF(VLOOKUP($D352,$C$5:$AA$496,7,)=0,0,((VLOOKUP($D352,$C$5:$AA$496,7,)/VLOOKUP($D352,$C$5:$AA$496,4,))*$F352))</f>
        <v>0</v>
      </c>
      <c r="J352" s="50"/>
      <c r="K352" s="50">
        <f>IF(VLOOKUP($D352,$C$5:$AA$496,9,)=0,0,((VLOOKUP($D352,$C$5:$AA$496,9,)/VLOOKUP($D352,$C$5:$AA$496,4,))*$F352))</f>
        <v>0</v>
      </c>
      <c r="L352" s="50"/>
      <c r="M352" s="50">
        <f>IF(VLOOKUP($D352,$C$5:$AA$496,11,)=0,0,((VLOOKUP($D352,$C$5:$AA$496,11,)/VLOOKUP($D352,$C$5:$AA$496,4,))*$F352))</f>
        <v>0</v>
      </c>
      <c r="N352" s="50"/>
      <c r="O352" s="50">
        <f>IF(VLOOKUP($D352,$C$5:$AA$496,13,)=0,0,((VLOOKUP($D352,$C$5:$AA$496,13,)/VLOOKUP($D352,$C$5:$AA$496,4,))*$F352))</f>
        <v>0</v>
      </c>
      <c r="P352" s="50">
        <f>IF(VLOOKUP($D352,$C$5:$AA$496,14,)=0,0,((VLOOKUP($D352,$C$5:$AA$496,14,)/VLOOKUP($D352,$C$5:$AA$496,4,))*$F352))</f>
        <v>0</v>
      </c>
      <c r="Q352" s="50"/>
      <c r="R352" s="50">
        <f>IF(VLOOKUP($D352,$C$5:$AA$496,16,)=0,0,((VLOOKUP($D352,$C$5:$AA$496,16,)/VLOOKUP($D352,$C$5:$AA$496,4,))*$F352))</f>
        <v>0</v>
      </c>
      <c r="S352" s="50">
        <f>IF(VLOOKUP($D352,$C$5:$AA$496,17,)=0,0,((VLOOKUP($D352,$C$5:$AA$496,17,)/VLOOKUP($D352,$C$5:$AA$496,4,))*$F352))</f>
        <v>0</v>
      </c>
      <c r="T352" s="50"/>
      <c r="U352" s="50">
        <f>IF(VLOOKUP($D352,$C$5:$AA$496,19,)=0,0,((VLOOKUP($D352,$C$5:$AA$496,19,)/VLOOKUP($D352,$C$5:$AA$496,4,))*$F352))</f>
        <v>0</v>
      </c>
      <c r="V352" s="50"/>
      <c r="W352" s="50">
        <f>IF(VLOOKUP($D352,$C$5:$AA$496,21,)=0,0,((VLOOKUP($D352,$C$5:$AA$496,21,)/VLOOKUP($D352,$C$5:$AA$496,4,))*$F352))</f>
        <v>0</v>
      </c>
      <c r="X352" s="50"/>
      <c r="Y352" s="50">
        <f>IF(VLOOKUP($D352,$C$5:$AA$496,23,)=0,0,((VLOOKUP($D352,$C$5:$AA$496,23,)/VLOOKUP($D352,$C$5:$AA$496,4,))*$F352))</f>
        <v>0</v>
      </c>
      <c r="Z352" s="50"/>
      <c r="AA352" s="50">
        <f>IF(VLOOKUP($D352,$C$5:$AA$496,25,)=0,0,((VLOOKUP($D352,$C$5:$AA$496,25,)/VLOOKUP($D352,$C$5:$AA$496,4,))*$F352))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5">
      <c r="A353" s="14">
        <v>513</v>
      </c>
      <c r="B353" s="14" t="s">
        <v>804</v>
      </c>
      <c r="C353" s="14" t="s">
        <v>853</v>
      </c>
      <c r="D353" s="14" t="s">
        <v>786</v>
      </c>
      <c r="F353" s="50">
        <v>0</v>
      </c>
      <c r="H353" s="50">
        <f>IF(VLOOKUP($D353,$C$5:$AA$496,6,)=0,0,((VLOOKUP($D353,$C$5:$AA$496,6,)/VLOOKUP($D353,$C$5:$AA$496,4,))*$F353))</f>
        <v>0</v>
      </c>
      <c r="I353" s="50">
        <f>IF(VLOOKUP($D353,$C$5:$AA$496,7,)=0,0,((VLOOKUP($D353,$C$5:$AA$496,7,)/VLOOKUP($D353,$C$5:$AA$496,4,))*$F353))</f>
        <v>0</v>
      </c>
      <c r="J353" s="50"/>
      <c r="K353" s="50">
        <f>IF(VLOOKUP($D353,$C$5:$AA$496,9,)=0,0,((VLOOKUP($D353,$C$5:$AA$496,9,)/VLOOKUP($D353,$C$5:$AA$496,4,))*$F353))</f>
        <v>0</v>
      </c>
      <c r="L353" s="50"/>
      <c r="M353" s="50">
        <f>IF(VLOOKUP($D353,$C$5:$AA$496,11,)=0,0,((VLOOKUP($D353,$C$5:$AA$496,11,)/VLOOKUP($D353,$C$5:$AA$496,4,))*$F353))</f>
        <v>0</v>
      </c>
      <c r="N353" s="50"/>
      <c r="O353" s="50">
        <f>IF(VLOOKUP($D353,$C$5:$AA$496,13,)=0,0,((VLOOKUP($D353,$C$5:$AA$496,13,)/VLOOKUP($D353,$C$5:$AA$496,4,))*$F353))</f>
        <v>0</v>
      </c>
      <c r="P353" s="50">
        <f>IF(VLOOKUP($D353,$C$5:$AA$496,14,)=0,0,((VLOOKUP($D353,$C$5:$AA$496,14,)/VLOOKUP($D353,$C$5:$AA$496,4,))*$F353))</f>
        <v>0</v>
      </c>
      <c r="Q353" s="50"/>
      <c r="R353" s="50">
        <f>IF(VLOOKUP($D353,$C$5:$AA$496,16,)=0,0,((VLOOKUP($D353,$C$5:$AA$496,16,)/VLOOKUP($D353,$C$5:$AA$496,4,))*$F353))</f>
        <v>0</v>
      </c>
      <c r="S353" s="50">
        <f>IF(VLOOKUP($D353,$C$5:$AA$496,17,)=0,0,((VLOOKUP($D353,$C$5:$AA$496,17,)/VLOOKUP($D353,$C$5:$AA$496,4,))*$F353))</f>
        <v>0</v>
      </c>
      <c r="T353" s="50"/>
      <c r="U353" s="50">
        <f>IF(VLOOKUP($D353,$C$5:$AA$496,19,)=0,0,((VLOOKUP($D353,$C$5:$AA$496,19,)/VLOOKUP($D353,$C$5:$AA$496,4,))*$F353))</f>
        <v>0</v>
      </c>
      <c r="V353" s="50"/>
      <c r="W353" s="50">
        <f>IF(VLOOKUP($D353,$C$5:$AA$496,21,)=0,0,((VLOOKUP($D353,$C$5:$AA$496,21,)/VLOOKUP($D353,$C$5:$AA$496,4,))*$F353))</f>
        <v>0</v>
      </c>
      <c r="X353" s="50"/>
      <c r="Y353" s="50">
        <f>IF(VLOOKUP($D353,$C$5:$AA$496,23,)=0,0,((VLOOKUP($D353,$C$5:$AA$496,23,)/VLOOKUP($D353,$C$5:$AA$496,4,))*$F353))</f>
        <v>0</v>
      </c>
      <c r="Z353" s="50"/>
      <c r="AA353" s="50">
        <f>IF(VLOOKUP($D353,$C$5:$AA$496,25,)=0,0,((VLOOKUP($D353,$C$5:$AA$496,25,)/VLOOKUP($D353,$C$5:$AA$496,4,))*$F353))</f>
        <v>0</v>
      </c>
      <c r="AB353" s="50">
        <f>SUM(H353:AA353)</f>
        <v>0</v>
      </c>
      <c r="AC353" s="28" t="str">
        <f>IF(ABS(AB353-F353)&lt;1,"ok","err")</f>
        <v>ok</v>
      </c>
    </row>
    <row r="354" spans="1:29" x14ac:dyDescent="0.25">
      <c r="A354" s="14">
        <v>514</v>
      </c>
      <c r="B354" s="14" t="s">
        <v>805</v>
      </c>
      <c r="C354" s="14" t="s">
        <v>854</v>
      </c>
      <c r="D354" s="14" t="s">
        <v>552</v>
      </c>
      <c r="F354" s="50">
        <v>0</v>
      </c>
      <c r="H354" s="50">
        <f>IF(VLOOKUP($D354,$C$5:$AA$496,6,)=0,0,((VLOOKUP($D354,$C$5:$AA$496,6,)/VLOOKUP($D354,$C$5:$AA$496,4,))*$F354))</f>
        <v>0</v>
      </c>
      <c r="I354" s="50">
        <f>IF(VLOOKUP($D354,$C$5:$AA$496,7,)=0,0,((VLOOKUP($D354,$C$5:$AA$496,7,)/VLOOKUP($D354,$C$5:$AA$496,4,))*$F354))</f>
        <v>0</v>
      </c>
      <c r="J354" s="50"/>
      <c r="K354" s="50">
        <f>IF(VLOOKUP($D354,$C$5:$AA$496,9,)=0,0,((VLOOKUP($D354,$C$5:$AA$496,9,)/VLOOKUP($D354,$C$5:$AA$496,4,))*$F354))</f>
        <v>0</v>
      </c>
      <c r="L354" s="50"/>
      <c r="M354" s="50">
        <f>IF(VLOOKUP($D354,$C$5:$AA$496,11,)=0,0,((VLOOKUP($D354,$C$5:$AA$496,11,)/VLOOKUP($D354,$C$5:$AA$496,4,))*$F354))</f>
        <v>0</v>
      </c>
      <c r="N354" s="50"/>
      <c r="O354" s="50">
        <f>IF(VLOOKUP($D354,$C$5:$AA$496,13,)=0,0,((VLOOKUP($D354,$C$5:$AA$496,13,)/VLOOKUP($D354,$C$5:$AA$496,4,))*$F354))</f>
        <v>0</v>
      </c>
      <c r="P354" s="50">
        <f>IF(VLOOKUP($D354,$C$5:$AA$496,14,)=0,0,((VLOOKUP($D354,$C$5:$AA$496,14,)/VLOOKUP($D354,$C$5:$AA$496,4,))*$F354))</f>
        <v>0</v>
      </c>
      <c r="Q354" s="50"/>
      <c r="R354" s="50">
        <f>IF(VLOOKUP($D354,$C$5:$AA$496,16,)=0,0,((VLOOKUP($D354,$C$5:$AA$496,16,)/VLOOKUP($D354,$C$5:$AA$496,4,))*$F354))</f>
        <v>0</v>
      </c>
      <c r="S354" s="50">
        <f>IF(VLOOKUP($D354,$C$5:$AA$496,17,)=0,0,((VLOOKUP($D354,$C$5:$AA$496,17,)/VLOOKUP($D354,$C$5:$AA$496,4,))*$F354))</f>
        <v>0</v>
      </c>
      <c r="T354" s="50"/>
      <c r="U354" s="50">
        <f>IF(VLOOKUP($D354,$C$5:$AA$496,19,)=0,0,((VLOOKUP($D354,$C$5:$AA$496,19,)/VLOOKUP($D354,$C$5:$AA$496,4,))*$F354))</f>
        <v>0</v>
      </c>
      <c r="V354" s="50"/>
      <c r="W354" s="50">
        <f>IF(VLOOKUP($D354,$C$5:$AA$496,21,)=0,0,((VLOOKUP($D354,$C$5:$AA$496,21,)/VLOOKUP($D354,$C$5:$AA$496,4,))*$F354))</f>
        <v>0</v>
      </c>
      <c r="X354" s="50"/>
      <c r="Y354" s="50">
        <f>IF(VLOOKUP($D354,$C$5:$AA$496,23,)=0,0,((VLOOKUP($D354,$C$5:$AA$496,23,)/VLOOKUP($D354,$C$5:$AA$496,4,))*$F354))</f>
        <v>0</v>
      </c>
      <c r="Z354" s="50"/>
      <c r="AA354" s="50">
        <f>IF(VLOOKUP($D354,$C$5:$AA$496,25,)=0,0,((VLOOKUP($D354,$C$5:$AA$496,25,)/VLOOKUP($D354,$C$5:$AA$496,4,))*$F354))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5"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28"/>
    </row>
    <row r="356" spans="1:29" x14ac:dyDescent="0.25">
      <c r="A356" s="14" t="s">
        <v>790</v>
      </c>
      <c r="C356" s="14" t="s">
        <v>855</v>
      </c>
      <c r="F356" s="67">
        <f>SUM(F350:F355)</f>
        <v>0</v>
      </c>
      <c r="H356" s="67">
        <f>SUM(H350:H355)</f>
        <v>0</v>
      </c>
      <c r="I356" s="67">
        <f>SUM(I350:I355)</f>
        <v>0</v>
      </c>
      <c r="J356" s="67"/>
      <c r="K356" s="67">
        <f>SUM(K350:K355)</f>
        <v>0</v>
      </c>
      <c r="L356" s="67"/>
      <c r="M356" s="67">
        <f>SUM(M350:M355)</f>
        <v>0</v>
      </c>
      <c r="N356" s="67"/>
      <c r="O356" s="67">
        <f>SUM(O350:O355)</f>
        <v>0</v>
      </c>
      <c r="P356" s="67">
        <f>SUM(P350:P355)</f>
        <v>0</v>
      </c>
      <c r="Q356" s="67"/>
      <c r="R356" s="67">
        <f>SUM(R350:R355)</f>
        <v>0</v>
      </c>
      <c r="S356" s="67">
        <f>SUM(S350:S355)</f>
        <v>0</v>
      </c>
      <c r="T356" s="67"/>
      <c r="U356" s="67">
        <f>SUM(U350:U355)</f>
        <v>0</v>
      </c>
      <c r="V356" s="67"/>
      <c r="W356" s="67">
        <f>SUM(W350:W355)</f>
        <v>0</v>
      </c>
      <c r="X356" s="67"/>
      <c r="Y356" s="67">
        <f>SUM(Y350:Y355)</f>
        <v>0</v>
      </c>
      <c r="Z356" s="67"/>
      <c r="AA356" s="67">
        <f>SUM(AA350:AA355)</f>
        <v>0</v>
      </c>
      <c r="AB356" s="50">
        <f>SUM(H356:AA356)</f>
        <v>0</v>
      </c>
      <c r="AC356" s="28" t="str">
        <f>IF(ABS(AB356-F356)&lt;1,"ok","err")</f>
        <v>ok</v>
      </c>
    </row>
    <row r="357" spans="1:29" x14ac:dyDescent="0.25">
      <c r="F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C357" s="28"/>
    </row>
    <row r="358" spans="1:29" x14ac:dyDescent="0.25">
      <c r="A358" s="14" t="s">
        <v>791</v>
      </c>
      <c r="C358" s="14" t="s">
        <v>856</v>
      </c>
      <c r="F358" s="50">
        <f>F347+F356</f>
        <v>0</v>
      </c>
      <c r="H358" s="50">
        <f>H347+H356</f>
        <v>0</v>
      </c>
      <c r="I358" s="50">
        <f>I347+I356</f>
        <v>0</v>
      </c>
      <c r="J358" s="50"/>
      <c r="K358" s="50">
        <f>K347+K356</f>
        <v>0</v>
      </c>
      <c r="L358" s="50"/>
      <c r="M358" s="50">
        <f>M347+M356</f>
        <v>0</v>
      </c>
      <c r="N358" s="50"/>
      <c r="O358" s="50">
        <f>O347+O356</f>
        <v>0</v>
      </c>
      <c r="P358" s="50">
        <f>P347+P356</f>
        <v>0</v>
      </c>
      <c r="Q358" s="50"/>
      <c r="R358" s="50">
        <f>R347+R356</f>
        <v>0</v>
      </c>
      <c r="S358" s="50">
        <f>S347+S356</f>
        <v>0</v>
      </c>
      <c r="T358" s="50"/>
      <c r="U358" s="50">
        <f>U347+U356</f>
        <v>0</v>
      </c>
      <c r="V358" s="50"/>
      <c r="W358" s="50">
        <f>W347+W356</f>
        <v>0</v>
      </c>
      <c r="X358" s="50"/>
      <c r="Y358" s="50">
        <f>Y347+Y356</f>
        <v>0</v>
      </c>
      <c r="Z358" s="50"/>
      <c r="AA358" s="50">
        <f>AA347+AA356</f>
        <v>0</v>
      </c>
      <c r="AB358" s="50">
        <f>SUM(H358:AA358)</f>
        <v>0</v>
      </c>
      <c r="AC358" s="28" t="str">
        <f>IF(ABS(AB358-F358)&lt;1,"ok","err")</f>
        <v>ok</v>
      </c>
    </row>
    <row r="359" spans="1:29" x14ac:dyDescent="0.25">
      <c r="A359" s="26"/>
      <c r="Q359" s="14"/>
      <c r="AC359" s="28"/>
    </row>
    <row r="360" spans="1:29" x14ac:dyDescent="0.25">
      <c r="A360" s="26"/>
      <c r="Q360" s="14"/>
      <c r="AC360" s="28"/>
    </row>
    <row r="361" spans="1:29" x14ac:dyDescent="0.25">
      <c r="A361" s="26" t="s">
        <v>473</v>
      </c>
      <c r="Q361" s="14"/>
      <c r="AC361" s="28"/>
    </row>
    <row r="362" spans="1:29" x14ac:dyDescent="0.25">
      <c r="A362" s="26"/>
      <c r="Q362" s="14"/>
      <c r="AC362" s="28"/>
    </row>
    <row r="363" spans="1:29" x14ac:dyDescent="0.25">
      <c r="A363" s="13" t="s">
        <v>95</v>
      </c>
      <c r="Q363" s="14"/>
      <c r="AC363" s="28"/>
    </row>
    <row r="364" spans="1:29" x14ac:dyDescent="0.25">
      <c r="A364" s="14">
        <v>555</v>
      </c>
      <c r="B364" s="14" t="s">
        <v>378</v>
      </c>
      <c r="C364" s="14" t="s">
        <v>530</v>
      </c>
      <c r="D364" s="14" t="s">
        <v>96</v>
      </c>
      <c r="F364" s="67">
        <v>0</v>
      </c>
      <c r="G364" s="67"/>
      <c r="H364" s="50">
        <f>IF(VLOOKUP($D364,$C$5:$AA$496,6,)=0,0,((VLOOKUP($D364,$C$5:$AA$496,6,)/VLOOKUP($D364,$C$5:$AA$496,4,))*$F364))</f>
        <v>0</v>
      </c>
      <c r="I364" s="50">
        <f>IF(VLOOKUP($D364,$C$5:$AA$496,7,)=0,0,((VLOOKUP($D364,$C$5:$AA$496,7,)/VLOOKUP($D364,$C$5:$AA$496,4,))*$F364))</f>
        <v>0</v>
      </c>
      <c r="J364" s="50"/>
      <c r="K364" s="50">
        <f>IF(VLOOKUP($D364,$C$5:$AA$496,9,)=0,0,((VLOOKUP($D364,$C$5:$AA$496,9,)/VLOOKUP($D364,$C$5:$AA$496,4,))*$F364))</f>
        <v>0</v>
      </c>
      <c r="L364" s="50"/>
      <c r="M364" s="50">
        <f>IF(VLOOKUP($D364,$C$5:$AA$496,11,)=0,0,((VLOOKUP($D364,$C$5:$AA$496,11,)/VLOOKUP($D364,$C$5:$AA$496,4,))*$F364))</f>
        <v>0</v>
      </c>
      <c r="N364" s="50"/>
      <c r="O364" s="50">
        <f>IF(VLOOKUP($D364,$C$5:$AA$496,13,)=0,0,((VLOOKUP($D364,$C$5:$AA$496,13,)/VLOOKUP($D364,$C$5:$AA$496,4,))*$F364))</f>
        <v>0</v>
      </c>
      <c r="P364" s="50">
        <f>IF(VLOOKUP($D364,$C$5:$AA$496,14,)=0,0,((VLOOKUP($D364,$C$5:$AA$496,14,)/VLOOKUP($D364,$C$5:$AA$496,4,))*$F364))</f>
        <v>0</v>
      </c>
      <c r="Q364" s="50"/>
      <c r="R364" s="50">
        <f>IF(VLOOKUP($D364,$C$5:$AA$496,16,)=0,0,((VLOOKUP($D364,$C$5:$AA$496,16,)/VLOOKUP($D364,$C$5:$AA$496,4,))*$F364))</f>
        <v>0</v>
      </c>
      <c r="S364" s="50">
        <f>IF(VLOOKUP($D364,$C$5:$AA$496,17,)=0,0,((VLOOKUP($D364,$C$5:$AA$496,17,)/VLOOKUP($D364,$C$5:$AA$496,4,))*$F364))</f>
        <v>0</v>
      </c>
      <c r="T364" s="50"/>
      <c r="U364" s="50">
        <f>IF(VLOOKUP($D364,$C$5:$AA$496,19,)=0,0,((VLOOKUP($D364,$C$5:$AA$496,19,)/VLOOKUP($D364,$C$5:$AA$496,4,))*$F364))</f>
        <v>0</v>
      </c>
      <c r="V364" s="50"/>
      <c r="W364" s="50">
        <f>IF(VLOOKUP($D364,$C$5:$AA$496,21,)=0,0,((VLOOKUP($D364,$C$5:$AA$496,21,)/VLOOKUP($D364,$C$5:$AA$496,4,))*$F364))</f>
        <v>0</v>
      </c>
      <c r="X364" s="50"/>
      <c r="Y364" s="50">
        <f>IF(VLOOKUP($D364,$C$5:$AA$496,23,)=0,0,((VLOOKUP($D364,$C$5:$AA$496,23,)/VLOOKUP($D364,$C$5:$AA$496,4,))*$F364))</f>
        <v>0</v>
      </c>
      <c r="Z364" s="50"/>
      <c r="AA364" s="50">
        <f>IF(VLOOKUP($D364,$C$5:$AA$496,25,)=0,0,((VLOOKUP($D364,$C$5:$AA$496,25,)/VLOOKUP($D364,$C$5:$AA$496,4,))*$F364))</f>
        <v>0</v>
      </c>
      <c r="AB364" s="50">
        <f>SUM(H364:AA364)</f>
        <v>0</v>
      </c>
      <c r="AC364" s="28" t="str">
        <f>IF(ABS(AB364-F364)&lt;1,"ok","err")</f>
        <v>ok</v>
      </c>
    </row>
    <row r="365" spans="1:29" x14ac:dyDescent="0.25">
      <c r="A365" s="14">
        <v>557</v>
      </c>
      <c r="B365" s="14" t="s">
        <v>398</v>
      </c>
      <c r="C365" s="14" t="s">
        <v>475</v>
      </c>
      <c r="D365" s="14" t="s">
        <v>96</v>
      </c>
      <c r="F365" s="50"/>
      <c r="G365" s="67"/>
      <c r="H365" s="50">
        <f>IF(VLOOKUP($D365,$C$5:$AA$496,6,)=0,0,((VLOOKUP($D365,$C$5:$AA$496,6,)/VLOOKUP($D365,$C$5:$AA$496,4,))*$F365))</f>
        <v>0</v>
      </c>
      <c r="I365" s="50">
        <f>IF(VLOOKUP($D365,$C$5:$AA$496,7,)=0,0,((VLOOKUP($D365,$C$5:$AA$496,7,)/VLOOKUP($D365,$C$5:$AA$496,4,))*$F365))</f>
        <v>0</v>
      </c>
      <c r="J365" s="50"/>
      <c r="K365" s="50">
        <f>IF(VLOOKUP($D365,$C$5:$AA$496,9,)=0,0,((VLOOKUP($D365,$C$5:$AA$496,9,)/VLOOKUP($D365,$C$5:$AA$496,4,))*$F365))</f>
        <v>0</v>
      </c>
      <c r="L365" s="50"/>
      <c r="M365" s="50">
        <f>IF(VLOOKUP($D365,$C$5:$AA$496,11,)=0,0,((VLOOKUP($D365,$C$5:$AA$496,11,)/VLOOKUP($D365,$C$5:$AA$496,4,))*$F365))</f>
        <v>0</v>
      </c>
      <c r="N365" s="50"/>
      <c r="O365" s="50">
        <f>IF(VLOOKUP($D365,$C$5:$AA$496,13,)=0,0,((VLOOKUP($D365,$C$5:$AA$496,13,)/VLOOKUP($D365,$C$5:$AA$496,4,))*$F365))</f>
        <v>0</v>
      </c>
      <c r="P365" s="50">
        <f>IF(VLOOKUP($D365,$C$5:$AA$496,14,)=0,0,((VLOOKUP($D365,$C$5:$AA$496,14,)/VLOOKUP($D365,$C$5:$AA$496,4,))*$F365))</f>
        <v>0</v>
      </c>
      <c r="Q365" s="50"/>
      <c r="R365" s="50">
        <f>IF(VLOOKUP($D365,$C$5:$AA$496,16,)=0,0,((VLOOKUP($D365,$C$5:$AA$496,16,)/VLOOKUP($D365,$C$5:$AA$496,4,))*$F365))</f>
        <v>0</v>
      </c>
      <c r="S365" s="50">
        <f>IF(VLOOKUP($D365,$C$5:$AA$496,17,)=0,0,((VLOOKUP($D365,$C$5:$AA$496,17,)/VLOOKUP($D365,$C$5:$AA$496,4,))*$F365))</f>
        <v>0</v>
      </c>
      <c r="T365" s="50"/>
      <c r="U365" s="50">
        <f>IF(VLOOKUP($D365,$C$5:$AA$496,19,)=0,0,((VLOOKUP($D365,$C$5:$AA$496,19,)/VLOOKUP($D365,$C$5:$AA$496,4,))*$F365))</f>
        <v>0</v>
      </c>
      <c r="V365" s="50"/>
      <c r="W365" s="50">
        <f>IF(VLOOKUP($D365,$C$5:$AA$496,21,)=0,0,((VLOOKUP($D365,$C$5:$AA$496,21,)/VLOOKUP($D365,$C$5:$AA$496,4,))*$F365))</f>
        <v>0</v>
      </c>
      <c r="X365" s="50"/>
      <c r="Y365" s="50">
        <f>IF(VLOOKUP($D365,$C$5:$AA$496,23,)=0,0,((VLOOKUP($D365,$C$5:$AA$496,23,)/VLOOKUP($D365,$C$5:$AA$496,4,))*$F365))</f>
        <v>0</v>
      </c>
      <c r="Z365" s="50"/>
      <c r="AA365" s="50">
        <f>IF(VLOOKUP($D365,$C$5:$AA$496,25,)=0,0,((VLOOKUP($D365,$C$5:$AA$496,25,)/VLOOKUP($D365,$C$5:$AA$496,4,))*$F365))</f>
        <v>0</v>
      </c>
      <c r="AB365" s="50">
        <f>SUM(H365:AA365)</f>
        <v>0</v>
      </c>
      <c r="AC365" s="28" t="str">
        <f>IF(ABS(AB365-F365)&lt;1,"ok","err")</f>
        <v>ok</v>
      </c>
    </row>
    <row r="366" spans="1:29" x14ac:dyDescent="0.25">
      <c r="F366" s="50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50"/>
      <c r="AC366" s="28"/>
    </row>
    <row r="367" spans="1:29" x14ac:dyDescent="0.25">
      <c r="B367" s="14" t="s">
        <v>532</v>
      </c>
      <c r="C367" s="14" t="s">
        <v>474</v>
      </c>
      <c r="F367" s="67">
        <f>SUM(F364:F366)</f>
        <v>0</v>
      </c>
      <c r="G367" s="67"/>
      <c r="H367" s="67">
        <f>SUM(H364:H366)</f>
        <v>0</v>
      </c>
      <c r="I367" s="67">
        <f>SUM(I364:I366)</f>
        <v>0</v>
      </c>
      <c r="J367" s="67"/>
      <c r="K367" s="67">
        <f>SUM(K364:K366)</f>
        <v>0</v>
      </c>
      <c r="L367" s="67"/>
      <c r="M367" s="67">
        <f>SUM(M364:M366)</f>
        <v>0</v>
      </c>
      <c r="N367" s="67"/>
      <c r="O367" s="67">
        <f>SUM(O364:O366)</f>
        <v>0</v>
      </c>
      <c r="P367" s="67">
        <f>SUM(P364:P366)</f>
        <v>0</v>
      </c>
      <c r="Q367" s="67"/>
      <c r="R367" s="67">
        <f>SUM(R364:R366)</f>
        <v>0</v>
      </c>
      <c r="S367" s="67">
        <f>SUM(S364:S366)</f>
        <v>0</v>
      </c>
      <c r="T367" s="67"/>
      <c r="U367" s="67">
        <f>SUM(U364:U366)</f>
        <v>0</v>
      </c>
      <c r="V367" s="67"/>
      <c r="W367" s="67">
        <f>SUM(W364:W366)</f>
        <v>0</v>
      </c>
      <c r="X367" s="67"/>
      <c r="Y367" s="67">
        <f>SUM(Y364:Y366)</f>
        <v>0</v>
      </c>
      <c r="Z367" s="67"/>
      <c r="AA367" s="67">
        <f>SUM(AA364:AA366)</f>
        <v>0</v>
      </c>
      <c r="AB367" s="50">
        <f>SUM(H367:AA367)</f>
        <v>0</v>
      </c>
      <c r="AC367" s="28" t="str">
        <f>IF(ABS(AB367-F367)&lt;1,"ok","err")</f>
        <v>ok</v>
      </c>
    </row>
    <row r="368" spans="1:29" x14ac:dyDescent="0.25"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50"/>
      <c r="AC368" s="28"/>
    </row>
    <row r="369" spans="1:29" x14ac:dyDescent="0.25">
      <c r="A369" s="13" t="s">
        <v>534</v>
      </c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50"/>
      <c r="AC369" s="28"/>
    </row>
    <row r="370" spans="1:29" x14ac:dyDescent="0.25">
      <c r="A370" s="14">
        <v>560</v>
      </c>
      <c r="B370" s="14" t="s">
        <v>373</v>
      </c>
      <c r="C370" s="14" t="s">
        <v>531</v>
      </c>
      <c r="D370" s="14" t="s">
        <v>390</v>
      </c>
      <c r="F370" s="67">
        <v>0</v>
      </c>
      <c r="G370" s="67"/>
      <c r="H370" s="50">
        <f t="shared" ref="H370:H377" si="200">IF((VLOOKUP($D370,$C$5:$AA$496,6,)=0),0,((VLOOKUP($D370,$C$5:$AA$496,6,)/VLOOKUP($D370,$C$5:$AA$496,4,))*$F370))</f>
        <v>0</v>
      </c>
      <c r="I370" s="50">
        <f t="shared" ref="I370:I377" si="201">IF((VLOOKUP($D370,$C$5:$AA$496,7,)=0),0,((VLOOKUP($D370,$C$5:$AA$496,7,)/VLOOKUP($D370,$C$5:$AA$496,4,))*$F370))</f>
        <v>0</v>
      </c>
      <c r="J370" s="50"/>
      <c r="K370" s="50">
        <f t="shared" ref="K370:K377" si="202">IF((VLOOKUP($D370,$C$5:$AA$496,9,)=0),0,((VLOOKUP($D370,$C$5:$AA$496,9,)/VLOOKUP($D370,$C$5:$AA$496,4,))*$F370))</f>
        <v>0</v>
      </c>
      <c r="L370" s="50"/>
      <c r="M370" s="50">
        <f t="shared" ref="M370:M377" si="203">IF((VLOOKUP($D370,$C$5:$AA$496,11,)=0),0,((VLOOKUP($D370,$C$5:$AA$496,11,)/VLOOKUP($D370,$C$5:$AA$496,4,))*$F370))</f>
        <v>0</v>
      </c>
      <c r="N370" s="50"/>
      <c r="O370" s="50">
        <f t="shared" ref="O370:O377" si="204">IF((VLOOKUP($D370,$C$5:$AA$496,13,)=0),0,((VLOOKUP($D370,$C$5:$AA$496,13,)/VLOOKUP($D370,$C$5:$AA$496,4,))*$F370))</f>
        <v>0</v>
      </c>
      <c r="P370" s="50">
        <f t="shared" ref="P370:P377" si="205">IF((VLOOKUP($D370,$C$5:$AA$496,14,)=0),0,((VLOOKUP($D370,$C$5:$AA$496,14,)/VLOOKUP($D370,$C$5:$AA$496,4,))*$F370))</f>
        <v>0</v>
      </c>
      <c r="Q370" s="50"/>
      <c r="R370" s="50">
        <f t="shared" ref="R370:R377" si="206">IF((VLOOKUP($D370,$C$5:$AA$496,16,)=0),0,((VLOOKUP($D370,$C$5:$AA$496,16,)/VLOOKUP($D370,$C$5:$AA$496,4,))*$F370))</f>
        <v>0</v>
      </c>
      <c r="S370" s="50">
        <f t="shared" ref="S370:S377" si="207">IF((VLOOKUP($D370,$C$5:$AA$496,17,)=0),0,((VLOOKUP($D370,$C$5:$AA$496,17,)/VLOOKUP($D370,$C$5:$AA$496,4,))*$F370))</f>
        <v>0</v>
      </c>
      <c r="T370" s="50"/>
      <c r="U370" s="50">
        <f t="shared" ref="U370:U377" si="208">IF((VLOOKUP($D370,$C$5:$AA$496,19,)=0),0,((VLOOKUP($D370,$C$5:$AA$496,19,)/VLOOKUP($D370,$C$5:$AA$496,4,))*$F370))</f>
        <v>0</v>
      </c>
      <c r="V370" s="50"/>
      <c r="W370" s="50">
        <f t="shared" ref="W370:W377" si="209">IF((VLOOKUP($D370,$C$5:$AA$496,21,)=0),0,((VLOOKUP($D370,$C$5:$AA$496,21,)/VLOOKUP($D370,$C$5:$AA$496,4,))*$F370))</f>
        <v>0</v>
      </c>
      <c r="X370" s="50"/>
      <c r="Y370" s="50">
        <f t="shared" ref="Y370:Y377" si="210">IF((VLOOKUP($D370,$C$5:$AA$496,23,)=0),0,((VLOOKUP($D370,$C$5:$AA$496,23,)/VLOOKUP($D370,$C$5:$AA$496,4,))*$F370))</f>
        <v>0</v>
      </c>
      <c r="Z370" s="50"/>
      <c r="AA370" s="50">
        <f t="shared" ref="AA370:AA377" si="211">IF((VLOOKUP($D370,$C$5:$AA$496,25,)=0),0,((VLOOKUP($D370,$C$5:$AA$496,25,)/VLOOKUP($D370,$C$5:$AA$496,4,))*$F370))</f>
        <v>0</v>
      </c>
      <c r="AB370" s="50">
        <f t="shared" ref="AB370:AB377" si="212">SUM(H370:AA370)</f>
        <v>0</v>
      </c>
      <c r="AC370" s="28" t="str">
        <f t="shared" ref="AC370:AC377" si="213">IF(ABS(AB370-F370)&lt;1,"ok","err")</f>
        <v>ok</v>
      </c>
    </row>
    <row r="371" spans="1:29" x14ac:dyDescent="0.25">
      <c r="A371" s="14">
        <v>561</v>
      </c>
      <c r="B371" s="14" t="s">
        <v>100</v>
      </c>
      <c r="C371" s="14" t="s">
        <v>476</v>
      </c>
      <c r="D371" s="14" t="s">
        <v>390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5">
      <c r="A372" s="14">
        <v>562</v>
      </c>
      <c r="B372" s="14" t="s">
        <v>371</v>
      </c>
      <c r="C372" s="14" t="s">
        <v>477</v>
      </c>
      <c r="D372" s="14" t="s">
        <v>390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5">
      <c r="A373" s="14">
        <v>563</v>
      </c>
      <c r="B373" s="14" t="s">
        <v>102</v>
      </c>
      <c r="C373" s="14" t="s">
        <v>478</v>
      </c>
      <c r="D373" s="14" t="s">
        <v>390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5">
      <c r="A374" s="14">
        <v>566</v>
      </c>
      <c r="B374" s="14" t="s">
        <v>586</v>
      </c>
      <c r="C374" s="14" t="s">
        <v>590</v>
      </c>
      <c r="D374" s="14" t="s">
        <v>390</v>
      </c>
      <c r="F374" s="50">
        <v>0</v>
      </c>
      <c r="G374" s="67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>SUM(H374:AA374)</f>
        <v>0</v>
      </c>
      <c r="AC374" s="28" t="str">
        <f>IF(ABS(AB374-F374)&lt;1,"ok","err")</f>
        <v>ok</v>
      </c>
    </row>
    <row r="375" spans="1:29" x14ac:dyDescent="0.25">
      <c r="A375" s="14">
        <v>568</v>
      </c>
      <c r="B375" s="14" t="s">
        <v>372</v>
      </c>
      <c r="C375" s="14" t="s">
        <v>479</v>
      </c>
      <c r="D375" s="14" t="s">
        <v>390</v>
      </c>
      <c r="F375" s="50">
        <v>0</v>
      </c>
      <c r="G375" s="67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28" t="str">
        <f t="shared" si="213"/>
        <v>ok</v>
      </c>
    </row>
    <row r="376" spans="1:29" x14ac:dyDescent="0.25">
      <c r="A376" s="14">
        <v>570</v>
      </c>
      <c r="B376" s="14" t="s">
        <v>374</v>
      </c>
      <c r="C376" s="14" t="s">
        <v>480</v>
      </c>
      <c r="D376" s="14" t="s">
        <v>390</v>
      </c>
      <c r="F376" s="50">
        <v>0</v>
      </c>
      <c r="G376" s="67"/>
      <c r="H376" s="50">
        <f t="shared" si="200"/>
        <v>0</v>
      </c>
      <c r="I376" s="50">
        <f t="shared" si="201"/>
        <v>0</v>
      </c>
      <c r="J376" s="50"/>
      <c r="K376" s="50">
        <f t="shared" si="202"/>
        <v>0</v>
      </c>
      <c r="L376" s="50"/>
      <c r="M376" s="50">
        <f t="shared" si="203"/>
        <v>0</v>
      </c>
      <c r="N376" s="50"/>
      <c r="O376" s="50">
        <f t="shared" si="204"/>
        <v>0</v>
      </c>
      <c r="P376" s="50">
        <f t="shared" si="205"/>
        <v>0</v>
      </c>
      <c r="Q376" s="50"/>
      <c r="R376" s="50">
        <f t="shared" si="206"/>
        <v>0</v>
      </c>
      <c r="S376" s="50">
        <f t="shared" si="207"/>
        <v>0</v>
      </c>
      <c r="T376" s="50"/>
      <c r="U376" s="50">
        <f t="shared" si="208"/>
        <v>0</v>
      </c>
      <c r="V376" s="50"/>
      <c r="W376" s="50">
        <f t="shared" si="209"/>
        <v>0</v>
      </c>
      <c r="X376" s="50"/>
      <c r="Y376" s="50">
        <f t="shared" si="210"/>
        <v>0</v>
      </c>
      <c r="Z376" s="50"/>
      <c r="AA376" s="50">
        <f t="shared" si="211"/>
        <v>0</v>
      </c>
      <c r="AB376" s="50">
        <f t="shared" si="212"/>
        <v>0</v>
      </c>
      <c r="AC376" s="28" t="str">
        <f t="shared" si="213"/>
        <v>ok</v>
      </c>
    </row>
    <row r="377" spans="1:29" x14ac:dyDescent="0.25">
      <c r="A377" s="14">
        <v>571</v>
      </c>
      <c r="B377" s="14" t="s">
        <v>375</v>
      </c>
      <c r="C377" s="14" t="s">
        <v>481</v>
      </c>
      <c r="D377" s="14" t="s">
        <v>390</v>
      </c>
      <c r="F377" s="50">
        <v>0</v>
      </c>
      <c r="G377" s="67"/>
      <c r="H377" s="50">
        <f t="shared" si="200"/>
        <v>0</v>
      </c>
      <c r="I377" s="50">
        <f t="shared" si="201"/>
        <v>0</v>
      </c>
      <c r="J377" s="50"/>
      <c r="K377" s="50">
        <f t="shared" si="202"/>
        <v>0</v>
      </c>
      <c r="L377" s="50"/>
      <c r="M377" s="50">
        <f t="shared" si="203"/>
        <v>0</v>
      </c>
      <c r="N377" s="50"/>
      <c r="O377" s="50">
        <f t="shared" si="204"/>
        <v>0</v>
      </c>
      <c r="P377" s="50">
        <f t="shared" si="205"/>
        <v>0</v>
      </c>
      <c r="Q377" s="50"/>
      <c r="R377" s="50">
        <f t="shared" si="206"/>
        <v>0</v>
      </c>
      <c r="S377" s="50">
        <f t="shared" si="207"/>
        <v>0</v>
      </c>
      <c r="T377" s="50"/>
      <c r="U377" s="50">
        <f t="shared" si="208"/>
        <v>0</v>
      </c>
      <c r="V377" s="50"/>
      <c r="W377" s="50">
        <f t="shared" si="209"/>
        <v>0</v>
      </c>
      <c r="X377" s="50"/>
      <c r="Y377" s="50">
        <f t="shared" si="210"/>
        <v>0</v>
      </c>
      <c r="Z377" s="50"/>
      <c r="AA377" s="50">
        <f t="shared" si="211"/>
        <v>0</v>
      </c>
      <c r="AB377" s="50">
        <f t="shared" si="212"/>
        <v>0</v>
      </c>
      <c r="AC377" s="28" t="str">
        <f t="shared" si="213"/>
        <v>ok</v>
      </c>
    </row>
    <row r="378" spans="1:29" x14ac:dyDescent="0.25"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50"/>
      <c r="AC378" s="28"/>
    </row>
    <row r="379" spans="1:29" x14ac:dyDescent="0.25">
      <c r="A379" s="14" t="s">
        <v>533</v>
      </c>
      <c r="F379" s="91">
        <f>SUM(F370:F377)</f>
        <v>0</v>
      </c>
      <c r="G379" s="91">
        <f>SUM(G370:G377)</f>
        <v>0</v>
      </c>
      <c r="H379" s="91">
        <f>SUM(H370:H377)</f>
        <v>0</v>
      </c>
      <c r="I379" s="91">
        <f>SUM(I370:I377)</f>
        <v>0</v>
      </c>
      <c r="J379" s="91"/>
      <c r="K379" s="91">
        <f>SUM(K370:K377)</f>
        <v>0</v>
      </c>
      <c r="L379" s="91"/>
      <c r="M379" s="91">
        <f>SUM(M370:M377)</f>
        <v>0</v>
      </c>
      <c r="N379" s="91"/>
      <c r="O379" s="91">
        <f>SUM(O370:O377)</f>
        <v>0</v>
      </c>
      <c r="P379" s="91">
        <f>SUM(P370:P377)</f>
        <v>0</v>
      </c>
      <c r="Q379" s="91"/>
      <c r="R379" s="91">
        <f>SUM(R370:R377)</f>
        <v>0</v>
      </c>
      <c r="S379" s="91">
        <f>SUM(S370:S377)</f>
        <v>0</v>
      </c>
      <c r="T379" s="91"/>
      <c r="U379" s="91">
        <f>SUM(U370:U377)</f>
        <v>0</v>
      </c>
      <c r="V379" s="91"/>
      <c r="W379" s="91">
        <f>SUM(W370:W377)</f>
        <v>0</v>
      </c>
      <c r="X379" s="91"/>
      <c r="Y379" s="91">
        <f>SUM(Y370:Y377)</f>
        <v>0</v>
      </c>
      <c r="Z379" s="91"/>
      <c r="AA379" s="91">
        <f>SUM(AA370:AA377)</f>
        <v>0</v>
      </c>
      <c r="AB379" s="67">
        <f>SUM(H379:AA379)</f>
        <v>0</v>
      </c>
      <c r="AC379" s="28" t="str">
        <f>IF(ABS(AB379-F379)&lt;1,"ok","err")</f>
        <v>ok</v>
      </c>
    </row>
    <row r="380" spans="1:29" x14ac:dyDescent="0.25">
      <c r="Q380" s="14"/>
      <c r="AC380" s="28"/>
    </row>
    <row r="381" spans="1:29" x14ac:dyDescent="0.25">
      <c r="A381" s="13" t="s">
        <v>535</v>
      </c>
      <c r="Q381" s="14"/>
      <c r="AC381" s="28"/>
    </row>
    <row r="382" spans="1:29" x14ac:dyDescent="0.25">
      <c r="A382" s="14">
        <v>580</v>
      </c>
      <c r="B382" s="14" t="s">
        <v>98</v>
      </c>
      <c r="C382" s="14" t="s">
        <v>482</v>
      </c>
      <c r="D382" s="14" t="s">
        <v>16</v>
      </c>
      <c r="F382" s="67">
        <v>591723.23</v>
      </c>
      <c r="H382" s="50">
        <f t="shared" ref="H382:H392" si="214">IF(VLOOKUP($D382,$C$5:$AA$496,6,)=0,0,((VLOOKUP($D382,$C$5:$AA$496,6,)/VLOOKUP($D382,$C$5:$AA$496,4,))*$F382))</f>
        <v>0</v>
      </c>
      <c r="I382" s="50">
        <f t="shared" ref="I382:I392" si="215">IF(VLOOKUP($D382,$C$5:$AA$496,7,)=0,0,((VLOOKUP($D382,$C$5:$AA$496,7,)/VLOOKUP($D382,$C$5:$AA$496,4,))*$F382))</f>
        <v>0</v>
      </c>
      <c r="J382" s="50"/>
      <c r="K382" s="50">
        <f t="shared" ref="K382:K392" si="216">IF(VLOOKUP($D382,$C$5:$AA$496,9,)=0,0,((VLOOKUP($D382,$C$5:$AA$496,9,)/VLOOKUP($D382,$C$5:$AA$496,4,))*$F382))</f>
        <v>0</v>
      </c>
      <c r="L382" s="50"/>
      <c r="M382" s="50">
        <f t="shared" ref="M382:M392" si="217">IF(VLOOKUP($D382,$C$5:$AA$496,11,)=0,0,((VLOOKUP($D382,$C$5:$AA$496,11,)/VLOOKUP($D382,$C$5:$AA$496,4,))*$F382))</f>
        <v>77418.721099765011</v>
      </c>
      <c r="N382" s="50"/>
      <c r="O382" s="50">
        <f t="shared" ref="O382:O392" si="218">IF(VLOOKUP($D382,$C$5:$AA$496,13,)=0,0,((VLOOKUP($D382,$C$5:$AA$496,13,)/VLOOKUP($D382,$C$5:$AA$496,4,))*$F382))</f>
        <v>155859.7911414933</v>
      </c>
      <c r="P382" s="50">
        <f t="shared" ref="P382:P392" si="219">IF(VLOOKUP($D382,$C$5:$AA$496,14,)=0,0,((VLOOKUP($D382,$C$5:$AA$496,14,)/VLOOKUP($D382,$C$5:$AA$496,4,))*$F382))</f>
        <v>273367.74710316712</v>
      </c>
      <c r="Q382" s="50"/>
      <c r="R382" s="50">
        <f t="shared" ref="R382:R392" si="220">IF(VLOOKUP($D382,$C$5:$AA$496,16,)=0,0,((VLOOKUP($D382,$C$5:$AA$496,16,)/VLOOKUP($D382,$C$5:$AA$496,4,))*$F382))</f>
        <v>0</v>
      </c>
      <c r="S382" s="50">
        <f t="shared" ref="S382:S392" si="221">IF(VLOOKUP($D382,$C$5:$AA$496,17,)=0,0,((VLOOKUP($D382,$C$5:$AA$496,17,)/VLOOKUP($D382,$C$5:$AA$496,4,))*$F382))</f>
        <v>40127.724432421113</v>
      </c>
      <c r="T382" s="50"/>
      <c r="U382" s="50">
        <f t="shared" ref="U382:U392" si="222">IF(VLOOKUP($D382,$C$5:$AA$496,19,)=0,0,((VLOOKUP($D382,$C$5:$AA$496,19,)/VLOOKUP($D382,$C$5:$AA$496,4,))*$F382))</f>
        <v>30267.02439583878</v>
      </c>
      <c r="V382" s="50"/>
      <c r="W382" s="50">
        <f t="shared" ref="W382:W392" si="223">IF(VLOOKUP($D382,$C$5:$AA$496,21,)=0,0,((VLOOKUP($D382,$C$5:$AA$496,21,)/VLOOKUP($D382,$C$5:$AA$496,4,))*$F382))</f>
        <v>14682.221827314668</v>
      </c>
      <c r="X382" s="50"/>
      <c r="Y382" s="50">
        <f t="shared" ref="Y382:Y392" si="224">IF(VLOOKUP($D382,$C$5:$AA$496,23,)=0,0,((VLOOKUP($D382,$C$5:$AA$496,23,)/VLOOKUP($D382,$C$5:$AA$496,4,))*$F382))</f>
        <v>0</v>
      </c>
      <c r="Z382" s="50"/>
      <c r="AA382" s="50">
        <f t="shared" ref="AA382:AA392" si="225">IF(VLOOKUP($D382,$C$5:$AA$496,25,)=0,0,((VLOOKUP($D382,$C$5:$AA$496,25,)/VLOOKUP($D382,$C$5:$AA$496,4,))*$F382))</f>
        <v>0</v>
      </c>
      <c r="AB382" s="50">
        <f t="shared" ref="AB382:AB392" si="226">SUM(H382:AA382)</f>
        <v>591723.23</v>
      </c>
      <c r="AC382" s="28" t="str">
        <f t="shared" ref="AC382:AC392" si="227">IF(ABS(AB382-F382)&lt;1,"ok","err")</f>
        <v>ok</v>
      </c>
    </row>
    <row r="383" spans="1:29" x14ac:dyDescent="0.25">
      <c r="A383" s="14">
        <v>581</v>
      </c>
      <c r="B383" s="14" t="s">
        <v>100</v>
      </c>
      <c r="C383" s="14" t="s">
        <v>483</v>
      </c>
      <c r="D383" s="14" t="s">
        <v>23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5">
      <c r="A384" s="14">
        <v>582</v>
      </c>
      <c r="B384" s="14" t="s">
        <v>371</v>
      </c>
      <c r="C384" s="14" t="s">
        <v>484</v>
      </c>
      <c r="D384" s="14" t="s">
        <v>23</v>
      </c>
      <c r="F384" s="50">
        <f>72160.63+9103.01</f>
        <v>81263.64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81263.64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81263.64</v>
      </c>
      <c r="AC384" s="28" t="str">
        <f t="shared" si="227"/>
        <v>ok</v>
      </c>
    </row>
    <row r="385" spans="1:29" x14ac:dyDescent="0.25">
      <c r="A385" s="14">
        <v>583</v>
      </c>
      <c r="B385" s="14" t="s">
        <v>102</v>
      </c>
      <c r="C385" s="14" t="s">
        <v>485</v>
      </c>
      <c r="D385" s="14" t="s">
        <v>29</v>
      </c>
      <c r="F385" s="50">
        <f>127941.35+8949.28+504.2</f>
        <v>137394.83000000002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22543.645795188564</v>
      </c>
      <c r="P385" s="50">
        <f t="shared" si="219"/>
        <v>114851.18420481145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137394.83000000002</v>
      </c>
      <c r="AC385" s="28" t="str">
        <f t="shared" si="227"/>
        <v>ok</v>
      </c>
    </row>
    <row r="386" spans="1:29" x14ac:dyDescent="0.25">
      <c r="A386" s="14">
        <v>584</v>
      </c>
      <c r="B386" s="14" t="s">
        <v>104</v>
      </c>
      <c r="C386" s="14" t="s">
        <v>486</v>
      </c>
      <c r="D386" s="14" t="s">
        <v>35</v>
      </c>
      <c r="F386" s="50">
        <v>45368.04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36788.383669531751</v>
      </c>
      <c r="P386" s="50">
        <f t="shared" si="219"/>
        <v>8579.6563304682513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45368.04</v>
      </c>
      <c r="AC386" s="28" t="str">
        <f t="shared" si="227"/>
        <v>ok</v>
      </c>
    </row>
    <row r="387" spans="1:29" x14ac:dyDescent="0.25">
      <c r="A387" s="14">
        <v>585</v>
      </c>
      <c r="B387" s="14" t="s">
        <v>106</v>
      </c>
      <c r="C387" s="14" t="s">
        <v>487</v>
      </c>
      <c r="D387" s="14" t="s">
        <v>46</v>
      </c>
      <c r="F387" s="50">
        <v>0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28" t="str">
        <f t="shared" si="227"/>
        <v>ok</v>
      </c>
    </row>
    <row r="388" spans="1:29" x14ac:dyDescent="0.25">
      <c r="A388" s="14">
        <v>586</v>
      </c>
      <c r="B388" s="14" t="s">
        <v>108</v>
      </c>
      <c r="C388" s="14" t="s">
        <v>488</v>
      </c>
      <c r="D388" s="14" t="s">
        <v>43</v>
      </c>
      <c r="F388" s="50">
        <f>344259.19+39597.66</f>
        <v>383856.85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383856.85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383856.85</v>
      </c>
      <c r="AC388" s="28" t="str">
        <f t="shared" si="227"/>
        <v>ok</v>
      </c>
    </row>
    <row r="389" spans="1:29" x14ac:dyDescent="0.25">
      <c r="A389" s="14">
        <v>586</v>
      </c>
      <c r="B389" s="14" t="s">
        <v>450</v>
      </c>
      <c r="C389" s="14" t="s">
        <v>489</v>
      </c>
      <c r="D389" s="14" t="s">
        <v>471</v>
      </c>
      <c r="F389" s="50">
        <v>0</v>
      </c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0</v>
      </c>
      <c r="N389" s="50"/>
      <c r="O389" s="50">
        <f t="shared" si="218"/>
        <v>0</v>
      </c>
      <c r="P389" s="50">
        <f t="shared" si="219"/>
        <v>0</v>
      </c>
      <c r="Q389" s="50"/>
      <c r="R389" s="50">
        <f t="shared" si="220"/>
        <v>0</v>
      </c>
      <c r="S389" s="50">
        <f t="shared" si="221"/>
        <v>0</v>
      </c>
      <c r="T389" s="50"/>
      <c r="U389" s="50">
        <f t="shared" si="222"/>
        <v>0</v>
      </c>
      <c r="V389" s="50"/>
      <c r="W389" s="50">
        <f t="shared" si="223"/>
        <v>0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0</v>
      </c>
      <c r="AC389" s="28" t="str">
        <f t="shared" si="227"/>
        <v>ok</v>
      </c>
    </row>
    <row r="390" spans="1:29" x14ac:dyDescent="0.25">
      <c r="A390" s="14">
        <v>587</v>
      </c>
      <c r="B390" s="14" t="s">
        <v>110</v>
      </c>
      <c r="C390" s="14" t="s">
        <v>490</v>
      </c>
      <c r="D390" s="14" t="s">
        <v>40</v>
      </c>
      <c r="F390" s="50">
        <v>0</v>
      </c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28" t="str">
        <f t="shared" si="227"/>
        <v>ok</v>
      </c>
    </row>
    <row r="391" spans="1:29" x14ac:dyDescent="0.25">
      <c r="A391" s="14">
        <v>588</v>
      </c>
      <c r="B391" s="14" t="s">
        <v>112</v>
      </c>
      <c r="C391" s="14" t="s">
        <v>491</v>
      </c>
      <c r="D391" s="14" t="s">
        <v>16</v>
      </c>
      <c r="F391" s="50">
        <f>638803.28+2050+213242.17+197.84</f>
        <v>854293.29</v>
      </c>
      <c r="H391" s="50">
        <f t="shared" si="214"/>
        <v>0</v>
      </c>
      <c r="I391" s="50">
        <f t="shared" si="215"/>
        <v>0</v>
      </c>
      <c r="J391" s="50"/>
      <c r="K391" s="50">
        <f t="shared" si="216"/>
        <v>0</v>
      </c>
      <c r="L391" s="50"/>
      <c r="M391" s="50">
        <f t="shared" si="217"/>
        <v>111772.34660182375</v>
      </c>
      <c r="N391" s="50"/>
      <c r="O391" s="50">
        <f t="shared" si="218"/>
        <v>225020.69718131429</v>
      </c>
      <c r="P391" s="50">
        <f t="shared" si="219"/>
        <v>394671.39401076519</v>
      </c>
      <c r="Q391" s="50"/>
      <c r="R391" s="50">
        <f t="shared" si="220"/>
        <v>0</v>
      </c>
      <c r="S391" s="50">
        <f t="shared" si="221"/>
        <v>57933.919081707201</v>
      </c>
      <c r="T391" s="50"/>
      <c r="U391" s="50">
        <f t="shared" si="222"/>
        <v>43697.652109469105</v>
      </c>
      <c r="V391" s="50"/>
      <c r="W391" s="50">
        <f t="shared" si="223"/>
        <v>21197.28101492054</v>
      </c>
      <c r="X391" s="50"/>
      <c r="Y391" s="50">
        <f t="shared" si="224"/>
        <v>0</v>
      </c>
      <c r="Z391" s="50"/>
      <c r="AA391" s="50">
        <f t="shared" si="225"/>
        <v>0</v>
      </c>
      <c r="AB391" s="50">
        <f t="shared" si="226"/>
        <v>854293.29000000015</v>
      </c>
      <c r="AC391" s="28" t="str">
        <f t="shared" si="227"/>
        <v>ok</v>
      </c>
    </row>
    <row r="392" spans="1:29" x14ac:dyDescent="0.25">
      <c r="A392" s="14">
        <v>589</v>
      </c>
      <c r="B392" s="14" t="s">
        <v>114</v>
      </c>
      <c r="C392" s="14" t="s">
        <v>492</v>
      </c>
      <c r="D392" s="14" t="s">
        <v>16</v>
      </c>
      <c r="F392" s="50">
        <v>0</v>
      </c>
      <c r="H392" s="50">
        <f t="shared" si="214"/>
        <v>0</v>
      </c>
      <c r="I392" s="50">
        <f t="shared" si="215"/>
        <v>0</v>
      </c>
      <c r="J392" s="50"/>
      <c r="K392" s="50">
        <f t="shared" si="216"/>
        <v>0</v>
      </c>
      <c r="L392" s="50"/>
      <c r="M392" s="50">
        <f t="shared" si="217"/>
        <v>0</v>
      </c>
      <c r="N392" s="50"/>
      <c r="O392" s="50">
        <f t="shared" si="218"/>
        <v>0</v>
      </c>
      <c r="P392" s="50">
        <f t="shared" si="219"/>
        <v>0</v>
      </c>
      <c r="Q392" s="50"/>
      <c r="R392" s="50">
        <f t="shared" si="220"/>
        <v>0</v>
      </c>
      <c r="S392" s="50">
        <f t="shared" si="221"/>
        <v>0</v>
      </c>
      <c r="T392" s="50"/>
      <c r="U392" s="50">
        <f t="shared" si="222"/>
        <v>0</v>
      </c>
      <c r="V392" s="50"/>
      <c r="W392" s="50">
        <f t="shared" si="223"/>
        <v>0</v>
      </c>
      <c r="X392" s="50"/>
      <c r="Y392" s="50">
        <f t="shared" si="224"/>
        <v>0</v>
      </c>
      <c r="Z392" s="50"/>
      <c r="AA392" s="50">
        <f t="shared" si="225"/>
        <v>0</v>
      </c>
      <c r="AB392" s="50">
        <f t="shared" si="226"/>
        <v>0</v>
      </c>
      <c r="AC392" s="28" t="str">
        <f t="shared" si="227"/>
        <v>ok</v>
      </c>
    </row>
    <row r="393" spans="1:29" x14ac:dyDescent="0.25"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5">
      <c r="A394" s="14" t="s">
        <v>536</v>
      </c>
      <c r="C394" s="14" t="s">
        <v>493</v>
      </c>
      <c r="F394" s="67">
        <f>SUM(F382:F393)</f>
        <v>2093899.88</v>
      </c>
      <c r="G394" s="67">
        <f>SUM(G382:G393)</f>
        <v>0</v>
      </c>
      <c r="H394" s="67">
        <f>SUM(H382:H393)</f>
        <v>0</v>
      </c>
      <c r="I394" s="67">
        <f>SUM(I382:I393)</f>
        <v>0</v>
      </c>
      <c r="J394" s="67"/>
      <c r="K394" s="67">
        <f>SUM(K382:K393)</f>
        <v>0</v>
      </c>
      <c r="L394" s="67"/>
      <c r="M394" s="67">
        <f>SUM(M382:M393)</f>
        <v>270454.70770158875</v>
      </c>
      <c r="N394" s="67"/>
      <c r="O394" s="67">
        <f>SUM(O382:O393)</f>
        <v>440212.51778752788</v>
      </c>
      <c r="P394" s="67">
        <f>SUM(P382:P393)</f>
        <v>791469.98164921207</v>
      </c>
      <c r="Q394" s="67"/>
      <c r="R394" s="67">
        <f>SUM(R382:R393)</f>
        <v>0</v>
      </c>
      <c r="S394" s="67">
        <f>SUM(S382:S393)</f>
        <v>98061.643514128315</v>
      </c>
      <c r="T394" s="67"/>
      <c r="U394" s="67">
        <f>SUM(U382:U393)</f>
        <v>457821.52650530788</v>
      </c>
      <c r="V394" s="67"/>
      <c r="W394" s="67">
        <f>SUM(W382:W393)</f>
        <v>35879.502842235204</v>
      </c>
      <c r="X394" s="67"/>
      <c r="Y394" s="67">
        <f>SUM(Y382:Y393)</f>
        <v>0</v>
      </c>
      <c r="Z394" s="67"/>
      <c r="AA394" s="67">
        <f>SUM(AA382:AA393)</f>
        <v>0</v>
      </c>
      <c r="AB394" s="50">
        <f>SUM(H394:AA394)</f>
        <v>2093899.8800000001</v>
      </c>
      <c r="AC394" s="28" t="str">
        <f>IF(ABS(AB394-F394)&lt;1,"ok","err")</f>
        <v>ok</v>
      </c>
    </row>
    <row r="395" spans="1:29" x14ac:dyDescent="0.25"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50"/>
      <c r="AC395" s="28"/>
    </row>
    <row r="396" spans="1:29" x14ac:dyDescent="0.25"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50"/>
      <c r="AC396" s="28"/>
    </row>
    <row r="397" spans="1:29" x14ac:dyDescent="0.25">
      <c r="A397" s="13"/>
      <c r="F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28"/>
    </row>
    <row r="398" spans="1:29" x14ac:dyDescent="0.25">
      <c r="A398" s="26" t="s">
        <v>473</v>
      </c>
      <c r="F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28"/>
    </row>
    <row r="399" spans="1:29" x14ac:dyDescent="0.25">
      <c r="F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C399" s="28"/>
    </row>
    <row r="400" spans="1:29" x14ac:dyDescent="0.25">
      <c r="A400" s="13" t="s">
        <v>537</v>
      </c>
      <c r="F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C400" s="28"/>
    </row>
    <row r="401" spans="1:29" x14ac:dyDescent="0.25">
      <c r="A401" s="14">
        <v>590</v>
      </c>
      <c r="B401" s="14" t="s">
        <v>119</v>
      </c>
      <c r="C401" s="14" t="s">
        <v>494</v>
      </c>
      <c r="D401" s="14" t="s">
        <v>16</v>
      </c>
      <c r="F401" s="50">
        <v>0</v>
      </c>
      <c r="H401" s="50">
        <f t="shared" ref="H401:H408" si="228">IF(VLOOKUP($D401,$C$5:$AA$496,6,)=0,0,((VLOOKUP($D401,$C$5:$AA$496,6,)/VLOOKUP($D401,$C$5:$AA$496,4,))*$F401))</f>
        <v>0</v>
      </c>
      <c r="I401" s="50">
        <f t="shared" ref="I401:I408" si="229">IF(VLOOKUP($D401,$C$5:$AA$496,7,)=0,0,((VLOOKUP($D401,$C$5:$AA$496,7,)/VLOOKUP($D401,$C$5:$AA$496,4,))*$F401))</f>
        <v>0</v>
      </c>
      <c r="J401" s="50"/>
      <c r="K401" s="50">
        <f t="shared" ref="K401:K408" si="230">IF(VLOOKUP($D401,$C$5:$AA$496,9,)=0,0,((VLOOKUP($D401,$C$5:$AA$496,9,)/VLOOKUP($D401,$C$5:$AA$496,4,))*$F401))</f>
        <v>0</v>
      </c>
      <c r="L401" s="50"/>
      <c r="M401" s="50">
        <f t="shared" ref="M401:M408" si="231">IF(VLOOKUP($D401,$C$5:$AA$496,11,)=0,0,((VLOOKUP($D401,$C$5:$AA$496,11,)/VLOOKUP($D401,$C$5:$AA$496,4,))*$F401))</f>
        <v>0</v>
      </c>
      <c r="N401" s="50"/>
      <c r="O401" s="50">
        <f t="shared" ref="O401:O408" si="232">IF(VLOOKUP($D401,$C$5:$AA$496,13,)=0,0,((VLOOKUP($D401,$C$5:$AA$496,13,)/VLOOKUP($D401,$C$5:$AA$496,4,))*$F401))</f>
        <v>0</v>
      </c>
      <c r="P401" s="50">
        <f t="shared" ref="P401:P408" si="233">IF(VLOOKUP($D401,$C$5:$AA$496,14,)=0,0,((VLOOKUP($D401,$C$5:$AA$496,14,)/VLOOKUP($D401,$C$5:$AA$496,4,))*$F401))</f>
        <v>0</v>
      </c>
      <c r="Q401" s="50"/>
      <c r="R401" s="50">
        <f t="shared" ref="R401:R408" si="234">IF(VLOOKUP($D401,$C$5:$AA$496,16,)=0,0,((VLOOKUP($D401,$C$5:$AA$496,16,)/VLOOKUP($D401,$C$5:$AA$496,4,))*$F401))</f>
        <v>0</v>
      </c>
      <c r="S401" s="50">
        <f t="shared" ref="S401:S408" si="235">IF(VLOOKUP($D401,$C$5:$AA$496,17,)=0,0,((VLOOKUP($D401,$C$5:$AA$496,17,)/VLOOKUP($D401,$C$5:$AA$496,4,))*$F401))</f>
        <v>0</v>
      </c>
      <c r="T401" s="50"/>
      <c r="U401" s="50">
        <f t="shared" ref="U401:U408" si="236">IF(VLOOKUP($D401,$C$5:$AA$496,19,)=0,0,((VLOOKUP($D401,$C$5:$AA$496,19,)/VLOOKUP($D401,$C$5:$AA$496,4,))*$F401))</f>
        <v>0</v>
      </c>
      <c r="V401" s="50"/>
      <c r="W401" s="50">
        <f t="shared" ref="W401:W408" si="237">IF(VLOOKUP($D401,$C$5:$AA$496,21,)=0,0,((VLOOKUP($D401,$C$5:$AA$496,21,)/VLOOKUP($D401,$C$5:$AA$496,4,))*$F401))</f>
        <v>0</v>
      </c>
      <c r="X401" s="50"/>
      <c r="Y401" s="50">
        <f t="shared" ref="Y401:Y408" si="238">IF(VLOOKUP($D401,$C$5:$AA$496,23,)=0,0,((VLOOKUP($D401,$C$5:$AA$496,23,)/VLOOKUP($D401,$C$5:$AA$496,4,))*$F401))</f>
        <v>0</v>
      </c>
      <c r="Z401" s="50"/>
      <c r="AA401" s="50">
        <f t="shared" ref="AA401:AA408" si="239">IF(VLOOKUP($D401,$C$5:$AA$496,25,)=0,0,((VLOOKUP($D401,$C$5:$AA$496,25,)/VLOOKUP($D401,$C$5:$AA$496,4,))*$F401))</f>
        <v>0</v>
      </c>
      <c r="AB401" s="50">
        <f t="shared" ref="AB401:AB408" si="240">SUM(H401:AA401)</f>
        <v>0</v>
      </c>
      <c r="AC401" s="28" t="str">
        <f t="shared" ref="AC401:AC408" si="241">IF(ABS(AB401-F401)&lt;1,"ok","err")</f>
        <v>ok</v>
      </c>
    </row>
    <row r="402" spans="1:29" x14ac:dyDescent="0.25">
      <c r="A402" s="14">
        <v>592</v>
      </c>
      <c r="B402" s="14" t="s">
        <v>121</v>
      </c>
      <c r="C402" s="14" t="s">
        <v>495</v>
      </c>
      <c r="D402" s="14" t="s">
        <v>23</v>
      </c>
      <c r="F402" s="50">
        <v>10596.14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10596.14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10596.14</v>
      </c>
      <c r="AC402" s="28" t="str">
        <f t="shared" si="241"/>
        <v>ok</v>
      </c>
    </row>
    <row r="403" spans="1:29" x14ac:dyDescent="0.25">
      <c r="A403" s="14">
        <v>593</v>
      </c>
      <c r="B403" s="14" t="s">
        <v>123</v>
      </c>
      <c r="C403" s="14" t="s">
        <v>496</v>
      </c>
      <c r="D403" s="14" t="s">
        <v>29</v>
      </c>
      <c r="F403" s="50">
        <f>1237335.34+1810.69</f>
        <v>1239146.03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203318.19755396983</v>
      </c>
      <c r="P403" s="50">
        <f t="shared" si="233"/>
        <v>1035827.8324460302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1239146.03</v>
      </c>
      <c r="AC403" s="28" t="str">
        <f t="shared" si="241"/>
        <v>ok</v>
      </c>
    </row>
    <row r="404" spans="1:29" x14ac:dyDescent="0.25">
      <c r="A404" s="14">
        <v>594</v>
      </c>
      <c r="B404" s="14" t="s">
        <v>125</v>
      </c>
      <c r="C404" s="14" t="s">
        <v>497</v>
      </c>
      <c r="D404" s="14" t="s">
        <v>35</v>
      </c>
      <c r="F404" s="50">
        <f>102153.78+411.37</f>
        <v>102565.15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83168.814198785622</v>
      </c>
      <c r="P404" s="50">
        <f t="shared" si="233"/>
        <v>19396.335801214373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0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102565.15</v>
      </c>
      <c r="AC404" s="28" t="str">
        <f t="shared" si="241"/>
        <v>ok</v>
      </c>
    </row>
    <row r="405" spans="1:29" x14ac:dyDescent="0.25">
      <c r="A405" s="14">
        <v>595</v>
      </c>
      <c r="B405" s="14" t="s">
        <v>127</v>
      </c>
      <c r="C405" s="14" t="s">
        <v>498</v>
      </c>
      <c r="D405" s="14" t="s">
        <v>37</v>
      </c>
      <c r="F405" s="50">
        <v>0</v>
      </c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28" t="str">
        <f t="shared" si="241"/>
        <v>ok</v>
      </c>
    </row>
    <row r="406" spans="1:29" x14ac:dyDescent="0.25">
      <c r="A406" s="14">
        <v>596</v>
      </c>
      <c r="B406" s="14" t="s">
        <v>379</v>
      </c>
      <c r="C406" s="14" t="s">
        <v>499</v>
      </c>
      <c r="D406" s="14" t="s">
        <v>48</v>
      </c>
      <c r="F406" s="50">
        <v>3971.83</v>
      </c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0</v>
      </c>
      <c r="N406" s="50"/>
      <c r="O406" s="50">
        <f t="shared" si="232"/>
        <v>0</v>
      </c>
      <c r="P406" s="50">
        <f t="shared" si="233"/>
        <v>0</v>
      </c>
      <c r="Q406" s="50"/>
      <c r="R406" s="50">
        <f t="shared" si="234"/>
        <v>0</v>
      </c>
      <c r="S406" s="50">
        <f t="shared" si="235"/>
        <v>0</v>
      </c>
      <c r="T406" s="50"/>
      <c r="U406" s="50">
        <f t="shared" si="236"/>
        <v>0</v>
      </c>
      <c r="V406" s="50"/>
      <c r="W406" s="50">
        <f t="shared" si="237"/>
        <v>3971.83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3971.83</v>
      </c>
      <c r="AC406" s="28" t="str">
        <f t="shared" si="241"/>
        <v>ok</v>
      </c>
    </row>
    <row r="407" spans="1:29" x14ac:dyDescent="0.25">
      <c r="A407" s="14">
        <v>597</v>
      </c>
      <c r="B407" s="14" t="s">
        <v>129</v>
      </c>
      <c r="C407" s="14" t="s">
        <v>500</v>
      </c>
      <c r="D407" s="14" t="s">
        <v>43</v>
      </c>
      <c r="F407" s="50">
        <f>10234.13+21661.45+6372.41</f>
        <v>38267.990000000005</v>
      </c>
      <c r="H407" s="50">
        <f t="shared" si="228"/>
        <v>0</v>
      </c>
      <c r="I407" s="50">
        <f t="shared" si="229"/>
        <v>0</v>
      </c>
      <c r="J407" s="50"/>
      <c r="K407" s="50">
        <f t="shared" si="230"/>
        <v>0</v>
      </c>
      <c r="L407" s="50"/>
      <c r="M407" s="50">
        <f t="shared" si="231"/>
        <v>0</v>
      </c>
      <c r="N407" s="50"/>
      <c r="O407" s="50">
        <f t="shared" si="232"/>
        <v>0</v>
      </c>
      <c r="P407" s="50">
        <f t="shared" si="233"/>
        <v>0</v>
      </c>
      <c r="Q407" s="50"/>
      <c r="R407" s="50">
        <f t="shared" si="234"/>
        <v>0</v>
      </c>
      <c r="S407" s="50">
        <f t="shared" si="235"/>
        <v>0</v>
      </c>
      <c r="T407" s="50"/>
      <c r="U407" s="50">
        <f t="shared" si="236"/>
        <v>38267.990000000005</v>
      </c>
      <c r="V407" s="50"/>
      <c r="W407" s="50">
        <f t="shared" si="237"/>
        <v>0</v>
      </c>
      <c r="X407" s="50"/>
      <c r="Y407" s="50">
        <f t="shared" si="238"/>
        <v>0</v>
      </c>
      <c r="Z407" s="50"/>
      <c r="AA407" s="50">
        <f t="shared" si="239"/>
        <v>0</v>
      </c>
      <c r="AB407" s="50">
        <f t="shared" si="240"/>
        <v>38267.990000000005</v>
      </c>
      <c r="AC407" s="28" t="str">
        <f t="shared" si="241"/>
        <v>ok</v>
      </c>
    </row>
    <row r="408" spans="1:29" x14ac:dyDescent="0.25">
      <c r="A408" s="14">
        <v>598</v>
      </c>
      <c r="B408" s="14" t="s">
        <v>383</v>
      </c>
      <c r="C408" s="14" t="s">
        <v>501</v>
      </c>
      <c r="D408" s="14" t="s">
        <v>16</v>
      </c>
      <c r="F408" s="50">
        <f>21756.69+15147.73</f>
        <v>36904.42</v>
      </c>
      <c r="H408" s="50">
        <f t="shared" si="228"/>
        <v>0</v>
      </c>
      <c r="I408" s="50">
        <f t="shared" si="229"/>
        <v>0</v>
      </c>
      <c r="J408" s="50"/>
      <c r="K408" s="50">
        <f t="shared" si="230"/>
        <v>0</v>
      </c>
      <c r="L408" s="50"/>
      <c r="M408" s="50">
        <f t="shared" si="231"/>
        <v>4828.4279786152547</v>
      </c>
      <c r="N408" s="50"/>
      <c r="O408" s="50">
        <f t="shared" si="232"/>
        <v>9720.6175147086051</v>
      </c>
      <c r="P408" s="50">
        <f t="shared" si="233"/>
        <v>17049.319077010146</v>
      </c>
      <c r="Q408" s="50"/>
      <c r="R408" s="50">
        <f t="shared" si="234"/>
        <v>0</v>
      </c>
      <c r="S408" s="50">
        <f t="shared" si="235"/>
        <v>2502.6740898753128</v>
      </c>
      <c r="T408" s="50"/>
      <c r="U408" s="50">
        <f t="shared" si="236"/>
        <v>1887.6848564053848</v>
      </c>
      <c r="V408" s="50"/>
      <c r="W408" s="50">
        <f t="shared" si="237"/>
        <v>915.69648338529475</v>
      </c>
      <c r="X408" s="50"/>
      <c r="Y408" s="50">
        <f t="shared" si="238"/>
        <v>0</v>
      </c>
      <c r="Z408" s="50"/>
      <c r="AA408" s="50">
        <f t="shared" si="239"/>
        <v>0</v>
      </c>
      <c r="AB408" s="50">
        <f t="shared" si="240"/>
        <v>36904.420000000006</v>
      </c>
      <c r="AC408" s="28" t="str">
        <f t="shared" si="241"/>
        <v>ok</v>
      </c>
    </row>
    <row r="409" spans="1:29" x14ac:dyDescent="0.25">
      <c r="F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28"/>
    </row>
    <row r="410" spans="1:29" x14ac:dyDescent="0.25">
      <c r="A410" s="14" t="s">
        <v>538</v>
      </c>
      <c r="C410" s="14" t="s">
        <v>502</v>
      </c>
      <c r="F410" s="67">
        <f>SUM(F401:F409)</f>
        <v>1431451.5599999998</v>
      </c>
      <c r="G410" s="67">
        <f>SUM(G401:G409)</f>
        <v>0</v>
      </c>
      <c r="H410" s="67">
        <f>SUM(H401:H409)</f>
        <v>0</v>
      </c>
      <c r="I410" s="67">
        <f>SUM(I401:I409)</f>
        <v>0</v>
      </c>
      <c r="J410" s="67"/>
      <c r="K410" s="67">
        <f>SUM(K401:K409)</f>
        <v>0</v>
      </c>
      <c r="L410" s="67"/>
      <c r="M410" s="67">
        <f>SUM(M401:M409)</f>
        <v>15424.567978615254</v>
      </c>
      <c r="N410" s="67"/>
      <c r="O410" s="67">
        <f>SUM(O401:O409)</f>
        <v>296207.62926746404</v>
      </c>
      <c r="P410" s="67">
        <f>SUM(P401:P409)</f>
        <v>1072273.4873242546</v>
      </c>
      <c r="Q410" s="67"/>
      <c r="R410" s="67">
        <f>SUM(R401:R409)</f>
        <v>0</v>
      </c>
      <c r="S410" s="67">
        <f>SUM(S401:S409)</f>
        <v>2502.6740898753128</v>
      </c>
      <c r="T410" s="67"/>
      <c r="U410" s="67">
        <f>SUM(U401:U409)</f>
        <v>40155.674856405392</v>
      </c>
      <c r="V410" s="67"/>
      <c r="W410" s="67">
        <f>SUM(W401:W409)</f>
        <v>4887.5264833852943</v>
      </c>
      <c r="X410" s="67"/>
      <c r="Y410" s="67">
        <f>SUM(Y401:Y409)</f>
        <v>0</v>
      </c>
      <c r="Z410" s="67"/>
      <c r="AA410" s="67">
        <f>SUM(AA401:AA409)</f>
        <v>0</v>
      </c>
      <c r="AB410" s="50">
        <f>SUM(H410:AA410)</f>
        <v>1431451.56</v>
      </c>
      <c r="AC410" s="28" t="str">
        <f>IF(ABS(AB410-F410)&lt;1,"ok","err")</f>
        <v>ok</v>
      </c>
    </row>
    <row r="411" spans="1:29" x14ac:dyDescent="0.25">
      <c r="F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5">
      <c r="A412" s="14" t="s">
        <v>539</v>
      </c>
      <c r="F412" s="50">
        <f>F394+F410</f>
        <v>3525351.4399999995</v>
      </c>
      <c r="G412" s="50">
        <f>G394+G410</f>
        <v>0</v>
      </c>
      <c r="H412" s="50">
        <f>H394+H410</f>
        <v>0</v>
      </c>
      <c r="I412" s="50">
        <f>I394+I410</f>
        <v>0</v>
      </c>
      <c r="J412" s="50"/>
      <c r="K412" s="50">
        <f>K394+K410</f>
        <v>0</v>
      </c>
      <c r="L412" s="50"/>
      <c r="M412" s="50">
        <f>M394+M410</f>
        <v>285879.27568020398</v>
      </c>
      <c r="N412" s="50"/>
      <c r="O412" s="50">
        <f>O394+O410</f>
        <v>736420.14705499192</v>
      </c>
      <c r="P412" s="50">
        <f>P394+P410</f>
        <v>1863743.4689734667</v>
      </c>
      <c r="Q412" s="50"/>
      <c r="R412" s="50">
        <f>R394+R410</f>
        <v>0</v>
      </c>
      <c r="S412" s="50">
        <f>S394+S410</f>
        <v>100564.31760400363</v>
      </c>
      <c r="T412" s="50"/>
      <c r="U412" s="50">
        <f>U394+U410</f>
        <v>497977.20136171329</v>
      </c>
      <c r="V412" s="50"/>
      <c r="W412" s="50">
        <f>W394+W410</f>
        <v>40767.029325620497</v>
      </c>
      <c r="X412" s="50"/>
      <c r="Y412" s="50">
        <f>Y394+Y410</f>
        <v>0</v>
      </c>
      <c r="Z412" s="50"/>
      <c r="AA412" s="50">
        <f>AA394+AA410</f>
        <v>0</v>
      </c>
      <c r="AB412" s="50">
        <f>SUM(H412:AA412)</f>
        <v>3525351.44</v>
      </c>
      <c r="AC412" s="28" t="str">
        <f>IF(ABS(AB412-F412)&lt;1,"ok","err")</f>
        <v>ok</v>
      </c>
    </row>
    <row r="413" spans="1:29" x14ac:dyDescent="0.25"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5">
      <c r="A414" s="14" t="s">
        <v>540</v>
      </c>
      <c r="F414" s="50">
        <f>F412+F379</f>
        <v>3525351.4399999995</v>
      </c>
      <c r="G414" s="50">
        <f>G412+G379</f>
        <v>0</v>
      </c>
      <c r="H414" s="50">
        <f>H412+H379</f>
        <v>0</v>
      </c>
      <c r="I414" s="50">
        <f>I412+I379</f>
        <v>0</v>
      </c>
      <c r="J414" s="50"/>
      <c r="K414" s="50">
        <f>K412+K379</f>
        <v>0</v>
      </c>
      <c r="L414" s="50"/>
      <c r="M414" s="50">
        <f>M412+M379</f>
        <v>285879.27568020398</v>
      </c>
      <c r="N414" s="50"/>
      <c r="O414" s="50">
        <f>O412+O379</f>
        <v>736420.14705499192</v>
      </c>
      <c r="P414" s="50">
        <f>P412+P379</f>
        <v>1863743.4689734667</v>
      </c>
      <c r="Q414" s="50"/>
      <c r="R414" s="50">
        <f>R412+R379</f>
        <v>0</v>
      </c>
      <c r="S414" s="50">
        <f>S412+S379</f>
        <v>100564.31760400363</v>
      </c>
      <c r="T414" s="50"/>
      <c r="U414" s="50">
        <f>U412+U379</f>
        <v>497977.20136171329</v>
      </c>
      <c r="V414" s="50"/>
      <c r="W414" s="50">
        <f>W412+W379</f>
        <v>40767.029325620497</v>
      </c>
      <c r="X414" s="50"/>
      <c r="Y414" s="50">
        <f>Y412+Y379</f>
        <v>0</v>
      </c>
      <c r="Z414" s="50"/>
      <c r="AA414" s="50">
        <f>AA412+AA379</f>
        <v>0</v>
      </c>
      <c r="AB414" s="50">
        <f>SUM(H414:AA414)</f>
        <v>3525351.44</v>
      </c>
      <c r="AC414" s="28" t="str">
        <f>IF(ABS(AB414-F414)&lt;1,"ok","err")</f>
        <v>ok</v>
      </c>
    </row>
    <row r="415" spans="1:29" x14ac:dyDescent="0.25"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28"/>
    </row>
    <row r="416" spans="1:29" x14ac:dyDescent="0.25">
      <c r="A416" s="14" t="s">
        <v>541</v>
      </c>
      <c r="C416" s="14" t="s">
        <v>503</v>
      </c>
      <c r="F416" s="67">
        <f>F414+F367</f>
        <v>3525351.4399999995</v>
      </c>
      <c r="G416" s="67">
        <f>G414+G367</f>
        <v>0</v>
      </c>
      <c r="H416" s="67">
        <f>H414+H367</f>
        <v>0</v>
      </c>
      <c r="I416" s="67">
        <f>I414+I367</f>
        <v>0</v>
      </c>
      <c r="J416" s="67"/>
      <c r="K416" s="67">
        <f>K414+K367</f>
        <v>0</v>
      </c>
      <c r="L416" s="67"/>
      <c r="M416" s="67">
        <f>M414+M367</f>
        <v>285879.27568020398</v>
      </c>
      <c r="N416" s="67"/>
      <c r="O416" s="67">
        <f>O414+O367</f>
        <v>736420.14705499192</v>
      </c>
      <c r="P416" s="67">
        <f>P414+P367</f>
        <v>1863743.4689734667</v>
      </c>
      <c r="Q416" s="67"/>
      <c r="R416" s="67">
        <f>R414+R367</f>
        <v>0</v>
      </c>
      <c r="S416" s="67">
        <f>S414+S367</f>
        <v>100564.31760400363</v>
      </c>
      <c r="T416" s="67"/>
      <c r="U416" s="67">
        <f>U414+U367</f>
        <v>497977.20136171329</v>
      </c>
      <c r="V416" s="67"/>
      <c r="W416" s="67">
        <f>W414+W367</f>
        <v>40767.029325620497</v>
      </c>
      <c r="X416" s="67"/>
      <c r="Y416" s="67">
        <f>Y414+Y367</f>
        <v>0</v>
      </c>
      <c r="Z416" s="67"/>
      <c r="AA416" s="67">
        <f>AA414+AA367</f>
        <v>0</v>
      </c>
      <c r="AB416" s="50">
        <f>SUM(H416:AA416)</f>
        <v>3525351.44</v>
      </c>
      <c r="AC416" s="28" t="str">
        <f>IF(ABS(AB416-F416)&lt;1,"ok","err")</f>
        <v>ok</v>
      </c>
    </row>
    <row r="417" spans="1:29" x14ac:dyDescent="0.25">
      <c r="A417" s="13"/>
      <c r="F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C417" s="28"/>
    </row>
    <row r="418" spans="1:29" x14ac:dyDescent="0.25">
      <c r="A418" s="13" t="s">
        <v>136</v>
      </c>
      <c r="F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C418" s="28"/>
    </row>
    <row r="419" spans="1:29" x14ac:dyDescent="0.25">
      <c r="A419" s="14">
        <v>901</v>
      </c>
      <c r="B419" s="14" t="s">
        <v>137</v>
      </c>
      <c r="C419" s="14" t="s">
        <v>504</v>
      </c>
      <c r="D419" s="14" t="s">
        <v>139</v>
      </c>
      <c r="F419" s="67">
        <v>127824.45</v>
      </c>
      <c r="H419" s="50">
        <f>IF(VLOOKUP($D419,$C$5:$AA$496,6,)=0,0,((VLOOKUP($D419,$C$5:$AA$496,6,)/VLOOKUP($D419,$C$5:$AA$496,4,))*$F419))</f>
        <v>0</v>
      </c>
      <c r="I419" s="50">
        <f>IF(VLOOKUP($D419,$C$5:$AA$496,7,)=0,0,((VLOOKUP($D419,$C$5:$AA$496,7,)/VLOOKUP($D419,$C$5:$AA$496,4,))*$F419))</f>
        <v>0</v>
      </c>
      <c r="J419" s="50"/>
      <c r="K419" s="50">
        <f>IF(VLOOKUP($D419,$C$5:$AA$496,9,)=0,0,((VLOOKUP($D419,$C$5:$AA$496,9,)/VLOOKUP($D419,$C$5:$AA$496,4,))*$F419))</f>
        <v>0</v>
      </c>
      <c r="L419" s="50"/>
      <c r="M419" s="50">
        <f>IF(VLOOKUP($D419,$C$5:$AA$496,11,)=0,0,((VLOOKUP($D419,$C$5:$AA$496,11,)/VLOOKUP($D419,$C$5:$AA$496,4,))*$F419))</f>
        <v>0</v>
      </c>
      <c r="N419" s="50"/>
      <c r="O419" s="50">
        <f>IF(VLOOKUP($D419,$C$5:$AA$496,13,)=0,0,((VLOOKUP($D419,$C$5:$AA$496,13,)/VLOOKUP($D419,$C$5:$AA$496,4,))*$F419))</f>
        <v>0</v>
      </c>
      <c r="P419" s="50">
        <f>IF(VLOOKUP($D419,$C$5:$AA$496,14,)=0,0,((VLOOKUP($D419,$C$5:$AA$496,14,)/VLOOKUP($D419,$C$5:$AA$496,4,))*$F419))</f>
        <v>0</v>
      </c>
      <c r="Q419" s="50"/>
      <c r="R419" s="50">
        <f>IF(VLOOKUP($D419,$C$5:$AA$496,16,)=0,0,((VLOOKUP($D419,$C$5:$AA$496,16,)/VLOOKUP($D419,$C$5:$AA$496,4,))*$F419))</f>
        <v>0</v>
      </c>
      <c r="S419" s="50">
        <f>IF(VLOOKUP($D419,$C$5:$AA$496,17,)=0,0,((VLOOKUP($D419,$C$5:$AA$496,17,)/VLOOKUP($D419,$C$5:$AA$496,4,))*$F419))</f>
        <v>0</v>
      </c>
      <c r="T419" s="50"/>
      <c r="U419" s="50">
        <f>IF(VLOOKUP($D419,$C$5:$AA$496,19,)=0,0,((VLOOKUP($D419,$C$5:$AA$496,19,)/VLOOKUP($D419,$C$5:$AA$496,4,))*$F419))</f>
        <v>0</v>
      </c>
      <c r="V419" s="50"/>
      <c r="W419" s="50">
        <f>IF(VLOOKUP($D419,$C$5:$AA$496,21,)=0,0,((VLOOKUP($D419,$C$5:$AA$496,21,)/VLOOKUP($D419,$C$5:$AA$496,4,))*$F419))</f>
        <v>0</v>
      </c>
      <c r="X419" s="50"/>
      <c r="Y419" s="50">
        <f>IF(VLOOKUP($D419,$C$5:$AA$496,23,)=0,0,((VLOOKUP($D419,$C$5:$AA$496,23,)/VLOOKUP($D419,$C$5:$AA$496,4,))*$F419))</f>
        <v>127824.45</v>
      </c>
      <c r="Z419" s="50"/>
      <c r="AA419" s="50">
        <f>IF(VLOOKUP($D419,$C$5:$AA$496,25,)=0,0,((VLOOKUP($D419,$C$5:$AA$496,25,)/VLOOKUP($D419,$C$5:$AA$496,4,))*$F419))</f>
        <v>0</v>
      </c>
      <c r="AB419" s="50">
        <f>SUM(H419:AA419)</f>
        <v>127824.45</v>
      </c>
      <c r="AC419" s="28" t="str">
        <f>IF(ABS(AB419-F419)&lt;1,"ok","err")</f>
        <v>ok</v>
      </c>
    </row>
    <row r="420" spans="1:29" x14ac:dyDescent="0.25">
      <c r="A420" s="14">
        <v>902</v>
      </c>
      <c r="B420" s="14" t="s">
        <v>140</v>
      </c>
      <c r="C420" s="14" t="s">
        <v>505</v>
      </c>
      <c r="D420" s="14" t="s">
        <v>139</v>
      </c>
      <c r="F420" s="50">
        <v>30019.11</v>
      </c>
      <c r="H420" s="50">
        <f>IF(VLOOKUP($D420,$C$5:$AA$496,6,)=0,0,((VLOOKUP($D420,$C$5:$AA$496,6,)/VLOOKUP($D420,$C$5:$AA$496,4,))*$F420))</f>
        <v>0</v>
      </c>
      <c r="I420" s="50">
        <f>IF(VLOOKUP($D420,$C$5:$AA$496,7,)=0,0,((VLOOKUP($D420,$C$5:$AA$496,7,)/VLOOKUP($D420,$C$5:$AA$496,4,))*$F420))</f>
        <v>0</v>
      </c>
      <c r="J420" s="50"/>
      <c r="K420" s="50">
        <f>IF(VLOOKUP($D420,$C$5:$AA$496,9,)=0,0,((VLOOKUP($D420,$C$5:$AA$496,9,)/VLOOKUP($D420,$C$5:$AA$496,4,))*$F420))</f>
        <v>0</v>
      </c>
      <c r="L420" s="50"/>
      <c r="M420" s="50">
        <f>IF(VLOOKUP($D420,$C$5:$AA$496,11,)=0,0,((VLOOKUP($D420,$C$5:$AA$496,11,)/VLOOKUP($D420,$C$5:$AA$496,4,))*$F420))</f>
        <v>0</v>
      </c>
      <c r="N420" s="50"/>
      <c r="O420" s="50">
        <f>IF(VLOOKUP($D420,$C$5:$AA$496,13,)=0,0,((VLOOKUP($D420,$C$5:$AA$496,13,)/VLOOKUP($D420,$C$5:$AA$496,4,))*$F420))</f>
        <v>0</v>
      </c>
      <c r="P420" s="50">
        <f>IF(VLOOKUP($D420,$C$5:$AA$496,14,)=0,0,((VLOOKUP($D420,$C$5:$AA$496,14,)/VLOOKUP($D420,$C$5:$AA$496,4,))*$F420))</f>
        <v>0</v>
      </c>
      <c r="Q420" s="50"/>
      <c r="R420" s="50">
        <f>IF(VLOOKUP($D420,$C$5:$AA$496,16,)=0,0,((VLOOKUP($D420,$C$5:$AA$496,16,)/VLOOKUP($D420,$C$5:$AA$496,4,))*$F420))</f>
        <v>0</v>
      </c>
      <c r="S420" s="50">
        <f>IF(VLOOKUP($D420,$C$5:$AA$496,17,)=0,0,((VLOOKUP($D420,$C$5:$AA$496,17,)/VLOOKUP($D420,$C$5:$AA$496,4,))*$F420))</f>
        <v>0</v>
      </c>
      <c r="T420" s="50"/>
      <c r="U420" s="50">
        <f>IF(VLOOKUP($D420,$C$5:$AA$496,19,)=0,0,((VLOOKUP($D420,$C$5:$AA$496,19,)/VLOOKUP($D420,$C$5:$AA$496,4,))*$F420))</f>
        <v>0</v>
      </c>
      <c r="V420" s="50"/>
      <c r="W420" s="50">
        <f>IF(VLOOKUP($D420,$C$5:$AA$496,21,)=0,0,((VLOOKUP($D420,$C$5:$AA$496,21,)/VLOOKUP($D420,$C$5:$AA$496,4,))*$F420))</f>
        <v>0</v>
      </c>
      <c r="X420" s="50"/>
      <c r="Y420" s="50">
        <f>IF(VLOOKUP($D420,$C$5:$AA$496,23,)=0,0,((VLOOKUP($D420,$C$5:$AA$496,23,)/VLOOKUP($D420,$C$5:$AA$496,4,))*$F420))</f>
        <v>30019.11</v>
      </c>
      <c r="Z420" s="50"/>
      <c r="AA420" s="50">
        <f>IF(VLOOKUP($D420,$C$5:$AA$496,25,)=0,0,((VLOOKUP($D420,$C$5:$AA$496,25,)/VLOOKUP($D420,$C$5:$AA$496,4,))*$F420))</f>
        <v>0</v>
      </c>
      <c r="AB420" s="50">
        <f>SUM(H420:AA420)</f>
        <v>30019.11</v>
      </c>
      <c r="AC420" s="28" t="str">
        <f>IF(ABS(AB420-F420)&lt;1,"ok","err")</f>
        <v>ok</v>
      </c>
    </row>
    <row r="421" spans="1:29" x14ac:dyDescent="0.25">
      <c r="A421" s="14">
        <v>903</v>
      </c>
      <c r="B421" s="14" t="s">
        <v>452</v>
      </c>
      <c r="C421" s="14" t="s">
        <v>506</v>
      </c>
      <c r="D421" s="14" t="s">
        <v>139</v>
      </c>
      <c r="F421" s="50">
        <f>399080.07+176.19+154.18+2112.01+227413.92</f>
        <v>628936.37</v>
      </c>
      <c r="H421" s="50">
        <f>IF(VLOOKUP($D421,$C$5:$AA$496,6,)=0,0,((VLOOKUP($D421,$C$5:$AA$496,6,)/VLOOKUP($D421,$C$5:$AA$496,4,))*$F421))</f>
        <v>0</v>
      </c>
      <c r="I421" s="50">
        <f>IF(VLOOKUP($D421,$C$5:$AA$496,7,)=0,0,((VLOOKUP($D421,$C$5:$AA$496,7,)/VLOOKUP($D421,$C$5:$AA$496,4,))*$F421))</f>
        <v>0</v>
      </c>
      <c r="J421" s="50"/>
      <c r="K421" s="50">
        <f>IF(VLOOKUP($D421,$C$5:$AA$496,9,)=0,0,((VLOOKUP($D421,$C$5:$AA$496,9,)/VLOOKUP($D421,$C$5:$AA$496,4,))*$F421))</f>
        <v>0</v>
      </c>
      <c r="L421" s="50"/>
      <c r="M421" s="50">
        <f>IF(VLOOKUP($D421,$C$5:$AA$496,11,)=0,0,((VLOOKUP($D421,$C$5:$AA$496,11,)/VLOOKUP($D421,$C$5:$AA$496,4,))*$F421))</f>
        <v>0</v>
      </c>
      <c r="N421" s="50"/>
      <c r="O421" s="50">
        <f>IF(VLOOKUP($D421,$C$5:$AA$496,13,)=0,0,((VLOOKUP($D421,$C$5:$AA$496,13,)/VLOOKUP($D421,$C$5:$AA$496,4,))*$F421))</f>
        <v>0</v>
      </c>
      <c r="P421" s="50">
        <f>IF(VLOOKUP($D421,$C$5:$AA$496,14,)=0,0,((VLOOKUP($D421,$C$5:$AA$496,14,)/VLOOKUP($D421,$C$5:$AA$496,4,))*$F421))</f>
        <v>0</v>
      </c>
      <c r="Q421" s="50"/>
      <c r="R421" s="50">
        <f>IF(VLOOKUP($D421,$C$5:$AA$496,16,)=0,0,((VLOOKUP($D421,$C$5:$AA$496,16,)/VLOOKUP($D421,$C$5:$AA$496,4,))*$F421))</f>
        <v>0</v>
      </c>
      <c r="S421" s="50">
        <f>IF(VLOOKUP($D421,$C$5:$AA$496,17,)=0,0,((VLOOKUP($D421,$C$5:$AA$496,17,)/VLOOKUP($D421,$C$5:$AA$496,4,))*$F421))</f>
        <v>0</v>
      </c>
      <c r="T421" s="50"/>
      <c r="U421" s="50">
        <f>IF(VLOOKUP($D421,$C$5:$AA$496,19,)=0,0,((VLOOKUP($D421,$C$5:$AA$496,19,)/VLOOKUP($D421,$C$5:$AA$496,4,))*$F421))</f>
        <v>0</v>
      </c>
      <c r="V421" s="50"/>
      <c r="W421" s="50">
        <f>IF(VLOOKUP($D421,$C$5:$AA$496,21,)=0,0,((VLOOKUP($D421,$C$5:$AA$496,21,)/VLOOKUP($D421,$C$5:$AA$496,4,))*$F421))</f>
        <v>0</v>
      </c>
      <c r="X421" s="50"/>
      <c r="Y421" s="50">
        <f>IF(VLOOKUP($D421,$C$5:$AA$496,23,)=0,0,((VLOOKUP($D421,$C$5:$AA$496,23,)/VLOOKUP($D421,$C$5:$AA$496,4,))*$F421))</f>
        <v>628936.37</v>
      </c>
      <c r="Z421" s="50"/>
      <c r="AA421" s="50">
        <f>IF(VLOOKUP($D421,$C$5:$AA$496,25,)=0,0,((VLOOKUP($D421,$C$5:$AA$496,25,)/VLOOKUP($D421,$C$5:$AA$496,4,))*$F421))</f>
        <v>0</v>
      </c>
      <c r="AB421" s="50">
        <f>SUM(H421:AA421)</f>
        <v>628936.37</v>
      </c>
      <c r="AC421" s="28" t="str">
        <f>IF(ABS(AB421-F421)&lt;1,"ok","err")</f>
        <v>ok</v>
      </c>
    </row>
    <row r="422" spans="1:29" x14ac:dyDescent="0.25">
      <c r="A422" s="14">
        <v>904</v>
      </c>
      <c r="B422" s="14" t="s">
        <v>143</v>
      </c>
      <c r="C422" s="14" t="s">
        <v>507</v>
      </c>
      <c r="D422" s="14" t="s">
        <v>139</v>
      </c>
      <c r="F422" s="50">
        <v>0</v>
      </c>
      <c r="H422" s="50">
        <f>IF(VLOOKUP($D422,$C$5:$AA$496,6,)=0,0,((VLOOKUP($D422,$C$5:$AA$496,6,)/VLOOKUP($D422,$C$5:$AA$496,4,))*$F422))</f>
        <v>0</v>
      </c>
      <c r="I422" s="50">
        <f>IF(VLOOKUP($D422,$C$5:$AA$496,7,)=0,0,((VLOOKUP($D422,$C$5:$AA$496,7,)/VLOOKUP($D422,$C$5:$AA$496,4,))*$F422))</f>
        <v>0</v>
      </c>
      <c r="J422" s="50"/>
      <c r="K422" s="50">
        <f>IF(VLOOKUP($D422,$C$5:$AA$496,9,)=0,0,((VLOOKUP($D422,$C$5:$AA$496,9,)/VLOOKUP($D422,$C$5:$AA$496,4,))*$F422))</f>
        <v>0</v>
      </c>
      <c r="L422" s="50"/>
      <c r="M422" s="50">
        <f>IF(VLOOKUP($D422,$C$5:$AA$496,11,)=0,0,((VLOOKUP($D422,$C$5:$AA$496,11,)/VLOOKUP($D422,$C$5:$AA$496,4,))*$F422))</f>
        <v>0</v>
      </c>
      <c r="N422" s="50"/>
      <c r="O422" s="50">
        <f>IF(VLOOKUP($D422,$C$5:$AA$496,13,)=0,0,((VLOOKUP($D422,$C$5:$AA$496,13,)/VLOOKUP($D422,$C$5:$AA$496,4,))*$F422))</f>
        <v>0</v>
      </c>
      <c r="P422" s="50">
        <f>IF(VLOOKUP($D422,$C$5:$AA$496,14,)=0,0,((VLOOKUP($D422,$C$5:$AA$496,14,)/VLOOKUP($D422,$C$5:$AA$496,4,))*$F422))</f>
        <v>0</v>
      </c>
      <c r="Q422" s="50"/>
      <c r="R422" s="50">
        <f>IF(VLOOKUP($D422,$C$5:$AA$496,16,)=0,0,((VLOOKUP($D422,$C$5:$AA$496,16,)/VLOOKUP($D422,$C$5:$AA$496,4,))*$F422))</f>
        <v>0</v>
      </c>
      <c r="S422" s="50">
        <f>IF(VLOOKUP($D422,$C$5:$AA$496,17,)=0,0,((VLOOKUP($D422,$C$5:$AA$496,17,)/VLOOKUP($D422,$C$5:$AA$496,4,))*$F422))</f>
        <v>0</v>
      </c>
      <c r="T422" s="50"/>
      <c r="U422" s="50">
        <f>IF(VLOOKUP($D422,$C$5:$AA$496,19,)=0,0,((VLOOKUP($D422,$C$5:$AA$496,19,)/VLOOKUP($D422,$C$5:$AA$496,4,))*$F422))</f>
        <v>0</v>
      </c>
      <c r="V422" s="50"/>
      <c r="W422" s="50">
        <f>IF(VLOOKUP($D422,$C$5:$AA$496,21,)=0,0,((VLOOKUP($D422,$C$5:$AA$496,21,)/VLOOKUP($D422,$C$5:$AA$496,4,))*$F422))</f>
        <v>0</v>
      </c>
      <c r="X422" s="50"/>
      <c r="Y422" s="50">
        <f>IF(VLOOKUP($D422,$C$5:$AA$496,23,)=0,0,((VLOOKUP($D422,$C$5:$AA$496,23,)/VLOOKUP($D422,$C$5:$AA$496,4,))*$F422))</f>
        <v>0</v>
      </c>
      <c r="Z422" s="50"/>
      <c r="AA422" s="50">
        <f>IF(VLOOKUP($D422,$C$5:$AA$496,25,)=0,0,((VLOOKUP($D422,$C$5:$AA$496,25,)/VLOOKUP($D422,$C$5:$AA$496,4,))*$F422))</f>
        <v>0</v>
      </c>
      <c r="AB422" s="50">
        <f>SUM(H422:AA422)</f>
        <v>0</v>
      </c>
      <c r="AC422" s="28" t="str">
        <f>IF(ABS(AB422-F422)&lt;1,"ok","err")</f>
        <v>ok</v>
      </c>
    </row>
    <row r="423" spans="1:29" x14ac:dyDescent="0.25">
      <c r="A423" s="14">
        <v>905</v>
      </c>
      <c r="B423" s="14" t="s">
        <v>453</v>
      </c>
      <c r="C423" s="14" t="s">
        <v>506</v>
      </c>
      <c r="D423" s="14" t="s">
        <v>139</v>
      </c>
      <c r="F423" s="50">
        <v>0</v>
      </c>
      <c r="H423" s="50">
        <f>IF(VLOOKUP($D423,$C$5:$AA$496,6,)=0,0,((VLOOKUP($D423,$C$5:$AA$496,6,)/VLOOKUP($D423,$C$5:$AA$496,4,))*$F423))</f>
        <v>0</v>
      </c>
      <c r="I423" s="50">
        <f>IF(VLOOKUP($D423,$C$5:$AA$496,7,)=0,0,((VLOOKUP($D423,$C$5:$AA$496,7,)/VLOOKUP($D423,$C$5:$AA$496,4,))*$F423))</f>
        <v>0</v>
      </c>
      <c r="J423" s="50"/>
      <c r="K423" s="50">
        <f>IF(VLOOKUP($D423,$C$5:$AA$496,9,)=0,0,((VLOOKUP($D423,$C$5:$AA$496,9,)/VLOOKUP($D423,$C$5:$AA$496,4,))*$F423))</f>
        <v>0</v>
      </c>
      <c r="L423" s="50"/>
      <c r="M423" s="50">
        <f>IF(VLOOKUP($D423,$C$5:$AA$496,11,)=0,0,((VLOOKUP($D423,$C$5:$AA$496,11,)/VLOOKUP($D423,$C$5:$AA$496,4,))*$F423))</f>
        <v>0</v>
      </c>
      <c r="N423" s="50"/>
      <c r="O423" s="50">
        <f>IF(VLOOKUP($D423,$C$5:$AA$496,13,)=0,0,((VLOOKUP($D423,$C$5:$AA$496,13,)/VLOOKUP($D423,$C$5:$AA$496,4,))*$F423))</f>
        <v>0</v>
      </c>
      <c r="P423" s="50">
        <f>IF(VLOOKUP($D423,$C$5:$AA$496,14,)=0,0,((VLOOKUP($D423,$C$5:$AA$496,14,)/VLOOKUP($D423,$C$5:$AA$496,4,))*$F423))</f>
        <v>0</v>
      </c>
      <c r="Q423" s="50"/>
      <c r="R423" s="50">
        <f>IF(VLOOKUP($D423,$C$5:$AA$496,16,)=0,0,((VLOOKUP($D423,$C$5:$AA$496,16,)/VLOOKUP($D423,$C$5:$AA$496,4,))*$F423))</f>
        <v>0</v>
      </c>
      <c r="S423" s="50">
        <f>IF(VLOOKUP($D423,$C$5:$AA$496,17,)=0,0,((VLOOKUP($D423,$C$5:$AA$496,17,)/VLOOKUP($D423,$C$5:$AA$496,4,))*$F423))</f>
        <v>0</v>
      </c>
      <c r="T423" s="50"/>
      <c r="U423" s="50">
        <f>IF(VLOOKUP($D423,$C$5:$AA$496,19,)=0,0,((VLOOKUP($D423,$C$5:$AA$496,19,)/VLOOKUP($D423,$C$5:$AA$496,4,))*$F423))</f>
        <v>0</v>
      </c>
      <c r="V423" s="50"/>
      <c r="W423" s="50">
        <f>IF(VLOOKUP($D423,$C$5:$AA$496,21,)=0,0,((VLOOKUP($D423,$C$5:$AA$496,21,)/VLOOKUP($D423,$C$5:$AA$496,4,))*$F423))</f>
        <v>0</v>
      </c>
      <c r="X423" s="50"/>
      <c r="Y423" s="50">
        <f>IF(VLOOKUP($D423,$C$5:$AA$496,23,)=0,0,((VLOOKUP($D423,$C$5:$AA$496,23,)/VLOOKUP($D423,$C$5:$AA$496,4,))*$F423))</f>
        <v>0</v>
      </c>
      <c r="Z423" s="50"/>
      <c r="AA423" s="50">
        <f>IF(VLOOKUP($D423,$C$5:$AA$496,25,)=0,0,((VLOOKUP($D423,$C$5:$AA$496,25,)/VLOOKUP($D423,$C$5:$AA$496,4,))*$F423))</f>
        <v>0</v>
      </c>
      <c r="AB423" s="50">
        <f>SUM(H423:AA423)</f>
        <v>0</v>
      </c>
      <c r="AC423" s="28" t="str">
        <f>IF(ABS(AB423-F423)&lt;1,"ok","err")</f>
        <v>ok</v>
      </c>
    </row>
    <row r="424" spans="1:29" x14ac:dyDescent="0.25">
      <c r="A424" s="13"/>
      <c r="F424" s="50">
        <v>0</v>
      </c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28"/>
    </row>
    <row r="425" spans="1:29" x14ac:dyDescent="0.25">
      <c r="A425" s="14" t="s">
        <v>542</v>
      </c>
      <c r="C425" s="14" t="s">
        <v>508</v>
      </c>
      <c r="F425" s="67">
        <f>SUM(F419:F424)</f>
        <v>786779.92999999993</v>
      </c>
      <c r="G425" s="67">
        <f>SUM(G419:G424)</f>
        <v>0</v>
      </c>
      <c r="H425" s="67">
        <f>SUM(H419:H424)</f>
        <v>0</v>
      </c>
      <c r="I425" s="67">
        <f>SUM(I419:I424)</f>
        <v>0</v>
      </c>
      <c r="J425" s="67"/>
      <c r="K425" s="67">
        <f>SUM(K419:K424)</f>
        <v>0</v>
      </c>
      <c r="L425" s="67"/>
      <c r="M425" s="67">
        <f>SUM(M419:M424)</f>
        <v>0</v>
      </c>
      <c r="N425" s="67"/>
      <c r="O425" s="67">
        <f>SUM(O419:O424)</f>
        <v>0</v>
      </c>
      <c r="P425" s="67">
        <f>SUM(P419:P424)</f>
        <v>0</v>
      </c>
      <c r="Q425" s="67"/>
      <c r="R425" s="67">
        <f>SUM(R419:R424)</f>
        <v>0</v>
      </c>
      <c r="S425" s="67">
        <f>SUM(S419:S424)</f>
        <v>0</v>
      </c>
      <c r="T425" s="67"/>
      <c r="U425" s="67">
        <f>SUM(U419:U424)</f>
        <v>0</v>
      </c>
      <c r="V425" s="67"/>
      <c r="W425" s="67">
        <f>SUM(W419:W424)</f>
        <v>0</v>
      </c>
      <c r="X425" s="67"/>
      <c r="Y425" s="67">
        <f>SUM(Y419:Y424)</f>
        <v>786779.92999999993</v>
      </c>
      <c r="Z425" s="67"/>
      <c r="AA425" s="67">
        <f>SUM(AA419:AA424)</f>
        <v>0</v>
      </c>
      <c r="AB425" s="50">
        <f>SUM(H425:AA425)</f>
        <v>786779.92999999993</v>
      </c>
      <c r="AC425" s="28" t="str">
        <f>IF(ABS(AB425-F425)&lt;1,"ok","err")</f>
        <v>ok</v>
      </c>
    </row>
    <row r="426" spans="1:29" x14ac:dyDescent="0.25">
      <c r="F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C426" s="28"/>
    </row>
    <row r="427" spans="1:29" x14ac:dyDescent="0.25">
      <c r="A427" s="13" t="s">
        <v>147</v>
      </c>
      <c r="F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C427" s="28"/>
    </row>
    <row r="428" spans="1:29" x14ac:dyDescent="0.25">
      <c r="A428" s="14">
        <v>907</v>
      </c>
      <c r="B428" s="14" t="s">
        <v>384</v>
      </c>
      <c r="C428" s="14" t="s">
        <v>509</v>
      </c>
      <c r="D428" s="14" t="s">
        <v>149</v>
      </c>
      <c r="F428" s="67">
        <v>0</v>
      </c>
      <c r="H428" s="50">
        <f t="shared" ref="H428:H438" si="242">IF(VLOOKUP($D428,$C$5:$AA$496,6,)=0,0,((VLOOKUP($D428,$C$5:$AA$496,6,)/VLOOKUP($D428,$C$5:$AA$496,4,))*$F428))</f>
        <v>0</v>
      </c>
      <c r="I428" s="50">
        <f t="shared" ref="I428:I438" si="243">IF(VLOOKUP($D428,$C$5:$AA$496,7,)=0,0,((VLOOKUP($D428,$C$5:$AA$496,7,)/VLOOKUP($D428,$C$5:$AA$496,4,))*$F428))</f>
        <v>0</v>
      </c>
      <c r="J428" s="50"/>
      <c r="K428" s="50">
        <f t="shared" ref="K428:K438" si="244">IF(VLOOKUP($D428,$C$5:$AA$496,9,)=0,0,((VLOOKUP($D428,$C$5:$AA$496,9,)/VLOOKUP($D428,$C$5:$AA$496,4,))*$F428))</f>
        <v>0</v>
      </c>
      <c r="L428" s="50"/>
      <c r="M428" s="50">
        <f t="shared" ref="M428:M438" si="245">IF(VLOOKUP($D428,$C$5:$AA$496,11,)=0,0,((VLOOKUP($D428,$C$5:$AA$496,11,)/VLOOKUP($D428,$C$5:$AA$496,4,))*$F428))</f>
        <v>0</v>
      </c>
      <c r="N428" s="50"/>
      <c r="O428" s="50">
        <f t="shared" ref="O428:O438" si="246">IF(VLOOKUP($D428,$C$5:$AA$496,13,)=0,0,((VLOOKUP($D428,$C$5:$AA$496,13,)/VLOOKUP($D428,$C$5:$AA$496,4,))*$F428))</f>
        <v>0</v>
      </c>
      <c r="P428" s="50">
        <f t="shared" ref="P428:P438" si="247">IF(VLOOKUP($D428,$C$5:$AA$496,14,)=0,0,((VLOOKUP($D428,$C$5:$AA$496,14,)/VLOOKUP($D428,$C$5:$AA$496,4,))*$F428))</f>
        <v>0</v>
      </c>
      <c r="Q428" s="50"/>
      <c r="R428" s="50">
        <f t="shared" ref="R428:R438" si="248">IF(VLOOKUP($D428,$C$5:$AA$496,16,)=0,0,((VLOOKUP($D428,$C$5:$AA$496,16,)/VLOOKUP($D428,$C$5:$AA$496,4,))*$F428))</f>
        <v>0</v>
      </c>
      <c r="S428" s="50">
        <f t="shared" ref="S428:S438" si="249">IF(VLOOKUP($D428,$C$5:$AA$496,17,)=0,0,((VLOOKUP($D428,$C$5:$AA$496,17,)/VLOOKUP($D428,$C$5:$AA$496,4,))*$F428))</f>
        <v>0</v>
      </c>
      <c r="T428" s="50"/>
      <c r="U428" s="50">
        <f t="shared" ref="U428:U438" si="250">IF(VLOOKUP($D428,$C$5:$AA$496,19,)=0,0,((VLOOKUP($D428,$C$5:$AA$496,19,)/VLOOKUP($D428,$C$5:$AA$496,4,))*$F428))</f>
        <v>0</v>
      </c>
      <c r="V428" s="50"/>
      <c r="W428" s="50">
        <f t="shared" ref="W428:W438" si="251">IF(VLOOKUP($D428,$C$5:$AA$496,21,)=0,0,((VLOOKUP($D428,$C$5:$AA$496,21,)/VLOOKUP($D428,$C$5:$AA$496,4,))*$F428))</f>
        <v>0</v>
      </c>
      <c r="X428" s="50"/>
      <c r="Y428" s="50">
        <f t="shared" ref="Y428:Y438" si="252">IF(VLOOKUP($D428,$C$5:$AA$496,23,)=0,0,((VLOOKUP($D428,$C$5:$AA$496,23,)/VLOOKUP($D428,$C$5:$AA$496,4,))*$F428))</f>
        <v>0</v>
      </c>
      <c r="Z428" s="50"/>
      <c r="AA428" s="50">
        <f t="shared" ref="AA428:AA438" si="253">IF(VLOOKUP($D428,$C$5:$AA$496,25,)=0,0,((VLOOKUP($D428,$C$5:$AA$496,25,)/VLOOKUP($D428,$C$5:$AA$496,4,))*$F428))</f>
        <v>0</v>
      </c>
      <c r="AB428" s="50">
        <f t="shared" ref="AB428:AB438" si="254">SUM(H428:AA428)</f>
        <v>0</v>
      </c>
      <c r="AC428" s="28" t="str">
        <f t="shared" ref="AC428:AC438" si="255">IF(ABS(AB428-F428)&lt;1,"ok","err")</f>
        <v>ok</v>
      </c>
    </row>
    <row r="429" spans="1:29" x14ac:dyDescent="0.25">
      <c r="A429" s="14">
        <v>908</v>
      </c>
      <c r="B429" s="14" t="s">
        <v>150</v>
      </c>
      <c r="C429" s="14" t="s">
        <v>510</v>
      </c>
      <c r="D429" s="14" t="s">
        <v>149</v>
      </c>
      <c r="F429" s="50">
        <v>0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28" t="str">
        <f t="shared" si="255"/>
        <v>ok</v>
      </c>
    </row>
    <row r="430" spans="1:29" x14ac:dyDescent="0.25">
      <c r="A430" s="14">
        <v>908</v>
      </c>
      <c r="B430" s="14" t="s">
        <v>454</v>
      </c>
      <c r="C430" s="14" t="s">
        <v>511</v>
      </c>
      <c r="D430" s="14" t="s">
        <v>471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28" t="str">
        <f t="shared" si="255"/>
        <v>ok</v>
      </c>
    </row>
    <row r="431" spans="1:29" x14ac:dyDescent="0.25">
      <c r="A431" s="14">
        <v>909</v>
      </c>
      <c r="B431" s="14" t="s">
        <v>152</v>
      </c>
      <c r="C431" s="14" t="s">
        <v>512</v>
      </c>
      <c r="D431" s="14" t="s">
        <v>149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5">
      <c r="A432" s="14">
        <v>909</v>
      </c>
      <c r="B432" s="14" t="s">
        <v>456</v>
      </c>
      <c r="C432" s="14" t="s">
        <v>513</v>
      </c>
      <c r="D432" s="14" t="s">
        <v>471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5">
      <c r="A433" s="14">
        <v>910</v>
      </c>
      <c r="B433" s="14" t="s">
        <v>154</v>
      </c>
      <c r="C433" s="14" t="s">
        <v>514</v>
      </c>
      <c r="D433" s="14" t="s">
        <v>149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5">
      <c r="A434" s="14">
        <v>911</v>
      </c>
      <c r="B434" s="14" t="s">
        <v>384</v>
      </c>
      <c r="C434" s="14" t="s">
        <v>712</v>
      </c>
      <c r="D434" s="14" t="s">
        <v>149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>SUM(H434:AA434)</f>
        <v>0</v>
      </c>
      <c r="AC434" s="28" t="str">
        <f>IF(ABS(AB434-F434)&lt;1,"ok","err")</f>
        <v>ok</v>
      </c>
    </row>
    <row r="435" spans="1:29" x14ac:dyDescent="0.25">
      <c r="A435" s="14">
        <v>912</v>
      </c>
      <c r="B435" s="14" t="s">
        <v>588</v>
      </c>
      <c r="C435" s="14" t="s">
        <v>591</v>
      </c>
      <c r="D435" s="14" t="s">
        <v>471</v>
      </c>
      <c r="F435" s="50">
        <v>0</v>
      </c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28" t="str">
        <f t="shared" si="255"/>
        <v>ok</v>
      </c>
    </row>
    <row r="436" spans="1:29" x14ac:dyDescent="0.25">
      <c r="A436" s="14">
        <v>913</v>
      </c>
      <c r="B436" s="14" t="s">
        <v>576</v>
      </c>
      <c r="C436" s="14" t="s">
        <v>592</v>
      </c>
      <c r="D436" s="14" t="s">
        <v>471</v>
      </c>
      <c r="F436" s="50">
        <v>0</v>
      </c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28" t="str">
        <f t="shared" si="255"/>
        <v>ok</v>
      </c>
    </row>
    <row r="437" spans="1:29" x14ac:dyDescent="0.25">
      <c r="A437" s="14">
        <v>915</v>
      </c>
      <c r="B437" s="14" t="s">
        <v>639</v>
      </c>
      <c r="C437" s="14" t="s">
        <v>642</v>
      </c>
      <c r="D437" s="14" t="s">
        <v>471</v>
      </c>
      <c r="F437" s="50">
        <v>0</v>
      </c>
      <c r="H437" s="50">
        <f t="shared" si="242"/>
        <v>0</v>
      </c>
      <c r="I437" s="50">
        <f t="shared" si="243"/>
        <v>0</v>
      </c>
      <c r="J437" s="50"/>
      <c r="K437" s="50">
        <f t="shared" si="244"/>
        <v>0</v>
      </c>
      <c r="L437" s="50"/>
      <c r="M437" s="50">
        <f t="shared" si="245"/>
        <v>0</v>
      </c>
      <c r="N437" s="50"/>
      <c r="O437" s="50">
        <f t="shared" si="246"/>
        <v>0</v>
      </c>
      <c r="P437" s="50">
        <f t="shared" si="247"/>
        <v>0</v>
      </c>
      <c r="Q437" s="50"/>
      <c r="R437" s="50">
        <f t="shared" si="248"/>
        <v>0</v>
      </c>
      <c r="S437" s="50">
        <f t="shared" si="249"/>
        <v>0</v>
      </c>
      <c r="T437" s="50"/>
      <c r="U437" s="50">
        <f t="shared" si="250"/>
        <v>0</v>
      </c>
      <c r="V437" s="50"/>
      <c r="W437" s="50">
        <f t="shared" si="251"/>
        <v>0</v>
      </c>
      <c r="X437" s="50"/>
      <c r="Y437" s="50">
        <f t="shared" si="252"/>
        <v>0</v>
      </c>
      <c r="Z437" s="50"/>
      <c r="AA437" s="50">
        <f t="shared" si="253"/>
        <v>0</v>
      </c>
      <c r="AB437" s="50">
        <f t="shared" si="254"/>
        <v>0</v>
      </c>
      <c r="AC437" s="28" t="str">
        <f t="shared" si="255"/>
        <v>ok</v>
      </c>
    </row>
    <row r="438" spans="1:29" x14ac:dyDescent="0.25">
      <c r="A438" s="14">
        <v>916</v>
      </c>
      <c r="B438" s="14" t="s">
        <v>640</v>
      </c>
      <c r="C438" s="14" t="s">
        <v>643</v>
      </c>
      <c r="D438" s="14" t="s">
        <v>471</v>
      </c>
      <c r="F438" s="50">
        <v>0</v>
      </c>
      <c r="H438" s="50">
        <f t="shared" si="242"/>
        <v>0</v>
      </c>
      <c r="I438" s="50">
        <f t="shared" si="243"/>
        <v>0</v>
      </c>
      <c r="J438" s="50"/>
      <c r="K438" s="50">
        <f t="shared" si="244"/>
        <v>0</v>
      </c>
      <c r="L438" s="50"/>
      <c r="M438" s="50">
        <f t="shared" si="245"/>
        <v>0</v>
      </c>
      <c r="N438" s="50"/>
      <c r="O438" s="50">
        <f t="shared" si="246"/>
        <v>0</v>
      </c>
      <c r="P438" s="50">
        <f t="shared" si="247"/>
        <v>0</v>
      </c>
      <c r="Q438" s="50"/>
      <c r="R438" s="50">
        <f t="shared" si="248"/>
        <v>0</v>
      </c>
      <c r="S438" s="50">
        <f t="shared" si="249"/>
        <v>0</v>
      </c>
      <c r="T438" s="50"/>
      <c r="U438" s="50">
        <f t="shared" si="250"/>
        <v>0</v>
      </c>
      <c r="V438" s="50"/>
      <c r="W438" s="50">
        <f t="shared" si="251"/>
        <v>0</v>
      </c>
      <c r="X438" s="50"/>
      <c r="Y438" s="50">
        <f t="shared" si="252"/>
        <v>0</v>
      </c>
      <c r="Z438" s="50"/>
      <c r="AA438" s="50">
        <f t="shared" si="253"/>
        <v>0</v>
      </c>
      <c r="AB438" s="50">
        <f t="shared" si="254"/>
        <v>0</v>
      </c>
      <c r="AC438" s="28" t="str">
        <f t="shared" si="255"/>
        <v>ok</v>
      </c>
    </row>
    <row r="439" spans="1:29" x14ac:dyDescent="0.25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28"/>
    </row>
    <row r="440" spans="1:29" x14ac:dyDescent="0.25">
      <c r="A440" s="14" t="s">
        <v>543</v>
      </c>
      <c r="C440" s="14" t="s">
        <v>515</v>
      </c>
      <c r="F440" s="67">
        <f>SUM(F428:F439)</f>
        <v>0</v>
      </c>
      <c r="G440" s="67">
        <f>SUM(G428:G439)</f>
        <v>0</v>
      </c>
      <c r="H440" s="67">
        <f>SUM(H428:H439)</f>
        <v>0</v>
      </c>
      <c r="I440" s="67">
        <f>SUM(I428:I439)</f>
        <v>0</v>
      </c>
      <c r="J440" s="67"/>
      <c r="K440" s="67">
        <f>SUM(K428:K439)</f>
        <v>0</v>
      </c>
      <c r="L440" s="67"/>
      <c r="M440" s="67">
        <f>SUM(M428:M439)</f>
        <v>0</v>
      </c>
      <c r="N440" s="67"/>
      <c r="O440" s="67">
        <f>SUM(O428:O439)</f>
        <v>0</v>
      </c>
      <c r="P440" s="67">
        <f>SUM(P428:P439)</f>
        <v>0</v>
      </c>
      <c r="Q440" s="67"/>
      <c r="R440" s="67">
        <f>SUM(R428:R439)</f>
        <v>0</v>
      </c>
      <c r="S440" s="67">
        <f>SUM(S428:S439)</f>
        <v>0</v>
      </c>
      <c r="T440" s="67"/>
      <c r="U440" s="67">
        <f>SUM(U428:U439)</f>
        <v>0</v>
      </c>
      <c r="V440" s="67"/>
      <c r="W440" s="67">
        <f>SUM(W428:W439)</f>
        <v>0</v>
      </c>
      <c r="X440" s="67"/>
      <c r="Y440" s="67">
        <f>SUM(Y428:Y439)</f>
        <v>0</v>
      </c>
      <c r="Z440" s="67"/>
      <c r="AA440" s="67">
        <f>SUM(AA428:AA439)</f>
        <v>0</v>
      </c>
      <c r="AB440" s="50">
        <f>SUM(H440:AA440)</f>
        <v>0</v>
      </c>
      <c r="AC440" s="28" t="str">
        <f>IF(ABS(AB440-F440)&lt;1,"ok","err")</f>
        <v>ok</v>
      </c>
    </row>
    <row r="441" spans="1:29" x14ac:dyDescent="0.25"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5">
      <c r="A442" s="14" t="s">
        <v>544</v>
      </c>
      <c r="C442" s="14" t="s">
        <v>516</v>
      </c>
      <c r="F442" s="50">
        <f>F414+F425+F440</f>
        <v>4312131.3699999992</v>
      </c>
      <c r="G442" s="50">
        <f>G414+G425+G440</f>
        <v>0</v>
      </c>
      <c r="H442" s="50">
        <f>H414+H425+H440</f>
        <v>0</v>
      </c>
      <c r="I442" s="50">
        <f>I414+I425+I440</f>
        <v>0</v>
      </c>
      <c r="J442" s="50"/>
      <c r="K442" s="50">
        <f>K414+K425+K440</f>
        <v>0</v>
      </c>
      <c r="L442" s="50"/>
      <c r="M442" s="50">
        <f>M414+M425+M440</f>
        <v>285879.27568020398</v>
      </c>
      <c r="N442" s="50"/>
      <c r="O442" s="50">
        <f>O414+O425+O440</f>
        <v>736420.14705499192</v>
      </c>
      <c r="P442" s="50">
        <f>P414+P425+P440</f>
        <v>1863743.4689734667</v>
      </c>
      <c r="Q442" s="50"/>
      <c r="R442" s="50">
        <f>R414+R425+R440</f>
        <v>0</v>
      </c>
      <c r="S442" s="50">
        <f>S414+S425+S440</f>
        <v>100564.31760400363</v>
      </c>
      <c r="T442" s="50"/>
      <c r="U442" s="50">
        <f>U414+U425+U440</f>
        <v>497977.20136171329</v>
      </c>
      <c r="V442" s="50"/>
      <c r="W442" s="50">
        <f>W414+W425+W440</f>
        <v>40767.029325620497</v>
      </c>
      <c r="X442" s="50"/>
      <c r="Y442" s="50">
        <f>Y414+Y425+Y440</f>
        <v>786779.92999999993</v>
      </c>
      <c r="Z442" s="50"/>
      <c r="AA442" s="50">
        <f>AA414+AA425+AA440</f>
        <v>0</v>
      </c>
      <c r="AB442" s="50">
        <f>SUM(H442:AA442)</f>
        <v>4312131.37</v>
      </c>
      <c r="AC442" s="28" t="str">
        <f>IF(ABS(AB442-F442)&lt;1,"ok","err")</f>
        <v>ok</v>
      </c>
    </row>
    <row r="443" spans="1:29" x14ac:dyDescent="0.25"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5">
      <c r="F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28"/>
    </row>
    <row r="445" spans="1:29" x14ac:dyDescent="0.25">
      <c r="A445" s="26" t="s">
        <v>473</v>
      </c>
      <c r="F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28"/>
    </row>
    <row r="446" spans="1:29" x14ac:dyDescent="0.25">
      <c r="F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C446" s="28"/>
    </row>
    <row r="447" spans="1:29" x14ac:dyDescent="0.25">
      <c r="A447" s="13" t="s">
        <v>158</v>
      </c>
      <c r="F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C447" s="28"/>
    </row>
    <row r="448" spans="1:29" x14ac:dyDescent="0.25">
      <c r="A448" s="14">
        <v>920</v>
      </c>
      <c r="B448" s="14" t="s">
        <v>159</v>
      </c>
      <c r="C448" s="14" t="s">
        <v>517</v>
      </c>
      <c r="D448" s="14" t="s">
        <v>411</v>
      </c>
      <c r="F448" s="67">
        <f>1213401.36+512926.36+6905.52+559.9</f>
        <v>1733793.1400000001</v>
      </c>
      <c r="H448" s="50">
        <f t="shared" ref="H448:H459" si="256">IF(VLOOKUP($D448,$C$5:$AA$496,6,)=0,0,((VLOOKUP($D448,$C$5:$AA$496,6,)/VLOOKUP($D448,$C$5:$AA$496,4,))*$F448))</f>
        <v>0</v>
      </c>
      <c r="I448" s="50">
        <f t="shared" ref="I448:I459" si="257">IF(VLOOKUP($D448,$C$5:$AA$496,7,)=0,0,((VLOOKUP($D448,$C$5:$AA$496,7,)/VLOOKUP($D448,$C$5:$AA$496,4,))*$F448))</f>
        <v>0</v>
      </c>
      <c r="J448" s="50"/>
      <c r="K448" s="50">
        <f t="shared" ref="K448:K459" si="258">IF(VLOOKUP($D448,$C$5:$AA$496,9,)=0,0,((VLOOKUP($D448,$C$5:$AA$496,9,)/VLOOKUP($D448,$C$5:$AA$496,4,))*$F448))</f>
        <v>0</v>
      </c>
      <c r="L448" s="50"/>
      <c r="M448" s="50">
        <f t="shared" ref="M448:M459" si="259">IF(VLOOKUP($D448,$C$5:$AA$496,11,)=0,0,((VLOOKUP($D448,$C$5:$AA$496,11,)/VLOOKUP($D448,$C$5:$AA$496,4,))*$F448))</f>
        <v>94103.827200772139</v>
      </c>
      <c r="N448" s="50"/>
      <c r="O448" s="50">
        <f t="shared" ref="O448:O459" si="260">IF(VLOOKUP($D448,$C$5:$AA$496,13,)=0,0,((VLOOKUP($D448,$C$5:$AA$496,13,)/VLOOKUP($D448,$C$5:$AA$496,4,))*$F448))</f>
        <v>292581.2778427414</v>
      </c>
      <c r="P448" s="50">
        <f t="shared" ref="P448:P459" si="261">IF(VLOOKUP($D448,$C$5:$AA$496,14,)=0,0,((VLOOKUP($D448,$C$5:$AA$496,14,)/VLOOKUP($D448,$C$5:$AA$496,4,))*$F448))</f>
        <v>1020103.5641254616</v>
      </c>
      <c r="Q448" s="50"/>
      <c r="R448" s="50">
        <f t="shared" ref="R448:R459" si="262">IF(VLOOKUP($D448,$C$5:$AA$496,16,)=0,0,((VLOOKUP($D448,$C$5:$AA$496,16,)/VLOOKUP($D448,$C$5:$AA$496,4,))*$F448))</f>
        <v>0</v>
      </c>
      <c r="S448" s="50">
        <f t="shared" ref="S448:S459" si="263">IF(VLOOKUP($D448,$C$5:$AA$496,17,)=0,0,((VLOOKUP($D448,$C$5:$AA$496,17,)/VLOOKUP($D448,$C$5:$AA$496,4,))*$F448))</f>
        <v>20142.109640896284</v>
      </c>
      <c r="T448" s="50"/>
      <c r="U448" s="50">
        <f t="shared" ref="U448:U459" si="264">IF(VLOOKUP($D448,$C$5:$AA$496,19,)=0,0,((VLOOKUP($D448,$C$5:$AA$496,19,)/VLOOKUP($D448,$C$5:$AA$496,4,))*$F448))</f>
        <v>140016.71814870264</v>
      </c>
      <c r="V448" s="50"/>
      <c r="W448" s="50">
        <f t="shared" ref="W448:W459" si="265">IF(VLOOKUP($D448,$C$5:$AA$496,21,)=0,0,((VLOOKUP($D448,$C$5:$AA$496,21,)/VLOOKUP($D448,$C$5:$AA$496,4,))*$F448))</f>
        <v>8188.6155501486573</v>
      </c>
      <c r="X448" s="50"/>
      <c r="Y448" s="50">
        <f t="shared" ref="Y448:Y459" si="266">IF(VLOOKUP($D448,$C$5:$AA$496,23,)=0,0,((VLOOKUP($D448,$C$5:$AA$496,23,)/VLOOKUP($D448,$C$5:$AA$496,4,))*$F448))</f>
        <v>158049.20369735244</v>
      </c>
      <c r="Z448" s="50"/>
      <c r="AA448" s="50">
        <f t="shared" ref="AA448:AA459" si="267">IF(VLOOKUP($D448,$C$5:$AA$496,25,)=0,0,((VLOOKUP($D448,$C$5:$AA$496,25,)/VLOOKUP($D448,$C$5:$AA$496,4,))*$F448))</f>
        <v>607.82379392494056</v>
      </c>
      <c r="AB448" s="50">
        <f t="shared" ref="AB448:AB459" si="268">SUM(H448:AA448)</f>
        <v>1733793.1400000004</v>
      </c>
      <c r="AC448" s="28" t="str">
        <f t="shared" ref="AC448:AC459" si="269">IF(ABS(AB448-F448)&lt;1,"ok","err")</f>
        <v>ok</v>
      </c>
    </row>
    <row r="449" spans="1:29" x14ac:dyDescent="0.25">
      <c r="A449" s="14">
        <v>921</v>
      </c>
      <c r="B449" s="14" t="s">
        <v>161</v>
      </c>
      <c r="C449" s="14" t="s">
        <v>518</v>
      </c>
      <c r="D449" s="14" t="s">
        <v>516</v>
      </c>
      <c r="F449" s="50">
        <v>1449.12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96.071603675121153</v>
      </c>
      <c r="N449" s="50"/>
      <c r="O449" s="50">
        <f t="shared" si="260"/>
        <v>247.47881544720423</v>
      </c>
      <c r="P449" s="50">
        <f t="shared" si="261"/>
        <v>626.32320400730987</v>
      </c>
      <c r="Q449" s="50"/>
      <c r="R449" s="50">
        <f t="shared" si="262"/>
        <v>0</v>
      </c>
      <c r="S449" s="50">
        <f t="shared" si="263"/>
        <v>33.79529782885853</v>
      </c>
      <c r="T449" s="50"/>
      <c r="U449" s="50">
        <f t="shared" si="264"/>
        <v>167.34850126731783</v>
      </c>
      <c r="V449" s="50"/>
      <c r="W449" s="50">
        <f t="shared" si="265"/>
        <v>13.700027310703936</v>
      </c>
      <c r="X449" s="50"/>
      <c r="Y449" s="50">
        <f t="shared" si="266"/>
        <v>264.4025504634846</v>
      </c>
      <c r="Z449" s="50"/>
      <c r="AA449" s="50">
        <f t="shared" si="267"/>
        <v>0</v>
      </c>
      <c r="AB449" s="50">
        <f t="shared" si="268"/>
        <v>1449.1200000000001</v>
      </c>
      <c r="AC449" s="28" t="str">
        <f t="shared" si="269"/>
        <v>ok</v>
      </c>
    </row>
    <row r="450" spans="1:29" x14ac:dyDescent="0.25">
      <c r="A450" s="14">
        <v>923</v>
      </c>
      <c r="B450" s="14" t="s">
        <v>163</v>
      </c>
      <c r="C450" s="14" t="s">
        <v>519</v>
      </c>
      <c r="D450" s="14" t="s">
        <v>411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5">
      <c r="A451" s="14">
        <v>924</v>
      </c>
      <c r="B451" s="14" t="s">
        <v>165</v>
      </c>
      <c r="C451" s="14" t="s">
        <v>520</v>
      </c>
      <c r="D451" s="14" t="s">
        <v>84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5">
      <c r="A452" s="14">
        <v>925</v>
      </c>
      <c r="B452" s="14" t="s">
        <v>167</v>
      </c>
      <c r="C452" s="14" t="s">
        <v>521</v>
      </c>
      <c r="D452" s="14" t="s">
        <v>516</v>
      </c>
      <c r="F452" s="50">
        <v>57210.23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3792.8387867964884</v>
      </c>
      <c r="N452" s="50"/>
      <c r="O452" s="50">
        <f t="shared" si="260"/>
        <v>9770.2881416736418</v>
      </c>
      <c r="P452" s="50">
        <f t="shared" si="261"/>
        <v>24726.795955887104</v>
      </c>
      <c r="Q452" s="50"/>
      <c r="R452" s="50">
        <f t="shared" si="262"/>
        <v>0</v>
      </c>
      <c r="S452" s="50">
        <f t="shared" si="263"/>
        <v>1334.2143933611414</v>
      </c>
      <c r="T452" s="50"/>
      <c r="U452" s="50">
        <f t="shared" si="264"/>
        <v>6606.8001598615338</v>
      </c>
      <c r="V452" s="50"/>
      <c r="W452" s="50">
        <f t="shared" si="265"/>
        <v>540.86736326298285</v>
      </c>
      <c r="X452" s="50"/>
      <c r="Y452" s="50">
        <f t="shared" si="266"/>
        <v>10438.425199157118</v>
      </c>
      <c r="Z452" s="50"/>
      <c r="AA452" s="50">
        <f t="shared" si="267"/>
        <v>0</v>
      </c>
      <c r="AB452" s="50">
        <f t="shared" si="268"/>
        <v>57210.23000000001</v>
      </c>
      <c r="AC452" s="28" t="str">
        <f t="shared" si="269"/>
        <v>ok</v>
      </c>
    </row>
    <row r="453" spans="1:29" x14ac:dyDescent="0.25">
      <c r="A453" s="14">
        <v>926</v>
      </c>
      <c r="B453" s="14" t="s">
        <v>169</v>
      </c>
      <c r="C453" s="14" t="s">
        <v>522</v>
      </c>
      <c r="D453" s="14" t="s">
        <v>516</v>
      </c>
      <c r="F453" s="50">
        <v>31957.06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2118.6416604160231</v>
      </c>
      <c r="N453" s="50"/>
      <c r="O453" s="50">
        <f t="shared" si="260"/>
        <v>5457.5848473385458</v>
      </c>
      <c r="P453" s="50">
        <f t="shared" si="261"/>
        <v>13812.139926199241</v>
      </c>
      <c r="Q453" s="50"/>
      <c r="R453" s="50">
        <f t="shared" si="262"/>
        <v>0</v>
      </c>
      <c r="S453" s="50">
        <f t="shared" si="263"/>
        <v>745.2787625832932</v>
      </c>
      <c r="T453" s="50"/>
      <c r="U453" s="50">
        <f t="shared" si="264"/>
        <v>3690.4922269444578</v>
      </c>
      <c r="V453" s="50"/>
      <c r="W453" s="50">
        <f t="shared" si="265"/>
        <v>302.12307798512501</v>
      </c>
      <c r="X453" s="50"/>
      <c r="Y453" s="50">
        <f t="shared" si="266"/>
        <v>5830.7994985333216</v>
      </c>
      <c r="Z453" s="50"/>
      <c r="AA453" s="50">
        <f t="shared" si="267"/>
        <v>0</v>
      </c>
      <c r="AB453" s="50">
        <f t="shared" si="268"/>
        <v>31957.060000000005</v>
      </c>
      <c r="AC453" s="28" t="str">
        <f t="shared" si="269"/>
        <v>ok</v>
      </c>
    </row>
    <row r="454" spans="1:29" x14ac:dyDescent="0.25">
      <c r="A454" s="14">
        <v>928</v>
      </c>
      <c r="B454" s="14" t="s">
        <v>171</v>
      </c>
      <c r="C454" s="14" t="s">
        <v>523</v>
      </c>
      <c r="D454" s="14" t="s">
        <v>411</v>
      </c>
      <c r="F454" s="50">
        <v>0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0</v>
      </c>
      <c r="N454" s="50"/>
      <c r="O454" s="50">
        <f t="shared" si="260"/>
        <v>0</v>
      </c>
      <c r="P454" s="50">
        <f t="shared" si="261"/>
        <v>0</v>
      </c>
      <c r="Q454" s="50"/>
      <c r="R454" s="50">
        <f t="shared" si="262"/>
        <v>0</v>
      </c>
      <c r="S454" s="50">
        <f t="shared" si="263"/>
        <v>0</v>
      </c>
      <c r="T454" s="50"/>
      <c r="U454" s="50">
        <f t="shared" si="264"/>
        <v>0</v>
      </c>
      <c r="V454" s="50"/>
      <c r="W454" s="50">
        <f t="shared" si="265"/>
        <v>0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0</v>
      </c>
      <c r="AC454" s="28" t="str">
        <f t="shared" si="269"/>
        <v>ok</v>
      </c>
    </row>
    <row r="455" spans="1:29" x14ac:dyDescent="0.25">
      <c r="A455" s="14">
        <v>929</v>
      </c>
      <c r="B455" s="14" t="s">
        <v>385</v>
      </c>
      <c r="C455" s="14" t="s">
        <v>524</v>
      </c>
      <c r="D455" s="14" t="s">
        <v>411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5">
      <c r="A456" s="14">
        <v>930</v>
      </c>
      <c r="B456" s="14" t="s">
        <v>173</v>
      </c>
      <c r="C456" s="14" t="s">
        <v>525</v>
      </c>
      <c r="D456" s="14" t="s">
        <v>411</v>
      </c>
      <c r="F456" s="50">
        <f>8431.08+29380.66</f>
        <v>37811.74</v>
      </c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2052.2802663301131</v>
      </c>
      <c r="N456" s="50"/>
      <c r="O456" s="50">
        <f t="shared" si="260"/>
        <v>6380.8115001870965</v>
      </c>
      <c r="P456" s="50">
        <f t="shared" si="261"/>
        <v>22247.112328397652</v>
      </c>
      <c r="Q456" s="50"/>
      <c r="R456" s="50">
        <f t="shared" si="262"/>
        <v>0</v>
      </c>
      <c r="S456" s="50">
        <f t="shared" si="263"/>
        <v>439.27282628022368</v>
      </c>
      <c r="T456" s="50"/>
      <c r="U456" s="50">
        <f t="shared" si="264"/>
        <v>3053.5798188081567</v>
      </c>
      <c r="V456" s="50"/>
      <c r="W456" s="50">
        <f t="shared" si="265"/>
        <v>178.58289723200656</v>
      </c>
      <c r="X456" s="50"/>
      <c r="Y456" s="50">
        <f t="shared" si="266"/>
        <v>3446.844528068284</v>
      </c>
      <c r="Z456" s="50"/>
      <c r="AA456" s="50">
        <f t="shared" si="267"/>
        <v>13.255834696464094</v>
      </c>
      <c r="AB456" s="50">
        <f t="shared" si="268"/>
        <v>37811.74</v>
      </c>
      <c r="AC456" s="28" t="str">
        <f t="shared" si="269"/>
        <v>ok</v>
      </c>
    </row>
    <row r="457" spans="1:29" x14ac:dyDescent="0.25">
      <c r="A457" s="14">
        <v>931</v>
      </c>
      <c r="B457" s="14" t="s">
        <v>175</v>
      </c>
      <c r="C457" s="14" t="s">
        <v>526</v>
      </c>
      <c r="D457" s="14" t="s">
        <v>84</v>
      </c>
      <c r="F457" s="50">
        <v>0</v>
      </c>
      <c r="H457" s="50">
        <f t="shared" si="256"/>
        <v>0</v>
      </c>
      <c r="I457" s="50">
        <f t="shared" si="257"/>
        <v>0</v>
      </c>
      <c r="J457" s="50"/>
      <c r="K457" s="50">
        <f t="shared" si="258"/>
        <v>0</v>
      </c>
      <c r="L457" s="50"/>
      <c r="M457" s="50">
        <f t="shared" si="259"/>
        <v>0</v>
      </c>
      <c r="N457" s="50"/>
      <c r="O457" s="50">
        <f t="shared" si="260"/>
        <v>0</v>
      </c>
      <c r="P457" s="50">
        <f t="shared" si="261"/>
        <v>0</v>
      </c>
      <c r="Q457" s="50"/>
      <c r="R457" s="50">
        <f t="shared" si="262"/>
        <v>0</v>
      </c>
      <c r="S457" s="50">
        <f t="shared" si="263"/>
        <v>0</v>
      </c>
      <c r="T457" s="50"/>
      <c r="U457" s="50">
        <f t="shared" si="264"/>
        <v>0</v>
      </c>
      <c r="V457" s="50"/>
      <c r="W457" s="50">
        <f t="shared" si="265"/>
        <v>0</v>
      </c>
      <c r="X457" s="50"/>
      <c r="Y457" s="50">
        <f t="shared" si="266"/>
        <v>0</v>
      </c>
      <c r="Z457" s="50"/>
      <c r="AA457" s="50">
        <f t="shared" si="267"/>
        <v>0</v>
      </c>
      <c r="AB457" s="50">
        <f t="shared" si="268"/>
        <v>0</v>
      </c>
      <c r="AC457" s="28" t="str">
        <f t="shared" si="269"/>
        <v>ok</v>
      </c>
    </row>
    <row r="458" spans="1:29" x14ac:dyDescent="0.25">
      <c r="A458" s="14">
        <v>935</v>
      </c>
      <c r="B458" s="14" t="s">
        <v>177</v>
      </c>
      <c r="C458" s="14" t="s">
        <v>713</v>
      </c>
      <c r="D458" s="14" t="s">
        <v>70</v>
      </c>
      <c r="F458" s="50">
        <v>138006.32999999999</v>
      </c>
      <c r="H458" s="50">
        <f t="shared" si="256"/>
        <v>0</v>
      </c>
      <c r="I458" s="50">
        <f t="shared" si="257"/>
        <v>0</v>
      </c>
      <c r="J458" s="50"/>
      <c r="K458" s="50">
        <f t="shared" si="258"/>
        <v>0</v>
      </c>
      <c r="L458" s="50"/>
      <c r="M458" s="50">
        <f t="shared" si="259"/>
        <v>18056.200991588808</v>
      </c>
      <c r="N458" s="50"/>
      <c r="O458" s="50">
        <f t="shared" si="260"/>
        <v>36350.842217237281</v>
      </c>
      <c r="P458" s="50">
        <f t="shared" si="261"/>
        <v>63756.96880799529</v>
      </c>
      <c r="Q458" s="50"/>
      <c r="R458" s="50">
        <f t="shared" si="262"/>
        <v>0</v>
      </c>
      <c r="S458" s="50">
        <f t="shared" si="263"/>
        <v>9358.9024385095872</v>
      </c>
      <c r="T458" s="50"/>
      <c r="U458" s="50">
        <f t="shared" si="264"/>
        <v>7059.1126815997677</v>
      </c>
      <c r="V458" s="50"/>
      <c r="W458" s="50">
        <f t="shared" si="265"/>
        <v>3424.3028630692611</v>
      </c>
      <c r="X458" s="50"/>
      <c r="Y458" s="50">
        <f t="shared" si="266"/>
        <v>0</v>
      </c>
      <c r="Z458" s="50"/>
      <c r="AA458" s="50">
        <f t="shared" si="267"/>
        <v>0</v>
      </c>
      <c r="AB458" s="50">
        <f t="shared" si="268"/>
        <v>138006.32999999999</v>
      </c>
      <c r="AC458" s="28" t="str">
        <f t="shared" si="269"/>
        <v>ok</v>
      </c>
    </row>
    <row r="459" spans="1:29" x14ac:dyDescent="0.25">
      <c r="A459" s="14">
        <v>950</v>
      </c>
      <c r="B459" s="14" t="s">
        <v>593</v>
      </c>
      <c r="C459" s="14" t="s">
        <v>594</v>
      </c>
      <c r="D459" s="14" t="s">
        <v>70</v>
      </c>
      <c r="F459" s="50">
        <v>0</v>
      </c>
      <c r="H459" s="50">
        <f t="shared" si="256"/>
        <v>0</v>
      </c>
      <c r="I459" s="50">
        <f t="shared" si="257"/>
        <v>0</v>
      </c>
      <c r="J459" s="50"/>
      <c r="K459" s="50">
        <f t="shared" si="258"/>
        <v>0</v>
      </c>
      <c r="L459" s="50"/>
      <c r="M459" s="50">
        <f t="shared" si="259"/>
        <v>0</v>
      </c>
      <c r="N459" s="50"/>
      <c r="O459" s="50">
        <f t="shared" si="260"/>
        <v>0</v>
      </c>
      <c r="P459" s="50">
        <f t="shared" si="261"/>
        <v>0</v>
      </c>
      <c r="Q459" s="50"/>
      <c r="R459" s="50">
        <f t="shared" si="262"/>
        <v>0</v>
      </c>
      <c r="S459" s="50">
        <f t="shared" si="263"/>
        <v>0</v>
      </c>
      <c r="T459" s="50"/>
      <c r="U459" s="50">
        <f t="shared" si="264"/>
        <v>0</v>
      </c>
      <c r="V459" s="50"/>
      <c r="W459" s="50">
        <f t="shared" si="265"/>
        <v>0</v>
      </c>
      <c r="X459" s="50"/>
      <c r="Y459" s="50">
        <f t="shared" si="266"/>
        <v>0</v>
      </c>
      <c r="Z459" s="50"/>
      <c r="AA459" s="50">
        <f t="shared" si="267"/>
        <v>0</v>
      </c>
      <c r="AB459" s="50">
        <f t="shared" si="268"/>
        <v>0</v>
      </c>
      <c r="AC459" s="28" t="str">
        <f t="shared" si="269"/>
        <v>ok</v>
      </c>
    </row>
    <row r="460" spans="1:29" x14ac:dyDescent="0.25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5">
      <c r="A461" s="14" t="s">
        <v>178</v>
      </c>
      <c r="C461" s="14" t="s">
        <v>527</v>
      </c>
      <c r="F461" s="67">
        <f>SUM(F448:F460)</f>
        <v>2000227.6200000003</v>
      </c>
      <c r="G461" s="67">
        <f>SUM(G448:G460)</f>
        <v>0</v>
      </c>
      <c r="H461" s="67">
        <f>SUM(H448:H460)</f>
        <v>0</v>
      </c>
      <c r="I461" s="67">
        <f>SUM(I448:I460)</f>
        <v>0</v>
      </c>
      <c r="J461" s="67"/>
      <c r="K461" s="67">
        <f>SUM(K448:K460)</f>
        <v>0</v>
      </c>
      <c r="L461" s="67"/>
      <c r="M461" s="67">
        <f>SUM(M448:M460)</f>
        <v>120219.86050957869</v>
      </c>
      <c r="N461" s="67"/>
      <c r="O461" s="67">
        <f>SUM(O448:O460)</f>
        <v>350788.28336462518</v>
      </c>
      <c r="P461" s="67">
        <f>SUM(P448:P460)</f>
        <v>1145272.9043479483</v>
      </c>
      <c r="Q461" s="67"/>
      <c r="R461" s="67">
        <f>SUM(R448:R460)</f>
        <v>0</v>
      </c>
      <c r="S461" s="67">
        <f>SUM(S448:S460)</f>
        <v>32053.573359459388</v>
      </c>
      <c r="T461" s="67"/>
      <c r="U461" s="67">
        <f>SUM(U448:U460)</f>
        <v>160594.05153718387</v>
      </c>
      <c r="V461" s="67"/>
      <c r="W461" s="67">
        <f>SUM(W448:W460)</f>
        <v>12648.191779008737</v>
      </c>
      <c r="X461" s="67"/>
      <c r="Y461" s="67">
        <f>SUM(Y448:Y460)</f>
        <v>178029.67547357467</v>
      </c>
      <c r="Z461" s="67"/>
      <c r="AA461" s="67">
        <f>SUM(AA448:AA460)</f>
        <v>621.07962862140471</v>
      </c>
      <c r="AB461" s="50">
        <f>SUM(H461:AA461)</f>
        <v>2000227.6200000003</v>
      </c>
      <c r="AC461" s="28" t="str">
        <f>IF(ABS(AB461-F461)&lt;1,"ok","err")</f>
        <v>ok</v>
      </c>
    </row>
    <row r="462" spans="1:29" x14ac:dyDescent="0.25">
      <c r="F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28"/>
    </row>
    <row r="463" spans="1:29" x14ac:dyDescent="0.25">
      <c r="A463" s="14" t="s">
        <v>180</v>
      </c>
      <c r="C463" s="14" t="s">
        <v>528</v>
      </c>
      <c r="F463" s="67">
        <f>F358+F416+F425+F440+F461</f>
        <v>6312358.9899999993</v>
      </c>
      <c r="G463" s="67"/>
      <c r="H463" s="67">
        <f>H358+H416+H425+H440+H461</f>
        <v>0</v>
      </c>
      <c r="I463" s="67">
        <f>I358+I416+I425+I440+I461</f>
        <v>0</v>
      </c>
      <c r="J463" s="67"/>
      <c r="K463" s="67">
        <f>K358+K416+K425+K440+K461</f>
        <v>0</v>
      </c>
      <c r="L463" s="67"/>
      <c r="M463" s="67">
        <f>M358+M416+M425+M440+M461</f>
        <v>406099.13618978264</v>
      </c>
      <c r="N463" s="67"/>
      <c r="O463" s="67">
        <f>O358+O416+O425+O440+O461</f>
        <v>1087208.4304196171</v>
      </c>
      <c r="P463" s="67">
        <f>P358+P416+P425+P440+P461</f>
        <v>3009016.3733214149</v>
      </c>
      <c r="Q463" s="67"/>
      <c r="R463" s="67">
        <f>R358+R416+R425+R440+R461</f>
        <v>0</v>
      </c>
      <c r="S463" s="67">
        <f>S358+S416+S425+S440+S461</f>
        <v>132617.89096346303</v>
      </c>
      <c r="T463" s="67"/>
      <c r="U463" s="67">
        <f>U358+U416+U425+U440+U461</f>
        <v>658571.25289889716</v>
      </c>
      <c r="V463" s="67"/>
      <c r="W463" s="67">
        <f>W358+W416+W425+W440+W461</f>
        <v>53415.221104629236</v>
      </c>
      <c r="X463" s="67"/>
      <c r="Y463" s="67">
        <f>Y358+Y416+Y425+Y440+Y461</f>
        <v>964809.6054735746</v>
      </c>
      <c r="Z463" s="67"/>
      <c r="AA463" s="67">
        <f>AA358+AA416+AA425+AA440+AA461</f>
        <v>621.07962862140471</v>
      </c>
      <c r="AB463" s="50">
        <f>SUM(H463:AA463)</f>
        <v>6312358.9900000002</v>
      </c>
      <c r="AC463" s="28" t="str">
        <f>IF(ABS(AB463-F463)&lt;1,"ok","err")</f>
        <v>ok</v>
      </c>
    </row>
    <row r="464" spans="1:29" x14ac:dyDescent="0.25">
      <c r="F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28"/>
    </row>
    <row r="465" spans="1:29" x14ac:dyDescent="0.25">
      <c r="A465" s="14" t="s">
        <v>412</v>
      </c>
      <c r="C465" s="14" t="s">
        <v>529</v>
      </c>
      <c r="F465" s="91">
        <f>F463-F364</f>
        <v>6312358.9899999993</v>
      </c>
      <c r="G465" s="91">
        <f>G463-G364</f>
        <v>0</v>
      </c>
      <c r="H465" s="91">
        <f>H463-H364</f>
        <v>0</v>
      </c>
      <c r="I465" s="91">
        <f>I463-I364</f>
        <v>0</v>
      </c>
      <c r="J465" s="91"/>
      <c r="K465" s="91">
        <f>K463-K364</f>
        <v>0</v>
      </c>
      <c r="L465" s="91"/>
      <c r="M465" s="91">
        <f>M463-M364</f>
        <v>406099.13618978264</v>
      </c>
      <c r="N465" s="91"/>
      <c r="O465" s="91">
        <f>O463-O364</f>
        <v>1087208.4304196171</v>
      </c>
      <c r="P465" s="91">
        <f>P463-P364</f>
        <v>3009016.3733214149</v>
      </c>
      <c r="Q465" s="91"/>
      <c r="R465" s="91">
        <f>R463-R364</f>
        <v>0</v>
      </c>
      <c r="S465" s="91">
        <f>S463-S364</f>
        <v>132617.89096346303</v>
      </c>
      <c r="T465" s="91"/>
      <c r="U465" s="91">
        <f>U463-U364</f>
        <v>658571.25289889716</v>
      </c>
      <c r="V465" s="91"/>
      <c r="W465" s="91">
        <f>W463-W364</f>
        <v>53415.221104629236</v>
      </c>
      <c r="X465" s="91"/>
      <c r="Y465" s="91">
        <f>Y463-Y364</f>
        <v>964809.6054735746</v>
      </c>
      <c r="Z465" s="91"/>
      <c r="AA465" s="91">
        <f>AA463-AA364</f>
        <v>621.07962862140471</v>
      </c>
      <c r="AB465" s="50">
        <f>SUM(H465:AA465)</f>
        <v>6312358.9900000002</v>
      </c>
      <c r="AC465" s="28" t="str">
        <f>IF(ABS(AB465-F465)&lt;1,"ok","err")</f>
        <v>ok</v>
      </c>
    </row>
    <row r="466" spans="1:29" x14ac:dyDescent="0.25"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50"/>
      <c r="AC466" s="28"/>
    </row>
    <row r="467" spans="1:29" x14ac:dyDescent="0.25">
      <c r="A467" s="26" t="s">
        <v>198</v>
      </c>
      <c r="AC467" s="28"/>
    </row>
    <row r="468" spans="1:29" x14ac:dyDescent="0.25">
      <c r="AC468" s="28"/>
    </row>
    <row r="469" spans="1:29" x14ac:dyDescent="0.25">
      <c r="A469" s="14" t="s">
        <v>1</v>
      </c>
      <c r="C469" s="14" t="s">
        <v>24</v>
      </c>
      <c r="F469" s="95">
        <v>1</v>
      </c>
      <c r="G469" s="95"/>
      <c r="H469" s="96">
        <v>0</v>
      </c>
      <c r="I469" s="96">
        <v>0</v>
      </c>
      <c r="J469" s="96"/>
      <c r="K469" s="96">
        <v>0</v>
      </c>
      <c r="L469" s="95"/>
      <c r="M469" s="96">
        <v>1</v>
      </c>
      <c r="N469" s="95"/>
      <c r="O469" s="96">
        <v>0</v>
      </c>
      <c r="P469" s="96">
        <v>0</v>
      </c>
      <c r="Q469" s="97"/>
      <c r="R469" s="95">
        <v>0</v>
      </c>
      <c r="S469" s="95">
        <v>0</v>
      </c>
      <c r="T469" s="95"/>
      <c r="U469" s="95">
        <v>0</v>
      </c>
      <c r="V469" s="95"/>
      <c r="W469" s="95">
        <v>0</v>
      </c>
      <c r="X469" s="95"/>
      <c r="Y469" s="95">
        <v>0</v>
      </c>
      <c r="Z469" s="95"/>
      <c r="AA469" s="95">
        <v>0</v>
      </c>
      <c r="AB469" s="96">
        <f>SUM(H469:AA469)</f>
        <v>1</v>
      </c>
      <c r="AC469" s="28" t="str">
        <f t="shared" ref="AC469:AC479" si="270">IF(ABS(AB469-F469)&lt;0.0000001,"ok","err")</f>
        <v>ok</v>
      </c>
    </row>
    <row r="470" spans="1:29" x14ac:dyDescent="0.25">
      <c r="A470" s="14" t="s">
        <v>199</v>
      </c>
      <c r="C470" s="14" t="s">
        <v>27</v>
      </c>
      <c r="F470" s="95">
        <v>1</v>
      </c>
      <c r="G470" s="95"/>
      <c r="H470" s="96">
        <v>0</v>
      </c>
      <c r="I470" s="96">
        <v>0</v>
      </c>
      <c r="J470" s="96"/>
      <c r="K470" s="96">
        <v>0</v>
      </c>
      <c r="L470" s="95"/>
      <c r="M470" s="96">
        <v>0</v>
      </c>
      <c r="N470" s="95"/>
      <c r="O470" s="96">
        <f>O471</f>
        <v>0.16407928737339361</v>
      </c>
      <c r="P470" s="96">
        <f>P471</f>
        <v>0.83592071262660639</v>
      </c>
      <c r="Q470" s="97"/>
      <c r="R470" s="95">
        <v>0</v>
      </c>
      <c r="S470" s="95">
        <v>0</v>
      </c>
      <c r="T470" s="95"/>
      <c r="U470" s="95">
        <v>0</v>
      </c>
      <c r="V470" s="95"/>
      <c r="W470" s="95">
        <v>0</v>
      </c>
      <c r="X470" s="95"/>
      <c r="Y470" s="95">
        <v>0</v>
      </c>
      <c r="Z470" s="95"/>
      <c r="AA470" s="95">
        <v>0</v>
      </c>
      <c r="AB470" s="96">
        <f t="shared" ref="AB470:AB478" si="271">SUM(H470:AA470)</f>
        <v>1</v>
      </c>
      <c r="AC470" s="28" t="str">
        <f t="shared" si="270"/>
        <v>ok</v>
      </c>
    </row>
    <row r="471" spans="1:29" x14ac:dyDescent="0.25">
      <c r="A471" s="14" t="s">
        <v>200</v>
      </c>
      <c r="C471" s="14" t="s">
        <v>30</v>
      </c>
      <c r="F471" s="95">
        <v>1</v>
      </c>
      <c r="G471" s="95"/>
      <c r="H471" s="96">
        <v>0</v>
      </c>
      <c r="I471" s="96">
        <v>0</v>
      </c>
      <c r="J471" s="96"/>
      <c r="K471" s="96">
        <v>0</v>
      </c>
      <c r="L471" s="95"/>
      <c r="M471" s="96">
        <v>0</v>
      </c>
      <c r="N471" s="95"/>
      <c r="O471" s="96">
        <f>ZeroInt!D171</f>
        <v>0.16407928737339361</v>
      </c>
      <c r="P471" s="96">
        <f>ZeroInt!E171</f>
        <v>0.83592071262660639</v>
      </c>
      <c r="Q471" s="97"/>
      <c r="R471" s="95">
        <v>0</v>
      </c>
      <c r="S471" s="95">
        <v>0</v>
      </c>
      <c r="T471" s="95"/>
      <c r="U471" s="95">
        <v>0</v>
      </c>
      <c r="V471" s="95"/>
      <c r="W471" s="95">
        <v>0</v>
      </c>
      <c r="X471" s="95"/>
      <c r="Y471" s="95">
        <v>0</v>
      </c>
      <c r="Z471" s="95"/>
      <c r="AA471" s="95">
        <v>0</v>
      </c>
      <c r="AB471" s="96">
        <f t="shared" si="271"/>
        <v>1</v>
      </c>
      <c r="AC471" s="28" t="str">
        <f t="shared" si="270"/>
        <v>ok</v>
      </c>
    </row>
    <row r="472" spans="1:29" x14ac:dyDescent="0.25">
      <c r="A472" s="14" t="s">
        <v>201</v>
      </c>
      <c r="C472" s="14" t="s">
        <v>33</v>
      </c>
      <c r="F472" s="95">
        <v>1</v>
      </c>
      <c r="G472" s="95"/>
      <c r="H472" s="96">
        <v>0</v>
      </c>
      <c r="I472" s="96">
        <v>0</v>
      </c>
      <c r="J472" s="96"/>
      <c r="K472" s="96">
        <v>0</v>
      </c>
      <c r="L472" s="95"/>
      <c r="M472" s="96">
        <v>0</v>
      </c>
      <c r="N472" s="95"/>
      <c r="O472" s="96">
        <f>ZeroInt!D172</f>
        <v>0.81088765724796019</v>
      </c>
      <c r="P472" s="96">
        <f>ZeroInt!E172</f>
        <v>0.18911234275203978</v>
      </c>
      <c r="Q472" s="97"/>
      <c r="R472" s="95">
        <v>0</v>
      </c>
      <c r="S472" s="95">
        <v>0</v>
      </c>
      <c r="T472" s="95"/>
      <c r="U472" s="95">
        <v>0</v>
      </c>
      <c r="V472" s="95"/>
      <c r="W472" s="95">
        <v>0</v>
      </c>
      <c r="X472" s="95"/>
      <c r="Y472" s="95">
        <v>0</v>
      </c>
      <c r="Z472" s="95"/>
      <c r="AA472" s="95">
        <v>0</v>
      </c>
      <c r="AB472" s="96">
        <f t="shared" si="271"/>
        <v>1</v>
      </c>
      <c r="AC472" s="28" t="str">
        <f t="shared" si="270"/>
        <v>ok</v>
      </c>
    </row>
    <row r="473" spans="1:29" x14ac:dyDescent="0.25">
      <c r="A473" s="14" t="s">
        <v>202</v>
      </c>
      <c r="C473" s="14" t="s">
        <v>38</v>
      </c>
      <c r="F473" s="95">
        <v>1</v>
      </c>
      <c r="G473" s="95"/>
      <c r="H473" s="96">
        <v>0</v>
      </c>
      <c r="I473" s="96">
        <v>0</v>
      </c>
      <c r="J473" s="96"/>
      <c r="K473" s="96">
        <v>0</v>
      </c>
      <c r="L473" s="95"/>
      <c r="M473" s="96">
        <v>0</v>
      </c>
      <c r="N473" s="95"/>
      <c r="O473" s="96">
        <f>ZeroInt!D173</f>
        <v>0.48750528107244262</v>
      </c>
      <c r="P473" s="96">
        <f>ZeroInt!E173</f>
        <v>0.51249471892755738</v>
      </c>
      <c r="Q473" s="97"/>
      <c r="R473" s="95">
        <v>0</v>
      </c>
      <c r="S473" s="95">
        <v>0</v>
      </c>
      <c r="T473" s="95"/>
      <c r="U473" s="95">
        <v>0</v>
      </c>
      <c r="V473" s="95"/>
      <c r="W473" s="95">
        <v>0</v>
      </c>
      <c r="X473" s="95"/>
      <c r="Y473" s="95">
        <v>0</v>
      </c>
      <c r="Z473" s="95"/>
      <c r="AA473" s="95">
        <v>0</v>
      </c>
      <c r="AB473" s="96">
        <f t="shared" si="271"/>
        <v>1</v>
      </c>
      <c r="AC473" s="28" t="str">
        <f t="shared" si="270"/>
        <v>ok</v>
      </c>
    </row>
    <row r="474" spans="1:29" x14ac:dyDescent="0.25">
      <c r="A474" s="14" t="s">
        <v>203</v>
      </c>
      <c r="C474" s="14" t="s">
        <v>41</v>
      </c>
      <c r="F474" s="95">
        <v>1</v>
      </c>
      <c r="G474" s="95"/>
      <c r="H474" s="96">
        <v>0</v>
      </c>
      <c r="I474" s="96">
        <v>0</v>
      </c>
      <c r="J474" s="96"/>
      <c r="K474" s="96">
        <v>0</v>
      </c>
      <c r="L474" s="95"/>
      <c r="M474" s="96">
        <v>0</v>
      </c>
      <c r="N474" s="95"/>
      <c r="O474" s="96">
        <v>0</v>
      </c>
      <c r="P474" s="96">
        <v>0</v>
      </c>
      <c r="Q474" s="97"/>
      <c r="R474" s="95">
        <v>0</v>
      </c>
      <c r="S474" s="95">
        <v>1</v>
      </c>
      <c r="T474" s="95"/>
      <c r="U474" s="95">
        <v>0</v>
      </c>
      <c r="V474" s="95"/>
      <c r="W474" s="95">
        <v>0</v>
      </c>
      <c r="X474" s="95"/>
      <c r="Y474" s="95">
        <v>0</v>
      </c>
      <c r="Z474" s="95"/>
      <c r="AA474" s="95">
        <v>0</v>
      </c>
      <c r="AB474" s="96">
        <f t="shared" si="271"/>
        <v>1</v>
      </c>
      <c r="AC474" s="28" t="str">
        <f t="shared" si="270"/>
        <v>ok</v>
      </c>
    </row>
    <row r="475" spans="1:29" x14ac:dyDescent="0.25">
      <c r="A475" s="14" t="s">
        <v>4</v>
      </c>
      <c r="C475" s="14" t="s">
        <v>44</v>
      </c>
      <c r="F475" s="95">
        <v>1</v>
      </c>
      <c r="G475" s="95"/>
      <c r="H475" s="96">
        <v>0</v>
      </c>
      <c r="I475" s="96">
        <v>0</v>
      </c>
      <c r="J475" s="96"/>
      <c r="K475" s="96">
        <v>0</v>
      </c>
      <c r="L475" s="95"/>
      <c r="M475" s="96">
        <v>0</v>
      </c>
      <c r="N475" s="95"/>
      <c r="O475" s="96">
        <v>0</v>
      </c>
      <c r="P475" s="96">
        <v>0</v>
      </c>
      <c r="Q475" s="97"/>
      <c r="R475" s="95">
        <v>0</v>
      </c>
      <c r="S475" s="95">
        <v>0</v>
      </c>
      <c r="T475" s="95"/>
      <c r="U475" s="95">
        <v>1</v>
      </c>
      <c r="V475" s="95"/>
      <c r="W475" s="95">
        <v>0</v>
      </c>
      <c r="X475" s="95"/>
      <c r="Y475" s="95">
        <v>0</v>
      </c>
      <c r="Z475" s="95"/>
      <c r="AA475" s="95">
        <v>0</v>
      </c>
      <c r="AB475" s="96">
        <f t="shared" si="271"/>
        <v>1</v>
      </c>
      <c r="AC475" s="28" t="str">
        <f t="shared" si="270"/>
        <v>ok</v>
      </c>
    </row>
    <row r="476" spans="1:29" x14ac:dyDescent="0.25">
      <c r="A476" s="14" t="s">
        <v>204</v>
      </c>
      <c r="C476" s="14" t="s">
        <v>49</v>
      </c>
      <c r="F476" s="95">
        <v>1</v>
      </c>
      <c r="G476" s="95"/>
      <c r="H476" s="96">
        <v>0</v>
      </c>
      <c r="I476" s="96">
        <v>0</v>
      </c>
      <c r="J476" s="96"/>
      <c r="K476" s="96">
        <v>0</v>
      </c>
      <c r="L476" s="95"/>
      <c r="M476" s="96">
        <v>0</v>
      </c>
      <c r="N476" s="95"/>
      <c r="O476" s="96">
        <v>0</v>
      </c>
      <c r="P476" s="96">
        <v>0</v>
      </c>
      <c r="Q476" s="97"/>
      <c r="R476" s="95">
        <v>0</v>
      </c>
      <c r="S476" s="95">
        <v>0</v>
      </c>
      <c r="T476" s="95"/>
      <c r="U476" s="95">
        <v>0</v>
      </c>
      <c r="V476" s="95"/>
      <c r="W476" s="95">
        <v>1</v>
      </c>
      <c r="X476" s="95"/>
      <c r="Y476" s="95">
        <v>0</v>
      </c>
      <c r="Z476" s="95"/>
      <c r="AA476" s="95">
        <v>0</v>
      </c>
      <c r="AB476" s="96">
        <f t="shared" si="271"/>
        <v>1</v>
      </c>
      <c r="AC476" s="28" t="str">
        <f t="shared" si="270"/>
        <v>ok</v>
      </c>
    </row>
    <row r="477" spans="1:29" x14ac:dyDescent="0.25">
      <c r="A477" s="14" t="s">
        <v>205</v>
      </c>
      <c r="C477" s="14" t="s">
        <v>139</v>
      </c>
      <c r="F477" s="95">
        <v>1</v>
      </c>
      <c r="G477" s="95"/>
      <c r="H477" s="96">
        <v>0</v>
      </c>
      <c r="I477" s="96">
        <v>0</v>
      </c>
      <c r="J477" s="96"/>
      <c r="K477" s="96">
        <v>0</v>
      </c>
      <c r="L477" s="95"/>
      <c r="M477" s="96">
        <v>0</v>
      </c>
      <c r="N477" s="95"/>
      <c r="O477" s="96">
        <v>0</v>
      </c>
      <c r="P477" s="96">
        <v>0</v>
      </c>
      <c r="Q477" s="97"/>
      <c r="R477" s="95">
        <v>0</v>
      </c>
      <c r="S477" s="95">
        <v>0</v>
      </c>
      <c r="T477" s="95"/>
      <c r="U477" s="95">
        <v>0</v>
      </c>
      <c r="V477" s="95"/>
      <c r="W477" s="95">
        <v>0</v>
      </c>
      <c r="X477" s="95"/>
      <c r="Y477" s="95">
        <v>1</v>
      </c>
      <c r="Z477" s="95"/>
      <c r="AA477" s="95">
        <v>0</v>
      </c>
      <c r="AB477" s="96">
        <f t="shared" si="271"/>
        <v>1</v>
      </c>
      <c r="AC477" s="28" t="str">
        <f t="shared" si="270"/>
        <v>ok</v>
      </c>
    </row>
    <row r="478" spans="1:29" x14ac:dyDescent="0.25">
      <c r="A478" s="14" t="s">
        <v>206</v>
      </c>
      <c r="C478" s="14" t="s">
        <v>149</v>
      </c>
      <c r="F478" s="95">
        <v>1</v>
      </c>
      <c r="G478" s="95"/>
      <c r="H478" s="96">
        <v>0</v>
      </c>
      <c r="I478" s="96">
        <v>0</v>
      </c>
      <c r="J478" s="96"/>
      <c r="K478" s="96">
        <v>0</v>
      </c>
      <c r="L478" s="95"/>
      <c r="M478" s="96">
        <v>0</v>
      </c>
      <c r="N478" s="95"/>
      <c r="O478" s="96">
        <v>0</v>
      </c>
      <c r="P478" s="96">
        <v>0</v>
      </c>
      <c r="Q478" s="97"/>
      <c r="R478" s="95">
        <v>0</v>
      </c>
      <c r="S478" s="95">
        <v>0</v>
      </c>
      <c r="T478" s="95"/>
      <c r="U478" s="95">
        <v>0</v>
      </c>
      <c r="V478" s="95"/>
      <c r="W478" s="95">
        <v>0</v>
      </c>
      <c r="X478" s="95"/>
      <c r="Y478" s="95">
        <v>1</v>
      </c>
      <c r="Z478" s="95"/>
      <c r="AA478" s="95">
        <v>0</v>
      </c>
      <c r="AB478" s="96">
        <f t="shared" si="271"/>
        <v>1</v>
      </c>
      <c r="AC478" s="28" t="str">
        <f t="shared" si="270"/>
        <v>ok</v>
      </c>
    </row>
    <row r="479" spans="1:29" x14ac:dyDescent="0.25">
      <c r="A479" s="14" t="s">
        <v>349</v>
      </c>
      <c r="C479" s="14" t="s">
        <v>391</v>
      </c>
      <c r="F479" s="95">
        <v>1</v>
      </c>
      <c r="G479" s="95"/>
      <c r="H479" s="96">
        <v>0</v>
      </c>
      <c r="I479" s="96">
        <v>0</v>
      </c>
      <c r="J479" s="96"/>
      <c r="K479" s="96">
        <v>1</v>
      </c>
      <c r="L479" s="95"/>
      <c r="M479" s="96">
        <v>0</v>
      </c>
      <c r="N479" s="95"/>
      <c r="O479" s="96">
        <v>0</v>
      </c>
      <c r="P479" s="96">
        <v>0</v>
      </c>
      <c r="Q479" s="97"/>
      <c r="R479" s="95">
        <v>0</v>
      </c>
      <c r="S479" s="95">
        <v>0</v>
      </c>
      <c r="T479" s="95"/>
      <c r="U479" s="95">
        <v>0</v>
      </c>
      <c r="V479" s="95"/>
      <c r="W479" s="95">
        <v>0</v>
      </c>
      <c r="X479" s="95"/>
      <c r="Y479" s="95">
        <v>0</v>
      </c>
      <c r="Z479" s="95"/>
      <c r="AA479" s="95">
        <v>0</v>
      </c>
      <c r="AB479" s="96">
        <f>SUM(H479:AA479)</f>
        <v>1</v>
      </c>
      <c r="AC479" s="28" t="str">
        <f t="shared" si="270"/>
        <v>ok</v>
      </c>
    </row>
    <row r="480" spans="1:29" x14ac:dyDescent="0.25">
      <c r="A480" s="14" t="s">
        <v>470</v>
      </c>
      <c r="C480" s="14" t="s">
        <v>471</v>
      </c>
      <c r="F480" s="95">
        <v>1</v>
      </c>
      <c r="G480" s="95"/>
      <c r="H480" s="96">
        <v>0</v>
      </c>
      <c r="I480" s="96">
        <v>0</v>
      </c>
      <c r="J480" s="96"/>
      <c r="K480" s="96">
        <v>0</v>
      </c>
      <c r="L480" s="95"/>
      <c r="M480" s="96">
        <v>0</v>
      </c>
      <c r="N480" s="95"/>
      <c r="O480" s="96">
        <v>0</v>
      </c>
      <c r="P480" s="96">
        <v>0</v>
      </c>
      <c r="Q480" s="97"/>
      <c r="R480" s="95">
        <v>0</v>
      </c>
      <c r="S480" s="95">
        <v>0</v>
      </c>
      <c r="T480" s="95"/>
      <c r="U480" s="95">
        <v>0</v>
      </c>
      <c r="V480" s="95"/>
      <c r="W480" s="95">
        <v>0</v>
      </c>
      <c r="X480" s="95"/>
      <c r="Y480" s="95">
        <v>0</v>
      </c>
      <c r="Z480" s="95"/>
      <c r="AA480" s="95">
        <v>1</v>
      </c>
      <c r="AB480" s="96">
        <f>SUM(H480:AA480)</f>
        <v>1</v>
      </c>
      <c r="AC480" s="28" t="str">
        <f>IF(ABS(AB480-F480)&lt;0.0000001,"ok","err")</f>
        <v>ok</v>
      </c>
    </row>
    <row r="481" spans="1:29" x14ac:dyDescent="0.25">
      <c r="F481" s="95"/>
      <c r="H481" s="96"/>
      <c r="I481" s="96"/>
      <c r="J481" s="96"/>
      <c r="K481" s="96"/>
      <c r="L481" s="96"/>
      <c r="M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28"/>
    </row>
    <row r="482" spans="1:29" x14ac:dyDescent="0.25">
      <c r="H482" s="208"/>
      <c r="I482" s="208"/>
      <c r="AC482" s="28"/>
    </row>
    <row r="483" spans="1:29" x14ac:dyDescent="0.25">
      <c r="A483" s="13" t="s">
        <v>402</v>
      </c>
      <c r="C483" s="14" t="s">
        <v>96</v>
      </c>
      <c r="F483" s="95">
        <v>1</v>
      </c>
      <c r="G483" s="50"/>
      <c r="H483" s="200">
        <f>'Purchased Power'!O48</f>
        <v>0.25529258156836382</v>
      </c>
      <c r="I483" s="200">
        <f>'Purchased Power'!O49</f>
        <v>0.74470741843163657</v>
      </c>
      <c r="J483" s="50"/>
      <c r="K483" s="50">
        <v>0</v>
      </c>
      <c r="L483" s="50"/>
      <c r="M483" s="50">
        <v>0</v>
      </c>
      <c r="N483" s="50"/>
      <c r="O483" s="50">
        <v>0</v>
      </c>
      <c r="P483" s="50">
        <v>0</v>
      </c>
      <c r="Q483" s="98"/>
      <c r="R483" s="50">
        <v>0</v>
      </c>
      <c r="S483" s="50">
        <v>0</v>
      </c>
      <c r="T483" s="50"/>
      <c r="U483" s="50">
        <v>0</v>
      </c>
      <c r="V483" s="50"/>
      <c r="W483" s="50">
        <v>0</v>
      </c>
      <c r="X483" s="50"/>
      <c r="Y483" s="50">
        <v>0</v>
      </c>
      <c r="Z483" s="50"/>
      <c r="AA483" s="50">
        <v>0</v>
      </c>
      <c r="AB483" s="49">
        <f>SUM(H483:AA483)</f>
        <v>1.0000000000000004</v>
      </c>
      <c r="AC483" s="28" t="str">
        <f>IF(ABS(AB483-F483)&lt;1,"ok","err")</f>
        <v>ok</v>
      </c>
    </row>
    <row r="484" spans="1:29" x14ac:dyDescent="0.25">
      <c r="F484" s="95"/>
      <c r="AC484" s="28"/>
    </row>
    <row r="485" spans="1:29" x14ac:dyDescent="0.25">
      <c r="A485" s="14" t="s">
        <v>548</v>
      </c>
      <c r="C485" s="14" t="s">
        <v>546</v>
      </c>
      <c r="F485" s="95">
        <v>1</v>
      </c>
      <c r="H485" s="96">
        <v>0</v>
      </c>
      <c r="I485" s="96">
        <v>0</v>
      </c>
      <c r="J485" s="96"/>
      <c r="K485" s="96">
        <v>0</v>
      </c>
      <c r="L485" s="96"/>
      <c r="M485" s="96">
        <v>0</v>
      </c>
      <c r="N485" s="96"/>
      <c r="O485" s="96">
        <v>0</v>
      </c>
      <c r="P485" s="96">
        <v>0</v>
      </c>
      <c r="Q485" s="96"/>
      <c r="R485" s="96">
        <v>0</v>
      </c>
      <c r="S485" s="96">
        <v>0</v>
      </c>
      <c r="T485" s="96"/>
      <c r="U485" s="96">
        <v>0</v>
      </c>
      <c r="V485" s="96"/>
      <c r="W485" s="96">
        <v>1</v>
      </c>
      <c r="X485" s="96"/>
      <c r="Y485" s="96">
        <v>0</v>
      </c>
      <c r="Z485" s="96"/>
      <c r="AA485" s="96">
        <v>0</v>
      </c>
      <c r="AB485" s="96">
        <f>SUM(H485:AA485)</f>
        <v>1</v>
      </c>
      <c r="AC485" s="28" t="str">
        <f>IF(ABS(AB485-F485)&lt;1,"ok","err")</f>
        <v>ok</v>
      </c>
    </row>
    <row r="486" spans="1:29" x14ac:dyDescent="0.25">
      <c r="A486" s="14" t="s">
        <v>549</v>
      </c>
      <c r="C486" s="14" t="s">
        <v>547</v>
      </c>
      <c r="F486" s="95">
        <v>1</v>
      </c>
      <c r="H486" s="96">
        <v>0</v>
      </c>
      <c r="I486" s="96">
        <v>0</v>
      </c>
      <c r="J486" s="96"/>
      <c r="K486" s="96">
        <v>0</v>
      </c>
      <c r="L486" s="96"/>
      <c r="M486" s="96">
        <v>0</v>
      </c>
      <c r="N486" s="96"/>
      <c r="O486" s="96">
        <v>0</v>
      </c>
      <c r="P486" s="96">
        <v>0</v>
      </c>
      <c r="Q486" s="96"/>
      <c r="R486" s="96">
        <v>0</v>
      </c>
      <c r="S486" s="96">
        <v>0</v>
      </c>
      <c r="T486" s="96"/>
      <c r="U486" s="96">
        <v>0</v>
      </c>
      <c r="V486" s="96"/>
      <c r="W486" s="96">
        <v>1</v>
      </c>
      <c r="X486" s="96"/>
      <c r="Y486" s="96">
        <v>0</v>
      </c>
      <c r="Z486" s="96"/>
      <c r="AA486" s="96">
        <v>0</v>
      </c>
      <c r="AB486" s="96">
        <f>SUM(H486:AA486)</f>
        <v>1</v>
      </c>
      <c r="AC486" s="28" t="str">
        <f>IF(ABS(AB486-F486)&lt;1,"ok","err")</f>
        <v>ok</v>
      </c>
    </row>
    <row r="487" spans="1:29" x14ac:dyDescent="0.25">
      <c r="A487" s="14" t="s">
        <v>708</v>
      </c>
      <c r="C487" s="14" t="s">
        <v>551</v>
      </c>
      <c r="F487" s="95">
        <v>1</v>
      </c>
      <c r="G487" s="95"/>
      <c r="H487" s="96">
        <v>0</v>
      </c>
      <c r="I487" s="96">
        <v>0</v>
      </c>
      <c r="J487" s="96"/>
      <c r="K487" s="96">
        <v>0</v>
      </c>
      <c r="L487" s="95"/>
      <c r="M487" s="96">
        <v>0</v>
      </c>
      <c r="N487" s="95"/>
      <c r="O487" s="96">
        <v>0</v>
      </c>
      <c r="P487" s="96">
        <v>1</v>
      </c>
      <c r="Q487" s="97"/>
      <c r="R487" s="95">
        <v>0</v>
      </c>
      <c r="S487" s="95">
        <v>0</v>
      </c>
      <c r="T487" s="95"/>
      <c r="U487" s="95">
        <v>0</v>
      </c>
      <c r="V487" s="95"/>
      <c r="W487" s="95">
        <v>0</v>
      </c>
      <c r="X487" s="95"/>
      <c r="Y487" s="95">
        <v>0</v>
      </c>
      <c r="Z487" s="95"/>
      <c r="AA487" s="95">
        <v>0</v>
      </c>
      <c r="AB487" s="96">
        <f>SUM(H487:AA487)</f>
        <v>1</v>
      </c>
      <c r="AC487" s="28" t="str">
        <f>IF(ABS(AB487-F487)&lt;0.0000001,"ok","err")</f>
        <v>ok</v>
      </c>
    </row>
    <row r="488" spans="1:29" x14ac:dyDescent="0.25">
      <c r="A488" s="14" t="s">
        <v>822</v>
      </c>
      <c r="C488" s="14" t="s">
        <v>552</v>
      </c>
      <c r="F488" s="95">
        <v>1</v>
      </c>
      <c r="G488" s="95"/>
      <c r="H488" s="96">
        <v>1</v>
      </c>
      <c r="I488" s="96">
        <v>0</v>
      </c>
      <c r="J488" s="96"/>
      <c r="K488" s="96">
        <v>0</v>
      </c>
      <c r="L488" s="95"/>
      <c r="M488" s="96">
        <v>0</v>
      </c>
      <c r="N488" s="95"/>
      <c r="O488" s="96">
        <v>0</v>
      </c>
      <c r="P488" s="96">
        <v>0</v>
      </c>
      <c r="Q488" s="97"/>
      <c r="R488" s="95">
        <v>0</v>
      </c>
      <c r="S488" s="95">
        <v>0</v>
      </c>
      <c r="T488" s="95"/>
      <c r="U488" s="95">
        <v>0</v>
      </c>
      <c r="V488" s="95"/>
      <c r="W488" s="95">
        <v>0</v>
      </c>
      <c r="X488" s="95"/>
      <c r="Y488" s="95">
        <v>0</v>
      </c>
      <c r="Z488" s="95"/>
      <c r="AA488" s="95">
        <v>0</v>
      </c>
      <c r="AB488" s="96">
        <f>SUM(H488:AA488)</f>
        <v>1</v>
      </c>
      <c r="AC488" s="28" t="str">
        <f>IF(ABS(AB488-F488)&lt;0.0000001,"ok","err")</f>
        <v>ok</v>
      </c>
    </row>
    <row r="489" spans="1:29" x14ac:dyDescent="0.25">
      <c r="A489" s="14" t="s">
        <v>823</v>
      </c>
      <c r="C489" s="14" t="s">
        <v>786</v>
      </c>
      <c r="F489" s="95">
        <v>1</v>
      </c>
      <c r="G489" s="95"/>
      <c r="H489" s="96">
        <v>0</v>
      </c>
      <c r="I489" s="96">
        <v>1</v>
      </c>
      <c r="J489" s="96"/>
      <c r="K489" s="96">
        <v>0</v>
      </c>
      <c r="L489" s="95"/>
      <c r="M489" s="96">
        <v>0</v>
      </c>
      <c r="N489" s="95"/>
      <c r="O489" s="96">
        <v>0</v>
      </c>
      <c r="P489" s="96">
        <v>0</v>
      </c>
      <c r="Q489" s="97"/>
      <c r="R489" s="95">
        <v>0</v>
      </c>
      <c r="S489" s="95">
        <v>0</v>
      </c>
      <c r="T489" s="95"/>
      <c r="U489" s="95">
        <v>0</v>
      </c>
      <c r="V489" s="95"/>
      <c r="W489" s="95">
        <v>0</v>
      </c>
      <c r="X489" s="95"/>
      <c r="Y489" s="95">
        <v>0</v>
      </c>
      <c r="Z489" s="95"/>
      <c r="AA489" s="95">
        <v>0</v>
      </c>
      <c r="AB489" s="96">
        <f>SUM(H489:AA489)</f>
        <v>1</v>
      </c>
      <c r="AC489" s="28" t="str">
        <f>IF(ABS(AB489-F489)&lt;0.0000001,"ok","err")</f>
        <v>ok</v>
      </c>
    </row>
    <row r="490" spans="1:29" x14ac:dyDescent="0.25">
      <c r="F490" s="95"/>
      <c r="AC490" s="28"/>
    </row>
    <row r="491" spans="1:29" x14ac:dyDescent="0.25">
      <c r="AC491" s="28"/>
    </row>
    <row r="492" spans="1:29" x14ac:dyDescent="0.25"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50"/>
      <c r="AC492" s="28"/>
    </row>
    <row r="493" spans="1:29" x14ac:dyDescent="0.25"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50"/>
      <c r="AC493" s="28"/>
    </row>
    <row r="494" spans="1:29" x14ac:dyDescent="0.25">
      <c r="AC494" s="28"/>
    </row>
    <row r="495" spans="1:29" x14ac:dyDescent="0.25">
      <c r="F495" s="50"/>
      <c r="AC495" s="28"/>
    </row>
    <row r="496" spans="1:29" x14ac:dyDescent="0.25">
      <c r="F496" s="50"/>
      <c r="AC496" s="28"/>
    </row>
    <row r="497" spans="6:29" x14ac:dyDescent="0.25">
      <c r="F497" s="50"/>
      <c r="AC497" s="28"/>
    </row>
    <row r="498" spans="6:29" x14ac:dyDescent="0.25">
      <c r="F498" s="50"/>
      <c r="AC498" s="28"/>
    </row>
    <row r="499" spans="6:29" x14ac:dyDescent="0.25">
      <c r="F499" s="50"/>
      <c r="AC499" s="28"/>
    </row>
    <row r="500" spans="6:29" x14ac:dyDescent="0.25">
      <c r="F500" s="50"/>
      <c r="AC500" s="28"/>
    </row>
    <row r="501" spans="6:29" x14ac:dyDescent="0.25">
      <c r="F501" s="50"/>
      <c r="AC501" s="28"/>
    </row>
    <row r="502" spans="6:29" x14ac:dyDescent="0.25">
      <c r="F502" s="50"/>
      <c r="AC502" s="28"/>
    </row>
    <row r="503" spans="6:29" x14ac:dyDescent="0.25">
      <c r="F503" s="35"/>
      <c r="AC503" s="28"/>
    </row>
    <row r="504" spans="6:29" x14ac:dyDescent="0.25">
      <c r="AC504" s="28"/>
    </row>
    <row r="505" spans="6:29" x14ac:dyDescent="0.25">
      <c r="F505" s="67"/>
      <c r="AC505" s="28"/>
    </row>
    <row r="506" spans="6:29" x14ac:dyDescent="0.25">
      <c r="AC506" s="28"/>
    </row>
    <row r="507" spans="6:29" x14ac:dyDescent="0.25">
      <c r="AC507" s="28"/>
    </row>
    <row r="508" spans="6:29" x14ac:dyDescent="0.25">
      <c r="AC508" s="28"/>
    </row>
  </sheetData>
  <phoneticPr fontId="0" type="noConversion"/>
  <conditionalFormatting sqref="AC1:AC65536">
    <cfRule type="cellIs" dxfId="4" priority="2" operator="equal">
      <formula>"err"</formula>
    </cfRule>
  </conditionalFormatting>
  <conditionalFormatting sqref="AC8:AC493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Roman,Bold"JACKSON PURCHASE ENERGY CORPORATION
Cost of Service Study
Functional Assignment and Classification
12 Months Ended August 31, 2023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33" max="16383" man="1"/>
    <brk id="360" max="26" man="1"/>
    <brk id="397" max="16383" man="1"/>
    <brk id="444" max="26" man="1"/>
    <brk id="466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55"/>
  <sheetViews>
    <sheetView view="pageBreakPreview" zoomScale="75" zoomScaleNormal="100" zoomScaleSheetLayoutView="75" workbookViewId="0">
      <pane xSplit="2" ySplit="3" topLeftCell="C339" activePane="bottomRight" state="frozen"/>
      <selection activeCell="K26" sqref="K26"/>
      <selection pane="topRight" activeCell="K26" sqref="K26"/>
      <selection pane="bottomLeft" activeCell="K26" sqref="K26"/>
      <selection pane="bottomRight" activeCell="AI349" sqref="AI349"/>
    </sheetView>
  </sheetViews>
  <sheetFormatPr defaultColWidth="9.109375" defaultRowHeight="13.2" x14ac:dyDescent="0.25"/>
  <cols>
    <col min="1" max="1" width="7.6640625" style="14" customWidth="1"/>
    <col min="2" max="2" width="45.109375" style="14" customWidth="1"/>
    <col min="3" max="3" width="14" style="14" customWidth="1"/>
    <col min="4" max="5" width="14.5546875" style="14" bestFit="1" customWidth="1"/>
    <col min="6" max="6" width="14.5546875" style="14" customWidth="1"/>
    <col min="7" max="7" width="20" style="14" customWidth="1"/>
    <col min="8" max="8" width="17.6640625" style="14" customWidth="1"/>
    <col min="9" max="9" width="14.88671875" style="14" customWidth="1"/>
    <col min="10" max="10" width="14.6640625" style="14" customWidth="1"/>
    <col min="11" max="11" width="15.33203125" style="14" customWidth="1"/>
    <col min="12" max="12" width="16.33203125" style="14" customWidth="1"/>
    <col min="13" max="13" width="15.44140625" style="14" hidden="1" customWidth="1"/>
    <col min="14" max="14" width="11.44140625" style="14" hidden="1" customWidth="1"/>
    <col min="15" max="15" width="20.6640625" style="14" hidden="1" customWidth="1"/>
    <col min="16" max="16" width="16.109375" style="14" hidden="1" customWidth="1"/>
    <col min="17" max="17" width="15.6640625" style="14" hidden="1" customWidth="1"/>
    <col min="18" max="18" width="20.6640625" style="14" hidden="1" customWidth="1"/>
    <col min="19" max="22" width="14.5546875" style="100" hidden="1" customWidth="1"/>
    <col min="23" max="23" width="13.5546875" style="100" hidden="1" customWidth="1"/>
    <col min="24" max="24" width="12" style="100" hidden="1" customWidth="1"/>
    <col min="25" max="30" width="17.6640625" style="100" hidden="1" customWidth="1"/>
    <col min="31" max="31" width="17.44140625" style="100" hidden="1" customWidth="1"/>
    <col min="32" max="32" width="18" style="100" hidden="1" customWidth="1"/>
    <col min="33" max="33" width="21.6640625" style="14" bestFit="1" customWidth="1"/>
    <col min="34" max="34" width="10.6640625" style="14" customWidth="1"/>
    <col min="35" max="35" width="11.5546875" style="14" bestFit="1" customWidth="1"/>
    <col min="36" max="36" width="13.33203125" style="14" bestFit="1" customWidth="1"/>
    <col min="37" max="37" width="17.33203125" style="23" bestFit="1" customWidth="1"/>
    <col min="38" max="38" width="15.5546875" style="14" bestFit="1" customWidth="1"/>
    <col min="39" max="16384" width="9.109375" style="14"/>
  </cols>
  <sheetData>
    <row r="1" spans="1:37" x14ac:dyDescent="0.25">
      <c r="A1" s="80"/>
      <c r="B1" s="80"/>
      <c r="C1" s="80"/>
      <c r="D1" s="80"/>
      <c r="L1" s="251" t="s">
        <v>1198</v>
      </c>
      <c r="AH1" s="28" t="str">
        <f>IF(COUNTIF(AH4:AH534,"err"),"err","ok")</f>
        <v>ok</v>
      </c>
    </row>
    <row r="2" spans="1:37" s="104" customFormat="1" ht="77.25" customHeight="1" x14ac:dyDescent="0.25">
      <c r="A2" s="101"/>
      <c r="B2" s="101"/>
      <c r="C2" s="83"/>
      <c r="D2" s="102" t="s">
        <v>207</v>
      </c>
      <c r="E2" s="83" t="s">
        <v>0</v>
      </c>
      <c r="F2" s="83" t="str">
        <f>'Summary of Returns'!B10</f>
        <v>R - Residential</v>
      </c>
      <c r="G2" s="83" t="str">
        <f>'Summary of Returns'!B11</f>
        <v>C-1 Small Commercial Single Phase</v>
      </c>
      <c r="H2" s="83" t="str">
        <f>'Summary of Returns'!B12</f>
        <v>C-3 Small Commercial Three Phase</v>
      </c>
      <c r="I2" s="83" t="str">
        <f>'Summary of Returns'!B13</f>
        <v>D - Commercial and Industrial Demand &lt; 3,000 kW</v>
      </c>
      <c r="J2" s="83" t="str">
        <f>'Summary of Returns'!B14</f>
        <v>D - Commercial and Industrial - DIRECT SERVED</v>
      </c>
      <c r="K2" s="83" t="str">
        <f>'Summary of Returns'!B15</f>
        <v>I-E - Large Commercial Existing</v>
      </c>
      <c r="L2" s="83" t="str">
        <f>'Summary of Returns'!B16</f>
        <v>OL - Outdoor Lighting</v>
      </c>
      <c r="M2" s="103" t="s">
        <v>703</v>
      </c>
      <c r="N2" s="103" t="s">
        <v>703</v>
      </c>
      <c r="O2" s="103" t="s">
        <v>703</v>
      </c>
      <c r="P2" s="103" t="s">
        <v>703</v>
      </c>
      <c r="Q2" s="103" t="s">
        <v>703</v>
      </c>
      <c r="R2" s="103" t="s">
        <v>703</v>
      </c>
      <c r="S2" s="103" t="s">
        <v>703</v>
      </c>
      <c r="T2" s="103" t="s">
        <v>703</v>
      </c>
      <c r="U2" s="103" t="s">
        <v>703</v>
      </c>
      <c r="V2" s="103" t="s">
        <v>703</v>
      </c>
      <c r="W2" s="103" t="s">
        <v>703</v>
      </c>
      <c r="X2" s="103" t="s">
        <v>703</v>
      </c>
      <c r="Y2" s="103" t="s">
        <v>703</v>
      </c>
      <c r="Z2" s="103" t="s">
        <v>703</v>
      </c>
      <c r="AA2" s="103" t="s">
        <v>703</v>
      </c>
      <c r="AB2" s="103" t="s">
        <v>703</v>
      </c>
      <c r="AC2" s="103" t="s">
        <v>703</v>
      </c>
      <c r="AD2" s="103" t="s">
        <v>703</v>
      </c>
      <c r="AE2" s="103" t="s">
        <v>703</v>
      </c>
      <c r="AF2" s="103" t="s">
        <v>703</v>
      </c>
      <c r="AG2" s="101"/>
      <c r="AH2" s="101"/>
      <c r="AK2" s="105"/>
    </row>
    <row r="3" spans="1:37" ht="13.8" thickBot="1" x14ac:dyDescent="0.3">
      <c r="A3" s="85" t="s">
        <v>6</v>
      </c>
      <c r="B3" s="85"/>
      <c r="C3" s="86" t="s">
        <v>7</v>
      </c>
      <c r="D3" s="86" t="s">
        <v>8</v>
      </c>
      <c r="E3" s="84" t="s">
        <v>9</v>
      </c>
      <c r="F3" s="84" t="str">
        <f>'Summary of Returns'!C10</f>
        <v>R</v>
      </c>
      <c r="G3" s="84" t="str">
        <f>'Summary of Returns'!C11</f>
        <v>C1</v>
      </c>
      <c r="H3" s="84" t="str">
        <f>'Summary of Returns'!C12</f>
        <v>C3</v>
      </c>
      <c r="I3" s="84" t="str">
        <f>'Summary of Returns'!C13</f>
        <v>D</v>
      </c>
      <c r="J3" s="84" t="str">
        <f>'Summary of Returns'!C14</f>
        <v>D</v>
      </c>
      <c r="K3" s="84" t="str">
        <f>'Summary of Returns'!C15</f>
        <v>I-E</v>
      </c>
      <c r="L3" s="84" t="str">
        <f>'Summary of Returns'!C16</f>
        <v>OL</v>
      </c>
      <c r="M3" s="84">
        <f>'Summary of Returns'!C17</f>
        <v>0</v>
      </c>
      <c r="N3" s="84">
        <f>'Summary of Returns'!C18</f>
        <v>0</v>
      </c>
      <c r="O3" s="84">
        <f>'Summary of Returns'!C19</f>
        <v>0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84" t="s">
        <v>13</v>
      </c>
      <c r="AH3" s="84" t="s">
        <v>14</v>
      </c>
    </row>
    <row r="5" spans="1:37" x14ac:dyDescent="0.25">
      <c r="A5" s="26" t="s">
        <v>15</v>
      </c>
    </row>
    <row r="7" spans="1:37" x14ac:dyDescent="0.25">
      <c r="A7" s="13" t="s">
        <v>893</v>
      </c>
    </row>
    <row r="8" spans="1:37" x14ac:dyDescent="0.25">
      <c r="A8" s="94" t="s">
        <v>208</v>
      </c>
      <c r="C8" s="14" t="s">
        <v>209</v>
      </c>
      <c r="D8" s="14" t="s">
        <v>657</v>
      </c>
      <c r="E8" s="42">
        <f>'Func &amp; Classif'!H82</f>
        <v>0</v>
      </c>
      <c r="F8" s="67">
        <f>IF(VLOOKUP($D8,$C$5:$AU$500,3,)=0,0,(VLOOKUP($D8,$C$5:$AU$500,4,)/VLOOKUP($D8,$C$5:$AU$500,3,))*$E8)</f>
        <v>0</v>
      </c>
      <c r="G8" s="67">
        <f>IF(VLOOKUP($D8,$C$5:$AU$500,3,)=0,0,(VLOOKUP($D8,$C$5:$AU$500,5,)/VLOOKUP($D8,$C$5:$AU$500,3,))*$E8)</f>
        <v>0</v>
      </c>
      <c r="H8" s="42">
        <f>IF(VLOOKUP($D8,$C$5:$AU$500,3,)=0,0,(VLOOKUP($D8,$C$5:$AU$500,6,)/VLOOKUP($D8,$C$5:$AU$500,3,))*$E8)</f>
        <v>0</v>
      </c>
      <c r="I8" s="42">
        <f>IF(VLOOKUP($D8,$C$5:$AU$500,3,)=0,0,(VLOOKUP($D8,$C$5:$AU$500,7,)/VLOOKUP($D8,$C$5:$AU$500,3,))*$E8)</f>
        <v>0</v>
      </c>
      <c r="J8" s="42">
        <f>IF(VLOOKUP($D8,$C$5:$AU$500,3,)=0,0,(VLOOKUP($D8,$C$5:$AU$500,8,)/VLOOKUP($D8,$C$5:$AU$500,3,))*$E8)</f>
        <v>0</v>
      </c>
      <c r="K8" s="42">
        <f>IF(VLOOKUP($D8,$C$5:$AU$500,3,)=0,0,(VLOOKUP($D8,$C$5:$AU$500,9,)/VLOOKUP($D8,$C$5:$AU$500,3,))*$E8)</f>
        <v>0</v>
      </c>
      <c r="L8" s="67">
        <f>IF(VLOOKUP($D8,$C$5:$AU$500,3,)=0,0,(VLOOKUP($D8,$C$5:$AU$500,10,)/VLOOKUP($D8,$C$5:$AU$500,3,))*$E8)</f>
        <v>0</v>
      </c>
      <c r="M8" s="42">
        <f>IF(VLOOKUP($D8,$C$5:$AU$500,3,)=0,0,(VLOOKUP($D8,$C$5:$AU$500,11,)/VLOOKUP($D8,$C$5:$AU$500,3,))*$E8)</f>
        <v>0</v>
      </c>
      <c r="N8" s="42">
        <f>IF(VLOOKUP($D8,$C$5:$AU$500,3,)=0,0,(VLOOKUP($D8,$C$5:$AU$500,12,)/VLOOKUP($D8,$C$5:$AU$500,3,))*$E8)</f>
        <v>0</v>
      </c>
      <c r="O8" s="42">
        <f>IF(VLOOKUP($D8,$C$5:$AU$500,3,)=0,0,(VLOOKUP($D8,$C$5:$AU$500,13,)/VLOOKUP($D8,$C$5:$AU$500,3,))*$E8)</f>
        <v>0</v>
      </c>
      <c r="P8" s="42">
        <f>IF(VLOOKUP($D8,$C$5:$AU$500,3,)=0,0,(VLOOKUP($D8,$C$5:$AU$500,14,)/VLOOKUP($D8,$C$5:$AU$500,3,))*$E8)</f>
        <v>0</v>
      </c>
      <c r="Q8" s="42">
        <f>IF(VLOOKUP($D8,$C$5:$AU$500,3,)=0,0,(VLOOKUP($D8,$C$5:$AU$500,15,)/VLOOKUP($D8,$C$5:$AU$500,3,))*$E8)</f>
        <v>0</v>
      </c>
      <c r="R8" s="42">
        <f>IF(VLOOKUP($D8,$C$5:$AU$500,3,)=0,0,(VLOOKUP($D8,$C$5:$AU$500,16,)/VLOOKUP($D8,$C$5:$AU$500,3,))*$E8)</f>
        <v>0</v>
      </c>
      <c r="S8" s="107">
        <f>IF(VLOOKUP($D8,$C$5:$AU$500,3,)=0,0,(VLOOKUP($D8,$C$5:$AU$500,17,)/VLOOKUP($D8,$C$5:$AU$500,3,))*$E8)</f>
        <v>0</v>
      </c>
      <c r="T8" s="107">
        <f>IF(VLOOKUP($D8,$C$5:$AU$500,3,)=0,0,(VLOOKUP($D8,$C$5:$AU$500,18,)/VLOOKUP($D8,$C$5:$AU$500,3,))*$E8)</f>
        <v>0</v>
      </c>
      <c r="U8" s="107">
        <f>IF(VLOOKUP($D8,$C$5:$AU$500,3,)=0,0,(VLOOKUP($D8,$C$5:$AU$500,19,)/VLOOKUP($D8,$C$5:$AU$500,3,))*$E8)</f>
        <v>0</v>
      </c>
      <c r="V8" s="107">
        <f>IF(VLOOKUP($D8,$C$5:$AU$500,3,)=0,0,(VLOOKUP($D8,$C$5:$AU$500,20,)/VLOOKUP($D8,$C$5:$AU$500,3,))*$E8)</f>
        <v>0</v>
      </c>
      <c r="W8" s="107">
        <f>IF(VLOOKUP($D8,$C$5:$AU$500,3,)=0,0,(VLOOKUP($D8,$C$5:$AU$500,21,)/VLOOKUP($D8,$C$5:$AU$500,3,))*$E8)</f>
        <v>0</v>
      </c>
      <c r="X8" s="107">
        <f>IF(VLOOKUP($D8,$C$5:$AU$500,3,)=0,0,(VLOOKUP($D8,$C$5:$AU$500,22,)/VLOOKUP($D8,$C$5:$AU$500,3,))*$E8)</f>
        <v>0</v>
      </c>
      <c r="Y8" s="107">
        <f>IF(VLOOKUP($D8,$C$5:$AU$500,3,)=0,0,(VLOOKUP($D8,$C$5:$AU$500,23,)/VLOOKUP($D8,$C$5:$AU$500,3,))*$E8)</f>
        <v>0</v>
      </c>
      <c r="Z8" s="107">
        <f>IF(VLOOKUP($D8,$C$5:$AU$500,3,)=0,0,(VLOOKUP($D8,$C$5:$AU$500,24,)/VLOOKUP($D8,$C$5:$AU$500,3,))*$E8)</f>
        <v>0</v>
      </c>
      <c r="AA8" s="107">
        <f>IF(VLOOKUP($D8,$C$5:$AU$500,3,)=0,0,(VLOOKUP($D8,$C$5:$AU$500,25,)/VLOOKUP($D8,$C$5:$AU$500,3,))*$E8)</f>
        <v>0</v>
      </c>
      <c r="AB8" s="107">
        <f>IF(VLOOKUP($D8,$C$5:$AU$500,3,)=0,0,(VLOOKUP($D8,$C$5:$AU$500,26,)/VLOOKUP($D8,$C$5:$AU$500,3,))*$E8)</f>
        <v>0</v>
      </c>
      <c r="AC8" s="107">
        <f>IF(VLOOKUP($D8,$C$5:$AU$500,3,)=0,0,(VLOOKUP($D8,$C$5:$AU$500,27,)/VLOOKUP($D8,$C$5:$AU$500,3,))*$E8)</f>
        <v>0</v>
      </c>
      <c r="AD8" s="107">
        <f>IF(VLOOKUP($D8,$C$5:$AU$500,3,)=0,0,(VLOOKUP($D8,$C$5:$AU$500,28,)/VLOOKUP($D8,$C$5:$AU$500,3,))*$E8)</f>
        <v>0</v>
      </c>
      <c r="AE8" s="107">
        <f>IF(VLOOKUP($D8,$C$5:$AU$500,3,)=0,0,(VLOOKUP($D8,$C$5:$AU$500,29,)/VLOOKUP($D8,$C$5:$AU$500,3,))*$E8)</f>
        <v>0</v>
      </c>
      <c r="AF8" s="107">
        <f>IF(VLOOKUP($D8,$C$5:$AU$500,3,)=0,0,(VLOOKUP($D8,$C$5:$AU$500,30,)/VLOOKUP($D8,$C$5:$AU$500,3,))*$E8)</f>
        <v>0</v>
      </c>
      <c r="AG8" s="91">
        <f>SUM(F8:AF8)</f>
        <v>0</v>
      </c>
      <c r="AH8" s="28" t="str">
        <f>IF(ABS(E8-AG8)&lt;0.01,"ok","err")</f>
        <v>ok</v>
      </c>
    </row>
    <row r="9" spans="1:37" x14ac:dyDescent="0.25">
      <c r="A9" s="94" t="s">
        <v>211</v>
      </c>
      <c r="C9" s="14" t="s">
        <v>212</v>
      </c>
      <c r="D9" s="14" t="s">
        <v>666</v>
      </c>
      <c r="E9" s="23">
        <f>'Func &amp; Classif'!I82</f>
        <v>0</v>
      </c>
      <c r="F9" s="67">
        <f>IF(VLOOKUP($D9,$C$5:$AU$500,3,)=0,0,(VLOOKUP($D9,$C$5:$AU$500,4,)/VLOOKUP($D9,$C$5:$AU$500,3,))*$E9)</f>
        <v>0</v>
      </c>
      <c r="G9" s="67">
        <f>IF(VLOOKUP($D9,$C$5:$AU$500,3,)=0,0,(VLOOKUP($D9,$C$5:$AU$500,5,)/VLOOKUP($D9,$C$5:$AU$500,3,))*$E9)</f>
        <v>0</v>
      </c>
      <c r="H9" s="42">
        <f>IF(VLOOKUP($D9,$C$5:$AU$500,3,)=0,0,(VLOOKUP($D9,$C$5:$AU$500,6,)/VLOOKUP($D9,$C$5:$AU$500,3,))*$E9)</f>
        <v>0</v>
      </c>
      <c r="I9" s="42">
        <f>IF(VLOOKUP($D9,$C$5:$AU$500,3,)=0,0,(VLOOKUP($D9,$C$5:$AU$500,7,)/VLOOKUP($D9,$C$5:$AU$500,3,))*$E9)</f>
        <v>0</v>
      </c>
      <c r="J9" s="42">
        <f>IF(VLOOKUP($D9,$C$5:$AU$500,3,)=0,0,(VLOOKUP($D9,$C$5:$AU$500,8,)/VLOOKUP($D9,$C$5:$AU$500,3,))*$E9)</f>
        <v>0</v>
      </c>
      <c r="K9" s="42">
        <f>IF(VLOOKUP($D9,$C$5:$AU$500,3,)=0,0,(VLOOKUP($D9,$C$5:$AU$500,9,)/VLOOKUP($D9,$C$5:$AU$500,3,))*$E9)</f>
        <v>0</v>
      </c>
      <c r="L9" s="67">
        <f>IF(VLOOKUP($D9,$C$5:$AU$500,3,)=0,0,(VLOOKUP($D9,$C$5:$AU$500,10,)/VLOOKUP($D9,$C$5:$AU$500,3,))*$E9)</f>
        <v>0</v>
      </c>
      <c r="M9" s="42">
        <f>IF(VLOOKUP($D9,$C$5:$AU$500,3,)=0,0,(VLOOKUP($D9,$C$5:$AU$500,11,)/VLOOKUP($D9,$C$5:$AU$500,3,))*$E9)</f>
        <v>0</v>
      </c>
      <c r="N9" s="42">
        <f>IF(VLOOKUP($D9,$C$5:$AU$500,3,)=0,0,(VLOOKUP($D9,$C$5:$AU$500,12,)/VLOOKUP($D9,$C$5:$AU$500,3,))*$E9)</f>
        <v>0</v>
      </c>
      <c r="O9" s="42">
        <f>IF(VLOOKUP($D9,$C$5:$AU$500,3,)=0,0,(VLOOKUP($D9,$C$5:$AU$500,13,)/VLOOKUP($D9,$C$5:$AU$500,3,))*$E9)</f>
        <v>0</v>
      </c>
      <c r="P9" s="42">
        <f>IF(VLOOKUP($D9,$C$5:$AU$500,3,)=0,0,(VLOOKUP($D9,$C$5:$AU$500,14,)/VLOOKUP($D9,$C$5:$AU$500,3,))*$E9)</f>
        <v>0</v>
      </c>
      <c r="Q9" s="42">
        <f>IF(VLOOKUP($D9,$C$5:$AU$500,3,)=0,0,(VLOOKUP($D9,$C$5:$AU$500,15,)/VLOOKUP($D9,$C$5:$AU$500,3,))*$E9)</f>
        <v>0</v>
      </c>
      <c r="R9" s="42">
        <f>IF(VLOOKUP($D9,$C$5:$AU$500,3,)=0,0,(VLOOKUP($D9,$C$5:$AU$500,16,)/VLOOKUP($D9,$C$5:$AU$500,3,))*$E9)</f>
        <v>0</v>
      </c>
      <c r="S9" s="107">
        <f>IF(VLOOKUP($D9,$C$5:$AU$500,3,)=0,0,(VLOOKUP($D9,$C$5:$AU$500,17,)/VLOOKUP($D9,$C$5:$AU$500,3,))*$E9)</f>
        <v>0</v>
      </c>
      <c r="T9" s="107">
        <f>IF(VLOOKUP($D9,$C$5:$AU$500,3,)=0,0,(VLOOKUP($D9,$C$5:$AU$500,18,)/VLOOKUP($D9,$C$5:$AU$500,3,))*$E9)</f>
        <v>0</v>
      </c>
      <c r="U9" s="107">
        <f>IF(VLOOKUP($D9,$C$5:$AU$500,3,)=0,0,(VLOOKUP($D9,$C$5:$AU$500,19,)/VLOOKUP($D9,$C$5:$AU$500,3,))*$E9)</f>
        <v>0</v>
      </c>
      <c r="V9" s="107">
        <f>IF(VLOOKUP($D9,$C$5:$AU$500,3,)=0,0,(VLOOKUP($D9,$C$5:$AU$500,20,)/VLOOKUP($D9,$C$5:$AU$500,3,))*$E9)</f>
        <v>0</v>
      </c>
      <c r="W9" s="107">
        <f>IF(VLOOKUP($D9,$C$5:$AU$500,3,)=0,0,(VLOOKUP($D9,$C$5:$AU$500,21,)/VLOOKUP($D9,$C$5:$AU$500,3,))*$E9)</f>
        <v>0</v>
      </c>
      <c r="X9" s="107">
        <f>IF(VLOOKUP($D9,$C$5:$AU$500,3,)=0,0,(VLOOKUP($D9,$C$5:$AU$500,22,)/VLOOKUP($D9,$C$5:$AU$500,3,))*$E9)</f>
        <v>0</v>
      </c>
      <c r="Y9" s="107">
        <f>IF(VLOOKUP($D9,$C$5:$AU$500,3,)=0,0,(VLOOKUP($D9,$C$5:$AU$500,23,)/VLOOKUP($D9,$C$5:$AU$500,3,))*$E9)</f>
        <v>0</v>
      </c>
      <c r="Z9" s="107">
        <f>IF(VLOOKUP($D9,$C$5:$AU$500,3,)=0,0,(VLOOKUP($D9,$C$5:$AU$500,24,)/VLOOKUP($D9,$C$5:$AU$500,3,))*$E9)</f>
        <v>0</v>
      </c>
      <c r="AA9" s="107">
        <f>IF(VLOOKUP($D9,$C$5:$AU$500,3,)=0,0,(VLOOKUP($D9,$C$5:$AU$500,25,)/VLOOKUP($D9,$C$5:$AU$500,3,))*$E9)</f>
        <v>0</v>
      </c>
      <c r="AB9" s="107">
        <f>IF(VLOOKUP($D9,$C$5:$AU$500,3,)=0,0,(VLOOKUP($D9,$C$5:$AU$500,26,)/VLOOKUP($D9,$C$5:$AU$500,3,))*$E9)</f>
        <v>0</v>
      </c>
      <c r="AC9" s="107">
        <f>IF(VLOOKUP($D9,$C$5:$AU$500,3,)=0,0,(VLOOKUP($D9,$C$5:$AU$500,27,)/VLOOKUP($D9,$C$5:$AU$500,3,))*$E9)</f>
        <v>0</v>
      </c>
      <c r="AD9" s="107">
        <f>IF(VLOOKUP($D9,$C$5:$AU$500,3,)=0,0,(VLOOKUP($D9,$C$5:$AU$500,28,)/VLOOKUP($D9,$C$5:$AU$500,3,))*$E9)</f>
        <v>0</v>
      </c>
      <c r="AE9" s="107">
        <f>IF(VLOOKUP($D9,$C$5:$AU$500,3,)=0,0,(VLOOKUP($D9,$C$5:$AU$500,29,)/VLOOKUP($D9,$C$5:$AU$500,3,))*$E9)</f>
        <v>0</v>
      </c>
      <c r="AF9" s="107">
        <f>IF(VLOOKUP($D9,$C$5:$AU$500,3,)=0,0,(VLOOKUP($D9,$C$5:$AU$500,30,)/VLOOKUP($D9,$C$5:$AU$500,3,))*$E9)</f>
        <v>0</v>
      </c>
      <c r="AG9" s="91">
        <f>SUM(F9:AF9)</f>
        <v>0</v>
      </c>
      <c r="AH9" s="28" t="str">
        <f>IF(ABS(E9-AG9)&lt;0.01,"ok","err")</f>
        <v>ok</v>
      </c>
    </row>
    <row r="10" spans="1:37" x14ac:dyDescent="0.25">
      <c r="A10" s="14" t="s">
        <v>214</v>
      </c>
      <c r="C10" s="14" t="s">
        <v>215</v>
      </c>
      <c r="E10" s="42">
        <f t="shared" ref="E10:T10" si="0">E8+E9</f>
        <v>0</v>
      </c>
      <c r="F10" s="67">
        <f t="shared" si="0"/>
        <v>0</v>
      </c>
      <c r="G10" s="67">
        <f t="shared" si="0"/>
        <v>0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67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2">
        <f t="shared" si="0"/>
        <v>0</v>
      </c>
      <c r="R10" s="42">
        <f t="shared" si="0"/>
        <v>0</v>
      </c>
      <c r="S10" s="107">
        <f t="shared" si="0"/>
        <v>0</v>
      </c>
      <c r="T10" s="107">
        <f t="shared" si="0"/>
        <v>0</v>
      </c>
      <c r="U10" s="107">
        <f t="shared" ref="U10:AF10" si="1">U8+U9</f>
        <v>0</v>
      </c>
      <c r="V10" s="107">
        <f t="shared" si="1"/>
        <v>0</v>
      </c>
      <c r="W10" s="107">
        <f t="shared" si="1"/>
        <v>0</v>
      </c>
      <c r="X10" s="107">
        <f t="shared" si="1"/>
        <v>0</v>
      </c>
      <c r="Y10" s="107">
        <f t="shared" si="1"/>
        <v>0</v>
      </c>
      <c r="Z10" s="107">
        <f t="shared" si="1"/>
        <v>0</v>
      </c>
      <c r="AA10" s="107">
        <f t="shared" si="1"/>
        <v>0</v>
      </c>
      <c r="AB10" s="107">
        <f t="shared" si="1"/>
        <v>0</v>
      </c>
      <c r="AC10" s="107">
        <f t="shared" si="1"/>
        <v>0</v>
      </c>
      <c r="AD10" s="107">
        <f t="shared" si="1"/>
        <v>0</v>
      </c>
      <c r="AE10" s="107">
        <f t="shared" si="1"/>
        <v>0</v>
      </c>
      <c r="AF10" s="107">
        <f t="shared" si="1"/>
        <v>0</v>
      </c>
      <c r="AG10" s="91">
        <f>SUM(F10:AF10)</f>
        <v>0</v>
      </c>
      <c r="AH10" s="28" t="str">
        <f>IF(ABS(E10-AG10)&lt;0.01,"ok","err")</f>
        <v>ok</v>
      </c>
    </row>
    <row r="11" spans="1:37" x14ac:dyDescent="0.25">
      <c r="E11" s="23"/>
      <c r="F11" s="50"/>
    </row>
    <row r="12" spans="1:37" x14ac:dyDescent="0.25">
      <c r="A12" s="13" t="s">
        <v>349</v>
      </c>
      <c r="E12" s="23"/>
      <c r="F12" s="50"/>
    </row>
    <row r="13" spans="1:37" x14ac:dyDescent="0.25">
      <c r="A13" s="94" t="s">
        <v>208</v>
      </c>
      <c r="C13" s="14" t="s">
        <v>883</v>
      </c>
      <c r="D13" s="14" t="s">
        <v>600</v>
      </c>
      <c r="E13" s="42">
        <f>'Func &amp; Classif'!K82</f>
        <v>0</v>
      </c>
      <c r="F13" s="67">
        <f>IF(VLOOKUP($D13,$C$5:$AU$500,3,)=0,0,(VLOOKUP($D13,$C$5:$AU$500,4,)/VLOOKUP($D13,$C$5:$AU$500,3,))*$E13)</f>
        <v>0</v>
      </c>
      <c r="G13" s="67">
        <f>IF(VLOOKUP($D13,$C$5:$AU$500,3,)=0,0,(VLOOKUP($D13,$C$5:$AU$500,5,)/VLOOKUP($D13,$C$5:$AU$500,3,))*$E13)</f>
        <v>0</v>
      </c>
      <c r="H13" s="42">
        <f>IF(VLOOKUP($D13,$C$5:$AU$500,3,)=0,0,(VLOOKUP($D13,$C$5:$AU$500,6,)/VLOOKUP($D13,$C$5:$AU$500,3,))*$E13)</f>
        <v>0</v>
      </c>
      <c r="I13" s="42">
        <f>IF(VLOOKUP($D13,$C$5:$AU$500,3,)=0,0,(VLOOKUP($D13,$C$5:$AU$500,7,)/VLOOKUP($D13,$C$5:$AU$500,3,))*$E13)</f>
        <v>0</v>
      </c>
      <c r="J13" s="42">
        <f>IF(VLOOKUP($D13,$C$5:$AU$500,3,)=0,0,(VLOOKUP($D13,$C$5:$AU$500,8,)/VLOOKUP($D13,$C$5:$AU$500,3,))*$E13)</f>
        <v>0</v>
      </c>
      <c r="K13" s="42">
        <f>IF(VLOOKUP($D13,$C$5:$AU$500,3,)=0,0,(VLOOKUP($D13,$C$5:$AU$500,9,)/VLOOKUP($D13,$C$5:$AU$500,3,))*$E13)</f>
        <v>0</v>
      </c>
      <c r="L13" s="67">
        <f>IF(VLOOKUP($D13,$C$5:$AU$500,3,)=0,0,(VLOOKUP($D13,$C$5:$AU$500,10,)/VLOOKUP($D13,$C$5:$AU$500,3,))*$E13)</f>
        <v>0</v>
      </c>
      <c r="M13" s="42">
        <f>IF(VLOOKUP($D13,$C$5:$AU$500,3,)=0,0,(VLOOKUP($D13,$C$5:$AU$500,11,)/VLOOKUP($D13,$C$5:$AU$500,3,))*$E13)</f>
        <v>0</v>
      </c>
      <c r="N13" s="42">
        <f>IF(VLOOKUP($D13,$C$5:$AU$500,3,)=0,0,(VLOOKUP($D13,$C$5:$AU$500,12,)/VLOOKUP($D13,$C$5:$AU$500,3,))*$E13)</f>
        <v>0</v>
      </c>
      <c r="O13" s="42">
        <f>IF(VLOOKUP($D13,$C$5:$AU$500,3,)=0,0,(VLOOKUP($D13,$C$5:$AU$500,13,)/VLOOKUP($D13,$C$5:$AU$500,3,))*$E13)</f>
        <v>0</v>
      </c>
      <c r="P13" s="42">
        <f>IF(VLOOKUP($D13,$C$5:$AU$500,3,)=0,0,(VLOOKUP($D13,$C$5:$AU$500,14,)/VLOOKUP($D13,$C$5:$AU$500,3,))*$E13)</f>
        <v>0</v>
      </c>
      <c r="Q13" s="42">
        <f>IF(VLOOKUP($D13,$C$5:$AU$500,3,)=0,0,(VLOOKUP($D13,$C$5:$AU$500,15,)/VLOOKUP($D13,$C$5:$AU$500,3,))*$E13)</f>
        <v>0</v>
      </c>
      <c r="R13" s="42">
        <f>IF(VLOOKUP($D13,$C$5:$AU$500,3,)=0,0,(VLOOKUP($D13,$C$5:$AU$500,16,)/VLOOKUP($D13,$C$5:$AU$500,3,))*$E13)</f>
        <v>0</v>
      </c>
      <c r="S13" s="107">
        <f>IF(VLOOKUP($D13,$C$5:$AU$500,3,)=0,0,(VLOOKUP($D13,$C$5:$AU$500,17,)/VLOOKUP($D13,$C$5:$AU$500,3,))*$E13)</f>
        <v>0</v>
      </c>
      <c r="T13" s="107">
        <f>IF(VLOOKUP($D13,$C$5:$AU$500,3,)=0,0,(VLOOKUP($D13,$C$5:$AU$500,18,)/VLOOKUP($D13,$C$5:$AU$500,3,))*$E13)</f>
        <v>0</v>
      </c>
      <c r="U13" s="107">
        <f>IF(VLOOKUP($D13,$C$5:$AU$500,3,)=0,0,(VLOOKUP($D13,$C$5:$AU$500,19,)/VLOOKUP($D13,$C$5:$AU$500,3,))*$E13)</f>
        <v>0</v>
      </c>
      <c r="V13" s="107">
        <f>IF(VLOOKUP($D13,$C$5:$AU$500,3,)=0,0,(VLOOKUP($D13,$C$5:$AU$500,20,)/VLOOKUP($D13,$C$5:$AU$500,3,))*$E13)</f>
        <v>0</v>
      </c>
      <c r="W13" s="107">
        <f>IF(VLOOKUP($D13,$C$5:$AU$500,3,)=0,0,(VLOOKUP($D13,$C$5:$AU$500,21,)/VLOOKUP($D13,$C$5:$AU$500,3,))*$E13)</f>
        <v>0</v>
      </c>
      <c r="X13" s="107">
        <f>IF(VLOOKUP($D13,$C$5:$AU$500,3,)=0,0,(VLOOKUP($D13,$C$5:$AU$500,22,)/VLOOKUP($D13,$C$5:$AU$500,3,))*$E13)</f>
        <v>0</v>
      </c>
      <c r="Y13" s="107">
        <f>IF(VLOOKUP($D13,$C$5:$AU$500,3,)=0,0,(VLOOKUP($D13,$C$5:$AU$500,23,)/VLOOKUP($D13,$C$5:$AU$500,3,))*$E13)</f>
        <v>0</v>
      </c>
      <c r="Z13" s="107">
        <f>IF(VLOOKUP($D13,$C$5:$AU$500,3,)=0,0,(VLOOKUP($D13,$C$5:$AU$500,24,)/VLOOKUP($D13,$C$5:$AU$500,3,))*$E13)</f>
        <v>0</v>
      </c>
      <c r="AA13" s="107">
        <f>IF(VLOOKUP($D13,$C$5:$AU$500,3,)=0,0,(VLOOKUP($D13,$C$5:$AU$500,25,)/VLOOKUP($D13,$C$5:$AU$500,3,))*$E13)</f>
        <v>0</v>
      </c>
      <c r="AB13" s="107">
        <f>IF(VLOOKUP($D13,$C$5:$AU$500,3,)=0,0,(VLOOKUP($D13,$C$5:$AU$500,26,)/VLOOKUP($D13,$C$5:$AU$500,3,))*$E13)</f>
        <v>0</v>
      </c>
      <c r="AC13" s="107">
        <f>IF(VLOOKUP($D13,$C$5:$AU$500,3,)=0,0,(VLOOKUP($D13,$C$5:$AU$500,27,)/VLOOKUP($D13,$C$5:$AU$500,3,))*$E13)</f>
        <v>0</v>
      </c>
      <c r="AD13" s="107">
        <f>IF(VLOOKUP($D13,$C$5:$AU$500,3,)=0,0,(VLOOKUP($D13,$C$5:$AU$500,28,)/VLOOKUP($D13,$C$5:$AU$500,3,))*$E13)</f>
        <v>0</v>
      </c>
      <c r="AE13" s="107">
        <f>IF(VLOOKUP($D13,$C$5:$AU$500,3,)=0,0,(VLOOKUP($D13,$C$5:$AU$500,29,)/VLOOKUP($D13,$C$5:$AU$500,3,))*$E13)</f>
        <v>0</v>
      </c>
      <c r="AF13" s="107">
        <f>IF(VLOOKUP($D13,$C$5:$AU$500,3,)=0,0,(VLOOKUP($D13,$C$5:$AU$500,30,)/VLOOKUP($D13,$C$5:$AU$500,3,))*$E13)</f>
        <v>0</v>
      </c>
      <c r="AG13" s="91">
        <f>SUM(F13:AF13)</f>
        <v>0</v>
      </c>
      <c r="AH13" s="28" t="str">
        <f>IF(ABS(E13-AG13)&lt;0.01,"ok","err")</f>
        <v>ok</v>
      </c>
    </row>
    <row r="14" spans="1:37" x14ac:dyDescent="0.25">
      <c r="E14" s="23"/>
    </row>
    <row r="15" spans="1:37" x14ac:dyDescent="0.25">
      <c r="A15" s="13" t="s">
        <v>1</v>
      </c>
      <c r="E15" s="23"/>
      <c r="F15" s="50"/>
    </row>
    <row r="16" spans="1:37" x14ac:dyDescent="0.25">
      <c r="A16" s="94" t="s">
        <v>208</v>
      </c>
      <c r="C16" s="14" t="s">
        <v>216</v>
      </c>
      <c r="D16" s="14" t="s">
        <v>616</v>
      </c>
      <c r="E16" s="42">
        <f>'Func &amp; Classif'!M82</f>
        <v>27322108.2870313</v>
      </c>
      <c r="F16" s="67">
        <f>IF(VLOOKUP($D16,$C$5:$AU$500,3,)=0,0,(VLOOKUP($D16,$C$5:$AU$500,4,)/VLOOKUP($D16,$C$5:$AU$500,3,))*$E16)</f>
        <v>17190455.372620337</v>
      </c>
      <c r="G16" s="67">
        <f>IF(VLOOKUP($D16,$C$5:$AU$500,3,)=0,0,(VLOOKUP($D16,$C$5:$AU$500,5,)/VLOOKUP($D16,$C$5:$AU$500,3,))*$E16)</f>
        <v>1681882.5865697863</v>
      </c>
      <c r="H16" s="42">
        <f>IF(VLOOKUP($D16,$C$5:$AU$500,3,)=0,0,(VLOOKUP($D16,$C$5:$AU$500,6,)/VLOOKUP($D16,$C$5:$AU$500,3,))*$E16)</f>
        <v>478274.48336203827</v>
      </c>
      <c r="I16" s="42">
        <f>IF(VLOOKUP($D16,$C$5:$AU$500,3,)=0,0,(VLOOKUP($D16,$C$5:$AU$500,7,)/VLOOKUP($D16,$C$5:$AU$500,3,))*$E16)</f>
        <v>6915789.145231653</v>
      </c>
      <c r="J16" s="42">
        <f>IF(VLOOKUP($D16,$C$5:$AU$500,3,)=0,0,(VLOOKUP($D16,$C$5:$AU$500,8,)/VLOOKUP($D16,$C$5:$AU$500,3,))*$E16)</f>
        <v>0</v>
      </c>
      <c r="K16" s="42">
        <f>IF(VLOOKUP($D16,$C$5:$AU$500,3,)=0,0,(VLOOKUP($D16,$C$5:$AU$500,9,)/VLOOKUP($D16,$C$5:$AU$500,3,))*$E16)</f>
        <v>872562.44561108563</v>
      </c>
      <c r="L16" s="67">
        <f>IF(VLOOKUP($D16,$C$5:$AU$500,3,)=0,0,(VLOOKUP($D16,$C$5:$AU$500,10,)/VLOOKUP($D16,$C$5:$AU$500,3,))*$E16)</f>
        <v>183144.25363639966</v>
      </c>
      <c r="M16" s="42">
        <f>IF(VLOOKUP($D16,$C$5:$AU$500,3,)=0,0,(VLOOKUP($D16,$C$5:$AU$500,11,)/VLOOKUP($D16,$C$5:$AU$500,3,))*$E16)</f>
        <v>0</v>
      </c>
      <c r="N16" s="42">
        <f>IF(VLOOKUP($D16,$C$5:$AU$500,3,)=0,0,(VLOOKUP($D16,$C$5:$AU$500,12,)/VLOOKUP($D16,$C$5:$AU$500,3,))*$E16)</f>
        <v>0</v>
      </c>
      <c r="O16" s="42">
        <f>IF(VLOOKUP($D16,$C$5:$AU$500,3,)=0,0,(VLOOKUP($D16,$C$5:$AU$500,13,)/VLOOKUP($D16,$C$5:$AU$500,3,))*$E16)</f>
        <v>0</v>
      </c>
      <c r="P16" s="42">
        <f>IF(VLOOKUP($D16,$C$5:$AU$500,3,)=0,0,(VLOOKUP($D16,$C$5:$AU$500,14,)/VLOOKUP($D16,$C$5:$AU$500,3,))*$E16)</f>
        <v>0</v>
      </c>
      <c r="Q16" s="42">
        <f>IF(VLOOKUP($D16,$C$5:$AU$500,3,)=0,0,(VLOOKUP($D16,$C$5:$AU$500,15,)/VLOOKUP($D16,$C$5:$AU$500,3,))*$E16)</f>
        <v>0</v>
      </c>
      <c r="R16" s="42">
        <f>IF(VLOOKUP($D16,$C$5:$AU$500,3,)=0,0,(VLOOKUP($D16,$C$5:$AU$500,16,)/VLOOKUP($D16,$C$5:$AU$500,3,))*$E16)</f>
        <v>0</v>
      </c>
      <c r="S16" s="107">
        <f>IF(VLOOKUP($D16,$C$5:$AU$500,3,)=0,0,(VLOOKUP($D16,$C$5:$AU$500,17,)/VLOOKUP($D16,$C$5:$AU$500,3,))*$E16)</f>
        <v>0</v>
      </c>
      <c r="T16" s="107">
        <f>IF(VLOOKUP($D16,$C$5:$AU$500,3,)=0,0,(VLOOKUP($D16,$C$5:$AU$500,18,)/VLOOKUP($D16,$C$5:$AU$500,3,))*$E16)</f>
        <v>0</v>
      </c>
      <c r="U16" s="107">
        <f>IF(VLOOKUP($D16,$C$5:$AU$500,3,)=0,0,(VLOOKUP($D16,$C$5:$AU$500,19,)/VLOOKUP($D16,$C$5:$AU$500,3,))*$E16)</f>
        <v>0</v>
      </c>
      <c r="V16" s="107">
        <f>IF(VLOOKUP($D16,$C$5:$AU$500,3,)=0,0,(VLOOKUP($D16,$C$5:$AU$500,20,)/VLOOKUP($D16,$C$5:$AU$500,3,))*$E16)</f>
        <v>0</v>
      </c>
      <c r="W16" s="107">
        <f>IF(VLOOKUP($D16,$C$5:$AU$500,3,)=0,0,(VLOOKUP($D16,$C$5:$AU$500,21,)/VLOOKUP($D16,$C$5:$AU$500,3,))*$E16)</f>
        <v>0</v>
      </c>
      <c r="X16" s="107">
        <f>IF(VLOOKUP($D16,$C$5:$AU$500,3,)=0,0,(VLOOKUP($D16,$C$5:$AU$500,22,)/VLOOKUP($D16,$C$5:$AU$500,3,))*$E16)</f>
        <v>0</v>
      </c>
      <c r="Y16" s="107">
        <f>IF(VLOOKUP($D16,$C$5:$AU$500,3,)=0,0,(VLOOKUP($D16,$C$5:$AU$500,23,)/VLOOKUP($D16,$C$5:$AU$500,3,))*$E16)</f>
        <v>0</v>
      </c>
      <c r="Z16" s="107">
        <f>IF(VLOOKUP($D16,$C$5:$AU$500,3,)=0,0,(VLOOKUP($D16,$C$5:$AU$500,24,)/VLOOKUP($D16,$C$5:$AU$500,3,))*$E16)</f>
        <v>0</v>
      </c>
      <c r="AA16" s="107">
        <f>IF(VLOOKUP($D16,$C$5:$AU$500,3,)=0,0,(VLOOKUP($D16,$C$5:$AU$500,25,)/VLOOKUP($D16,$C$5:$AU$500,3,))*$E16)</f>
        <v>0</v>
      </c>
      <c r="AB16" s="107">
        <f>IF(VLOOKUP($D16,$C$5:$AU$500,3,)=0,0,(VLOOKUP($D16,$C$5:$AU$500,26,)/VLOOKUP($D16,$C$5:$AU$500,3,))*$E16)</f>
        <v>0</v>
      </c>
      <c r="AC16" s="107">
        <f>IF(VLOOKUP($D16,$C$5:$AU$500,3,)=0,0,(VLOOKUP($D16,$C$5:$AU$500,27,)/VLOOKUP($D16,$C$5:$AU$500,3,))*$E16)</f>
        <v>0</v>
      </c>
      <c r="AD16" s="107">
        <f>IF(VLOOKUP($D16,$C$5:$AU$500,3,)=0,0,(VLOOKUP($D16,$C$5:$AU$500,28,)/VLOOKUP($D16,$C$5:$AU$500,3,))*$E16)</f>
        <v>0</v>
      </c>
      <c r="AE16" s="107">
        <f>IF(VLOOKUP($D16,$C$5:$AU$500,3,)=0,0,(VLOOKUP($D16,$C$5:$AU$500,29,)/VLOOKUP($D16,$C$5:$AU$500,3,))*$E16)</f>
        <v>0</v>
      </c>
      <c r="AF16" s="107">
        <f>IF(VLOOKUP($D16,$C$5:$AU$500,3,)=0,0,(VLOOKUP($D16,$C$5:$AU$500,30,)/VLOOKUP($D16,$C$5:$AU$500,3,))*$E16)</f>
        <v>0</v>
      </c>
      <c r="AG16" s="91">
        <f>SUM(F16:AF16)</f>
        <v>27322108.2870313</v>
      </c>
      <c r="AH16" s="28" t="str">
        <f>IF(ABS(E16-AG16)&lt;0.01,"ok","err")</f>
        <v>ok</v>
      </c>
    </row>
    <row r="17" spans="1:35" x14ac:dyDescent="0.25">
      <c r="E17" s="23"/>
    </row>
    <row r="18" spans="1:35" x14ac:dyDescent="0.25">
      <c r="A18" s="13" t="s">
        <v>356</v>
      </c>
      <c r="E18" s="23"/>
    </row>
    <row r="19" spans="1:35" x14ac:dyDescent="0.25">
      <c r="A19" s="94" t="s">
        <v>208</v>
      </c>
      <c r="C19" s="14" t="s">
        <v>218</v>
      </c>
      <c r="D19" s="14" t="s">
        <v>608</v>
      </c>
      <c r="E19" s="42">
        <f>'Func &amp; Classif'!O82</f>
        <v>55005017.270620972</v>
      </c>
      <c r="F19" s="67">
        <f>IF(VLOOKUP($D19,$C$5:$AU$500,3,)=0,0,(VLOOKUP($D19,$C$5:$AU$500,4,)/VLOOKUP($D19,$C$5:$AU$500,3,))*$E19)</f>
        <v>34571747.095264927</v>
      </c>
      <c r="G19" s="67">
        <f>IF(VLOOKUP($D19,$C$5:$AU$500,3,)=0,0,(VLOOKUP($D19,$C$5:$AU$500,5,)/VLOOKUP($D19,$C$5:$AU$500,3,))*$E19)</f>
        <v>888794.59258665028</v>
      </c>
      <c r="H19" s="42">
        <f>IF(VLOOKUP($D19,$C$5:$AU$500,3,)=0,0,(VLOOKUP($D19,$C$5:$AU$500,6,)/VLOOKUP($D19,$C$5:$AU$500,3,))*$E19)</f>
        <v>1422486.0481360967</v>
      </c>
      <c r="I19" s="42">
        <f>IF(VLOOKUP($D19,$C$5:$AU$500,3,)=0,0,(VLOOKUP($D19,$C$5:$AU$500,7,)/VLOOKUP($D19,$C$5:$AU$500,3,))*$E19)</f>
        <v>16098317.224758048</v>
      </c>
      <c r="J19" s="42">
        <f>IF(VLOOKUP($D19,$C$5:$AU$500,3,)=0,0,(VLOOKUP($D19,$C$5:$AU$500,8,)/VLOOKUP($D19,$C$5:$AU$500,3,))*$E19)</f>
        <v>0</v>
      </c>
      <c r="K19" s="42">
        <f>IF(VLOOKUP($D19,$C$5:$AU$500,3,)=0,0,(VLOOKUP($D19,$C$5:$AU$500,9,)/VLOOKUP($D19,$C$5:$AU$500,3,))*$E19)</f>
        <v>1781854.7151106813</v>
      </c>
      <c r="L19" s="67">
        <f>IF(VLOOKUP($D19,$C$5:$AU$500,3,)=0,0,(VLOOKUP($D19,$C$5:$AU$500,10,)/VLOOKUP($D19,$C$5:$AU$500,3,))*$E19)</f>
        <v>241817.59476456544</v>
      </c>
      <c r="M19" s="42">
        <f>IF(VLOOKUP($D19,$C$5:$AU$500,3,)=0,0,(VLOOKUP($D19,$C$5:$AU$500,11,)/VLOOKUP($D19,$C$5:$AU$500,3,))*$E19)</f>
        <v>0</v>
      </c>
      <c r="N19" s="42">
        <f>IF(VLOOKUP($D19,$C$5:$AU$500,3,)=0,0,(VLOOKUP($D19,$C$5:$AU$500,12,)/VLOOKUP($D19,$C$5:$AU$500,3,))*$E19)</f>
        <v>0</v>
      </c>
      <c r="O19" s="42">
        <f>IF(VLOOKUP($D19,$C$5:$AU$500,3,)=0,0,(VLOOKUP($D19,$C$5:$AU$500,13,)/VLOOKUP($D19,$C$5:$AU$500,3,))*$E19)</f>
        <v>0</v>
      </c>
      <c r="P19" s="42">
        <f>IF(VLOOKUP($D19,$C$5:$AU$500,3,)=0,0,(VLOOKUP($D19,$C$5:$AU$500,14,)/VLOOKUP($D19,$C$5:$AU$500,3,))*$E19)</f>
        <v>0</v>
      </c>
      <c r="Q19" s="42">
        <f>IF(VLOOKUP($D19,$C$5:$AU$500,3,)=0,0,(VLOOKUP($D19,$C$5:$AU$500,15,)/VLOOKUP($D19,$C$5:$AU$500,3,))*$E19)</f>
        <v>0</v>
      </c>
      <c r="R19" s="42">
        <f>IF(VLOOKUP($D19,$C$5:$AU$500,3,)=0,0,(VLOOKUP($D19,$C$5:$AU$500,16,)/VLOOKUP($D19,$C$5:$AU$500,3,))*$E19)</f>
        <v>0</v>
      </c>
      <c r="S19" s="107">
        <f>IF(VLOOKUP($D19,$C$5:$AU$500,3,)=0,0,(VLOOKUP($D19,$C$5:$AU$500,17,)/VLOOKUP($D19,$C$5:$AU$500,3,))*$E19)</f>
        <v>0</v>
      </c>
      <c r="T19" s="107">
        <f>IF(VLOOKUP($D19,$C$5:$AU$500,3,)=0,0,(VLOOKUP($D19,$C$5:$AU$500,18,)/VLOOKUP($D19,$C$5:$AU$500,3,))*$E19)</f>
        <v>0</v>
      </c>
      <c r="U19" s="107">
        <f>IF(VLOOKUP($D19,$C$5:$AU$500,3,)=0,0,(VLOOKUP($D19,$C$5:$AU$500,19,)/VLOOKUP($D19,$C$5:$AU$500,3,))*$E19)</f>
        <v>0</v>
      </c>
      <c r="V19" s="107">
        <f>IF(VLOOKUP($D19,$C$5:$AU$500,3,)=0,0,(VLOOKUP($D19,$C$5:$AU$500,20,)/VLOOKUP($D19,$C$5:$AU$500,3,))*$E19)</f>
        <v>0</v>
      </c>
      <c r="W19" s="107">
        <f>IF(VLOOKUP($D19,$C$5:$AU$500,3,)=0,0,(VLOOKUP($D19,$C$5:$AU$500,21,)/VLOOKUP($D19,$C$5:$AU$500,3,))*$E19)</f>
        <v>0</v>
      </c>
      <c r="X19" s="107">
        <f>IF(VLOOKUP($D19,$C$5:$AU$500,3,)=0,0,(VLOOKUP($D19,$C$5:$AU$500,22,)/VLOOKUP($D19,$C$5:$AU$500,3,))*$E19)</f>
        <v>0</v>
      </c>
      <c r="Y19" s="107">
        <f>IF(VLOOKUP($D19,$C$5:$AU$500,3,)=0,0,(VLOOKUP($D19,$C$5:$AU$500,23,)/VLOOKUP($D19,$C$5:$AU$500,3,))*$E19)</f>
        <v>0</v>
      </c>
      <c r="Z19" s="107">
        <f>IF(VLOOKUP($D19,$C$5:$AU$500,3,)=0,0,(VLOOKUP($D19,$C$5:$AU$500,24,)/VLOOKUP($D19,$C$5:$AU$500,3,))*$E19)</f>
        <v>0</v>
      </c>
      <c r="AA19" s="107">
        <f>IF(VLOOKUP($D19,$C$5:$AU$500,3,)=0,0,(VLOOKUP($D19,$C$5:$AU$500,25,)/VLOOKUP($D19,$C$5:$AU$500,3,))*$E19)</f>
        <v>0</v>
      </c>
      <c r="AB19" s="107">
        <f>IF(VLOOKUP($D19,$C$5:$AU$500,3,)=0,0,(VLOOKUP($D19,$C$5:$AU$500,26,)/VLOOKUP($D19,$C$5:$AU$500,3,))*$E19)</f>
        <v>0</v>
      </c>
      <c r="AC19" s="107">
        <f>IF(VLOOKUP($D19,$C$5:$AU$500,3,)=0,0,(VLOOKUP($D19,$C$5:$AU$500,27,)/VLOOKUP($D19,$C$5:$AU$500,3,))*$E19)</f>
        <v>0</v>
      </c>
      <c r="AD19" s="107">
        <f>IF(VLOOKUP($D19,$C$5:$AU$500,3,)=0,0,(VLOOKUP($D19,$C$5:$AU$500,28,)/VLOOKUP($D19,$C$5:$AU$500,3,))*$E19)</f>
        <v>0</v>
      </c>
      <c r="AE19" s="107">
        <f>IF(VLOOKUP($D19,$C$5:$AU$500,3,)=0,0,(VLOOKUP($D19,$C$5:$AU$500,29,)/VLOOKUP($D19,$C$5:$AU$500,3,))*$E19)</f>
        <v>0</v>
      </c>
      <c r="AF19" s="107">
        <f>IF(VLOOKUP($D19,$C$5:$AU$500,3,)=0,0,(VLOOKUP($D19,$C$5:$AU$500,30,)/VLOOKUP($D19,$C$5:$AU$500,3,))*$E19)</f>
        <v>0</v>
      </c>
      <c r="AG19" s="91">
        <f>SUM(F19:AF19)</f>
        <v>55005017.270620972</v>
      </c>
      <c r="AH19" s="28" t="str">
        <f>IF(ABS(E19-AG19)&lt;0.01,"ok","err")</f>
        <v>ok</v>
      </c>
      <c r="AI19" s="91"/>
    </row>
    <row r="20" spans="1:35" x14ac:dyDescent="0.25">
      <c r="A20" s="94" t="s">
        <v>220</v>
      </c>
      <c r="C20" s="14" t="s">
        <v>221</v>
      </c>
      <c r="D20" s="14" t="s">
        <v>222</v>
      </c>
      <c r="E20" s="23">
        <f>'Func &amp; Classif'!P82</f>
        <v>96475155.911057666</v>
      </c>
      <c r="F20" s="67">
        <f>IF(VLOOKUP($D20,$C$5:$AU$500,3,)=0,0,(VLOOKUP($D20,$C$5:$AU$500,4,)/VLOOKUP($D20,$C$5:$AU$500,3,))*$E20)</f>
        <v>77226939.112791955</v>
      </c>
      <c r="G20" s="67">
        <f>IF(VLOOKUP($D20,$C$5:$AU$500,3,)=0,0,(VLOOKUP($D20,$C$5:$AU$500,5,)/VLOOKUP($D20,$C$5:$AU$500,3,))*$E20)</f>
        <v>15254036.652304471</v>
      </c>
      <c r="H20" s="42">
        <f>IF(VLOOKUP($D20,$C$5:$AU$500,3,)=0,0,(VLOOKUP($D20,$C$5:$AU$500,6,)/VLOOKUP($D20,$C$5:$AU$500,3,))*$E20)</f>
        <v>1620659.390411705</v>
      </c>
      <c r="I20" s="42">
        <f>IF(VLOOKUP($D20,$C$5:$AU$500,3,)=0,0,(VLOOKUP($D20,$C$5:$AU$500,7,)/VLOOKUP($D20,$C$5:$AU$500,3,))*$E20)</f>
        <v>2035271.0867929379</v>
      </c>
      <c r="J20" s="42">
        <f>IF(VLOOKUP($D20,$C$5:$AU$500,3,)=0,0,(VLOOKUP($D20,$C$5:$AU$500,8,)/VLOOKUP($D20,$C$5:$AU$500,3,))*$E20)</f>
        <v>0</v>
      </c>
      <c r="K20" s="42">
        <f>IF(VLOOKUP($D20,$C$5:$AU$500,3,)=0,0,(VLOOKUP($D20,$C$5:$AU$500,9,)/VLOOKUP($D20,$C$5:$AU$500,3,))*$E20)</f>
        <v>3148.9495927688567</v>
      </c>
      <c r="L20" s="67">
        <f>IF(VLOOKUP($D20,$C$5:$AU$500,3,)=0,0,(VLOOKUP($D20,$C$5:$AU$500,10,)/VLOOKUP($D20,$C$5:$AU$500,3,))*$E20)</f>
        <v>335100.71916381916</v>
      </c>
      <c r="M20" s="42">
        <f>IF(VLOOKUP($D20,$C$5:$AU$500,3,)=0,0,(VLOOKUP($D20,$C$5:$AU$500,11,)/VLOOKUP($D20,$C$5:$AU$500,3,))*$E20)</f>
        <v>0</v>
      </c>
      <c r="N20" s="42">
        <f>IF(VLOOKUP($D20,$C$5:$AU$500,3,)=0,0,(VLOOKUP($D20,$C$5:$AU$500,12,)/VLOOKUP($D20,$C$5:$AU$500,3,))*$E20)</f>
        <v>0</v>
      </c>
      <c r="O20" s="42">
        <f>IF(VLOOKUP($D20,$C$5:$AU$500,3,)=0,0,(VLOOKUP($D20,$C$5:$AU$500,13,)/VLOOKUP($D20,$C$5:$AU$500,3,))*$E20)</f>
        <v>0</v>
      </c>
      <c r="P20" s="42">
        <f>IF(VLOOKUP($D20,$C$5:$AU$500,3,)=0,0,(VLOOKUP($D20,$C$5:$AU$500,14,)/VLOOKUP($D20,$C$5:$AU$500,3,))*$E20)</f>
        <v>0</v>
      </c>
      <c r="Q20" s="42">
        <f>IF(VLOOKUP($D20,$C$5:$AU$500,3,)=0,0,(VLOOKUP($D20,$C$5:$AU$500,15,)/VLOOKUP($D20,$C$5:$AU$500,3,))*$E20)</f>
        <v>0</v>
      </c>
      <c r="R20" s="42">
        <f>IF(VLOOKUP($D20,$C$5:$AU$500,3,)=0,0,(VLOOKUP($D20,$C$5:$AU$500,16,)/VLOOKUP($D20,$C$5:$AU$500,3,))*$E20)</f>
        <v>0</v>
      </c>
      <c r="S20" s="107">
        <f>IF(VLOOKUP($D20,$C$5:$AU$500,3,)=0,0,(VLOOKUP($D20,$C$5:$AU$500,17,)/VLOOKUP($D20,$C$5:$AU$500,3,))*$E20)</f>
        <v>0</v>
      </c>
      <c r="T20" s="107">
        <f>IF(VLOOKUP($D20,$C$5:$AU$500,3,)=0,0,(VLOOKUP($D20,$C$5:$AU$500,18,)/VLOOKUP($D20,$C$5:$AU$500,3,))*$E20)</f>
        <v>0</v>
      </c>
      <c r="U20" s="107">
        <f>IF(VLOOKUP($D20,$C$5:$AU$500,3,)=0,0,(VLOOKUP($D20,$C$5:$AU$500,19,)/VLOOKUP($D20,$C$5:$AU$500,3,))*$E20)</f>
        <v>0</v>
      </c>
      <c r="V20" s="107">
        <f>IF(VLOOKUP($D20,$C$5:$AU$500,3,)=0,0,(VLOOKUP($D20,$C$5:$AU$500,20,)/VLOOKUP($D20,$C$5:$AU$500,3,))*$E20)</f>
        <v>0</v>
      </c>
      <c r="W20" s="107">
        <f>IF(VLOOKUP($D20,$C$5:$AU$500,3,)=0,0,(VLOOKUP($D20,$C$5:$AU$500,21,)/VLOOKUP($D20,$C$5:$AU$500,3,))*$E20)</f>
        <v>0</v>
      </c>
      <c r="X20" s="107">
        <f>IF(VLOOKUP($D20,$C$5:$AU$500,3,)=0,0,(VLOOKUP($D20,$C$5:$AU$500,22,)/VLOOKUP($D20,$C$5:$AU$500,3,))*$E20)</f>
        <v>0</v>
      </c>
      <c r="Y20" s="107">
        <f>IF(VLOOKUP($D20,$C$5:$AU$500,3,)=0,0,(VLOOKUP($D20,$C$5:$AU$500,23,)/VLOOKUP($D20,$C$5:$AU$500,3,))*$E20)</f>
        <v>0</v>
      </c>
      <c r="Z20" s="107">
        <f>IF(VLOOKUP($D20,$C$5:$AU$500,3,)=0,0,(VLOOKUP($D20,$C$5:$AU$500,24,)/VLOOKUP($D20,$C$5:$AU$500,3,))*$E20)</f>
        <v>0</v>
      </c>
      <c r="AA20" s="107">
        <f>IF(VLOOKUP($D20,$C$5:$AU$500,3,)=0,0,(VLOOKUP($D20,$C$5:$AU$500,25,)/VLOOKUP($D20,$C$5:$AU$500,3,))*$E20)</f>
        <v>0</v>
      </c>
      <c r="AB20" s="107">
        <f>IF(VLOOKUP($D20,$C$5:$AU$500,3,)=0,0,(VLOOKUP($D20,$C$5:$AU$500,26,)/VLOOKUP($D20,$C$5:$AU$500,3,))*$E20)</f>
        <v>0</v>
      </c>
      <c r="AC20" s="107">
        <f>IF(VLOOKUP($D20,$C$5:$AU$500,3,)=0,0,(VLOOKUP($D20,$C$5:$AU$500,27,)/VLOOKUP($D20,$C$5:$AU$500,3,))*$E20)</f>
        <v>0</v>
      </c>
      <c r="AD20" s="107">
        <f>IF(VLOOKUP($D20,$C$5:$AU$500,3,)=0,0,(VLOOKUP($D20,$C$5:$AU$500,28,)/VLOOKUP($D20,$C$5:$AU$500,3,))*$E20)</f>
        <v>0</v>
      </c>
      <c r="AE20" s="107">
        <f>IF(VLOOKUP($D20,$C$5:$AU$500,3,)=0,0,(VLOOKUP($D20,$C$5:$AU$500,29,)/VLOOKUP($D20,$C$5:$AU$500,3,))*$E20)</f>
        <v>0</v>
      </c>
      <c r="AF20" s="107">
        <f>IF(VLOOKUP($D20,$C$5:$AU$500,3,)=0,0,(VLOOKUP($D20,$C$5:$AU$500,30,)/VLOOKUP($D20,$C$5:$AU$500,3,))*$E20)</f>
        <v>0</v>
      </c>
      <c r="AG20" s="91">
        <f>SUM(F20:AF20)</f>
        <v>96475155.911057651</v>
      </c>
      <c r="AH20" s="28" t="str">
        <f>IF(ABS(E20-AG20)&lt;0.01,"ok","err")</f>
        <v>ok</v>
      </c>
    </row>
    <row r="21" spans="1:35" x14ac:dyDescent="0.25">
      <c r="A21" s="14" t="s">
        <v>223</v>
      </c>
      <c r="C21" s="14" t="s">
        <v>472</v>
      </c>
      <c r="E21" s="42">
        <f t="shared" ref="E21:T21" si="2">E19+E20</f>
        <v>151480173.18167865</v>
      </c>
      <c r="F21" s="67">
        <f t="shared" si="2"/>
        <v>111798686.20805688</v>
      </c>
      <c r="G21" s="67">
        <f t="shared" si="2"/>
        <v>16142831.24489112</v>
      </c>
      <c r="H21" s="42">
        <f t="shared" si="2"/>
        <v>3043145.4385478017</v>
      </c>
      <c r="I21" s="42">
        <f t="shared" si="2"/>
        <v>18133588.311550986</v>
      </c>
      <c r="J21" s="42">
        <f t="shared" si="2"/>
        <v>0</v>
      </c>
      <c r="K21" s="42">
        <f t="shared" si="2"/>
        <v>1785003.6647034502</v>
      </c>
      <c r="L21" s="67">
        <f t="shared" si="2"/>
        <v>576918.31392838457</v>
      </c>
      <c r="M21" s="42">
        <f t="shared" si="2"/>
        <v>0</v>
      </c>
      <c r="N21" s="42">
        <f t="shared" si="2"/>
        <v>0</v>
      </c>
      <c r="O21" s="42">
        <f t="shared" si="2"/>
        <v>0</v>
      </c>
      <c r="P21" s="42">
        <f t="shared" si="2"/>
        <v>0</v>
      </c>
      <c r="Q21" s="42">
        <f t="shared" si="2"/>
        <v>0</v>
      </c>
      <c r="R21" s="42">
        <f t="shared" si="2"/>
        <v>0</v>
      </c>
      <c r="S21" s="107">
        <f t="shared" si="2"/>
        <v>0</v>
      </c>
      <c r="T21" s="107">
        <f t="shared" si="2"/>
        <v>0</v>
      </c>
      <c r="U21" s="107">
        <f t="shared" ref="U21:AF21" si="3">U19+U20</f>
        <v>0</v>
      </c>
      <c r="V21" s="107">
        <f t="shared" si="3"/>
        <v>0</v>
      </c>
      <c r="W21" s="107">
        <f t="shared" si="3"/>
        <v>0</v>
      </c>
      <c r="X21" s="107">
        <f t="shared" si="3"/>
        <v>0</v>
      </c>
      <c r="Y21" s="107">
        <f t="shared" si="3"/>
        <v>0</v>
      </c>
      <c r="Z21" s="107">
        <f t="shared" si="3"/>
        <v>0</v>
      </c>
      <c r="AA21" s="107">
        <f t="shared" si="3"/>
        <v>0</v>
      </c>
      <c r="AB21" s="107">
        <f t="shared" si="3"/>
        <v>0</v>
      </c>
      <c r="AC21" s="107">
        <f t="shared" si="3"/>
        <v>0</v>
      </c>
      <c r="AD21" s="107">
        <f t="shared" si="3"/>
        <v>0</v>
      </c>
      <c r="AE21" s="107">
        <f t="shared" si="3"/>
        <v>0</v>
      </c>
      <c r="AF21" s="107">
        <f t="shared" si="3"/>
        <v>0</v>
      </c>
      <c r="AG21" s="91">
        <f>SUM(F21:AF21)</f>
        <v>151480173.18167865</v>
      </c>
      <c r="AH21" s="28" t="str">
        <f>IF(ABS(E21-AG21)&lt;0.01,"ok","err")</f>
        <v>ok</v>
      </c>
    </row>
    <row r="22" spans="1:35" x14ac:dyDescent="0.25">
      <c r="E22" s="23"/>
    </row>
    <row r="23" spans="1:35" x14ac:dyDescent="0.25">
      <c r="A23" s="13" t="s">
        <v>3</v>
      </c>
      <c r="E23" s="23"/>
    </row>
    <row r="24" spans="1:35" x14ac:dyDescent="0.25">
      <c r="A24" s="94" t="s">
        <v>208</v>
      </c>
      <c r="C24" s="14" t="s">
        <v>224</v>
      </c>
      <c r="D24" s="14" t="s">
        <v>619</v>
      </c>
      <c r="E24" s="42">
        <f>'Func &amp; Classif'!R82</f>
        <v>0</v>
      </c>
      <c r="F24" s="67">
        <f>IF(VLOOKUP($D24,$C$5:$AU$500,3,)=0,0,(VLOOKUP($D24,$C$5:$AU$500,4,)/VLOOKUP($D24,$C$5:$AU$500,3,))*$E24)</f>
        <v>0</v>
      </c>
      <c r="G24" s="67">
        <f>IF(VLOOKUP($D24,$C$5:$AU$500,3,)=0,0,(VLOOKUP($D24,$C$5:$AU$500,5,)/VLOOKUP($D24,$C$5:$AU$500,3,))*$E24)</f>
        <v>0</v>
      </c>
      <c r="H24" s="42">
        <f>IF(VLOOKUP($D24,$C$5:$AU$500,3,)=0,0,(VLOOKUP($D24,$C$5:$AU$500,6,)/VLOOKUP($D24,$C$5:$AU$500,3,))*$E24)</f>
        <v>0</v>
      </c>
      <c r="I24" s="42">
        <f>IF(VLOOKUP($D24,$C$5:$AU$500,3,)=0,0,(VLOOKUP($D24,$C$5:$AU$500,7,)/VLOOKUP($D24,$C$5:$AU$500,3,))*$E24)</f>
        <v>0</v>
      </c>
      <c r="J24" s="42">
        <f>IF(VLOOKUP($D24,$C$5:$AU$500,3,)=0,0,(VLOOKUP($D24,$C$5:$AU$500,8,)/VLOOKUP($D24,$C$5:$AU$500,3,))*$E24)</f>
        <v>0</v>
      </c>
      <c r="K24" s="42">
        <f>IF(VLOOKUP($D24,$C$5:$AU$500,3,)=0,0,(VLOOKUP($D24,$C$5:$AU$500,9,)/VLOOKUP($D24,$C$5:$AU$500,3,))*$E24)</f>
        <v>0</v>
      </c>
      <c r="L24" s="67">
        <f>IF(VLOOKUP($D24,$C$5:$AU$500,3,)=0,0,(VLOOKUP($D24,$C$5:$AU$500,10,)/VLOOKUP($D24,$C$5:$AU$500,3,))*$E24)</f>
        <v>0</v>
      </c>
      <c r="M24" s="42">
        <f>IF(VLOOKUP($D24,$C$5:$AU$500,3,)=0,0,(VLOOKUP($D24,$C$5:$AU$500,11,)/VLOOKUP($D24,$C$5:$AU$500,3,))*$E24)</f>
        <v>0</v>
      </c>
      <c r="N24" s="42">
        <f>IF(VLOOKUP($D24,$C$5:$AU$500,3,)=0,0,(VLOOKUP($D24,$C$5:$AU$500,12,)/VLOOKUP($D24,$C$5:$AU$500,3,))*$E24)</f>
        <v>0</v>
      </c>
      <c r="O24" s="42">
        <f>IF(VLOOKUP($D24,$C$5:$AU$500,3,)=0,0,(VLOOKUP($D24,$C$5:$AU$500,13,)/VLOOKUP($D24,$C$5:$AU$500,3,))*$E24)</f>
        <v>0</v>
      </c>
      <c r="P24" s="42">
        <f>IF(VLOOKUP($D24,$C$5:$AU$500,3,)=0,0,(VLOOKUP($D24,$C$5:$AU$500,14,)/VLOOKUP($D24,$C$5:$AU$500,3,))*$E24)</f>
        <v>0</v>
      </c>
      <c r="Q24" s="42">
        <f>IF(VLOOKUP($D24,$C$5:$AU$500,3,)=0,0,(VLOOKUP($D24,$C$5:$AU$500,15,)/VLOOKUP($D24,$C$5:$AU$500,3,))*$E24)</f>
        <v>0</v>
      </c>
      <c r="R24" s="42">
        <f>IF(VLOOKUP($D24,$C$5:$AU$500,3,)=0,0,(VLOOKUP($D24,$C$5:$AU$500,16,)/VLOOKUP($D24,$C$5:$AU$500,3,))*$E24)</f>
        <v>0</v>
      </c>
      <c r="S24" s="107">
        <f>IF(VLOOKUP($D24,$C$5:$AU$500,3,)=0,0,(VLOOKUP($D24,$C$5:$AU$500,17,)/VLOOKUP($D24,$C$5:$AU$500,3,))*$E24)</f>
        <v>0</v>
      </c>
      <c r="T24" s="107">
        <f>IF(VLOOKUP($D24,$C$5:$AU$500,3,)=0,0,(VLOOKUP($D24,$C$5:$AU$500,18,)/VLOOKUP($D24,$C$5:$AU$500,3,))*$E24)</f>
        <v>0</v>
      </c>
      <c r="U24" s="107">
        <f>IF(VLOOKUP($D24,$C$5:$AU$500,3,)=0,0,(VLOOKUP($D24,$C$5:$AU$500,19,)/VLOOKUP($D24,$C$5:$AU$500,3,))*$E24)</f>
        <v>0</v>
      </c>
      <c r="V24" s="107">
        <f>IF(VLOOKUP($D24,$C$5:$AU$500,3,)=0,0,(VLOOKUP($D24,$C$5:$AU$500,20,)/VLOOKUP($D24,$C$5:$AU$500,3,))*$E24)</f>
        <v>0</v>
      </c>
      <c r="W24" s="107">
        <f>IF(VLOOKUP($D24,$C$5:$AU$500,3,)=0,0,(VLOOKUP($D24,$C$5:$AU$500,21,)/VLOOKUP($D24,$C$5:$AU$500,3,))*$E24)</f>
        <v>0</v>
      </c>
      <c r="X24" s="107">
        <f>IF(VLOOKUP($D24,$C$5:$AU$500,3,)=0,0,(VLOOKUP($D24,$C$5:$AU$500,22,)/VLOOKUP($D24,$C$5:$AU$500,3,))*$E24)</f>
        <v>0</v>
      </c>
      <c r="Y24" s="107">
        <f>IF(VLOOKUP($D24,$C$5:$AU$500,3,)=0,0,(VLOOKUP($D24,$C$5:$AU$500,23,)/VLOOKUP($D24,$C$5:$AU$500,3,))*$E24)</f>
        <v>0</v>
      </c>
      <c r="Z24" s="107">
        <f>IF(VLOOKUP($D24,$C$5:$AU$500,3,)=0,0,(VLOOKUP($D24,$C$5:$AU$500,24,)/VLOOKUP($D24,$C$5:$AU$500,3,))*$E24)</f>
        <v>0</v>
      </c>
      <c r="AA24" s="107">
        <f>IF(VLOOKUP($D24,$C$5:$AU$500,3,)=0,0,(VLOOKUP($D24,$C$5:$AU$500,25,)/VLOOKUP($D24,$C$5:$AU$500,3,))*$E24)</f>
        <v>0</v>
      </c>
      <c r="AB24" s="107">
        <f>IF(VLOOKUP($D24,$C$5:$AU$500,3,)=0,0,(VLOOKUP($D24,$C$5:$AU$500,26,)/VLOOKUP($D24,$C$5:$AU$500,3,))*$E24)</f>
        <v>0</v>
      </c>
      <c r="AC24" s="107">
        <f>IF(VLOOKUP($D24,$C$5:$AU$500,3,)=0,0,(VLOOKUP($D24,$C$5:$AU$500,27,)/VLOOKUP($D24,$C$5:$AU$500,3,))*$E24)</f>
        <v>0</v>
      </c>
      <c r="AD24" s="107">
        <f>IF(VLOOKUP($D24,$C$5:$AU$500,3,)=0,0,(VLOOKUP($D24,$C$5:$AU$500,28,)/VLOOKUP($D24,$C$5:$AU$500,3,))*$E24)</f>
        <v>0</v>
      </c>
      <c r="AE24" s="107">
        <f>IF(VLOOKUP($D24,$C$5:$AU$500,3,)=0,0,(VLOOKUP($D24,$C$5:$AU$500,29,)/VLOOKUP($D24,$C$5:$AU$500,3,))*$E24)</f>
        <v>0</v>
      </c>
      <c r="AF24" s="107">
        <f>IF(VLOOKUP($D24,$C$5:$AU$500,3,)=0,0,(VLOOKUP($D24,$C$5:$AU$500,30,)/VLOOKUP($D24,$C$5:$AU$500,3,))*$E24)</f>
        <v>0</v>
      </c>
      <c r="AG24" s="91">
        <f>SUM(F24:AF24)</f>
        <v>0</v>
      </c>
      <c r="AH24" s="28" t="str">
        <f>IF(ABS(E24-AG24)&lt;0.01,"ok","err")</f>
        <v>ok</v>
      </c>
    </row>
    <row r="25" spans="1:35" x14ac:dyDescent="0.25">
      <c r="A25" s="94" t="s">
        <v>220</v>
      </c>
      <c r="C25" s="14" t="s">
        <v>225</v>
      </c>
      <c r="D25" s="14" t="s">
        <v>701</v>
      </c>
      <c r="E25" s="23">
        <f>'Func &amp; Classif'!S82</f>
        <v>14161613.840687549</v>
      </c>
      <c r="F25" s="67">
        <f>IF(VLOOKUP($D25,$C$5:$AU$500,3,)=0,0,(VLOOKUP($D25,$C$5:$AU$500,4,)/VLOOKUP($D25,$C$5:$AU$500,3,))*$E25)</f>
        <v>7392864.9193968093</v>
      </c>
      <c r="G25" s="67">
        <f>IF(VLOOKUP($D25,$C$5:$AU$500,3,)=0,0,(VLOOKUP($D25,$C$5:$AU$500,5,)/VLOOKUP($D25,$C$5:$AU$500,3,))*$E25)</f>
        <v>3212561.2413419834</v>
      </c>
      <c r="H25" s="42">
        <f>IF(VLOOKUP($D25,$C$5:$AU$500,3,)=0,0,(VLOOKUP($D25,$C$5:$AU$500,6,)/VLOOKUP($D25,$C$5:$AU$500,3,))*$E25)</f>
        <v>856396.28896388225</v>
      </c>
      <c r="I25" s="42">
        <f>IF(VLOOKUP($D25,$C$5:$AU$500,3,)=0,0,(VLOOKUP($D25,$C$5:$AU$500,7,)/VLOOKUP($D25,$C$5:$AU$500,3,))*$E25)</f>
        <v>2026280.4362762431</v>
      </c>
      <c r="J25" s="42">
        <f>IF(VLOOKUP($D25,$C$5:$AU$500,3,)=0,0,(VLOOKUP($D25,$C$5:$AU$500,8,)/VLOOKUP($D25,$C$5:$AU$500,3,))*$E25)</f>
        <v>0</v>
      </c>
      <c r="K25" s="42">
        <f>IF(VLOOKUP($D25,$C$5:$AU$500,3,)=0,0,(VLOOKUP($D25,$C$5:$AU$500,9,)/VLOOKUP($D25,$C$5:$AU$500,3,))*$E25)</f>
        <v>6270.0787094674861</v>
      </c>
      <c r="L25" s="67">
        <f>IF(VLOOKUP($D25,$C$5:$AU$500,3,)=0,0,(VLOOKUP($D25,$C$5:$AU$500,10,)/VLOOKUP($D25,$C$5:$AU$500,3,))*$E25)</f>
        <v>667240.87599916512</v>
      </c>
      <c r="M25" s="42">
        <f>IF(VLOOKUP($D25,$C$5:$AU$500,3,)=0,0,(VLOOKUP($D25,$C$5:$AU$500,11,)/VLOOKUP($D25,$C$5:$AU$500,3,))*$E25)</f>
        <v>0</v>
      </c>
      <c r="N25" s="42">
        <f>IF(VLOOKUP($D25,$C$5:$AU$500,3,)=0,0,(VLOOKUP($D25,$C$5:$AU$500,12,)/VLOOKUP($D25,$C$5:$AU$500,3,))*$E25)</f>
        <v>0</v>
      </c>
      <c r="O25" s="42">
        <f>IF(VLOOKUP($D25,$C$5:$AU$500,3,)=0,0,(VLOOKUP($D25,$C$5:$AU$500,13,)/VLOOKUP($D25,$C$5:$AU$500,3,))*$E25)</f>
        <v>0</v>
      </c>
      <c r="P25" s="42">
        <f>IF(VLOOKUP($D25,$C$5:$AU$500,3,)=0,0,(VLOOKUP($D25,$C$5:$AU$500,14,)/VLOOKUP($D25,$C$5:$AU$500,3,))*$E25)</f>
        <v>0</v>
      </c>
      <c r="Q25" s="42">
        <f>IF(VLOOKUP($D25,$C$5:$AU$500,3,)=0,0,(VLOOKUP($D25,$C$5:$AU$500,15,)/VLOOKUP($D25,$C$5:$AU$500,3,))*$E25)</f>
        <v>0</v>
      </c>
      <c r="R25" s="42">
        <f>IF(VLOOKUP($D25,$C$5:$AU$500,3,)=0,0,(VLOOKUP($D25,$C$5:$AU$500,16,)/VLOOKUP($D25,$C$5:$AU$500,3,))*$E25)</f>
        <v>0</v>
      </c>
      <c r="S25" s="107">
        <f>IF(VLOOKUP($D25,$C$5:$AU$500,3,)=0,0,(VLOOKUP($D25,$C$5:$AU$500,17,)/VLOOKUP($D25,$C$5:$AU$500,3,))*$E25)</f>
        <v>0</v>
      </c>
      <c r="T25" s="107">
        <f>IF(VLOOKUP($D25,$C$5:$AU$500,3,)=0,0,(VLOOKUP($D25,$C$5:$AU$500,18,)/VLOOKUP($D25,$C$5:$AU$500,3,))*$E25)</f>
        <v>0</v>
      </c>
      <c r="U25" s="107">
        <f>IF(VLOOKUP($D25,$C$5:$AU$500,3,)=0,0,(VLOOKUP($D25,$C$5:$AU$500,19,)/VLOOKUP($D25,$C$5:$AU$500,3,))*$E25)</f>
        <v>0</v>
      </c>
      <c r="V25" s="107">
        <f>IF(VLOOKUP($D25,$C$5:$AU$500,3,)=0,0,(VLOOKUP($D25,$C$5:$AU$500,20,)/VLOOKUP($D25,$C$5:$AU$500,3,))*$E25)</f>
        <v>0</v>
      </c>
      <c r="W25" s="107">
        <f>IF(VLOOKUP($D25,$C$5:$AU$500,3,)=0,0,(VLOOKUP($D25,$C$5:$AU$500,21,)/VLOOKUP($D25,$C$5:$AU$500,3,))*$E25)</f>
        <v>0</v>
      </c>
      <c r="X25" s="107">
        <f>IF(VLOOKUP($D25,$C$5:$AU$500,3,)=0,0,(VLOOKUP($D25,$C$5:$AU$500,22,)/VLOOKUP($D25,$C$5:$AU$500,3,))*$E25)</f>
        <v>0</v>
      </c>
      <c r="Y25" s="107">
        <f>IF(VLOOKUP($D25,$C$5:$AU$500,3,)=0,0,(VLOOKUP($D25,$C$5:$AU$500,23,)/VLOOKUP($D25,$C$5:$AU$500,3,))*$E25)</f>
        <v>0</v>
      </c>
      <c r="Z25" s="107">
        <f>IF(VLOOKUP($D25,$C$5:$AU$500,3,)=0,0,(VLOOKUP($D25,$C$5:$AU$500,24,)/VLOOKUP($D25,$C$5:$AU$500,3,))*$E25)</f>
        <v>0</v>
      </c>
      <c r="AA25" s="107">
        <f>IF(VLOOKUP($D25,$C$5:$AU$500,3,)=0,0,(VLOOKUP($D25,$C$5:$AU$500,25,)/VLOOKUP($D25,$C$5:$AU$500,3,))*$E25)</f>
        <v>0</v>
      </c>
      <c r="AB25" s="107">
        <f>IF(VLOOKUP($D25,$C$5:$AU$500,3,)=0,0,(VLOOKUP($D25,$C$5:$AU$500,26,)/VLOOKUP($D25,$C$5:$AU$500,3,))*$E25)</f>
        <v>0</v>
      </c>
      <c r="AC25" s="107">
        <f>IF(VLOOKUP($D25,$C$5:$AU$500,3,)=0,0,(VLOOKUP($D25,$C$5:$AU$500,27,)/VLOOKUP($D25,$C$5:$AU$500,3,))*$E25)</f>
        <v>0</v>
      </c>
      <c r="AD25" s="107">
        <f>IF(VLOOKUP($D25,$C$5:$AU$500,3,)=0,0,(VLOOKUP($D25,$C$5:$AU$500,28,)/VLOOKUP($D25,$C$5:$AU$500,3,))*$E25)</f>
        <v>0</v>
      </c>
      <c r="AE25" s="107">
        <f>IF(VLOOKUP($D25,$C$5:$AU$500,3,)=0,0,(VLOOKUP($D25,$C$5:$AU$500,29,)/VLOOKUP($D25,$C$5:$AU$500,3,))*$E25)</f>
        <v>0</v>
      </c>
      <c r="AF25" s="107">
        <f>IF(VLOOKUP($D25,$C$5:$AU$500,3,)=0,0,(VLOOKUP($D25,$C$5:$AU$500,30,)/VLOOKUP($D25,$C$5:$AU$500,3,))*$E25)</f>
        <v>0</v>
      </c>
      <c r="AG25" s="91">
        <f>SUM(F25:AF25)</f>
        <v>14161613.840687552</v>
      </c>
      <c r="AH25" s="28" t="str">
        <f>IF(ABS(E25-AG25)&lt;0.01,"ok","err")</f>
        <v>ok</v>
      </c>
    </row>
    <row r="26" spans="1:35" x14ac:dyDescent="0.25">
      <c r="A26" s="14" t="s">
        <v>227</v>
      </c>
      <c r="E26" s="42">
        <f t="shared" ref="E26:T26" si="4">E24+E25</f>
        <v>14161613.840687549</v>
      </c>
      <c r="F26" s="67">
        <f t="shared" si="4"/>
        <v>7392864.9193968093</v>
      </c>
      <c r="G26" s="67">
        <f t="shared" si="4"/>
        <v>3212561.2413419834</v>
      </c>
      <c r="H26" s="42">
        <f t="shared" si="4"/>
        <v>856396.28896388225</v>
      </c>
      <c r="I26" s="42">
        <f t="shared" si="4"/>
        <v>2026280.4362762431</v>
      </c>
      <c r="J26" s="42">
        <f t="shared" si="4"/>
        <v>0</v>
      </c>
      <c r="K26" s="42">
        <f t="shared" si="4"/>
        <v>6270.0787094674861</v>
      </c>
      <c r="L26" s="67">
        <f t="shared" si="4"/>
        <v>667240.87599916512</v>
      </c>
      <c r="M26" s="42">
        <f t="shared" si="4"/>
        <v>0</v>
      </c>
      <c r="N26" s="42">
        <f t="shared" si="4"/>
        <v>0</v>
      </c>
      <c r="O26" s="42">
        <f t="shared" si="4"/>
        <v>0</v>
      </c>
      <c r="P26" s="42">
        <f t="shared" si="4"/>
        <v>0</v>
      </c>
      <c r="Q26" s="42">
        <f t="shared" si="4"/>
        <v>0</v>
      </c>
      <c r="R26" s="42">
        <f t="shared" si="4"/>
        <v>0</v>
      </c>
      <c r="S26" s="107">
        <f t="shared" si="4"/>
        <v>0</v>
      </c>
      <c r="T26" s="107">
        <f t="shared" si="4"/>
        <v>0</v>
      </c>
      <c r="U26" s="107">
        <f t="shared" ref="U26:AF26" si="5">U24+U25</f>
        <v>0</v>
      </c>
      <c r="V26" s="107">
        <f t="shared" si="5"/>
        <v>0</v>
      </c>
      <c r="W26" s="107">
        <f t="shared" si="5"/>
        <v>0</v>
      </c>
      <c r="X26" s="107">
        <f t="shared" si="5"/>
        <v>0</v>
      </c>
      <c r="Y26" s="107">
        <f t="shared" si="5"/>
        <v>0</v>
      </c>
      <c r="Z26" s="107">
        <f t="shared" si="5"/>
        <v>0</v>
      </c>
      <c r="AA26" s="107">
        <f t="shared" si="5"/>
        <v>0</v>
      </c>
      <c r="AB26" s="107">
        <f t="shared" si="5"/>
        <v>0</v>
      </c>
      <c r="AC26" s="107">
        <f t="shared" si="5"/>
        <v>0</v>
      </c>
      <c r="AD26" s="107">
        <f t="shared" si="5"/>
        <v>0</v>
      </c>
      <c r="AE26" s="107">
        <f t="shared" si="5"/>
        <v>0</v>
      </c>
      <c r="AF26" s="107">
        <f t="shared" si="5"/>
        <v>0</v>
      </c>
      <c r="AG26" s="91">
        <f>SUM(F26:AF26)</f>
        <v>14161613.840687552</v>
      </c>
      <c r="AH26" s="28" t="str">
        <f>IF(ABS(E26-AG26)&lt;0.01,"ok","err")</f>
        <v>ok</v>
      </c>
    </row>
    <row r="27" spans="1:35" x14ac:dyDescent="0.25">
      <c r="E27" s="23"/>
    </row>
    <row r="28" spans="1:35" x14ac:dyDescent="0.25">
      <c r="A28" s="13" t="s">
        <v>4</v>
      </c>
      <c r="E28" s="23"/>
    </row>
    <row r="29" spans="1:35" x14ac:dyDescent="0.25">
      <c r="A29" s="94" t="s">
        <v>220</v>
      </c>
      <c r="C29" s="14" t="s">
        <v>228</v>
      </c>
      <c r="D29" s="14" t="s">
        <v>229</v>
      </c>
      <c r="E29" s="42">
        <f>'Func &amp; Classif'!U82</f>
        <v>10681640.129441964</v>
      </c>
      <c r="F29" s="67">
        <f>IF(VLOOKUP($D29,$C$5:$AU$500,3,)=0,0,(VLOOKUP($D29,$C$5:$AU$500,4,)/VLOOKUP($D29,$C$5:$AU$500,3,))*$E29)</f>
        <v>5576195.1627074433</v>
      </c>
      <c r="G29" s="67">
        <f>IF(VLOOKUP($D29,$C$5:$AU$500,3,)=0,0,(VLOOKUP($D29,$C$5:$AU$500,5,)/VLOOKUP($D29,$C$5:$AU$500,3,))*$E29)</f>
        <v>2423129.4158874196</v>
      </c>
      <c r="H29" s="42">
        <f>IF(VLOOKUP($D29,$C$5:$AU$500,3,)=0,0,(VLOOKUP($D29,$C$5:$AU$500,6,)/VLOOKUP($D29,$C$5:$AU$500,3,))*$E29)</f>
        <v>645951.58926164149</v>
      </c>
      <c r="I29" s="42">
        <f>IF(VLOOKUP($D29,$C$5:$AU$500,3,)=0,0,(VLOOKUP($D29,$C$5:$AU$500,7,)/VLOOKUP($D29,$C$5:$AU$500,3,))*$E29)</f>
        <v>1528356.77240728</v>
      </c>
      <c r="J29" s="42">
        <f>IF(VLOOKUP($D29,$C$5:$AU$500,3,)=0,0,(VLOOKUP($D29,$C$5:$AU$500,8,)/VLOOKUP($D29,$C$5:$AU$500,3,))*$E29)</f>
        <v>0</v>
      </c>
      <c r="K29" s="42">
        <f>IF(VLOOKUP($D29,$C$5:$AU$500,3,)=0,0,(VLOOKUP($D29,$C$5:$AU$500,9,)/VLOOKUP($D29,$C$5:$AU$500,3,))*$E29)</f>
        <v>4729.3144066238674</v>
      </c>
      <c r="L29" s="67">
        <f>IF(VLOOKUP($D29,$C$5:$AU$500,3,)=0,0,(VLOOKUP($D29,$C$5:$AU$500,10,)/VLOOKUP($D29,$C$5:$AU$500,3,))*$E29)</f>
        <v>503277.87477155664</v>
      </c>
      <c r="M29" s="42">
        <f>IF(VLOOKUP($D29,$C$5:$AU$500,3,)=0,0,(VLOOKUP($D29,$C$5:$AU$500,11,)/VLOOKUP($D29,$C$5:$AU$500,3,))*$E29)</f>
        <v>0</v>
      </c>
      <c r="N29" s="42">
        <f>IF(VLOOKUP($D29,$C$5:$AU$500,3,)=0,0,(VLOOKUP($D29,$C$5:$AU$500,12,)/VLOOKUP($D29,$C$5:$AU$500,3,))*$E29)</f>
        <v>0</v>
      </c>
      <c r="O29" s="42">
        <f>IF(VLOOKUP($D29,$C$5:$AU$500,3,)=0,0,(VLOOKUP($D29,$C$5:$AU$500,13,)/VLOOKUP($D29,$C$5:$AU$500,3,))*$E29)</f>
        <v>0</v>
      </c>
      <c r="P29" s="42">
        <f>IF(VLOOKUP($D29,$C$5:$AU$500,3,)=0,0,(VLOOKUP($D29,$C$5:$AU$500,14,)/VLOOKUP($D29,$C$5:$AU$500,3,))*$E29)</f>
        <v>0</v>
      </c>
      <c r="Q29" s="42">
        <f>IF(VLOOKUP($D29,$C$5:$AU$500,3,)=0,0,(VLOOKUP($D29,$C$5:$AU$500,15,)/VLOOKUP($D29,$C$5:$AU$500,3,))*$E29)</f>
        <v>0</v>
      </c>
      <c r="R29" s="42">
        <f>IF(VLOOKUP($D29,$C$5:$AU$500,3,)=0,0,(VLOOKUP($D29,$C$5:$AU$500,16,)/VLOOKUP($D29,$C$5:$AU$500,3,))*$E29)</f>
        <v>0</v>
      </c>
      <c r="S29" s="107">
        <f>IF(VLOOKUP($D29,$C$5:$AU$500,3,)=0,0,(VLOOKUP($D29,$C$5:$AU$500,17,)/VLOOKUP($D29,$C$5:$AU$500,3,))*$E29)</f>
        <v>0</v>
      </c>
      <c r="T29" s="107">
        <f>IF(VLOOKUP($D29,$C$5:$AU$500,3,)=0,0,(VLOOKUP($D29,$C$5:$AU$500,18,)/VLOOKUP($D29,$C$5:$AU$500,3,))*$E29)</f>
        <v>0</v>
      </c>
      <c r="U29" s="107">
        <f>IF(VLOOKUP($D29,$C$5:$AU$500,3,)=0,0,(VLOOKUP($D29,$C$5:$AU$500,19,)/VLOOKUP($D29,$C$5:$AU$500,3,))*$E29)</f>
        <v>0</v>
      </c>
      <c r="V29" s="107">
        <f>IF(VLOOKUP($D29,$C$5:$AU$500,3,)=0,0,(VLOOKUP($D29,$C$5:$AU$500,20,)/VLOOKUP($D29,$C$5:$AU$500,3,))*$E29)</f>
        <v>0</v>
      </c>
      <c r="W29" s="107">
        <f>IF(VLOOKUP($D29,$C$5:$AU$500,3,)=0,0,(VLOOKUP($D29,$C$5:$AU$500,21,)/VLOOKUP($D29,$C$5:$AU$500,3,))*$E29)</f>
        <v>0</v>
      </c>
      <c r="X29" s="107">
        <f>IF(VLOOKUP($D29,$C$5:$AU$500,3,)=0,0,(VLOOKUP($D29,$C$5:$AU$500,22,)/VLOOKUP($D29,$C$5:$AU$500,3,))*$E29)</f>
        <v>0</v>
      </c>
      <c r="Y29" s="107">
        <f>IF(VLOOKUP($D29,$C$5:$AU$500,3,)=0,0,(VLOOKUP($D29,$C$5:$AU$500,23,)/VLOOKUP($D29,$C$5:$AU$500,3,))*$E29)</f>
        <v>0</v>
      </c>
      <c r="Z29" s="107">
        <f>IF(VLOOKUP($D29,$C$5:$AU$500,3,)=0,0,(VLOOKUP($D29,$C$5:$AU$500,24,)/VLOOKUP($D29,$C$5:$AU$500,3,))*$E29)</f>
        <v>0</v>
      </c>
      <c r="AA29" s="107">
        <f>IF(VLOOKUP($D29,$C$5:$AU$500,3,)=0,0,(VLOOKUP($D29,$C$5:$AU$500,25,)/VLOOKUP($D29,$C$5:$AU$500,3,))*$E29)</f>
        <v>0</v>
      </c>
      <c r="AB29" s="107">
        <f>IF(VLOOKUP($D29,$C$5:$AU$500,3,)=0,0,(VLOOKUP($D29,$C$5:$AU$500,26,)/VLOOKUP($D29,$C$5:$AU$500,3,))*$E29)</f>
        <v>0</v>
      </c>
      <c r="AC29" s="107">
        <f>IF(VLOOKUP($D29,$C$5:$AU$500,3,)=0,0,(VLOOKUP($D29,$C$5:$AU$500,27,)/VLOOKUP($D29,$C$5:$AU$500,3,))*$E29)</f>
        <v>0</v>
      </c>
      <c r="AD29" s="107">
        <f>IF(VLOOKUP($D29,$C$5:$AU$500,3,)=0,0,(VLOOKUP($D29,$C$5:$AU$500,28,)/VLOOKUP($D29,$C$5:$AU$500,3,))*$E29)</f>
        <v>0</v>
      </c>
      <c r="AE29" s="107">
        <f>IF(VLOOKUP($D29,$C$5:$AU$500,3,)=0,0,(VLOOKUP($D29,$C$5:$AU$500,29,)/VLOOKUP($D29,$C$5:$AU$500,3,))*$E29)</f>
        <v>0</v>
      </c>
      <c r="AF29" s="107">
        <f>IF(VLOOKUP($D29,$C$5:$AU$500,3,)=0,0,(VLOOKUP($D29,$C$5:$AU$500,30,)/VLOOKUP($D29,$C$5:$AU$500,3,))*$E29)</f>
        <v>0</v>
      </c>
      <c r="AG29" s="91">
        <f>SUM(F29:AF29)</f>
        <v>10681640.129441965</v>
      </c>
      <c r="AH29" s="28" t="str">
        <f>IF(ABS(E29-AG29)&lt;0.01,"ok","err")</f>
        <v>ok</v>
      </c>
    </row>
    <row r="30" spans="1:35" x14ac:dyDescent="0.25">
      <c r="E30" s="23"/>
    </row>
    <row r="31" spans="1:35" x14ac:dyDescent="0.25">
      <c r="A31" s="13" t="s">
        <v>5</v>
      </c>
      <c r="E31" s="23"/>
    </row>
    <row r="32" spans="1:35" x14ac:dyDescent="0.25">
      <c r="A32" s="94" t="s">
        <v>220</v>
      </c>
      <c r="C32" s="14" t="s">
        <v>230</v>
      </c>
      <c r="D32" s="14" t="s">
        <v>231</v>
      </c>
      <c r="E32" s="42">
        <f>'Func &amp; Classif'!W82</f>
        <v>5181553.6211605482</v>
      </c>
      <c r="F32" s="67">
        <f>IF(VLOOKUP($D32,$C$5:$AU$500,3,)=0,0,(VLOOKUP($D32,$C$5:$AU$500,4,)/VLOOKUP($D32,$C$5:$AU$500,3,))*$E32)</f>
        <v>0</v>
      </c>
      <c r="G32" s="67">
        <f>IF(VLOOKUP($D32,$C$5:$AU$500,3,)=0,0,(VLOOKUP($D32,$C$5:$AU$500,5,)/VLOOKUP($D32,$C$5:$AU$500,3,))*$E32)</f>
        <v>0</v>
      </c>
      <c r="H32" s="42">
        <f>IF(VLOOKUP($D32,$C$5:$AU$500,3,)=0,0,(VLOOKUP($D32,$C$5:$AU$500,6,)/VLOOKUP($D32,$C$5:$AU$500,3,))*$E32)</f>
        <v>0</v>
      </c>
      <c r="I32" s="42">
        <f>IF(VLOOKUP($D32,$C$5:$AU$500,3,)=0,0,(VLOOKUP($D32,$C$5:$AU$500,7,)/VLOOKUP($D32,$C$5:$AU$500,3,))*$E32)</f>
        <v>0</v>
      </c>
      <c r="J32" s="42">
        <f>IF(VLOOKUP($D32,$C$5:$AU$500,3,)=0,0,(VLOOKUP($D32,$C$5:$AU$500,8,)/VLOOKUP($D32,$C$5:$AU$500,3,))*$E32)</f>
        <v>0</v>
      </c>
      <c r="K32" s="42">
        <f>IF(VLOOKUP($D32,$C$5:$AU$500,3,)=0,0,(VLOOKUP($D32,$C$5:$AU$500,9,)/VLOOKUP($D32,$C$5:$AU$500,3,))*$E32)</f>
        <v>0</v>
      </c>
      <c r="L32" s="67">
        <f>IF(VLOOKUP($D32,$C$5:$AU$500,3,)=0,0,(VLOOKUP($D32,$C$5:$AU$500,10,)/VLOOKUP($D32,$C$5:$AU$500,3,))*$E32)</f>
        <v>5181553.6211605482</v>
      </c>
      <c r="M32" s="42">
        <f>IF(VLOOKUP($D32,$C$5:$AU$500,3,)=0,0,(VLOOKUP($D32,$C$5:$AU$500,11,)/VLOOKUP($D32,$C$5:$AU$500,3,))*$E32)</f>
        <v>0</v>
      </c>
      <c r="N32" s="42">
        <f>IF(VLOOKUP($D32,$C$5:$AU$500,3,)=0,0,(VLOOKUP($D32,$C$5:$AU$500,12,)/VLOOKUP($D32,$C$5:$AU$500,3,))*$E32)</f>
        <v>0</v>
      </c>
      <c r="O32" s="42">
        <f>IF(VLOOKUP($D32,$C$5:$AU$500,3,)=0,0,(VLOOKUP($D32,$C$5:$AU$500,13,)/VLOOKUP($D32,$C$5:$AU$500,3,))*$E32)</f>
        <v>0</v>
      </c>
      <c r="P32" s="42">
        <f>IF(VLOOKUP($D32,$C$5:$AU$500,3,)=0,0,(VLOOKUP($D32,$C$5:$AU$500,14,)/VLOOKUP($D32,$C$5:$AU$500,3,))*$E32)</f>
        <v>0</v>
      </c>
      <c r="Q32" s="42">
        <f>IF(VLOOKUP($D32,$C$5:$AU$500,3,)=0,0,(VLOOKUP($D32,$C$5:$AU$500,15,)/VLOOKUP($D32,$C$5:$AU$500,3,))*$E32)</f>
        <v>0</v>
      </c>
      <c r="R32" s="42">
        <f>IF(VLOOKUP($D32,$C$5:$AU$500,3,)=0,0,(VLOOKUP($D32,$C$5:$AU$500,16,)/VLOOKUP($D32,$C$5:$AU$500,3,))*$E32)</f>
        <v>0</v>
      </c>
      <c r="S32" s="107">
        <f>IF(VLOOKUP($D32,$C$5:$AU$500,3,)=0,0,(VLOOKUP($D32,$C$5:$AU$500,17,)/VLOOKUP($D32,$C$5:$AU$500,3,))*$E32)</f>
        <v>0</v>
      </c>
      <c r="T32" s="107">
        <f>IF(VLOOKUP($D32,$C$5:$AU$500,3,)=0,0,(VLOOKUP($D32,$C$5:$AU$500,18,)/VLOOKUP($D32,$C$5:$AU$500,3,))*$E32)</f>
        <v>0</v>
      </c>
      <c r="U32" s="107">
        <f>IF(VLOOKUP($D32,$C$5:$AU$500,3,)=0,0,(VLOOKUP($D32,$C$5:$AU$500,19,)/VLOOKUP($D32,$C$5:$AU$500,3,))*$E32)</f>
        <v>0</v>
      </c>
      <c r="V32" s="107">
        <f>IF(VLOOKUP($D32,$C$5:$AU$500,3,)=0,0,(VLOOKUP($D32,$C$5:$AU$500,20,)/VLOOKUP($D32,$C$5:$AU$500,3,))*$E32)</f>
        <v>0</v>
      </c>
      <c r="W32" s="107">
        <f>IF(VLOOKUP($D32,$C$5:$AU$500,3,)=0,0,(VLOOKUP($D32,$C$5:$AU$500,21,)/VLOOKUP($D32,$C$5:$AU$500,3,))*$E32)</f>
        <v>0</v>
      </c>
      <c r="X32" s="107">
        <f>IF(VLOOKUP($D32,$C$5:$AU$500,3,)=0,0,(VLOOKUP($D32,$C$5:$AU$500,22,)/VLOOKUP($D32,$C$5:$AU$500,3,))*$E32)</f>
        <v>0</v>
      </c>
      <c r="Y32" s="107">
        <f>IF(VLOOKUP($D32,$C$5:$AU$500,3,)=0,0,(VLOOKUP($D32,$C$5:$AU$500,23,)/VLOOKUP($D32,$C$5:$AU$500,3,))*$E32)</f>
        <v>0</v>
      </c>
      <c r="Z32" s="107">
        <f>IF(VLOOKUP($D32,$C$5:$AU$500,3,)=0,0,(VLOOKUP($D32,$C$5:$AU$500,24,)/VLOOKUP($D32,$C$5:$AU$500,3,))*$E32)</f>
        <v>0</v>
      </c>
      <c r="AA32" s="107">
        <f>IF(VLOOKUP($D32,$C$5:$AU$500,3,)=0,0,(VLOOKUP($D32,$C$5:$AU$500,25,)/VLOOKUP($D32,$C$5:$AU$500,3,))*$E32)</f>
        <v>0</v>
      </c>
      <c r="AB32" s="107">
        <f>IF(VLOOKUP($D32,$C$5:$AU$500,3,)=0,0,(VLOOKUP($D32,$C$5:$AU$500,26,)/VLOOKUP($D32,$C$5:$AU$500,3,))*$E32)</f>
        <v>0</v>
      </c>
      <c r="AC32" s="107">
        <f>IF(VLOOKUP($D32,$C$5:$AU$500,3,)=0,0,(VLOOKUP($D32,$C$5:$AU$500,27,)/VLOOKUP($D32,$C$5:$AU$500,3,))*$E32)</f>
        <v>0</v>
      </c>
      <c r="AD32" s="107">
        <f>IF(VLOOKUP($D32,$C$5:$AU$500,3,)=0,0,(VLOOKUP($D32,$C$5:$AU$500,28,)/VLOOKUP($D32,$C$5:$AU$500,3,))*$E32)</f>
        <v>0</v>
      </c>
      <c r="AE32" s="107">
        <f>IF(VLOOKUP($D32,$C$5:$AU$500,3,)=0,0,(VLOOKUP($D32,$C$5:$AU$500,29,)/VLOOKUP($D32,$C$5:$AU$500,3,))*$E32)</f>
        <v>0</v>
      </c>
      <c r="AF32" s="107">
        <f>IF(VLOOKUP($D32,$C$5:$AU$500,3,)=0,0,(VLOOKUP($D32,$C$5:$AU$500,30,)/VLOOKUP($D32,$C$5:$AU$500,3,))*$E32)</f>
        <v>0</v>
      </c>
      <c r="AG32" s="91">
        <f>SUM(F32:AF32)</f>
        <v>5181553.6211605482</v>
      </c>
      <c r="AH32" s="28" t="str">
        <f>IF(ABS(E32-AG32)&lt;0.01,"ok","err")</f>
        <v>ok</v>
      </c>
    </row>
    <row r="33" spans="1:35" x14ac:dyDescent="0.25">
      <c r="E33" s="23"/>
    </row>
    <row r="34" spans="1:35" x14ac:dyDescent="0.25">
      <c r="A34" s="13" t="s">
        <v>545</v>
      </c>
      <c r="E34" s="23"/>
    </row>
    <row r="35" spans="1:35" x14ac:dyDescent="0.25">
      <c r="A35" s="94" t="s">
        <v>220</v>
      </c>
      <c r="C35" s="14" t="s">
        <v>232</v>
      </c>
      <c r="D35" s="14" t="s">
        <v>233</v>
      </c>
      <c r="E35" s="42">
        <f>'Func &amp; Classif'!Y82</f>
        <v>0</v>
      </c>
      <c r="F35" s="67">
        <f>IF(VLOOKUP($D35,$C$5:$AU$500,3,)=0,0,(VLOOKUP($D35,$C$5:$AU$500,4,)/VLOOKUP($D35,$C$5:$AU$500,3,))*$E35)</f>
        <v>0</v>
      </c>
      <c r="G35" s="67">
        <f>IF(VLOOKUP($D35,$C$5:$AU$500,3,)=0,0,(VLOOKUP($D35,$C$5:$AU$500,5,)/VLOOKUP($D35,$C$5:$AU$500,3,))*$E35)</f>
        <v>0</v>
      </c>
      <c r="H35" s="42">
        <f>IF(VLOOKUP($D35,$C$5:$AU$500,3,)=0,0,(VLOOKUP($D35,$C$5:$AU$500,6,)/VLOOKUP($D35,$C$5:$AU$500,3,))*$E35)</f>
        <v>0</v>
      </c>
      <c r="I35" s="42">
        <f>IF(VLOOKUP($D35,$C$5:$AU$500,3,)=0,0,(VLOOKUP($D35,$C$5:$AU$500,7,)/VLOOKUP($D35,$C$5:$AU$500,3,))*$E35)</f>
        <v>0</v>
      </c>
      <c r="J35" s="42">
        <f>IF(VLOOKUP($D35,$C$5:$AU$500,3,)=0,0,(VLOOKUP($D35,$C$5:$AU$500,8,)/VLOOKUP($D35,$C$5:$AU$500,3,))*$E35)</f>
        <v>0</v>
      </c>
      <c r="K35" s="42">
        <f>IF(VLOOKUP($D35,$C$5:$AU$500,3,)=0,0,(VLOOKUP($D35,$C$5:$AU$500,9,)/VLOOKUP($D35,$C$5:$AU$500,3,))*$E35)</f>
        <v>0</v>
      </c>
      <c r="L35" s="67">
        <f>IF(VLOOKUP($D35,$C$5:$AU$500,3,)=0,0,(VLOOKUP($D35,$C$5:$AU$500,10,)/VLOOKUP($D35,$C$5:$AU$500,3,))*$E35)</f>
        <v>0</v>
      </c>
      <c r="M35" s="42">
        <f>IF(VLOOKUP($D35,$C$5:$AU$500,3,)=0,0,(VLOOKUP($D35,$C$5:$AU$500,11,)/VLOOKUP($D35,$C$5:$AU$500,3,))*$E35)</f>
        <v>0</v>
      </c>
      <c r="N35" s="42">
        <f>IF(VLOOKUP($D35,$C$5:$AU$500,3,)=0,0,(VLOOKUP($D35,$C$5:$AU$500,12,)/VLOOKUP($D35,$C$5:$AU$500,3,))*$E35)</f>
        <v>0</v>
      </c>
      <c r="O35" s="42">
        <f>IF(VLOOKUP($D35,$C$5:$AU$500,3,)=0,0,(VLOOKUP($D35,$C$5:$AU$500,13,)/VLOOKUP($D35,$C$5:$AU$500,3,))*$E35)</f>
        <v>0</v>
      </c>
      <c r="P35" s="42">
        <f>IF(VLOOKUP($D35,$C$5:$AU$500,3,)=0,0,(VLOOKUP($D35,$C$5:$AU$500,14,)/VLOOKUP($D35,$C$5:$AU$500,3,))*$E35)</f>
        <v>0</v>
      </c>
      <c r="Q35" s="42">
        <f>IF(VLOOKUP($D35,$C$5:$AU$500,3,)=0,0,(VLOOKUP($D35,$C$5:$AU$500,15,)/VLOOKUP($D35,$C$5:$AU$500,3,))*$E35)</f>
        <v>0</v>
      </c>
      <c r="R35" s="42">
        <f>IF(VLOOKUP($D35,$C$5:$AU$500,3,)=0,0,(VLOOKUP($D35,$C$5:$AU$500,16,)/VLOOKUP($D35,$C$5:$AU$500,3,))*$E35)</f>
        <v>0</v>
      </c>
      <c r="S35" s="107">
        <f>IF(VLOOKUP($D35,$C$5:$AU$500,3,)=0,0,(VLOOKUP($D35,$C$5:$AU$500,17,)/VLOOKUP($D35,$C$5:$AU$500,3,))*$E35)</f>
        <v>0</v>
      </c>
      <c r="T35" s="107">
        <f>IF(VLOOKUP($D35,$C$5:$AU$500,3,)=0,0,(VLOOKUP($D35,$C$5:$AU$500,18,)/VLOOKUP($D35,$C$5:$AU$500,3,))*$E35)</f>
        <v>0</v>
      </c>
      <c r="U35" s="107">
        <f>IF(VLOOKUP($D35,$C$5:$AU$500,3,)=0,0,(VLOOKUP($D35,$C$5:$AU$500,19,)/VLOOKUP($D35,$C$5:$AU$500,3,))*$E35)</f>
        <v>0</v>
      </c>
      <c r="V35" s="107">
        <f>IF(VLOOKUP($D35,$C$5:$AU$500,3,)=0,0,(VLOOKUP($D35,$C$5:$AU$500,20,)/VLOOKUP($D35,$C$5:$AU$500,3,))*$E35)</f>
        <v>0</v>
      </c>
      <c r="W35" s="107">
        <f>IF(VLOOKUP($D35,$C$5:$AU$500,3,)=0,0,(VLOOKUP($D35,$C$5:$AU$500,21,)/VLOOKUP($D35,$C$5:$AU$500,3,))*$E35)</f>
        <v>0</v>
      </c>
      <c r="X35" s="107">
        <f>IF(VLOOKUP($D35,$C$5:$AU$500,3,)=0,0,(VLOOKUP($D35,$C$5:$AU$500,22,)/VLOOKUP($D35,$C$5:$AU$500,3,))*$E35)</f>
        <v>0</v>
      </c>
      <c r="Y35" s="107">
        <f>IF(VLOOKUP($D35,$C$5:$AU$500,3,)=0,0,(VLOOKUP($D35,$C$5:$AU$500,23,)/VLOOKUP($D35,$C$5:$AU$500,3,))*$E35)</f>
        <v>0</v>
      </c>
      <c r="Z35" s="107">
        <f>IF(VLOOKUP($D35,$C$5:$AU$500,3,)=0,0,(VLOOKUP($D35,$C$5:$AU$500,24,)/VLOOKUP($D35,$C$5:$AU$500,3,))*$E35)</f>
        <v>0</v>
      </c>
      <c r="AA35" s="107">
        <f>IF(VLOOKUP($D35,$C$5:$AU$500,3,)=0,0,(VLOOKUP($D35,$C$5:$AU$500,25,)/VLOOKUP($D35,$C$5:$AU$500,3,))*$E35)</f>
        <v>0</v>
      </c>
      <c r="AB35" s="107">
        <f>IF(VLOOKUP($D35,$C$5:$AU$500,3,)=0,0,(VLOOKUP($D35,$C$5:$AU$500,26,)/VLOOKUP($D35,$C$5:$AU$500,3,))*$E35)</f>
        <v>0</v>
      </c>
      <c r="AC35" s="107">
        <f>IF(VLOOKUP($D35,$C$5:$AU$500,3,)=0,0,(VLOOKUP($D35,$C$5:$AU$500,27,)/VLOOKUP($D35,$C$5:$AU$500,3,))*$E35)</f>
        <v>0</v>
      </c>
      <c r="AD35" s="107">
        <f>IF(VLOOKUP($D35,$C$5:$AU$500,3,)=0,0,(VLOOKUP($D35,$C$5:$AU$500,28,)/VLOOKUP($D35,$C$5:$AU$500,3,))*$E35)</f>
        <v>0</v>
      </c>
      <c r="AE35" s="107">
        <f>IF(VLOOKUP($D35,$C$5:$AU$500,3,)=0,0,(VLOOKUP($D35,$C$5:$AU$500,29,)/VLOOKUP($D35,$C$5:$AU$500,3,))*$E35)</f>
        <v>0</v>
      </c>
      <c r="AF35" s="107">
        <f>IF(VLOOKUP($D35,$C$5:$AU$500,3,)=0,0,(VLOOKUP($D35,$C$5:$AU$500,30,)/VLOOKUP($D35,$C$5:$AU$500,3,))*$E35)</f>
        <v>0</v>
      </c>
      <c r="AG35" s="91">
        <f>SUM(F35:AF35)</f>
        <v>0</v>
      </c>
      <c r="AH35" s="28" t="str">
        <f>IF(ABS(E35-AG35)&lt;0.01,"ok","err")</f>
        <v>ok</v>
      </c>
    </row>
    <row r="36" spans="1:35" x14ac:dyDescent="0.25">
      <c r="E36" s="23"/>
    </row>
    <row r="37" spans="1:35" x14ac:dyDescent="0.25">
      <c r="A37" s="13" t="s">
        <v>470</v>
      </c>
      <c r="E37" s="23"/>
    </row>
    <row r="38" spans="1:35" x14ac:dyDescent="0.25">
      <c r="A38" s="94" t="s">
        <v>220</v>
      </c>
      <c r="C38" s="14" t="s">
        <v>225</v>
      </c>
      <c r="D38" s="14" t="s">
        <v>234</v>
      </c>
      <c r="E38" s="42">
        <f>'Func &amp; Classif'!AA82</f>
        <v>0</v>
      </c>
      <c r="F38" s="67">
        <f>IF(VLOOKUP($D38,$C$5:$AU$500,3,)=0,0,(VLOOKUP($D38,$C$5:$AU$500,4,)/VLOOKUP($D38,$C$5:$AU$500,3,))*$E38)</f>
        <v>0</v>
      </c>
      <c r="G38" s="67">
        <f>IF(VLOOKUP($D38,$C$5:$AU$500,3,)=0,0,(VLOOKUP($D38,$C$5:$AU$500,5,)/VLOOKUP($D38,$C$5:$AU$500,3,))*$E38)</f>
        <v>0</v>
      </c>
      <c r="H38" s="42">
        <f>IF(VLOOKUP($D38,$C$5:$AU$500,3,)=0,0,(VLOOKUP($D38,$C$5:$AU$500,6,)/VLOOKUP($D38,$C$5:$AU$500,3,))*$E38)</f>
        <v>0</v>
      </c>
      <c r="I38" s="42">
        <f>IF(VLOOKUP($D38,$C$5:$AU$500,3,)=0,0,(VLOOKUP($D38,$C$5:$AU$500,7,)/VLOOKUP($D38,$C$5:$AU$500,3,))*$E38)</f>
        <v>0</v>
      </c>
      <c r="J38" s="42">
        <f>IF(VLOOKUP($D38,$C$5:$AU$500,3,)=0,0,(VLOOKUP($D38,$C$5:$AU$500,8,)/VLOOKUP($D38,$C$5:$AU$500,3,))*$E38)</f>
        <v>0</v>
      </c>
      <c r="K38" s="42">
        <f>IF(VLOOKUP($D38,$C$5:$AU$500,3,)=0,0,(VLOOKUP($D38,$C$5:$AU$500,9,)/VLOOKUP($D38,$C$5:$AU$500,3,))*$E38)</f>
        <v>0</v>
      </c>
      <c r="L38" s="67">
        <f>IF(VLOOKUP($D38,$C$5:$AU$500,3,)=0,0,(VLOOKUP($D38,$C$5:$AU$500,10,)/VLOOKUP($D38,$C$5:$AU$500,3,))*$E38)</f>
        <v>0</v>
      </c>
      <c r="M38" s="42">
        <f>IF(VLOOKUP($D38,$C$5:$AU$500,3,)=0,0,(VLOOKUP($D38,$C$5:$AU$500,11,)/VLOOKUP($D38,$C$5:$AU$500,3,))*$E38)</f>
        <v>0</v>
      </c>
      <c r="N38" s="42">
        <f>IF(VLOOKUP($D38,$C$5:$AU$500,3,)=0,0,(VLOOKUP($D38,$C$5:$AU$500,12,)/VLOOKUP($D38,$C$5:$AU$500,3,))*$E38)</f>
        <v>0</v>
      </c>
      <c r="O38" s="42">
        <f>IF(VLOOKUP($D38,$C$5:$AU$500,3,)=0,0,(VLOOKUP($D38,$C$5:$AU$500,13,)/VLOOKUP($D38,$C$5:$AU$500,3,))*$E38)</f>
        <v>0</v>
      </c>
      <c r="P38" s="42">
        <f>IF(VLOOKUP($D38,$C$5:$AU$500,3,)=0,0,(VLOOKUP($D38,$C$5:$AU$500,14,)/VLOOKUP($D38,$C$5:$AU$500,3,))*$E38)</f>
        <v>0</v>
      </c>
      <c r="Q38" s="42">
        <f>IF(VLOOKUP($D38,$C$5:$AU$500,3,)=0,0,(VLOOKUP($D38,$C$5:$AU$500,15,)/VLOOKUP($D38,$C$5:$AU$500,3,))*$E38)</f>
        <v>0</v>
      </c>
      <c r="R38" s="42">
        <f>IF(VLOOKUP($D38,$C$5:$AU$500,3,)=0,0,(VLOOKUP($D38,$C$5:$AU$500,16,)/VLOOKUP($D38,$C$5:$AU$500,3,))*$E38)</f>
        <v>0</v>
      </c>
      <c r="S38" s="107">
        <f>IF(VLOOKUP($D38,$C$5:$AU$500,3,)=0,0,(VLOOKUP($D38,$C$5:$AU$500,17,)/VLOOKUP($D38,$C$5:$AU$500,3,))*$E38)</f>
        <v>0</v>
      </c>
      <c r="T38" s="107">
        <f>IF(VLOOKUP($D38,$C$5:$AU$500,3,)=0,0,(VLOOKUP($D38,$C$5:$AU$500,18,)/VLOOKUP($D38,$C$5:$AU$500,3,))*$E38)</f>
        <v>0</v>
      </c>
      <c r="U38" s="107">
        <f>IF(VLOOKUP($D38,$C$5:$AU$500,3,)=0,0,(VLOOKUP($D38,$C$5:$AU$500,19,)/VLOOKUP($D38,$C$5:$AU$500,3,))*$E38)</f>
        <v>0</v>
      </c>
      <c r="V38" s="107">
        <f>IF(VLOOKUP($D38,$C$5:$AU$500,3,)=0,0,(VLOOKUP($D38,$C$5:$AU$500,20,)/VLOOKUP($D38,$C$5:$AU$500,3,))*$E38)</f>
        <v>0</v>
      </c>
      <c r="W38" s="107">
        <f>IF(VLOOKUP($D38,$C$5:$AU$500,3,)=0,0,(VLOOKUP($D38,$C$5:$AU$500,21,)/VLOOKUP($D38,$C$5:$AU$500,3,))*$E38)</f>
        <v>0</v>
      </c>
      <c r="X38" s="107">
        <f>IF(VLOOKUP($D38,$C$5:$AU$500,3,)=0,0,(VLOOKUP($D38,$C$5:$AU$500,22,)/VLOOKUP($D38,$C$5:$AU$500,3,))*$E38)</f>
        <v>0</v>
      </c>
      <c r="Y38" s="107">
        <f>IF(VLOOKUP($D38,$C$5:$AU$500,3,)=0,0,(VLOOKUP($D38,$C$5:$AU$500,23,)/VLOOKUP($D38,$C$5:$AU$500,3,))*$E38)</f>
        <v>0</v>
      </c>
      <c r="Z38" s="107">
        <f>IF(VLOOKUP($D38,$C$5:$AU$500,3,)=0,0,(VLOOKUP($D38,$C$5:$AU$500,24,)/VLOOKUP($D38,$C$5:$AU$500,3,))*$E38)</f>
        <v>0</v>
      </c>
      <c r="AA38" s="107">
        <f>IF(VLOOKUP($D38,$C$5:$AU$500,3,)=0,0,(VLOOKUP($D38,$C$5:$AU$500,25,)/VLOOKUP($D38,$C$5:$AU$500,3,))*$E38)</f>
        <v>0</v>
      </c>
      <c r="AB38" s="107">
        <f>IF(VLOOKUP($D38,$C$5:$AU$500,3,)=0,0,(VLOOKUP($D38,$C$5:$AU$500,26,)/VLOOKUP($D38,$C$5:$AU$500,3,))*$E38)</f>
        <v>0</v>
      </c>
      <c r="AC38" s="107">
        <f>IF(VLOOKUP($D38,$C$5:$AU$500,3,)=0,0,(VLOOKUP($D38,$C$5:$AU$500,27,)/VLOOKUP($D38,$C$5:$AU$500,3,))*$E38)</f>
        <v>0</v>
      </c>
      <c r="AD38" s="107">
        <f>IF(VLOOKUP($D38,$C$5:$AU$500,3,)=0,0,(VLOOKUP($D38,$C$5:$AU$500,28,)/VLOOKUP($D38,$C$5:$AU$500,3,))*$E38)</f>
        <v>0</v>
      </c>
      <c r="AE38" s="107">
        <f>IF(VLOOKUP($D38,$C$5:$AU$500,3,)=0,0,(VLOOKUP($D38,$C$5:$AU$500,29,)/VLOOKUP($D38,$C$5:$AU$500,3,))*$E38)</f>
        <v>0</v>
      </c>
      <c r="AF38" s="107">
        <f>IF(VLOOKUP($D38,$C$5:$AU$500,3,)=0,0,(VLOOKUP($D38,$C$5:$AU$500,30,)/VLOOKUP($D38,$C$5:$AU$500,3,))*$E38)</f>
        <v>0</v>
      </c>
      <c r="AG38" s="91">
        <f>SUM(F38:AF38)</f>
        <v>0</v>
      </c>
      <c r="AH38" s="28" t="str">
        <f>IF(ABS(E38-AG38)&lt;0.01,"ok","err")</f>
        <v>ok</v>
      </c>
    </row>
    <row r="39" spans="1:35" x14ac:dyDescent="0.25">
      <c r="E39" s="23"/>
    </row>
    <row r="40" spans="1:35" x14ac:dyDescent="0.25">
      <c r="A40" s="14" t="s">
        <v>0</v>
      </c>
      <c r="C40" s="14" t="s">
        <v>235</v>
      </c>
      <c r="E40" s="42">
        <f>E10+E13+E16+E21+E26+E29+E32+E35+E38</f>
        <v>208827089.06</v>
      </c>
      <c r="F40" s="42">
        <f t="shared" ref="F40:R40" si="6">F10+F13+F16+F21+F26+F29+F32+F35+F38</f>
        <v>141958201.66278148</v>
      </c>
      <c r="G40" s="42">
        <f t="shared" si="6"/>
        <v>23460404.488690309</v>
      </c>
      <c r="H40" s="42">
        <f t="shared" si="6"/>
        <v>5023767.8001353638</v>
      </c>
      <c r="I40" s="42">
        <f t="shared" si="6"/>
        <v>28604014.66546616</v>
      </c>
      <c r="J40" s="42">
        <f t="shared" si="6"/>
        <v>0</v>
      </c>
      <c r="K40" s="42">
        <f t="shared" si="6"/>
        <v>2668565.5034306273</v>
      </c>
      <c r="L40" s="42">
        <f t="shared" si="6"/>
        <v>7112134.9394960543</v>
      </c>
      <c r="M40" s="42">
        <f t="shared" si="6"/>
        <v>0</v>
      </c>
      <c r="N40" s="42">
        <f t="shared" si="6"/>
        <v>0</v>
      </c>
      <c r="O40" s="42">
        <f t="shared" si="6"/>
        <v>0</v>
      </c>
      <c r="P40" s="42">
        <f t="shared" si="6"/>
        <v>0</v>
      </c>
      <c r="Q40" s="42">
        <f t="shared" si="6"/>
        <v>0</v>
      </c>
      <c r="R40" s="42">
        <f t="shared" si="6"/>
        <v>0</v>
      </c>
      <c r="S40" s="107">
        <f t="shared" ref="S40:AF40" si="7">S10+S16+S21+S26+S29+S32+S35+S38</f>
        <v>0</v>
      </c>
      <c r="T40" s="107">
        <f t="shared" si="7"/>
        <v>0</v>
      </c>
      <c r="U40" s="107">
        <f t="shared" si="7"/>
        <v>0</v>
      </c>
      <c r="V40" s="107">
        <f t="shared" si="7"/>
        <v>0</v>
      </c>
      <c r="W40" s="107">
        <f t="shared" si="7"/>
        <v>0</v>
      </c>
      <c r="X40" s="107">
        <f t="shared" si="7"/>
        <v>0</v>
      </c>
      <c r="Y40" s="107">
        <f t="shared" si="7"/>
        <v>0</v>
      </c>
      <c r="Z40" s="107">
        <f t="shared" si="7"/>
        <v>0</v>
      </c>
      <c r="AA40" s="107">
        <f t="shared" si="7"/>
        <v>0</v>
      </c>
      <c r="AB40" s="107">
        <f t="shared" si="7"/>
        <v>0</v>
      </c>
      <c r="AC40" s="107">
        <f t="shared" si="7"/>
        <v>0</v>
      </c>
      <c r="AD40" s="107">
        <f t="shared" si="7"/>
        <v>0</v>
      </c>
      <c r="AE40" s="107">
        <f t="shared" si="7"/>
        <v>0</v>
      </c>
      <c r="AF40" s="107">
        <f t="shared" si="7"/>
        <v>0</v>
      </c>
      <c r="AG40" s="91">
        <f>SUM(F40:AF40)</f>
        <v>208827089.06</v>
      </c>
      <c r="AH40" s="28" t="str">
        <f>IF(ABS(E40-AG40)&lt;0.01,"ok","err")</f>
        <v>ok</v>
      </c>
      <c r="AI40" s="91"/>
    </row>
    <row r="44" spans="1:35" x14ac:dyDescent="0.25">
      <c r="A44" s="26" t="s">
        <v>83</v>
      </c>
    </row>
    <row r="46" spans="1:35" x14ac:dyDescent="0.25">
      <c r="A46" s="13" t="s">
        <v>893</v>
      </c>
    </row>
    <row r="47" spans="1:35" x14ac:dyDescent="0.25">
      <c r="A47" s="94" t="s">
        <v>208</v>
      </c>
      <c r="C47" s="14" t="s">
        <v>236</v>
      </c>
      <c r="D47" s="14" t="s">
        <v>657</v>
      </c>
      <c r="E47" s="42">
        <f>'Func &amp; Classif'!H126</f>
        <v>0</v>
      </c>
      <c r="F47" s="67">
        <f>IF(VLOOKUP($D47,$C$5:$AU$500,3,)=0,0,(VLOOKUP($D47,$C$5:$AU$500,4,)/VLOOKUP($D47,$C$5:$AU$500,3,))*$E47)</f>
        <v>0</v>
      </c>
      <c r="G47" s="67">
        <f>IF(VLOOKUP($D47,$C$5:$AU$500,3,)=0,0,(VLOOKUP($D47,$C$5:$AU$500,5,)/VLOOKUP($D47,$C$5:$AU$500,3,))*$E47)</f>
        <v>0</v>
      </c>
      <c r="H47" s="42">
        <f>IF(VLOOKUP($D47,$C$5:$AU$500,3,)=0,0,(VLOOKUP($D47,$C$5:$AU$500,6,)/VLOOKUP($D47,$C$5:$AU$500,3,))*$E47)</f>
        <v>0</v>
      </c>
      <c r="I47" s="42">
        <f>IF(VLOOKUP($D47,$C$5:$AU$500,3,)=0,0,(VLOOKUP($D47,$C$5:$AU$500,7,)/VLOOKUP($D47,$C$5:$AU$500,3,))*$E47)</f>
        <v>0</v>
      </c>
      <c r="J47" s="42">
        <f>IF(VLOOKUP($D47,$C$5:$AU$500,3,)=0,0,(VLOOKUP($D47,$C$5:$AU$500,8,)/VLOOKUP($D47,$C$5:$AU$500,3,))*$E47)</f>
        <v>0</v>
      </c>
      <c r="K47" s="42">
        <f>IF(VLOOKUP($D47,$C$5:$AU$500,3,)=0,0,(VLOOKUP($D47,$C$5:$AU$500,9,)/VLOOKUP($D47,$C$5:$AU$500,3,))*$E47)</f>
        <v>0</v>
      </c>
      <c r="L47" s="67">
        <f>IF(VLOOKUP($D47,$C$5:$AU$500,3,)=0,0,(VLOOKUP($D47,$C$5:$AU$500,10,)/VLOOKUP($D47,$C$5:$AU$500,3,))*$E47)</f>
        <v>0</v>
      </c>
      <c r="M47" s="42">
        <f>IF(VLOOKUP($D47,$C$5:$AU$500,3,)=0,0,(VLOOKUP($D47,$C$5:$AU$500,11,)/VLOOKUP($D47,$C$5:$AU$500,3,))*$E47)</f>
        <v>0</v>
      </c>
      <c r="N47" s="42">
        <f>IF(VLOOKUP($D47,$C$5:$AU$500,3,)=0,0,(VLOOKUP($D47,$C$5:$AU$500,12,)/VLOOKUP($D47,$C$5:$AU$500,3,))*$E47)</f>
        <v>0</v>
      </c>
      <c r="O47" s="42">
        <f>IF(VLOOKUP($D47,$C$5:$AU$500,3,)=0,0,(VLOOKUP($D47,$C$5:$AU$500,13,)/VLOOKUP($D47,$C$5:$AU$500,3,))*$E47)</f>
        <v>0</v>
      </c>
      <c r="P47" s="42">
        <f>IF(VLOOKUP($D47,$C$5:$AU$500,3,)=0,0,(VLOOKUP($D47,$C$5:$AU$500,14,)/VLOOKUP($D47,$C$5:$AU$500,3,))*$E47)</f>
        <v>0</v>
      </c>
      <c r="Q47" s="42">
        <f>IF(VLOOKUP($D47,$C$5:$AU$500,3,)=0,0,(VLOOKUP($D47,$C$5:$AU$500,15,)/VLOOKUP($D47,$C$5:$AU$500,3,))*$E47)</f>
        <v>0</v>
      </c>
      <c r="R47" s="42">
        <f>IF(VLOOKUP($D47,$C$5:$AU$500,3,)=0,0,(VLOOKUP($D47,$C$5:$AU$500,16,)/VLOOKUP($D47,$C$5:$AU$500,3,))*$E47)</f>
        <v>0</v>
      </c>
      <c r="S47" s="107">
        <f>IF(VLOOKUP($D47,$C$5:$AU$500,3,)=0,0,(VLOOKUP($D47,$C$5:$AU$500,17,)/VLOOKUP($D47,$C$5:$AU$500,3,))*$E47)</f>
        <v>0</v>
      </c>
      <c r="T47" s="107">
        <f>IF(VLOOKUP($D47,$C$5:$AU$500,3,)=0,0,(VLOOKUP($D47,$C$5:$AU$500,18,)/VLOOKUP($D47,$C$5:$AU$500,3,))*$E47)</f>
        <v>0</v>
      </c>
      <c r="U47" s="107">
        <f>IF(VLOOKUP($D47,$C$5:$AU$500,3,)=0,0,(VLOOKUP($D47,$C$5:$AU$500,19,)/VLOOKUP($D47,$C$5:$AU$500,3,))*$E47)</f>
        <v>0</v>
      </c>
      <c r="V47" s="107">
        <f>IF(VLOOKUP($D47,$C$5:$AU$500,3,)=0,0,(VLOOKUP($D47,$C$5:$AU$500,20,)/VLOOKUP($D47,$C$5:$AU$500,3,))*$E47)</f>
        <v>0</v>
      </c>
      <c r="W47" s="107">
        <f>IF(VLOOKUP($D47,$C$5:$AU$500,3,)=0,0,(VLOOKUP($D47,$C$5:$AU$500,21,)/VLOOKUP($D47,$C$5:$AU$500,3,))*$E47)</f>
        <v>0</v>
      </c>
      <c r="X47" s="107">
        <f>IF(VLOOKUP($D47,$C$5:$AU$500,3,)=0,0,(VLOOKUP($D47,$C$5:$AU$500,22,)/VLOOKUP($D47,$C$5:$AU$500,3,))*$E47)</f>
        <v>0</v>
      </c>
      <c r="Y47" s="107">
        <f>IF(VLOOKUP($D47,$C$5:$AU$500,3,)=0,0,(VLOOKUP($D47,$C$5:$AU$500,23,)/VLOOKUP($D47,$C$5:$AU$500,3,))*$E47)</f>
        <v>0</v>
      </c>
      <c r="Z47" s="107">
        <f>IF(VLOOKUP($D47,$C$5:$AU$500,3,)=0,0,(VLOOKUP($D47,$C$5:$AU$500,24,)/VLOOKUP($D47,$C$5:$AU$500,3,))*$E47)</f>
        <v>0</v>
      </c>
      <c r="AA47" s="107">
        <f>IF(VLOOKUP($D47,$C$5:$AU$500,3,)=0,0,(VLOOKUP($D47,$C$5:$AU$500,25,)/VLOOKUP($D47,$C$5:$AU$500,3,))*$E47)</f>
        <v>0</v>
      </c>
      <c r="AB47" s="107">
        <f>IF(VLOOKUP($D47,$C$5:$AU$500,3,)=0,0,(VLOOKUP($D47,$C$5:$AU$500,26,)/VLOOKUP($D47,$C$5:$AU$500,3,))*$E47)</f>
        <v>0</v>
      </c>
      <c r="AC47" s="107">
        <f>IF(VLOOKUP($D47,$C$5:$AU$500,3,)=0,0,(VLOOKUP($D47,$C$5:$AU$500,27,)/VLOOKUP($D47,$C$5:$AU$500,3,))*$E47)</f>
        <v>0</v>
      </c>
      <c r="AD47" s="107">
        <f>IF(VLOOKUP($D47,$C$5:$AU$500,3,)=0,0,(VLOOKUP($D47,$C$5:$AU$500,28,)/VLOOKUP($D47,$C$5:$AU$500,3,))*$E47)</f>
        <v>0</v>
      </c>
      <c r="AE47" s="107">
        <f>IF(VLOOKUP($D47,$C$5:$AU$500,3,)=0,0,(VLOOKUP($D47,$C$5:$AU$500,29,)/VLOOKUP($D47,$C$5:$AU$500,3,))*$E47)</f>
        <v>0</v>
      </c>
      <c r="AF47" s="107">
        <f>IF(VLOOKUP($D47,$C$5:$AU$500,3,)=0,0,(VLOOKUP($D47,$C$5:$AU$500,30,)/VLOOKUP($D47,$C$5:$AU$500,3,))*$E47)</f>
        <v>0</v>
      </c>
      <c r="AG47" s="91">
        <f>SUM(F47:AF47)</f>
        <v>0</v>
      </c>
      <c r="AH47" s="28" t="str">
        <f>IF(ABS(E47-AG47)&lt;0.01,"ok","err")</f>
        <v>ok</v>
      </c>
    </row>
    <row r="48" spans="1:35" x14ac:dyDescent="0.25">
      <c r="A48" s="94" t="s">
        <v>211</v>
      </c>
      <c r="C48" s="14" t="s">
        <v>237</v>
      </c>
      <c r="D48" s="14" t="s">
        <v>666</v>
      </c>
      <c r="E48" s="23">
        <f>'Func &amp; Classif'!I126</f>
        <v>0</v>
      </c>
      <c r="F48" s="67">
        <f>IF(VLOOKUP($D48,$C$5:$AU$500,3,)=0,0,(VLOOKUP($D48,$C$5:$AU$500,4,)/VLOOKUP($D48,$C$5:$AU$500,3,))*$E48)</f>
        <v>0</v>
      </c>
      <c r="G48" s="67">
        <f>IF(VLOOKUP($D48,$C$5:$AU$500,3,)=0,0,(VLOOKUP($D48,$C$5:$AU$500,5,)/VLOOKUP($D48,$C$5:$AU$500,3,))*$E48)</f>
        <v>0</v>
      </c>
      <c r="H48" s="42">
        <f>IF(VLOOKUP($D48,$C$5:$AU$500,3,)=0,0,(VLOOKUP($D48,$C$5:$AU$500,6,)/VLOOKUP($D48,$C$5:$AU$500,3,))*$E48)</f>
        <v>0</v>
      </c>
      <c r="I48" s="42">
        <f>IF(VLOOKUP($D48,$C$5:$AU$500,3,)=0,0,(VLOOKUP($D48,$C$5:$AU$500,7,)/VLOOKUP($D48,$C$5:$AU$500,3,))*$E48)</f>
        <v>0</v>
      </c>
      <c r="J48" s="42">
        <f>IF(VLOOKUP($D48,$C$5:$AU$500,3,)=0,0,(VLOOKUP($D48,$C$5:$AU$500,8,)/VLOOKUP($D48,$C$5:$AU$500,3,))*$E48)</f>
        <v>0</v>
      </c>
      <c r="K48" s="42">
        <f>IF(VLOOKUP($D48,$C$5:$AU$500,3,)=0,0,(VLOOKUP($D48,$C$5:$AU$500,9,)/VLOOKUP($D48,$C$5:$AU$500,3,))*$E48)</f>
        <v>0</v>
      </c>
      <c r="L48" s="67">
        <f>IF(VLOOKUP($D48,$C$5:$AU$500,3,)=0,0,(VLOOKUP($D48,$C$5:$AU$500,10,)/VLOOKUP($D48,$C$5:$AU$500,3,))*$E48)</f>
        <v>0</v>
      </c>
      <c r="M48" s="42">
        <f>IF(VLOOKUP($D48,$C$5:$AU$500,3,)=0,0,(VLOOKUP($D48,$C$5:$AU$500,11,)/VLOOKUP($D48,$C$5:$AU$500,3,))*$E48)</f>
        <v>0</v>
      </c>
      <c r="N48" s="42">
        <f>IF(VLOOKUP($D48,$C$5:$AU$500,3,)=0,0,(VLOOKUP($D48,$C$5:$AU$500,12,)/VLOOKUP($D48,$C$5:$AU$500,3,))*$E48)</f>
        <v>0</v>
      </c>
      <c r="O48" s="42">
        <f>IF(VLOOKUP($D48,$C$5:$AU$500,3,)=0,0,(VLOOKUP($D48,$C$5:$AU$500,13,)/VLOOKUP($D48,$C$5:$AU$500,3,))*$E48)</f>
        <v>0</v>
      </c>
      <c r="P48" s="42">
        <f>IF(VLOOKUP($D48,$C$5:$AU$500,3,)=0,0,(VLOOKUP($D48,$C$5:$AU$500,14,)/VLOOKUP($D48,$C$5:$AU$500,3,))*$E48)</f>
        <v>0</v>
      </c>
      <c r="Q48" s="42">
        <f>IF(VLOOKUP($D48,$C$5:$AU$500,3,)=0,0,(VLOOKUP($D48,$C$5:$AU$500,15,)/VLOOKUP($D48,$C$5:$AU$500,3,))*$E48)</f>
        <v>0</v>
      </c>
      <c r="R48" s="42">
        <f>IF(VLOOKUP($D48,$C$5:$AU$500,3,)=0,0,(VLOOKUP($D48,$C$5:$AU$500,16,)/VLOOKUP($D48,$C$5:$AU$500,3,))*$E48)</f>
        <v>0</v>
      </c>
      <c r="S48" s="107">
        <f>IF(VLOOKUP($D48,$C$5:$AU$500,3,)=0,0,(VLOOKUP($D48,$C$5:$AU$500,17,)/VLOOKUP($D48,$C$5:$AU$500,3,))*$E48)</f>
        <v>0</v>
      </c>
      <c r="T48" s="107">
        <f>IF(VLOOKUP($D48,$C$5:$AU$500,3,)=0,0,(VLOOKUP($D48,$C$5:$AU$500,18,)/VLOOKUP($D48,$C$5:$AU$500,3,))*$E48)</f>
        <v>0</v>
      </c>
      <c r="U48" s="107">
        <f>IF(VLOOKUP($D48,$C$5:$AU$500,3,)=0,0,(VLOOKUP($D48,$C$5:$AU$500,19,)/VLOOKUP($D48,$C$5:$AU$500,3,))*$E48)</f>
        <v>0</v>
      </c>
      <c r="V48" s="107">
        <f>IF(VLOOKUP($D48,$C$5:$AU$500,3,)=0,0,(VLOOKUP($D48,$C$5:$AU$500,20,)/VLOOKUP($D48,$C$5:$AU$500,3,))*$E48)</f>
        <v>0</v>
      </c>
      <c r="W48" s="107">
        <f>IF(VLOOKUP($D48,$C$5:$AU$500,3,)=0,0,(VLOOKUP($D48,$C$5:$AU$500,21,)/VLOOKUP($D48,$C$5:$AU$500,3,))*$E48)</f>
        <v>0</v>
      </c>
      <c r="X48" s="107">
        <f>IF(VLOOKUP($D48,$C$5:$AU$500,3,)=0,0,(VLOOKUP($D48,$C$5:$AU$500,22,)/VLOOKUP($D48,$C$5:$AU$500,3,))*$E48)</f>
        <v>0</v>
      </c>
      <c r="Y48" s="107">
        <f>IF(VLOOKUP($D48,$C$5:$AU$500,3,)=0,0,(VLOOKUP($D48,$C$5:$AU$500,23,)/VLOOKUP($D48,$C$5:$AU$500,3,))*$E48)</f>
        <v>0</v>
      </c>
      <c r="Z48" s="107">
        <f>IF(VLOOKUP($D48,$C$5:$AU$500,3,)=0,0,(VLOOKUP($D48,$C$5:$AU$500,24,)/VLOOKUP($D48,$C$5:$AU$500,3,))*$E48)</f>
        <v>0</v>
      </c>
      <c r="AA48" s="107">
        <f>IF(VLOOKUP($D48,$C$5:$AU$500,3,)=0,0,(VLOOKUP($D48,$C$5:$AU$500,25,)/VLOOKUP($D48,$C$5:$AU$500,3,))*$E48)</f>
        <v>0</v>
      </c>
      <c r="AB48" s="107">
        <f>IF(VLOOKUP($D48,$C$5:$AU$500,3,)=0,0,(VLOOKUP($D48,$C$5:$AU$500,26,)/VLOOKUP($D48,$C$5:$AU$500,3,))*$E48)</f>
        <v>0</v>
      </c>
      <c r="AC48" s="107">
        <f>IF(VLOOKUP($D48,$C$5:$AU$500,3,)=0,0,(VLOOKUP($D48,$C$5:$AU$500,27,)/VLOOKUP($D48,$C$5:$AU$500,3,))*$E48)</f>
        <v>0</v>
      </c>
      <c r="AD48" s="107">
        <f>IF(VLOOKUP($D48,$C$5:$AU$500,3,)=0,0,(VLOOKUP($D48,$C$5:$AU$500,28,)/VLOOKUP($D48,$C$5:$AU$500,3,))*$E48)</f>
        <v>0</v>
      </c>
      <c r="AE48" s="107">
        <f>IF(VLOOKUP($D48,$C$5:$AU$500,3,)=0,0,(VLOOKUP($D48,$C$5:$AU$500,29,)/VLOOKUP($D48,$C$5:$AU$500,3,))*$E48)</f>
        <v>0</v>
      </c>
      <c r="AF48" s="107">
        <f>IF(VLOOKUP($D48,$C$5:$AU$500,3,)=0,0,(VLOOKUP($D48,$C$5:$AU$500,30,)/VLOOKUP($D48,$C$5:$AU$500,3,))*$E48)</f>
        <v>0</v>
      </c>
      <c r="AG48" s="91">
        <f>SUM(F48:AF48)</f>
        <v>0</v>
      </c>
      <c r="AH48" s="28" t="str">
        <f>IF(ABS(E48-AG48)&lt;0.01,"ok","err")</f>
        <v>ok</v>
      </c>
    </row>
    <row r="49" spans="1:34" x14ac:dyDescent="0.25">
      <c r="A49" s="14" t="s">
        <v>214</v>
      </c>
      <c r="C49" s="14" t="s">
        <v>238</v>
      </c>
      <c r="E49" s="23">
        <f t="shared" ref="E49:T49" si="8">E47+E48</f>
        <v>0</v>
      </c>
      <c r="F49" s="67">
        <f t="shared" si="8"/>
        <v>0</v>
      </c>
      <c r="G49" s="67">
        <f t="shared" si="8"/>
        <v>0</v>
      </c>
      <c r="H49" s="42">
        <f t="shared" si="8"/>
        <v>0</v>
      </c>
      <c r="I49" s="42">
        <f t="shared" si="8"/>
        <v>0</v>
      </c>
      <c r="J49" s="42">
        <f t="shared" si="8"/>
        <v>0</v>
      </c>
      <c r="K49" s="42">
        <f t="shared" si="8"/>
        <v>0</v>
      </c>
      <c r="L49" s="67">
        <f t="shared" si="8"/>
        <v>0</v>
      </c>
      <c r="M49" s="42">
        <f t="shared" si="8"/>
        <v>0</v>
      </c>
      <c r="N49" s="42">
        <f t="shared" si="8"/>
        <v>0</v>
      </c>
      <c r="O49" s="42">
        <f t="shared" si="8"/>
        <v>0</v>
      </c>
      <c r="P49" s="42">
        <f t="shared" si="8"/>
        <v>0</v>
      </c>
      <c r="Q49" s="42">
        <f t="shared" si="8"/>
        <v>0</v>
      </c>
      <c r="R49" s="42">
        <f t="shared" si="8"/>
        <v>0</v>
      </c>
      <c r="S49" s="107">
        <f t="shared" si="8"/>
        <v>0</v>
      </c>
      <c r="T49" s="107">
        <f t="shared" si="8"/>
        <v>0</v>
      </c>
      <c r="U49" s="107">
        <f t="shared" ref="U49:AF49" si="9">U47+U48</f>
        <v>0</v>
      </c>
      <c r="V49" s="107">
        <f t="shared" si="9"/>
        <v>0</v>
      </c>
      <c r="W49" s="107">
        <f t="shared" si="9"/>
        <v>0</v>
      </c>
      <c r="X49" s="107">
        <f t="shared" si="9"/>
        <v>0</v>
      </c>
      <c r="Y49" s="107">
        <f t="shared" si="9"/>
        <v>0</v>
      </c>
      <c r="Z49" s="107">
        <f t="shared" si="9"/>
        <v>0</v>
      </c>
      <c r="AA49" s="107">
        <f t="shared" si="9"/>
        <v>0</v>
      </c>
      <c r="AB49" s="107">
        <f t="shared" si="9"/>
        <v>0</v>
      </c>
      <c r="AC49" s="107">
        <f t="shared" si="9"/>
        <v>0</v>
      </c>
      <c r="AD49" s="107">
        <f t="shared" si="9"/>
        <v>0</v>
      </c>
      <c r="AE49" s="107">
        <f t="shared" si="9"/>
        <v>0</v>
      </c>
      <c r="AF49" s="107">
        <f t="shared" si="9"/>
        <v>0</v>
      </c>
      <c r="AG49" s="91">
        <f>SUM(F49:AF49)</f>
        <v>0</v>
      </c>
      <c r="AH49" s="28" t="str">
        <f>IF(ABS(E49-AG49)&lt;0.01,"ok","err")</f>
        <v>ok</v>
      </c>
    </row>
    <row r="50" spans="1:34" x14ac:dyDescent="0.25">
      <c r="E50" s="23"/>
      <c r="F50" s="50"/>
    </row>
    <row r="51" spans="1:34" x14ac:dyDescent="0.25">
      <c r="A51" s="13" t="s">
        <v>349</v>
      </c>
      <c r="E51" s="23"/>
      <c r="F51" s="50"/>
    </row>
    <row r="52" spans="1:34" x14ac:dyDescent="0.25">
      <c r="A52" s="94" t="s">
        <v>208</v>
      </c>
      <c r="C52" s="14" t="s">
        <v>882</v>
      </c>
      <c r="D52" s="14" t="s">
        <v>600</v>
      </c>
      <c r="E52" s="42">
        <f>'Func &amp; Classif'!K126</f>
        <v>0</v>
      </c>
      <c r="F52" s="67">
        <f>IF(VLOOKUP($D52,$C$5:$AU$500,3,)=0,0,(VLOOKUP($D52,$C$5:$AU$500,4,)/VLOOKUP($D52,$C$5:$AU$500,3,))*$E52)</f>
        <v>0</v>
      </c>
      <c r="G52" s="67">
        <f>IF(VLOOKUP($D52,$C$5:$AU$500,3,)=0,0,(VLOOKUP($D52,$C$5:$AU$500,5,)/VLOOKUP($D52,$C$5:$AU$500,3,))*$E52)</f>
        <v>0</v>
      </c>
      <c r="H52" s="42">
        <f>IF(VLOOKUP($D52,$C$5:$AU$500,3,)=0,0,(VLOOKUP($D52,$C$5:$AU$500,6,)/VLOOKUP($D52,$C$5:$AU$500,3,))*$E52)</f>
        <v>0</v>
      </c>
      <c r="I52" s="42">
        <f>IF(VLOOKUP($D52,$C$5:$AU$500,3,)=0,0,(VLOOKUP($D52,$C$5:$AU$500,7,)/VLOOKUP($D52,$C$5:$AU$500,3,))*$E52)</f>
        <v>0</v>
      </c>
      <c r="J52" s="42">
        <f>IF(VLOOKUP($D52,$C$5:$AU$500,3,)=0,0,(VLOOKUP($D52,$C$5:$AU$500,8,)/VLOOKUP($D52,$C$5:$AU$500,3,))*$E52)</f>
        <v>0</v>
      </c>
      <c r="K52" s="42">
        <f>IF(VLOOKUP($D52,$C$5:$AU$500,3,)=0,0,(VLOOKUP($D52,$C$5:$AU$500,9,)/VLOOKUP($D52,$C$5:$AU$500,3,))*$E52)</f>
        <v>0</v>
      </c>
      <c r="L52" s="67">
        <f>IF(VLOOKUP($D52,$C$5:$AU$500,3,)=0,0,(VLOOKUP($D52,$C$5:$AU$500,10,)/VLOOKUP($D52,$C$5:$AU$500,3,))*$E52)</f>
        <v>0</v>
      </c>
      <c r="M52" s="42">
        <f>IF(VLOOKUP($D52,$C$5:$AU$500,3,)=0,0,(VLOOKUP($D52,$C$5:$AU$500,11,)/VLOOKUP($D52,$C$5:$AU$500,3,))*$E52)</f>
        <v>0</v>
      </c>
      <c r="N52" s="42">
        <f>IF(VLOOKUP($D52,$C$5:$AU$500,3,)=0,0,(VLOOKUP($D52,$C$5:$AU$500,12,)/VLOOKUP($D52,$C$5:$AU$500,3,))*$E52)</f>
        <v>0</v>
      </c>
      <c r="O52" s="42">
        <f>IF(VLOOKUP($D52,$C$5:$AU$500,3,)=0,0,(VLOOKUP($D52,$C$5:$AU$500,13,)/VLOOKUP($D52,$C$5:$AU$500,3,))*$E52)</f>
        <v>0</v>
      </c>
      <c r="P52" s="42">
        <f>IF(VLOOKUP($D52,$C$5:$AU$500,3,)=0,0,(VLOOKUP($D52,$C$5:$AU$500,14,)/VLOOKUP($D52,$C$5:$AU$500,3,))*$E52)</f>
        <v>0</v>
      </c>
      <c r="Q52" s="42">
        <f>IF(VLOOKUP($D52,$C$5:$AU$500,3,)=0,0,(VLOOKUP($D52,$C$5:$AU$500,15,)/VLOOKUP($D52,$C$5:$AU$500,3,))*$E52)</f>
        <v>0</v>
      </c>
      <c r="R52" s="42">
        <f>IF(VLOOKUP($D52,$C$5:$AU$500,3,)=0,0,(VLOOKUP($D52,$C$5:$AU$500,16,)/VLOOKUP($D52,$C$5:$AU$500,3,))*$E52)</f>
        <v>0</v>
      </c>
      <c r="S52" s="107">
        <f>IF(VLOOKUP($D52,$C$5:$AU$500,3,)=0,0,(VLOOKUP($D52,$C$5:$AU$500,17,)/VLOOKUP($D52,$C$5:$AU$500,3,))*$E52)</f>
        <v>0</v>
      </c>
      <c r="T52" s="107">
        <f>IF(VLOOKUP($D52,$C$5:$AU$500,3,)=0,0,(VLOOKUP($D52,$C$5:$AU$500,18,)/VLOOKUP($D52,$C$5:$AU$500,3,))*$E52)</f>
        <v>0</v>
      </c>
      <c r="U52" s="107">
        <f>IF(VLOOKUP($D52,$C$5:$AU$500,3,)=0,0,(VLOOKUP($D52,$C$5:$AU$500,19,)/VLOOKUP($D52,$C$5:$AU$500,3,))*$E52)</f>
        <v>0</v>
      </c>
      <c r="V52" s="107">
        <f>IF(VLOOKUP($D52,$C$5:$AU$500,3,)=0,0,(VLOOKUP($D52,$C$5:$AU$500,20,)/VLOOKUP($D52,$C$5:$AU$500,3,))*$E52)</f>
        <v>0</v>
      </c>
      <c r="W52" s="107">
        <f>IF(VLOOKUP($D52,$C$5:$AU$500,3,)=0,0,(VLOOKUP($D52,$C$5:$AU$500,21,)/VLOOKUP($D52,$C$5:$AU$500,3,))*$E52)</f>
        <v>0</v>
      </c>
      <c r="X52" s="107">
        <f>IF(VLOOKUP($D52,$C$5:$AU$500,3,)=0,0,(VLOOKUP($D52,$C$5:$AU$500,22,)/VLOOKUP($D52,$C$5:$AU$500,3,))*$E52)</f>
        <v>0</v>
      </c>
      <c r="Y52" s="107">
        <f>IF(VLOOKUP($D52,$C$5:$AU$500,3,)=0,0,(VLOOKUP($D52,$C$5:$AU$500,23,)/VLOOKUP($D52,$C$5:$AU$500,3,))*$E52)</f>
        <v>0</v>
      </c>
      <c r="Z52" s="107">
        <f>IF(VLOOKUP($D52,$C$5:$AU$500,3,)=0,0,(VLOOKUP($D52,$C$5:$AU$500,24,)/VLOOKUP($D52,$C$5:$AU$500,3,))*$E52)</f>
        <v>0</v>
      </c>
      <c r="AA52" s="107">
        <f>IF(VLOOKUP($D52,$C$5:$AU$500,3,)=0,0,(VLOOKUP($D52,$C$5:$AU$500,25,)/VLOOKUP($D52,$C$5:$AU$500,3,))*$E52)</f>
        <v>0</v>
      </c>
      <c r="AB52" s="107">
        <f>IF(VLOOKUP($D52,$C$5:$AU$500,3,)=0,0,(VLOOKUP($D52,$C$5:$AU$500,26,)/VLOOKUP($D52,$C$5:$AU$500,3,))*$E52)</f>
        <v>0</v>
      </c>
      <c r="AC52" s="107">
        <f>IF(VLOOKUP($D52,$C$5:$AU$500,3,)=0,0,(VLOOKUP($D52,$C$5:$AU$500,27,)/VLOOKUP($D52,$C$5:$AU$500,3,))*$E52)</f>
        <v>0</v>
      </c>
      <c r="AD52" s="107">
        <f>IF(VLOOKUP($D52,$C$5:$AU$500,3,)=0,0,(VLOOKUP($D52,$C$5:$AU$500,28,)/VLOOKUP($D52,$C$5:$AU$500,3,))*$E52)</f>
        <v>0</v>
      </c>
      <c r="AE52" s="107">
        <f>IF(VLOOKUP($D52,$C$5:$AU$500,3,)=0,0,(VLOOKUP($D52,$C$5:$AU$500,29,)/VLOOKUP($D52,$C$5:$AU$500,3,))*$E52)</f>
        <v>0</v>
      </c>
      <c r="AF52" s="107">
        <f>IF(VLOOKUP($D52,$C$5:$AU$500,3,)=0,0,(VLOOKUP($D52,$C$5:$AU$500,30,)/VLOOKUP($D52,$C$5:$AU$500,3,))*$E52)</f>
        <v>0</v>
      </c>
      <c r="AG52" s="91">
        <f>SUM(F52:AF52)</f>
        <v>0</v>
      </c>
      <c r="AH52" s="28" t="str">
        <f>IF(ABS(E52-AG52)&lt;0.01,"ok","err")</f>
        <v>ok</v>
      </c>
    </row>
    <row r="53" spans="1:34" x14ac:dyDescent="0.25">
      <c r="E53" s="23"/>
    </row>
    <row r="54" spans="1:34" x14ac:dyDescent="0.25">
      <c r="A54" s="13" t="s">
        <v>1</v>
      </c>
      <c r="E54" s="23"/>
      <c r="F54" s="50"/>
    </row>
    <row r="55" spans="1:34" x14ac:dyDescent="0.25">
      <c r="A55" s="94" t="s">
        <v>208</v>
      </c>
      <c r="C55" s="14" t="s">
        <v>239</v>
      </c>
      <c r="D55" s="14" t="s">
        <v>616</v>
      </c>
      <c r="E55" s="42">
        <f>'Func &amp; Classif'!M126</f>
        <v>22779030.295900911</v>
      </c>
      <c r="F55" s="67">
        <f>IF(VLOOKUP($D55,$C$5:$AU$500,3,)=0,0,(VLOOKUP($D55,$C$5:$AU$500,4,)/VLOOKUP($D55,$C$5:$AU$500,3,))*$E55)</f>
        <v>14332052.988719007</v>
      </c>
      <c r="G55" s="67">
        <f>IF(VLOOKUP($D55,$C$5:$AU$500,3,)=0,0,(VLOOKUP($D55,$C$5:$AU$500,5,)/VLOOKUP($D55,$C$5:$AU$500,3,))*$E55)</f>
        <v>1402221.7462554434</v>
      </c>
      <c r="H55" s="42">
        <f>IF(VLOOKUP($D55,$C$5:$AU$500,3,)=0,0,(VLOOKUP($D55,$C$5:$AU$500,6,)/VLOOKUP($D55,$C$5:$AU$500,3,))*$E55)</f>
        <v>398747.74054063269</v>
      </c>
      <c r="I55" s="42">
        <f>IF(VLOOKUP($D55,$C$5:$AU$500,3,)=0,0,(VLOOKUP($D55,$C$5:$AU$500,7,)/VLOOKUP($D55,$C$5:$AU$500,3,))*$E55)</f>
        <v>5765842.401483709</v>
      </c>
      <c r="J55" s="42">
        <f>IF(VLOOKUP($D55,$C$5:$AU$500,3,)=0,0,(VLOOKUP($D55,$C$5:$AU$500,8,)/VLOOKUP($D55,$C$5:$AU$500,3,))*$E55)</f>
        <v>0</v>
      </c>
      <c r="K55" s="42">
        <f>IF(VLOOKUP($D55,$C$5:$AU$500,3,)=0,0,(VLOOKUP($D55,$C$5:$AU$500,9,)/VLOOKUP($D55,$C$5:$AU$500,3,))*$E55)</f>
        <v>727474.10905602411</v>
      </c>
      <c r="L55" s="67">
        <f>IF(VLOOKUP($D55,$C$5:$AU$500,3,)=0,0,(VLOOKUP($D55,$C$5:$AU$500,10,)/VLOOKUP($D55,$C$5:$AU$500,3,))*$E55)</f>
        <v>152691.3098460969</v>
      </c>
      <c r="M55" s="42">
        <f>IF(VLOOKUP($D55,$C$5:$AU$500,3,)=0,0,(VLOOKUP($D55,$C$5:$AU$500,11,)/VLOOKUP($D55,$C$5:$AU$500,3,))*$E55)</f>
        <v>0</v>
      </c>
      <c r="N55" s="42">
        <f>IF(VLOOKUP($D55,$C$5:$AU$500,3,)=0,0,(VLOOKUP($D55,$C$5:$AU$500,12,)/VLOOKUP($D55,$C$5:$AU$500,3,))*$E55)</f>
        <v>0</v>
      </c>
      <c r="O55" s="42">
        <f>IF(VLOOKUP($D55,$C$5:$AU$500,3,)=0,0,(VLOOKUP($D55,$C$5:$AU$500,13,)/VLOOKUP($D55,$C$5:$AU$500,3,))*$E55)</f>
        <v>0</v>
      </c>
      <c r="P55" s="42">
        <f>IF(VLOOKUP($D55,$C$5:$AU$500,3,)=0,0,(VLOOKUP($D55,$C$5:$AU$500,14,)/VLOOKUP($D55,$C$5:$AU$500,3,))*$E55)</f>
        <v>0</v>
      </c>
      <c r="Q55" s="42">
        <f>IF(VLOOKUP($D55,$C$5:$AU$500,3,)=0,0,(VLOOKUP($D55,$C$5:$AU$500,15,)/VLOOKUP($D55,$C$5:$AU$500,3,))*$E55)</f>
        <v>0</v>
      </c>
      <c r="R55" s="42">
        <f>IF(VLOOKUP($D55,$C$5:$AU$500,3,)=0,0,(VLOOKUP($D55,$C$5:$AU$500,16,)/VLOOKUP($D55,$C$5:$AU$500,3,))*$E55)</f>
        <v>0</v>
      </c>
      <c r="S55" s="107">
        <f>IF(VLOOKUP($D55,$C$5:$AU$500,3,)=0,0,(VLOOKUP($D55,$C$5:$AU$500,17,)/VLOOKUP($D55,$C$5:$AU$500,3,))*$E55)</f>
        <v>0</v>
      </c>
      <c r="T55" s="107">
        <f>IF(VLOOKUP($D55,$C$5:$AU$500,3,)=0,0,(VLOOKUP($D55,$C$5:$AU$500,18,)/VLOOKUP($D55,$C$5:$AU$500,3,))*$E55)</f>
        <v>0</v>
      </c>
      <c r="U55" s="107">
        <f>IF(VLOOKUP($D55,$C$5:$AU$500,3,)=0,0,(VLOOKUP($D55,$C$5:$AU$500,19,)/VLOOKUP($D55,$C$5:$AU$500,3,))*$E55)</f>
        <v>0</v>
      </c>
      <c r="V55" s="107">
        <f>IF(VLOOKUP($D55,$C$5:$AU$500,3,)=0,0,(VLOOKUP($D55,$C$5:$AU$500,20,)/VLOOKUP($D55,$C$5:$AU$500,3,))*$E55)</f>
        <v>0</v>
      </c>
      <c r="W55" s="107">
        <f>IF(VLOOKUP($D55,$C$5:$AU$500,3,)=0,0,(VLOOKUP($D55,$C$5:$AU$500,21,)/VLOOKUP($D55,$C$5:$AU$500,3,))*$E55)</f>
        <v>0</v>
      </c>
      <c r="X55" s="107">
        <f>IF(VLOOKUP($D55,$C$5:$AU$500,3,)=0,0,(VLOOKUP($D55,$C$5:$AU$500,22,)/VLOOKUP($D55,$C$5:$AU$500,3,))*$E55)</f>
        <v>0</v>
      </c>
      <c r="Y55" s="107">
        <f>IF(VLOOKUP($D55,$C$5:$AU$500,3,)=0,0,(VLOOKUP($D55,$C$5:$AU$500,23,)/VLOOKUP($D55,$C$5:$AU$500,3,))*$E55)</f>
        <v>0</v>
      </c>
      <c r="Z55" s="107">
        <f>IF(VLOOKUP($D55,$C$5:$AU$500,3,)=0,0,(VLOOKUP($D55,$C$5:$AU$500,24,)/VLOOKUP($D55,$C$5:$AU$500,3,))*$E55)</f>
        <v>0</v>
      </c>
      <c r="AA55" s="107">
        <f>IF(VLOOKUP($D55,$C$5:$AU$500,3,)=0,0,(VLOOKUP($D55,$C$5:$AU$500,25,)/VLOOKUP($D55,$C$5:$AU$500,3,))*$E55)</f>
        <v>0</v>
      </c>
      <c r="AB55" s="107">
        <f>IF(VLOOKUP($D55,$C$5:$AU$500,3,)=0,0,(VLOOKUP($D55,$C$5:$AU$500,26,)/VLOOKUP($D55,$C$5:$AU$500,3,))*$E55)</f>
        <v>0</v>
      </c>
      <c r="AC55" s="107">
        <f>IF(VLOOKUP($D55,$C$5:$AU$500,3,)=0,0,(VLOOKUP($D55,$C$5:$AU$500,27,)/VLOOKUP($D55,$C$5:$AU$500,3,))*$E55)</f>
        <v>0</v>
      </c>
      <c r="AD55" s="107">
        <f>IF(VLOOKUP($D55,$C$5:$AU$500,3,)=0,0,(VLOOKUP($D55,$C$5:$AU$500,28,)/VLOOKUP($D55,$C$5:$AU$500,3,))*$E55)</f>
        <v>0</v>
      </c>
      <c r="AE55" s="107">
        <f>IF(VLOOKUP($D55,$C$5:$AU$500,3,)=0,0,(VLOOKUP($D55,$C$5:$AU$500,29,)/VLOOKUP($D55,$C$5:$AU$500,3,))*$E55)</f>
        <v>0</v>
      </c>
      <c r="AF55" s="107">
        <f>IF(VLOOKUP($D55,$C$5:$AU$500,3,)=0,0,(VLOOKUP($D55,$C$5:$AU$500,30,)/VLOOKUP($D55,$C$5:$AU$500,3,))*$E55)</f>
        <v>0</v>
      </c>
      <c r="AG55" s="91">
        <f>SUM(F55:AF55)</f>
        <v>22779030.295900915</v>
      </c>
      <c r="AH55" s="28" t="str">
        <f>IF(ABS(E55-AG55)&lt;0.01,"ok","err")</f>
        <v>ok</v>
      </c>
    </row>
    <row r="56" spans="1:34" x14ac:dyDescent="0.25">
      <c r="E56" s="23"/>
    </row>
    <row r="57" spans="1:34" x14ac:dyDescent="0.25">
      <c r="A57" s="13" t="s">
        <v>2</v>
      </c>
      <c r="E57" s="23"/>
    </row>
    <row r="58" spans="1:34" x14ac:dyDescent="0.25">
      <c r="A58" s="94" t="s">
        <v>208</v>
      </c>
      <c r="C58" s="14" t="s">
        <v>240</v>
      </c>
      <c r="D58" s="14" t="s">
        <v>608</v>
      </c>
      <c r="E58" s="42">
        <f>'Func &amp; Classif'!O126</f>
        <v>36319844.889787555</v>
      </c>
      <c r="F58" s="67">
        <f>IF(VLOOKUP($D58,$C$5:$AU$500,3,)=0,0,(VLOOKUP($D58,$C$5:$AU$500,4,)/VLOOKUP($D58,$C$5:$AU$500,3,))*$E58)</f>
        <v>22827744.710838269</v>
      </c>
      <c r="G58" s="67">
        <f>IF(VLOOKUP($D58,$C$5:$AU$500,3,)=0,0,(VLOOKUP($D58,$C$5:$AU$500,5,)/VLOOKUP($D58,$C$5:$AU$500,3,))*$E58)</f>
        <v>586871.58632837632</v>
      </c>
      <c r="H58" s="42">
        <f>IF(VLOOKUP($D58,$C$5:$AU$500,3,)=0,0,(VLOOKUP($D58,$C$5:$AU$500,6,)/VLOOKUP($D58,$C$5:$AU$500,3,))*$E58)</f>
        <v>939268.36477487464</v>
      </c>
      <c r="I58" s="42">
        <f>IF(VLOOKUP($D58,$C$5:$AU$500,3,)=0,0,(VLOOKUP($D58,$C$5:$AU$500,7,)/VLOOKUP($D58,$C$5:$AU$500,3,))*$E58)</f>
        <v>10629728.224848656</v>
      </c>
      <c r="J58" s="42">
        <f>IF(VLOOKUP($D58,$C$5:$AU$500,3,)=0,0,(VLOOKUP($D58,$C$5:$AU$500,8,)/VLOOKUP($D58,$C$5:$AU$500,3,))*$E58)</f>
        <v>0</v>
      </c>
      <c r="K58" s="42">
        <f>IF(VLOOKUP($D58,$C$5:$AU$500,3,)=0,0,(VLOOKUP($D58,$C$5:$AU$500,9,)/VLOOKUP($D58,$C$5:$AU$500,3,))*$E58)</f>
        <v>1176559.7045548556</v>
      </c>
      <c r="L58" s="67">
        <f>IF(VLOOKUP($D58,$C$5:$AU$500,3,)=0,0,(VLOOKUP($D58,$C$5:$AU$500,10,)/VLOOKUP($D58,$C$5:$AU$500,3,))*$E58)</f>
        <v>159672.2984425193</v>
      </c>
      <c r="M58" s="42">
        <f>IF(VLOOKUP($D58,$C$5:$AU$500,3,)=0,0,(VLOOKUP($D58,$C$5:$AU$500,11,)/VLOOKUP($D58,$C$5:$AU$500,3,))*$E58)</f>
        <v>0</v>
      </c>
      <c r="N58" s="42">
        <f>IF(VLOOKUP($D58,$C$5:$AU$500,3,)=0,0,(VLOOKUP($D58,$C$5:$AU$500,12,)/VLOOKUP($D58,$C$5:$AU$500,3,))*$E58)</f>
        <v>0</v>
      </c>
      <c r="O58" s="42">
        <f>IF(VLOOKUP($D58,$C$5:$AU$500,3,)=0,0,(VLOOKUP($D58,$C$5:$AU$500,13,)/VLOOKUP($D58,$C$5:$AU$500,3,))*$E58)</f>
        <v>0</v>
      </c>
      <c r="P58" s="42">
        <f>IF(VLOOKUP($D58,$C$5:$AU$500,3,)=0,0,(VLOOKUP($D58,$C$5:$AU$500,14,)/VLOOKUP($D58,$C$5:$AU$500,3,))*$E58)</f>
        <v>0</v>
      </c>
      <c r="Q58" s="42">
        <f>IF(VLOOKUP($D58,$C$5:$AU$500,3,)=0,0,(VLOOKUP($D58,$C$5:$AU$500,15,)/VLOOKUP($D58,$C$5:$AU$500,3,))*$E58)</f>
        <v>0</v>
      </c>
      <c r="R58" s="42">
        <f>IF(VLOOKUP($D58,$C$5:$AU$500,3,)=0,0,(VLOOKUP($D58,$C$5:$AU$500,16,)/VLOOKUP($D58,$C$5:$AU$500,3,))*$E58)</f>
        <v>0</v>
      </c>
      <c r="S58" s="107">
        <f>IF(VLOOKUP($D58,$C$5:$AU$500,3,)=0,0,(VLOOKUP($D58,$C$5:$AU$500,17,)/VLOOKUP($D58,$C$5:$AU$500,3,))*$E58)</f>
        <v>0</v>
      </c>
      <c r="T58" s="107">
        <f>IF(VLOOKUP($D58,$C$5:$AU$500,3,)=0,0,(VLOOKUP($D58,$C$5:$AU$500,18,)/VLOOKUP($D58,$C$5:$AU$500,3,))*$E58)</f>
        <v>0</v>
      </c>
      <c r="U58" s="107">
        <f>IF(VLOOKUP($D58,$C$5:$AU$500,3,)=0,0,(VLOOKUP($D58,$C$5:$AU$500,19,)/VLOOKUP($D58,$C$5:$AU$500,3,))*$E58)</f>
        <v>0</v>
      </c>
      <c r="V58" s="107">
        <f>IF(VLOOKUP($D58,$C$5:$AU$500,3,)=0,0,(VLOOKUP($D58,$C$5:$AU$500,20,)/VLOOKUP($D58,$C$5:$AU$500,3,))*$E58)</f>
        <v>0</v>
      </c>
      <c r="W58" s="107">
        <f>IF(VLOOKUP($D58,$C$5:$AU$500,3,)=0,0,(VLOOKUP($D58,$C$5:$AU$500,21,)/VLOOKUP($D58,$C$5:$AU$500,3,))*$E58)</f>
        <v>0</v>
      </c>
      <c r="X58" s="107">
        <f>IF(VLOOKUP($D58,$C$5:$AU$500,3,)=0,0,(VLOOKUP($D58,$C$5:$AU$500,22,)/VLOOKUP($D58,$C$5:$AU$500,3,))*$E58)</f>
        <v>0</v>
      </c>
      <c r="Y58" s="107">
        <f>IF(VLOOKUP($D58,$C$5:$AU$500,3,)=0,0,(VLOOKUP($D58,$C$5:$AU$500,23,)/VLOOKUP($D58,$C$5:$AU$500,3,))*$E58)</f>
        <v>0</v>
      </c>
      <c r="Z58" s="107">
        <f>IF(VLOOKUP($D58,$C$5:$AU$500,3,)=0,0,(VLOOKUP($D58,$C$5:$AU$500,24,)/VLOOKUP($D58,$C$5:$AU$500,3,))*$E58)</f>
        <v>0</v>
      </c>
      <c r="AA58" s="107">
        <f>IF(VLOOKUP($D58,$C$5:$AU$500,3,)=0,0,(VLOOKUP($D58,$C$5:$AU$500,25,)/VLOOKUP($D58,$C$5:$AU$500,3,))*$E58)</f>
        <v>0</v>
      </c>
      <c r="AB58" s="107">
        <f>IF(VLOOKUP($D58,$C$5:$AU$500,3,)=0,0,(VLOOKUP($D58,$C$5:$AU$500,26,)/VLOOKUP($D58,$C$5:$AU$500,3,))*$E58)</f>
        <v>0</v>
      </c>
      <c r="AC58" s="107">
        <f>IF(VLOOKUP($D58,$C$5:$AU$500,3,)=0,0,(VLOOKUP($D58,$C$5:$AU$500,27,)/VLOOKUP($D58,$C$5:$AU$500,3,))*$E58)</f>
        <v>0</v>
      </c>
      <c r="AD58" s="107">
        <f>IF(VLOOKUP($D58,$C$5:$AU$500,3,)=0,0,(VLOOKUP($D58,$C$5:$AU$500,28,)/VLOOKUP($D58,$C$5:$AU$500,3,))*$E58)</f>
        <v>0</v>
      </c>
      <c r="AE58" s="107">
        <f>IF(VLOOKUP($D58,$C$5:$AU$500,3,)=0,0,(VLOOKUP($D58,$C$5:$AU$500,29,)/VLOOKUP($D58,$C$5:$AU$500,3,))*$E58)</f>
        <v>0</v>
      </c>
      <c r="AF58" s="107">
        <f>IF(VLOOKUP($D58,$C$5:$AU$500,3,)=0,0,(VLOOKUP($D58,$C$5:$AU$500,30,)/VLOOKUP($D58,$C$5:$AU$500,3,))*$E58)</f>
        <v>0</v>
      </c>
      <c r="AG58" s="91">
        <f>SUM(F58:AF58)</f>
        <v>36319844.889787555</v>
      </c>
      <c r="AH58" s="28" t="str">
        <f>IF(ABS(E58-AG58)&lt;0.01,"ok","err")</f>
        <v>ok</v>
      </c>
    </row>
    <row r="59" spans="1:34" x14ac:dyDescent="0.25">
      <c r="A59" s="94" t="s">
        <v>220</v>
      </c>
      <c r="C59" s="14" t="s">
        <v>241</v>
      </c>
      <c r="D59" s="14" t="s">
        <v>222</v>
      </c>
      <c r="E59" s="23">
        <f>'Func &amp; Classif'!P126</f>
        <v>60728511.817542687</v>
      </c>
      <c r="F59" s="67">
        <f>IF(VLOOKUP($D59,$C$5:$AU$500,3,)=0,0,(VLOOKUP($D59,$C$5:$AU$500,4,)/VLOOKUP($D59,$C$5:$AU$500,3,))*$E59)</f>
        <v>48612277.847651526</v>
      </c>
      <c r="G59" s="67">
        <f>IF(VLOOKUP($D59,$C$5:$AU$500,3,)=0,0,(VLOOKUP($D59,$C$5:$AU$500,5,)/VLOOKUP($D59,$C$5:$AU$500,3,))*$E59)</f>
        <v>9602005.1624350436</v>
      </c>
      <c r="H59" s="42">
        <f>IF(VLOOKUP($D59,$C$5:$AU$500,3,)=0,0,(VLOOKUP($D59,$C$5:$AU$500,6,)/VLOOKUP($D59,$C$5:$AU$500,3,))*$E59)</f>
        <v>1020161.4292654193</v>
      </c>
      <c r="I59" s="42">
        <f>IF(VLOOKUP($D59,$C$5:$AU$500,3,)=0,0,(VLOOKUP($D59,$C$5:$AU$500,7,)/VLOOKUP($D59,$C$5:$AU$500,3,))*$E59)</f>
        <v>1281148.3234103939</v>
      </c>
      <c r="J59" s="42">
        <f>IF(VLOOKUP($D59,$C$5:$AU$500,3,)=0,0,(VLOOKUP($D59,$C$5:$AU$500,8,)/VLOOKUP($D59,$C$5:$AU$500,3,))*$E59)</f>
        <v>0</v>
      </c>
      <c r="K59" s="42">
        <f>IF(VLOOKUP($D59,$C$5:$AU$500,3,)=0,0,(VLOOKUP($D59,$C$5:$AU$500,9,)/VLOOKUP($D59,$C$5:$AU$500,3,))*$E59)</f>
        <v>1982.1789428732241</v>
      </c>
      <c r="L59" s="67">
        <f>IF(VLOOKUP($D59,$C$5:$AU$500,3,)=0,0,(VLOOKUP($D59,$C$5:$AU$500,10,)/VLOOKUP($D59,$C$5:$AU$500,3,))*$E59)</f>
        <v>210936.87583742558</v>
      </c>
      <c r="M59" s="42">
        <f>IF(VLOOKUP($D59,$C$5:$AU$500,3,)=0,0,(VLOOKUP($D59,$C$5:$AU$500,11,)/VLOOKUP($D59,$C$5:$AU$500,3,))*$E59)</f>
        <v>0</v>
      </c>
      <c r="N59" s="42">
        <f>IF(VLOOKUP($D59,$C$5:$AU$500,3,)=0,0,(VLOOKUP($D59,$C$5:$AU$500,12,)/VLOOKUP($D59,$C$5:$AU$500,3,))*$E59)</f>
        <v>0</v>
      </c>
      <c r="O59" s="42">
        <f>IF(VLOOKUP($D59,$C$5:$AU$500,3,)=0,0,(VLOOKUP($D59,$C$5:$AU$500,13,)/VLOOKUP($D59,$C$5:$AU$500,3,))*$E59)</f>
        <v>0</v>
      </c>
      <c r="P59" s="42">
        <f>IF(VLOOKUP($D59,$C$5:$AU$500,3,)=0,0,(VLOOKUP($D59,$C$5:$AU$500,14,)/VLOOKUP($D59,$C$5:$AU$500,3,))*$E59)</f>
        <v>0</v>
      </c>
      <c r="Q59" s="42">
        <f>IF(VLOOKUP($D59,$C$5:$AU$500,3,)=0,0,(VLOOKUP($D59,$C$5:$AU$500,15,)/VLOOKUP($D59,$C$5:$AU$500,3,))*$E59)</f>
        <v>0</v>
      </c>
      <c r="R59" s="42">
        <f>IF(VLOOKUP($D59,$C$5:$AU$500,3,)=0,0,(VLOOKUP($D59,$C$5:$AU$500,16,)/VLOOKUP($D59,$C$5:$AU$500,3,))*$E59)</f>
        <v>0</v>
      </c>
      <c r="S59" s="107">
        <f>IF(VLOOKUP($D59,$C$5:$AU$500,3,)=0,0,(VLOOKUP($D59,$C$5:$AU$500,17,)/VLOOKUP($D59,$C$5:$AU$500,3,))*$E59)</f>
        <v>0</v>
      </c>
      <c r="T59" s="107">
        <f>IF(VLOOKUP($D59,$C$5:$AU$500,3,)=0,0,(VLOOKUP($D59,$C$5:$AU$500,18,)/VLOOKUP($D59,$C$5:$AU$500,3,))*$E59)</f>
        <v>0</v>
      </c>
      <c r="U59" s="107">
        <f>IF(VLOOKUP($D59,$C$5:$AU$500,3,)=0,0,(VLOOKUP($D59,$C$5:$AU$500,19,)/VLOOKUP($D59,$C$5:$AU$500,3,))*$E59)</f>
        <v>0</v>
      </c>
      <c r="V59" s="107">
        <f>IF(VLOOKUP($D59,$C$5:$AU$500,3,)=0,0,(VLOOKUP($D59,$C$5:$AU$500,20,)/VLOOKUP($D59,$C$5:$AU$500,3,))*$E59)</f>
        <v>0</v>
      </c>
      <c r="W59" s="107">
        <f>IF(VLOOKUP($D59,$C$5:$AU$500,3,)=0,0,(VLOOKUP($D59,$C$5:$AU$500,21,)/VLOOKUP($D59,$C$5:$AU$500,3,))*$E59)</f>
        <v>0</v>
      </c>
      <c r="X59" s="107">
        <f>IF(VLOOKUP($D59,$C$5:$AU$500,3,)=0,0,(VLOOKUP($D59,$C$5:$AU$500,22,)/VLOOKUP($D59,$C$5:$AU$500,3,))*$E59)</f>
        <v>0</v>
      </c>
      <c r="Y59" s="107">
        <f>IF(VLOOKUP($D59,$C$5:$AU$500,3,)=0,0,(VLOOKUP($D59,$C$5:$AU$500,23,)/VLOOKUP($D59,$C$5:$AU$500,3,))*$E59)</f>
        <v>0</v>
      </c>
      <c r="Z59" s="107">
        <f>IF(VLOOKUP($D59,$C$5:$AU$500,3,)=0,0,(VLOOKUP($D59,$C$5:$AU$500,24,)/VLOOKUP($D59,$C$5:$AU$500,3,))*$E59)</f>
        <v>0</v>
      </c>
      <c r="AA59" s="107">
        <f>IF(VLOOKUP($D59,$C$5:$AU$500,3,)=0,0,(VLOOKUP($D59,$C$5:$AU$500,25,)/VLOOKUP($D59,$C$5:$AU$500,3,))*$E59)</f>
        <v>0</v>
      </c>
      <c r="AB59" s="107">
        <f>IF(VLOOKUP($D59,$C$5:$AU$500,3,)=0,0,(VLOOKUP($D59,$C$5:$AU$500,26,)/VLOOKUP($D59,$C$5:$AU$500,3,))*$E59)</f>
        <v>0</v>
      </c>
      <c r="AC59" s="107">
        <f>IF(VLOOKUP($D59,$C$5:$AU$500,3,)=0,0,(VLOOKUP($D59,$C$5:$AU$500,27,)/VLOOKUP($D59,$C$5:$AU$500,3,))*$E59)</f>
        <v>0</v>
      </c>
      <c r="AD59" s="107">
        <f>IF(VLOOKUP($D59,$C$5:$AU$500,3,)=0,0,(VLOOKUP($D59,$C$5:$AU$500,28,)/VLOOKUP($D59,$C$5:$AU$500,3,))*$E59)</f>
        <v>0</v>
      </c>
      <c r="AE59" s="107">
        <f>IF(VLOOKUP($D59,$C$5:$AU$500,3,)=0,0,(VLOOKUP($D59,$C$5:$AU$500,29,)/VLOOKUP($D59,$C$5:$AU$500,3,))*$E59)</f>
        <v>0</v>
      </c>
      <c r="AF59" s="107">
        <f>IF(VLOOKUP($D59,$C$5:$AU$500,3,)=0,0,(VLOOKUP($D59,$C$5:$AU$500,30,)/VLOOKUP($D59,$C$5:$AU$500,3,))*$E59)</f>
        <v>0</v>
      </c>
      <c r="AG59" s="91">
        <f>SUM(F59:AF59)</f>
        <v>60728511.817542672</v>
      </c>
      <c r="AH59" s="28" t="str">
        <f>IF(ABS(E59-AG59)&lt;0.01,"ok","err")</f>
        <v>ok</v>
      </c>
    </row>
    <row r="60" spans="1:34" x14ac:dyDescent="0.25">
      <c r="A60" s="14" t="s">
        <v>223</v>
      </c>
      <c r="E60" s="42">
        <f t="shared" ref="E60:T60" si="10">E58+E59</f>
        <v>97048356.707330242</v>
      </c>
      <c r="F60" s="67">
        <f t="shared" si="10"/>
        <v>71440022.558489799</v>
      </c>
      <c r="G60" s="67">
        <f t="shared" si="10"/>
        <v>10188876.74876342</v>
      </c>
      <c r="H60" s="42">
        <f t="shared" si="10"/>
        <v>1959429.7940402939</v>
      </c>
      <c r="I60" s="42">
        <f t="shared" si="10"/>
        <v>11910876.54825905</v>
      </c>
      <c r="J60" s="42">
        <f t="shared" si="10"/>
        <v>0</v>
      </c>
      <c r="K60" s="42">
        <f t="shared" si="10"/>
        <v>1178541.8834977287</v>
      </c>
      <c r="L60" s="67">
        <f t="shared" si="10"/>
        <v>370609.17427994485</v>
      </c>
      <c r="M60" s="42">
        <f t="shared" si="10"/>
        <v>0</v>
      </c>
      <c r="N60" s="42">
        <f t="shared" si="10"/>
        <v>0</v>
      </c>
      <c r="O60" s="42">
        <f t="shared" si="10"/>
        <v>0</v>
      </c>
      <c r="P60" s="42">
        <f t="shared" si="10"/>
        <v>0</v>
      </c>
      <c r="Q60" s="42">
        <f t="shared" si="10"/>
        <v>0</v>
      </c>
      <c r="R60" s="42">
        <f t="shared" si="10"/>
        <v>0</v>
      </c>
      <c r="S60" s="107">
        <f t="shared" si="10"/>
        <v>0</v>
      </c>
      <c r="T60" s="107">
        <f t="shared" si="10"/>
        <v>0</v>
      </c>
      <c r="U60" s="107">
        <f t="shared" ref="U60:AF60" si="11">U58+U59</f>
        <v>0</v>
      </c>
      <c r="V60" s="107">
        <f t="shared" si="11"/>
        <v>0</v>
      </c>
      <c r="W60" s="107">
        <f t="shared" si="11"/>
        <v>0</v>
      </c>
      <c r="X60" s="107">
        <f t="shared" si="11"/>
        <v>0</v>
      </c>
      <c r="Y60" s="107">
        <f t="shared" si="11"/>
        <v>0</v>
      </c>
      <c r="Z60" s="107">
        <f t="shared" si="11"/>
        <v>0</v>
      </c>
      <c r="AA60" s="107">
        <f t="shared" si="11"/>
        <v>0</v>
      </c>
      <c r="AB60" s="107">
        <f t="shared" si="11"/>
        <v>0</v>
      </c>
      <c r="AC60" s="107">
        <f t="shared" si="11"/>
        <v>0</v>
      </c>
      <c r="AD60" s="107">
        <f t="shared" si="11"/>
        <v>0</v>
      </c>
      <c r="AE60" s="107">
        <f t="shared" si="11"/>
        <v>0</v>
      </c>
      <c r="AF60" s="107">
        <f t="shared" si="11"/>
        <v>0</v>
      </c>
      <c r="AG60" s="91">
        <f>SUM(F60:AF60)</f>
        <v>97048356.707330227</v>
      </c>
      <c r="AH60" s="28" t="str">
        <f>IF(ABS(E60-AG60)&lt;0.01,"ok","err")</f>
        <v>ok</v>
      </c>
    </row>
    <row r="61" spans="1:34" x14ac:dyDescent="0.25">
      <c r="E61" s="23"/>
    </row>
    <row r="62" spans="1:34" x14ac:dyDescent="0.25">
      <c r="A62" s="13" t="s">
        <v>3</v>
      </c>
      <c r="E62" s="23"/>
    </row>
    <row r="63" spans="1:34" x14ac:dyDescent="0.25">
      <c r="A63" s="94" t="s">
        <v>208</v>
      </c>
      <c r="C63" s="14" t="s">
        <v>242</v>
      </c>
      <c r="D63" s="14" t="s">
        <v>619</v>
      </c>
      <c r="E63" s="42">
        <f>'Func &amp; Classif'!R126</f>
        <v>0</v>
      </c>
      <c r="F63" s="67">
        <f>IF(VLOOKUP($D63,$C$5:$AU$500,3,)=0,0,(VLOOKUP($D63,$C$5:$AU$500,4,)/VLOOKUP($D63,$C$5:$AU$500,3,))*$E63)</f>
        <v>0</v>
      </c>
      <c r="G63" s="67">
        <f>IF(VLOOKUP($D63,$C$5:$AU$500,3,)=0,0,(VLOOKUP($D63,$C$5:$AU$500,5,)/VLOOKUP($D63,$C$5:$AU$500,3,))*$E63)</f>
        <v>0</v>
      </c>
      <c r="H63" s="42">
        <f>IF(VLOOKUP($D63,$C$5:$AU$500,3,)=0,0,(VLOOKUP($D63,$C$5:$AU$500,6,)/VLOOKUP($D63,$C$5:$AU$500,3,))*$E63)</f>
        <v>0</v>
      </c>
      <c r="I63" s="42">
        <f>IF(VLOOKUP($D63,$C$5:$AU$500,3,)=0,0,(VLOOKUP($D63,$C$5:$AU$500,7,)/VLOOKUP($D63,$C$5:$AU$500,3,))*$E63)</f>
        <v>0</v>
      </c>
      <c r="J63" s="42">
        <f>IF(VLOOKUP($D63,$C$5:$AU$500,3,)=0,0,(VLOOKUP($D63,$C$5:$AU$500,8,)/VLOOKUP($D63,$C$5:$AU$500,3,))*$E63)</f>
        <v>0</v>
      </c>
      <c r="K63" s="42">
        <f>IF(VLOOKUP($D63,$C$5:$AU$500,3,)=0,0,(VLOOKUP($D63,$C$5:$AU$500,9,)/VLOOKUP($D63,$C$5:$AU$500,3,))*$E63)</f>
        <v>0</v>
      </c>
      <c r="L63" s="67">
        <f>IF(VLOOKUP($D63,$C$5:$AU$500,3,)=0,0,(VLOOKUP($D63,$C$5:$AU$500,10,)/VLOOKUP($D63,$C$5:$AU$500,3,))*$E63)</f>
        <v>0</v>
      </c>
      <c r="M63" s="42">
        <f>IF(VLOOKUP($D63,$C$5:$AU$500,3,)=0,0,(VLOOKUP($D63,$C$5:$AU$500,11,)/VLOOKUP($D63,$C$5:$AU$500,3,))*$E63)</f>
        <v>0</v>
      </c>
      <c r="N63" s="42">
        <f>IF(VLOOKUP($D63,$C$5:$AU$500,3,)=0,0,(VLOOKUP($D63,$C$5:$AU$500,12,)/VLOOKUP($D63,$C$5:$AU$500,3,))*$E63)</f>
        <v>0</v>
      </c>
      <c r="O63" s="42">
        <f>IF(VLOOKUP($D63,$C$5:$AU$500,3,)=0,0,(VLOOKUP($D63,$C$5:$AU$500,13,)/VLOOKUP($D63,$C$5:$AU$500,3,))*$E63)</f>
        <v>0</v>
      </c>
      <c r="P63" s="42">
        <f>IF(VLOOKUP($D63,$C$5:$AU$500,3,)=0,0,(VLOOKUP($D63,$C$5:$AU$500,14,)/VLOOKUP($D63,$C$5:$AU$500,3,))*$E63)</f>
        <v>0</v>
      </c>
      <c r="Q63" s="42">
        <f>IF(VLOOKUP($D63,$C$5:$AU$500,3,)=0,0,(VLOOKUP($D63,$C$5:$AU$500,15,)/VLOOKUP($D63,$C$5:$AU$500,3,))*$E63)</f>
        <v>0</v>
      </c>
      <c r="R63" s="42">
        <f>IF(VLOOKUP($D63,$C$5:$AU$500,3,)=0,0,(VLOOKUP($D63,$C$5:$AU$500,16,)/VLOOKUP($D63,$C$5:$AU$500,3,))*$E63)</f>
        <v>0</v>
      </c>
      <c r="S63" s="107">
        <f>IF(VLOOKUP($D63,$C$5:$AU$500,3,)=0,0,(VLOOKUP($D63,$C$5:$AU$500,17,)/VLOOKUP($D63,$C$5:$AU$500,3,))*$E63)</f>
        <v>0</v>
      </c>
      <c r="T63" s="107">
        <f>IF(VLOOKUP($D63,$C$5:$AU$500,3,)=0,0,(VLOOKUP($D63,$C$5:$AU$500,18,)/VLOOKUP($D63,$C$5:$AU$500,3,))*$E63)</f>
        <v>0</v>
      </c>
      <c r="U63" s="107">
        <f>IF(VLOOKUP($D63,$C$5:$AU$500,3,)=0,0,(VLOOKUP($D63,$C$5:$AU$500,19,)/VLOOKUP($D63,$C$5:$AU$500,3,))*$E63)</f>
        <v>0</v>
      </c>
      <c r="V63" s="107">
        <f>IF(VLOOKUP($D63,$C$5:$AU$500,3,)=0,0,(VLOOKUP($D63,$C$5:$AU$500,20,)/VLOOKUP($D63,$C$5:$AU$500,3,))*$E63)</f>
        <v>0</v>
      </c>
      <c r="W63" s="107">
        <f>IF(VLOOKUP($D63,$C$5:$AU$500,3,)=0,0,(VLOOKUP($D63,$C$5:$AU$500,21,)/VLOOKUP($D63,$C$5:$AU$500,3,))*$E63)</f>
        <v>0</v>
      </c>
      <c r="X63" s="107">
        <f>IF(VLOOKUP($D63,$C$5:$AU$500,3,)=0,0,(VLOOKUP($D63,$C$5:$AU$500,22,)/VLOOKUP($D63,$C$5:$AU$500,3,))*$E63)</f>
        <v>0</v>
      </c>
      <c r="Y63" s="107">
        <f>IF(VLOOKUP($D63,$C$5:$AU$500,3,)=0,0,(VLOOKUP($D63,$C$5:$AU$500,23,)/VLOOKUP($D63,$C$5:$AU$500,3,))*$E63)</f>
        <v>0</v>
      </c>
      <c r="Z63" s="107">
        <f>IF(VLOOKUP($D63,$C$5:$AU$500,3,)=0,0,(VLOOKUP($D63,$C$5:$AU$500,24,)/VLOOKUP($D63,$C$5:$AU$500,3,))*$E63)</f>
        <v>0</v>
      </c>
      <c r="AA63" s="107">
        <f>IF(VLOOKUP($D63,$C$5:$AU$500,3,)=0,0,(VLOOKUP($D63,$C$5:$AU$500,25,)/VLOOKUP($D63,$C$5:$AU$500,3,))*$E63)</f>
        <v>0</v>
      </c>
      <c r="AB63" s="107">
        <f>IF(VLOOKUP($D63,$C$5:$AU$500,3,)=0,0,(VLOOKUP($D63,$C$5:$AU$500,26,)/VLOOKUP($D63,$C$5:$AU$500,3,))*$E63)</f>
        <v>0</v>
      </c>
      <c r="AC63" s="107">
        <f>IF(VLOOKUP($D63,$C$5:$AU$500,3,)=0,0,(VLOOKUP($D63,$C$5:$AU$500,27,)/VLOOKUP($D63,$C$5:$AU$500,3,))*$E63)</f>
        <v>0</v>
      </c>
      <c r="AD63" s="107">
        <f>IF(VLOOKUP($D63,$C$5:$AU$500,3,)=0,0,(VLOOKUP($D63,$C$5:$AU$500,28,)/VLOOKUP($D63,$C$5:$AU$500,3,))*$E63)</f>
        <v>0</v>
      </c>
      <c r="AE63" s="107">
        <f>IF(VLOOKUP($D63,$C$5:$AU$500,3,)=0,0,(VLOOKUP($D63,$C$5:$AU$500,29,)/VLOOKUP($D63,$C$5:$AU$500,3,))*$E63)</f>
        <v>0</v>
      </c>
      <c r="AF63" s="107">
        <f>IF(VLOOKUP($D63,$C$5:$AU$500,3,)=0,0,(VLOOKUP($D63,$C$5:$AU$500,30,)/VLOOKUP($D63,$C$5:$AU$500,3,))*$E63)</f>
        <v>0</v>
      </c>
      <c r="AG63" s="91">
        <f>SUM(F63:AF63)</f>
        <v>0</v>
      </c>
      <c r="AH63" s="28" t="str">
        <f>IF(ABS(E63-AG63)&lt;0.01,"ok","err")</f>
        <v>ok</v>
      </c>
    </row>
    <row r="64" spans="1:34" x14ac:dyDescent="0.25">
      <c r="A64" s="94" t="s">
        <v>220</v>
      </c>
      <c r="C64" s="14" t="s">
        <v>243</v>
      </c>
      <c r="D64" s="14" t="s">
        <v>701</v>
      </c>
      <c r="E64" s="23">
        <f>'Func &amp; Classif'!S126</f>
        <v>10290789.053998116</v>
      </c>
      <c r="F64" s="67">
        <f>IF(VLOOKUP($D64,$C$5:$AU$500,3,)=0,0,(VLOOKUP($D64,$C$5:$AU$500,4,)/VLOOKUP($D64,$C$5:$AU$500,3,))*$E64)</f>
        <v>5372157.0328118578</v>
      </c>
      <c r="G64" s="67">
        <f>IF(VLOOKUP($D64,$C$5:$AU$500,3,)=0,0,(VLOOKUP($D64,$C$5:$AU$500,5,)/VLOOKUP($D64,$C$5:$AU$500,3,))*$E64)</f>
        <v>2334464.8731147456</v>
      </c>
      <c r="H64" s="42">
        <f>IF(VLOOKUP($D64,$C$5:$AU$500,3,)=0,0,(VLOOKUP($D64,$C$5:$AU$500,6,)/VLOOKUP($D64,$C$5:$AU$500,3,))*$E64)</f>
        <v>622315.62415814714</v>
      </c>
      <c r="I64" s="42">
        <f>IF(VLOOKUP($D64,$C$5:$AU$500,3,)=0,0,(VLOOKUP($D64,$C$5:$AU$500,7,)/VLOOKUP($D64,$C$5:$AU$500,3,))*$E64)</f>
        <v>1472432.7868658875</v>
      </c>
      <c r="J64" s="42">
        <f>IF(VLOOKUP($D64,$C$5:$AU$500,3,)=0,0,(VLOOKUP($D64,$C$5:$AU$500,8,)/VLOOKUP($D64,$C$5:$AU$500,3,))*$E64)</f>
        <v>0</v>
      </c>
      <c r="K64" s="42">
        <f>IF(VLOOKUP($D64,$C$5:$AU$500,3,)=0,0,(VLOOKUP($D64,$C$5:$AU$500,9,)/VLOOKUP($D64,$C$5:$AU$500,3,))*$E64)</f>
        <v>4556.2644255777832</v>
      </c>
      <c r="L64" s="67">
        <f>IF(VLOOKUP($D64,$C$5:$AU$500,3,)=0,0,(VLOOKUP($D64,$C$5:$AU$500,10,)/VLOOKUP($D64,$C$5:$AU$500,3,))*$E64)</f>
        <v>484862.47262190253</v>
      </c>
      <c r="M64" s="42">
        <f>IF(VLOOKUP($D64,$C$5:$AU$500,3,)=0,0,(VLOOKUP($D64,$C$5:$AU$500,11,)/VLOOKUP($D64,$C$5:$AU$500,3,))*$E64)</f>
        <v>0</v>
      </c>
      <c r="N64" s="42">
        <f>IF(VLOOKUP($D64,$C$5:$AU$500,3,)=0,0,(VLOOKUP($D64,$C$5:$AU$500,12,)/VLOOKUP($D64,$C$5:$AU$500,3,))*$E64)</f>
        <v>0</v>
      </c>
      <c r="O64" s="42">
        <f>IF(VLOOKUP($D64,$C$5:$AU$500,3,)=0,0,(VLOOKUP($D64,$C$5:$AU$500,13,)/VLOOKUP($D64,$C$5:$AU$500,3,))*$E64)</f>
        <v>0</v>
      </c>
      <c r="P64" s="42">
        <f>IF(VLOOKUP($D64,$C$5:$AU$500,3,)=0,0,(VLOOKUP($D64,$C$5:$AU$500,14,)/VLOOKUP($D64,$C$5:$AU$500,3,))*$E64)</f>
        <v>0</v>
      </c>
      <c r="Q64" s="42">
        <f>IF(VLOOKUP($D64,$C$5:$AU$500,3,)=0,0,(VLOOKUP($D64,$C$5:$AU$500,15,)/VLOOKUP($D64,$C$5:$AU$500,3,))*$E64)</f>
        <v>0</v>
      </c>
      <c r="R64" s="42">
        <f>IF(VLOOKUP($D64,$C$5:$AU$500,3,)=0,0,(VLOOKUP($D64,$C$5:$AU$500,16,)/VLOOKUP($D64,$C$5:$AU$500,3,))*$E64)</f>
        <v>0</v>
      </c>
      <c r="S64" s="107">
        <f>IF(VLOOKUP($D64,$C$5:$AU$500,3,)=0,0,(VLOOKUP($D64,$C$5:$AU$500,17,)/VLOOKUP($D64,$C$5:$AU$500,3,))*$E64)</f>
        <v>0</v>
      </c>
      <c r="T64" s="107">
        <f>IF(VLOOKUP($D64,$C$5:$AU$500,3,)=0,0,(VLOOKUP($D64,$C$5:$AU$500,18,)/VLOOKUP($D64,$C$5:$AU$500,3,))*$E64)</f>
        <v>0</v>
      </c>
      <c r="U64" s="107">
        <f>IF(VLOOKUP($D64,$C$5:$AU$500,3,)=0,0,(VLOOKUP($D64,$C$5:$AU$500,19,)/VLOOKUP($D64,$C$5:$AU$500,3,))*$E64)</f>
        <v>0</v>
      </c>
      <c r="V64" s="107">
        <f>IF(VLOOKUP($D64,$C$5:$AU$500,3,)=0,0,(VLOOKUP($D64,$C$5:$AU$500,20,)/VLOOKUP($D64,$C$5:$AU$500,3,))*$E64)</f>
        <v>0</v>
      </c>
      <c r="W64" s="107">
        <f>IF(VLOOKUP($D64,$C$5:$AU$500,3,)=0,0,(VLOOKUP($D64,$C$5:$AU$500,21,)/VLOOKUP($D64,$C$5:$AU$500,3,))*$E64)</f>
        <v>0</v>
      </c>
      <c r="X64" s="107">
        <f>IF(VLOOKUP($D64,$C$5:$AU$500,3,)=0,0,(VLOOKUP($D64,$C$5:$AU$500,22,)/VLOOKUP($D64,$C$5:$AU$500,3,))*$E64)</f>
        <v>0</v>
      </c>
      <c r="Y64" s="107">
        <f>IF(VLOOKUP($D64,$C$5:$AU$500,3,)=0,0,(VLOOKUP($D64,$C$5:$AU$500,23,)/VLOOKUP($D64,$C$5:$AU$500,3,))*$E64)</f>
        <v>0</v>
      </c>
      <c r="Z64" s="107">
        <f>IF(VLOOKUP($D64,$C$5:$AU$500,3,)=0,0,(VLOOKUP($D64,$C$5:$AU$500,24,)/VLOOKUP($D64,$C$5:$AU$500,3,))*$E64)</f>
        <v>0</v>
      </c>
      <c r="AA64" s="107">
        <f>IF(VLOOKUP($D64,$C$5:$AU$500,3,)=0,0,(VLOOKUP($D64,$C$5:$AU$500,25,)/VLOOKUP($D64,$C$5:$AU$500,3,))*$E64)</f>
        <v>0</v>
      </c>
      <c r="AB64" s="107">
        <f>IF(VLOOKUP($D64,$C$5:$AU$500,3,)=0,0,(VLOOKUP($D64,$C$5:$AU$500,26,)/VLOOKUP($D64,$C$5:$AU$500,3,))*$E64)</f>
        <v>0</v>
      </c>
      <c r="AC64" s="107">
        <f>IF(VLOOKUP($D64,$C$5:$AU$500,3,)=0,0,(VLOOKUP($D64,$C$5:$AU$500,27,)/VLOOKUP($D64,$C$5:$AU$500,3,))*$E64)</f>
        <v>0</v>
      </c>
      <c r="AD64" s="107">
        <f>IF(VLOOKUP($D64,$C$5:$AU$500,3,)=0,0,(VLOOKUP($D64,$C$5:$AU$500,28,)/VLOOKUP($D64,$C$5:$AU$500,3,))*$E64)</f>
        <v>0</v>
      </c>
      <c r="AE64" s="107">
        <f>IF(VLOOKUP($D64,$C$5:$AU$500,3,)=0,0,(VLOOKUP($D64,$C$5:$AU$500,29,)/VLOOKUP($D64,$C$5:$AU$500,3,))*$E64)</f>
        <v>0</v>
      </c>
      <c r="AF64" s="107">
        <f>IF(VLOOKUP($D64,$C$5:$AU$500,3,)=0,0,(VLOOKUP($D64,$C$5:$AU$500,30,)/VLOOKUP($D64,$C$5:$AU$500,3,))*$E64)</f>
        <v>0</v>
      </c>
      <c r="AG64" s="91">
        <f>SUM(F64:AF64)</f>
        <v>10290789.053998118</v>
      </c>
      <c r="AH64" s="28" t="str">
        <f>IF(ABS(E64-AG64)&lt;0.01,"ok","err")</f>
        <v>ok</v>
      </c>
    </row>
    <row r="65" spans="1:34" x14ac:dyDescent="0.25">
      <c r="A65" s="14" t="s">
        <v>227</v>
      </c>
      <c r="E65" s="42">
        <f t="shared" ref="E65:T65" si="12">E63+E64</f>
        <v>10290789.053998116</v>
      </c>
      <c r="F65" s="67">
        <f t="shared" si="12"/>
        <v>5372157.0328118578</v>
      </c>
      <c r="G65" s="67">
        <f t="shared" si="12"/>
        <v>2334464.8731147456</v>
      </c>
      <c r="H65" s="42">
        <f t="shared" si="12"/>
        <v>622315.62415814714</v>
      </c>
      <c r="I65" s="42">
        <f t="shared" si="12"/>
        <v>1472432.7868658875</v>
      </c>
      <c r="J65" s="42">
        <f t="shared" si="12"/>
        <v>0</v>
      </c>
      <c r="K65" s="42">
        <f t="shared" si="12"/>
        <v>4556.2644255777832</v>
      </c>
      <c r="L65" s="67">
        <f t="shared" si="12"/>
        <v>484862.47262190253</v>
      </c>
      <c r="M65" s="42">
        <f t="shared" si="12"/>
        <v>0</v>
      </c>
      <c r="N65" s="42">
        <f t="shared" si="12"/>
        <v>0</v>
      </c>
      <c r="O65" s="42">
        <f t="shared" si="12"/>
        <v>0</v>
      </c>
      <c r="P65" s="42">
        <f t="shared" si="12"/>
        <v>0</v>
      </c>
      <c r="Q65" s="42">
        <f t="shared" si="12"/>
        <v>0</v>
      </c>
      <c r="R65" s="42">
        <f t="shared" si="12"/>
        <v>0</v>
      </c>
      <c r="S65" s="107">
        <f t="shared" si="12"/>
        <v>0</v>
      </c>
      <c r="T65" s="107">
        <f t="shared" si="12"/>
        <v>0</v>
      </c>
      <c r="U65" s="107">
        <f t="shared" ref="U65:AF65" si="13">U63+U64</f>
        <v>0</v>
      </c>
      <c r="V65" s="107">
        <f t="shared" si="13"/>
        <v>0</v>
      </c>
      <c r="W65" s="107">
        <f t="shared" si="13"/>
        <v>0</v>
      </c>
      <c r="X65" s="107">
        <f t="shared" si="13"/>
        <v>0</v>
      </c>
      <c r="Y65" s="107">
        <f t="shared" si="13"/>
        <v>0</v>
      </c>
      <c r="Z65" s="107">
        <f t="shared" si="13"/>
        <v>0</v>
      </c>
      <c r="AA65" s="107">
        <f t="shared" si="13"/>
        <v>0</v>
      </c>
      <c r="AB65" s="107">
        <f t="shared" si="13"/>
        <v>0</v>
      </c>
      <c r="AC65" s="107">
        <f t="shared" si="13"/>
        <v>0</v>
      </c>
      <c r="AD65" s="107">
        <f t="shared" si="13"/>
        <v>0</v>
      </c>
      <c r="AE65" s="107">
        <f t="shared" si="13"/>
        <v>0</v>
      </c>
      <c r="AF65" s="107">
        <f t="shared" si="13"/>
        <v>0</v>
      </c>
      <c r="AG65" s="91">
        <f>SUM(F65:AF65)</f>
        <v>10290789.053998118</v>
      </c>
      <c r="AH65" s="28" t="str">
        <f>IF(ABS(E65-AG65)&lt;0.01,"ok","err")</f>
        <v>ok</v>
      </c>
    </row>
    <row r="66" spans="1:34" x14ac:dyDescent="0.25">
      <c r="E66" s="23"/>
    </row>
    <row r="67" spans="1:34" x14ac:dyDescent="0.25">
      <c r="A67" s="13" t="s">
        <v>4</v>
      </c>
      <c r="E67" s="23"/>
    </row>
    <row r="68" spans="1:34" x14ac:dyDescent="0.25">
      <c r="A68" s="94" t="s">
        <v>220</v>
      </c>
      <c r="C68" s="14" t="s">
        <v>244</v>
      </c>
      <c r="D68" s="14" t="s">
        <v>229</v>
      </c>
      <c r="E68" s="42">
        <f>'Func &amp; Classif'!U126</f>
        <v>9964389.0218988415</v>
      </c>
      <c r="F68" s="67">
        <f>IF(VLOOKUP($D68,$C$5:$AU$500,3,)=0,0,(VLOOKUP($D68,$C$5:$AU$500,4,)/VLOOKUP($D68,$C$5:$AU$500,3,))*$E68)</f>
        <v>5201764.6344494708</v>
      </c>
      <c r="G68" s="67">
        <f>IF(VLOOKUP($D68,$C$5:$AU$500,3,)=0,0,(VLOOKUP($D68,$C$5:$AU$500,5,)/VLOOKUP($D68,$C$5:$AU$500,3,))*$E68)</f>
        <v>2260421.0456180344</v>
      </c>
      <c r="H68" s="42">
        <f>IF(VLOOKUP($D68,$C$5:$AU$500,3,)=0,0,(VLOOKUP($D68,$C$5:$AU$500,6,)/VLOOKUP($D68,$C$5:$AU$500,3,))*$E68)</f>
        <v>602577.21161900542</v>
      </c>
      <c r="I68" s="42">
        <f>IF(VLOOKUP($D68,$C$5:$AU$500,3,)=0,0,(VLOOKUP($D68,$C$5:$AU$500,7,)/VLOOKUP($D68,$C$5:$AU$500,3,))*$E68)</f>
        <v>1425730.6237591302</v>
      </c>
      <c r="J68" s="42">
        <f>IF(VLOOKUP($D68,$C$5:$AU$500,3,)=0,0,(VLOOKUP($D68,$C$5:$AU$500,8,)/VLOOKUP($D68,$C$5:$AU$500,3,))*$E68)</f>
        <v>0</v>
      </c>
      <c r="K68" s="42">
        <f>IF(VLOOKUP($D68,$C$5:$AU$500,3,)=0,0,(VLOOKUP($D68,$C$5:$AU$500,9,)/VLOOKUP($D68,$C$5:$AU$500,3,))*$E68)</f>
        <v>4411.7502540251571</v>
      </c>
      <c r="L68" s="67">
        <f>IF(VLOOKUP($D68,$C$5:$AU$500,3,)=0,0,(VLOOKUP($D68,$C$5:$AU$500,10,)/VLOOKUP($D68,$C$5:$AU$500,3,))*$E68)</f>
        <v>469483.75619917724</v>
      </c>
      <c r="M68" s="42">
        <f>IF(VLOOKUP($D68,$C$5:$AU$500,3,)=0,0,(VLOOKUP($D68,$C$5:$AU$500,11,)/VLOOKUP($D68,$C$5:$AU$500,3,))*$E68)</f>
        <v>0</v>
      </c>
      <c r="N68" s="42">
        <f>IF(VLOOKUP($D68,$C$5:$AU$500,3,)=0,0,(VLOOKUP($D68,$C$5:$AU$500,12,)/VLOOKUP($D68,$C$5:$AU$500,3,))*$E68)</f>
        <v>0</v>
      </c>
      <c r="O68" s="42">
        <f>IF(VLOOKUP($D68,$C$5:$AU$500,3,)=0,0,(VLOOKUP($D68,$C$5:$AU$500,13,)/VLOOKUP($D68,$C$5:$AU$500,3,))*$E68)</f>
        <v>0</v>
      </c>
      <c r="P68" s="42">
        <f>IF(VLOOKUP($D68,$C$5:$AU$500,3,)=0,0,(VLOOKUP($D68,$C$5:$AU$500,14,)/VLOOKUP($D68,$C$5:$AU$500,3,))*$E68)</f>
        <v>0</v>
      </c>
      <c r="Q68" s="42">
        <f>IF(VLOOKUP($D68,$C$5:$AU$500,3,)=0,0,(VLOOKUP($D68,$C$5:$AU$500,15,)/VLOOKUP($D68,$C$5:$AU$500,3,))*$E68)</f>
        <v>0</v>
      </c>
      <c r="R68" s="42">
        <f>IF(VLOOKUP($D68,$C$5:$AU$500,3,)=0,0,(VLOOKUP($D68,$C$5:$AU$500,16,)/VLOOKUP($D68,$C$5:$AU$500,3,))*$E68)</f>
        <v>0</v>
      </c>
      <c r="S68" s="107">
        <f>IF(VLOOKUP($D68,$C$5:$AU$500,3,)=0,0,(VLOOKUP($D68,$C$5:$AU$500,17,)/VLOOKUP($D68,$C$5:$AU$500,3,))*$E68)</f>
        <v>0</v>
      </c>
      <c r="T68" s="107">
        <f>IF(VLOOKUP($D68,$C$5:$AU$500,3,)=0,0,(VLOOKUP($D68,$C$5:$AU$500,18,)/VLOOKUP($D68,$C$5:$AU$500,3,))*$E68)</f>
        <v>0</v>
      </c>
      <c r="U68" s="107">
        <f>IF(VLOOKUP($D68,$C$5:$AU$500,3,)=0,0,(VLOOKUP($D68,$C$5:$AU$500,19,)/VLOOKUP($D68,$C$5:$AU$500,3,))*$E68)</f>
        <v>0</v>
      </c>
      <c r="V68" s="107">
        <f>IF(VLOOKUP($D68,$C$5:$AU$500,3,)=0,0,(VLOOKUP($D68,$C$5:$AU$500,20,)/VLOOKUP($D68,$C$5:$AU$500,3,))*$E68)</f>
        <v>0</v>
      </c>
      <c r="W68" s="107">
        <f>IF(VLOOKUP($D68,$C$5:$AU$500,3,)=0,0,(VLOOKUP($D68,$C$5:$AU$500,21,)/VLOOKUP($D68,$C$5:$AU$500,3,))*$E68)</f>
        <v>0</v>
      </c>
      <c r="X68" s="107">
        <f>IF(VLOOKUP($D68,$C$5:$AU$500,3,)=0,0,(VLOOKUP($D68,$C$5:$AU$500,22,)/VLOOKUP($D68,$C$5:$AU$500,3,))*$E68)</f>
        <v>0</v>
      </c>
      <c r="Y68" s="107">
        <f>IF(VLOOKUP($D68,$C$5:$AU$500,3,)=0,0,(VLOOKUP($D68,$C$5:$AU$500,23,)/VLOOKUP($D68,$C$5:$AU$500,3,))*$E68)</f>
        <v>0</v>
      </c>
      <c r="Z68" s="107">
        <f>IF(VLOOKUP($D68,$C$5:$AU$500,3,)=0,0,(VLOOKUP($D68,$C$5:$AU$500,24,)/VLOOKUP($D68,$C$5:$AU$500,3,))*$E68)</f>
        <v>0</v>
      </c>
      <c r="AA68" s="107">
        <f>IF(VLOOKUP($D68,$C$5:$AU$500,3,)=0,0,(VLOOKUP($D68,$C$5:$AU$500,25,)/VLOOKUP($D68,$C$5:$AU$500,3,))*$E68)</f>
        <v>0</v>
      </c>
      <c r="AB68" s="107">
        <f>IF(VLOOKUP($D68,$C$5:$AU$500,3,)=0,0,(VLOOKUP($D68,$C$5:$AU$500,26,)/VLOOKUP($D68,$C$5:$AU$500,3,))*$E68)</f>
        <v>0</v>
      </c>
      <c r="AC68" s="107">
        <f>IF(VLOOKUP($D68,$C$5:$AU$500,3,)=0,0,(VLOOKUP($D68,$C$5:$AU$500,27,)/VLOOKUP($D68,$C$5:$AU$500,3,))*$E68)</f>
        <v>0</v>
      </c>
      <c r="AD68" s="107">
        <f>IF(VLOOKUP($D68,$C$5:$AU$500,3,)=0,0,(VLOOKUP($D68,$C$5:$AU$500,28,)/VLOOKUP($D68,$C$5:$AU$500,3,))*$E68)</f>
        <v>0</v>
      </c>
      <c r="AE68" s="107">
        <f>IF(VLOOKUP($D68,$C$5:$AU$500,3,)=0,0,(VLOOKUP($D68,$C$5:$AU$500,29,)/VLOOKUP($D68,$C$5:$AU$500,3,))*$E68)</f>
        <v>0</v>
      </c>
      <c r="AF68" s="107">
        <f>IF(VLOOKUP($D68,$C$5:$AU$500,3,)=0,0,(VLOOKUP($D68,$C$5:$AU$500,30,)/VLOOKUP($D68,$C$5:$AU$500,3,))*$E68)</f>
        <v>0</v>
      </c>
      <c r="AG68" s="91">
        <f>SUM(F68:AF68)</f>
        <v>9964389.0218988452</v>
      </c>
      <c r="AH68" s="28" t="str">
        <f>IF(ABS(E68-AG68)&lt;0.01,"ok","err")</f>
        <v>ok</v>
      </c>
    </row>
    <row r="69" spans="1:34" x14ac:dyDescent="0.25">
      <c r="E69" s="23"/>
    </row>
    <row r="70" spans="1:34" x14ac:dyDescent="0.25">
      <c r="A70" s="13" t="s">
        <v>5</v>
      </c>
      <c r="E70" s="23"/>
    </row>
    <row r="71" spans="1:34" x14ac:dyDescent="0.25">
      <c r="A71" s="94" t="s">
        <v>220</v>
      </c>
      <c r="C71" s="14" t="s">
        <v>245</v>
      </c>
      <c r="D71" s="14" t="s">
        <v>231</v>
      </c>
      <c r="E71" s="42">
        <f>'Func &amp; Classif'!W126</f>
        <v>2491128.800871911</v>
      </c>
      <c r="F71" s="67">
        <f>IF(VLOOKUP($D71,$C$5:$AU$500,3,)=0,0,(VLOOKUP($D71,$C$5:$AU$500,4,)/VLOOKUP($D71,$C$5:$AU$500,3,))*$E71)</f>
        <v>0</v>
      </c>
      <c r="G71" s="67">
        <f>IF(VLOOKUP($D71,$C$5:$AU$500,3,)=0,0,(VLOOKUP($D71,$C$5:$AU$500,5,)/VLOOKUP($D71,$C$5:$AU$500,3,))*$E71)</f>
        <v>0</v>
      </c>
      <c r="H71" s="42">
        <f>IF(VLOOKUP($D71,$C$5:$AU$500,3,)=0,0,(VLOOKUP($D71,$C$5:$AU$500,6,)/VLOOKUP($D71,$C$5:$AU$500,3,))*$E71)</f>
        <v>0</v>
      </c>
      <c r="I71" s="42">
        <f>IF(VLOOKUP($D71,$C$5:$AU$500,3,)=0,0,(VLOOKUP($D71,$C$5:$AU$500,7,)/VLOOKUP($D71,$C$5:$AU$500,3,))*$E71)</f>
        <v>0</v>
      </c>
      <c r="J71" s="42">
        <f>IF(VLOOKUP($D71,$C$5:$AU$500,3,)=0,0,(VLOOKUP($D71,$C$5:$AU$500,8,)/VLOOKUP($D71,$C$5:$AU$500,3,))*$E71)</f>
        <v>0</v>
      </c>
      <c r="K71" s="42">
        <f>IF(VLOOKUP($D71,$C$5:$AU$500,3,)=0,0,(VLOOKUP($D71,$C$5:$AU$500,9,)/VLOOKUP($D71,$C$5:$AU$500,3,))*$E71)</f>
        <v>0</v>
      </c>
      <c r="L71" s="67">
        <f>IF(VLOOKUP($D71,$C$5:$AU$500,3,)=0,0,(VLOOKUP($D71,$C$5:$AU$500,10,)/VLOOKUP($D71,$C$5:$AU$500,3,))*$E71)</f>
        <v>2491128.800871911</v>
      </c>
      <c r="M71" s="42">
        <f>IF(VLOOKUP($D71,$C$5:$AU$500,3,)=0,0,(VLOOKUP($D71,$C$5:$AU$500,11,)/VLOOKUP($D71,$C$5:$AU$500,3,))*$E71)</f>
        <v>0</v>
      </c>
      <c r="N71" s="42">
        <f>IF(VLOOKUP($D71,$C$5:$AU$500,3,)=0,0,(VLOOKUP($D71,$C$5:$AU$500,12,)/VLOOKUP($D71,$C$5:$AU$500,3,))*$E71)</f>
        <v>0</v>
      </c>
      <c r="O71" s="42">
        <f>IF(VLOOKUP($D71,$C$5:$AU$500,3,)=0,0,(VLOOKUP($D71,$C$5:$AU$500,13,)/VLOOKUP($D71,$C$5:$AU$500,3,))*$E71)</f>
        <v>0</v>
      </c>
      <c r="P71" s="42">
        <f>IF(VLOOKUP($D71,$C$5:$AU$500,3,)=0,0,(VLOOKUP($D71,$C$5:$AU$500,14,)/VLOOKUP($D71,$C$5:$AU$500,3,))*$E71)</f>
        <v>0</v>
      </c>
      <c r="Q71" s="42">
        <f>IF(VLOOKUP($D71,$C$5:$AU$500,3,)=0,0,(VLOOKUP($D71,$C$5:$AU$500,15,)/VLOOKUP($D71,$C$5:$AU$500,3,))*$E71)</f>
        <v>0</v>
      </c>
      <c r="R71" s="42">
        <f>IF(VLOOKUP($D71,$C$5:$AU$500,3,)=0,0,(VLOOKUP($D71,$C$5:$AU$500,16,)/VLOOKUP($D71,$C$5:$AU$500,3,))*$E71)</f>
        <v>0</v>
      </c>
      <c r="S71" s="107">
        <f>IF(VLOOKUP($D71,$C$5:$AU$500,3,)=0,0,(VLOOKUP($D71,$C$5:$AU$500,17,)/VLOOKUP($D71,$C$5:$AU$500,3,))*$E71)</f>
        <v>0</v>
      </c>
      <c r="T71" s="107">
        <f>IF(VLOOKUP($D71,$C$5:$AU$500,3,)=0,0,(VLOOKUP($D71,$C$5:$AU$500,18,)/VLOOKUP($D71,$C$5:$AU$500,3,))*$E71)</f>
        <v>0</v>
      </c>
      <c r="U71" s="107">
        <f>IF(VLOOKUP($D71,$C$5:$AU$500,3,)=0,0,(VLOOKUP($D71,$C$5:$AU$500,19,)/VLOOKUP($D71,$C$5:$AU$500,3,))*$E71)</f>
        <v>0</v>
      </c>
      <c r="V71" s="107">
        <f>IF(VLOOKUP($D71,$C$5:$AU$500,3,)=0,0,(VLOOKUP($D71,$C$5:$AU$500,20,)/VLOOKUP($D71,$C$5:$AU$500,3,))*$E71)</f>
        <v>0</v>
      </c>
      <c r="W71" s="107">
        <f>IF(VLOOKUP($D71,$C$5:$AU$500,3,)=0,0,(VLOOKUP($D71,$C$5:$AU$500,21,)/VLOOKUP($D71,$C$5:$AU$500,3,))*$E71)</f>
        <v>0</v>
      </c>
      <c r="X71" s="107">
        <f>IF(VLOOKUP($D71,$C$5:$AU$500,3,)=0,0,(VLOOKUP($D71,$C$5:$AU$500,22,)/VLOOKUP($D71,$C$5:$AU$500,3,))*$E71)</f>
        <v>0</v>
      </c>
      <c r="Y71" s="107">
        <f>IF(VLOOKUP($D71,$C$5:$AU$500,3,)=0,0,(VLOOKUP($D71,$C$5:$AU$500,23,)/VLOOKUP($D71,$C$5:$AU$500,3,))*$E71)</f>
        <v>0</v>
      </c>
      <c r="Z71" s="107">
        <f>IF(VLOOKUP($D71,$C$5:$AU$500,3,)=0,0,(VLOOKUP($D71,$C$5:$AU$500,24,)/VLOOKUP($D71,$C$5:$AU$500,3,))*$E71)</f>
        <v>0</v>
      </c>
      <c r="AA71" s="107">
        <f>IF(VLOOKUP($D71,$C$5:$AU$500,3,)=0,0,(VLOOKUP($D71,$C$5:$AU$500,25,)/VLOOKUP($D71,$C$5:$AU$500,3,))*$E71)</f>
        <v>0</v>
      </c>
      <c r="AB71" s="107">
        <f>IF(VLOOKUP($D71,$C$5:$AU$500,3,)=0,0,(VLOOKUP($D71,$C$5:$AU$500,26,)/VLOOKUP($D71,$C$5:$AU$500,3,))*$E71)</f>
        <v>0</v>
      </c>
      <c r="AC71" s="107">
        <f>IF(VLOOKUP($D71,$C$5:$AU$500,3,)=0,0,(VLOOKUP($D71,$C$5:$AU$500,27,)/VLOOKUP($D71,$C$5:$AU$500,3,))*$E71)</f>
        <v>0</v>
      </c>
      <c r="AD71" s="107">
        <f>IF(VLOOKUP($D71,$C$5:$AU$500,3,)=0,0,(VLOOKUP($D71,$C$5:$AU$500,28,)/VLOOKUP($D71,$C$5:$AU$500,3,))*$E71)</f>
        <v>0</v>
      </c>
      <c r="AE71" s="107">
        <f>IF(VLOOKUP($D71,$C$5:$AU$500,3,)=0,0,(VLOOKUP($D71,$C$5:$AU$500,29,)/VLOOKUP($D71,$C$5:$AU$500,3,))*$E71)</f>
        <v>0</v>
      </c>
      <c r="AF71" s="107">
        <f>IF(VLOOKUP($D71,$C$5:$AU$500,3,)=0,0,(VLOOKUP($D71,$C$5:$AU$500,30,)/VLOOKUP($D71,$C$5:$AU$500,3,))*$E71)</f>
        <v>0</v>
      </c>
      <c r="AG71" s="91">
        <f>SUM(F71:AF71)</f>
        <v>2491128.800871911</v>
      </c>
      <c r="AH71" s="28" t="str">
        <f>IF(ABS(E71-AG71)&lt;0.01,"ok","err")</f>
        <v>ok</v>
      </c>
    </row>
    <row r="72" spans="1:34" x14ac:dyDescent="0.25">
      <c r="E72" s="23"/>
    </row>
    <row r="73" spans="1:34" x14ac:dyDescent="0.25">
      <c r="A73" s="13" t="s">
        <v>545</v>
      </c>
      <c r="E73" s="23"/>
    </row>
    <row r="74" spans="1:34" x14ac:dyDescent="0.25">
      <c r="A74" s="94" t="s">
        <v>220</v>
      </c>
      <c r="C74" s="14" t="s">
        <v>246</v>
      </c>
      <c r="D74" s="14" t="s">
        <v>233</v>
      </c>
      <c r="E74" s="42">
        <f>'Func &amp; Classif'!Y126</f>
        <v>0</v>
      </c>
      <c r="F74" s="67">
        <f>IF(VLOOKUP($D74,$C$5:$AU$500,3,)=0,0,(VLOOKUP($D74,$C$5:$AU$500,4,)/VLOOKUP($D74,$C$5:$AU$500,3,))*$E74)</f>
        <v>0</v>
      </c>
      <c r="G74" s="67">
        <f>IF(VLOOKUP($D74,$C$5:$AU$500,3,)=0,0,(VLOOKUP($D74,$C$5:$AU$500,5,)/VLOOKUP($D74,$C$5:$AU$500,3,))*$E74)</f>
        <v>0</v>
      </c>
      <c r="H74" s="42">
        <f>IF(VLOOKUP($D74,$C$5:$AU$500,3,)=0,0,(VLOOKUP($D74,$C$5:$AU$500,6,)/VLOOKUP($D74,$C$5:$AU$500,3,))*$E74)</f>
        <v>0</v>
      </c>
      <c r="I74" s="42">
        <f>IF(VLOOKUP($D74,$C$5:$AU$500,3,)=0,0,(VLOOKUP($D74,$C$5:$AU$500,7,)/VLOOKUP($D74,$C$5:$AU$500,3,))*$E74)</f>
        <v>0</v>
      </c>
      <c r="J74" s="42">
        <f>IF(VLOOKUP($D74,$C$5:$AU$500,3,)=0,0,(VLOOKUP($D74,$C$5:$AU$500,8,)/VLOOKUP($D74,$C$5:$AU$500,3,))*$E74)</f>
        <v>0</v>
      </c>
      <c r="K74" s="42">
        <f>IF(VLOOKUP($D74,$C$5:$AU$500,3,)=0,0,(VLOOKUP($D74,$C$5:$AU$500,9,)/VLOOKUP($D74,$C$5:$AU$500,3,))*$E74)</f>
        <v>0</v>
      </c>
      <c r="L74" s="67">
        <f>IF(VLOOKUP($D74,$C$5:$AU$500,3,)=0,0,(VLOOKUP($D74,$C$5:$AU$500,10,)/VLOOKUP($D74,$C$5:$AU$500,3,))*$E74)</f>
        <v>0</v>
      </c>
      <c r="M74" s="42">
        <f>IF(VLOOKUP($D74,$C$5:$AU$500,3,)=0,0,(VLOOKUP($D74,$C$5:$AU$500,11,)/VLOOKUP($D74,$C$5:$AU$500,3,))*$E74)</f>
        <v>0</v>
      </c>
      <c r="N74" s="42">
        <f>IF(VLOOKUP($D74,$C$5:$AU$500,3,)=0,0,(VLOOKUP($D74,$C$5:$AU$500,12,)/VLOOKUP($D74,$C$5:$AU$500,3,))*$E74)</f>
        <v>0</v>
      </c>
      <c r="O74" s="42">
        <f>IF(VLOOKUP($D74,$C$5:$AU$500,3,)=0,0,(VLOOKUP($D74,$C$5:$AU$500,13,)/VLOOKUP($D74,$C$5:$AU$500,3,))*$E74)</f>
        <v>0</v>
      </c>
      <c r="P74" s="42">
        <f>IF(VLOOKUP($D74,$C$5:$AU$500,3,)=0,0,(VLOOKUP($D74,$C$5:$AU$500,14,)/VLOOKUP($D74,$C$5:$AU$500,3,))*$E74)</f>
        <v>0</v>
      </c>
      <c r="Q74" s="42">
        <f>IF(VLOOKUP($D74,$C$5:$AU$500,3,)=0,0,(VLOOKUP($D74,$C$5:$AU$500,15,)/VLOOKUP($D74,$C$5:$AU$500,3,))*$E74)</f>
        <v>0</v>
      </c>
      <c r="R74" s="42">
        <f>IF(VLOOKUP($D74,$C$5:$AU$500,3,)=0,0,(VLOOKUP($D74,$C$5:$AU$500,16,)/VLOOKUP($D74,$C$5:$AU$500,3,))*$E74)</f>
        <v>0</v>
      </c>
      <c r="S74" s="107">
        <f>IF(VLOOKUP($D74,$C$5:$AU$500,3,)=0,0,(VLOOKUP($D74,$C$5:$AU$500,17,)/VLOOKUP($D74,$C$5:$AU$500,3,))*$E74)</f>
        <v>0</v>
      </c>
      <c r="T74" s="107">
        <f>IF(VLOOKUP($D74,$C$5:$AU$500,3,)=0,0,(VLOOKUP($D74,$C$5:$AU$500,18,)/VLOOKUP($D74,$C$5:$AU$500,3,))*$E74)</f>
        <v>0</v>
      </c>
      <c r="U74" s="107">
        <f>IF(VLOOKUP($D74,$C$5:$AU$500,3,)=0,0,(VLOOKUP($D74,$C$5:$AU$500,19,)/VLOOKUP($D74,$C$5:$AU$500,3,))*$E74)</f>
        <v>0</v>
      </c>
      <c r="V74" s="107">
        <f>IF(VLOOKUP($D74,$C$5:$AU$500,3,)=0,0,(VLOOKUP($D74,$C$5:$AU$500,20,)/VLOOKUP($D74,$C$5:$AU$500,3,))*$E74)</f>
        <v>0</v>
      </c>
      <c r="W74" s="107">
        <f>IF(VLOOKUP($D74,$C$5:$AU$500,3,)=0,0,(VLOOKUP($D74,$C$5:$AU$500,21,)/VLOOKUP($D74,$C$5:$AU$500,3,))*$E74)</f>
        <v>0</v>
      </c>
      <c r="X74" s="107">
        <f>IF(VLOOKUP($D74,$C$5:$AU$500,3,)=0,0,(VLOOKUP($D74,$C$5:$AU$500,22,)/VLOOKUP($D74,$C$5:$AU$500,3,))*$E74)</f>
        <v>0</v>
      </c>
      <c r="Y74" s="107">
        <f>IF(VLOOKUP($D74,$C$5:$AU$500,3,)=0,0,(VLOOKUP($D74,$C$5:$AU$500,23,)/VLOOKUP($D74,$C$5:$AU$500,3,))*$E74)</f>
        <v>0</v>
      </c>
      <c r="Z74" s="107">
        <f>IF(VLOOKUP($D74,$C$5:$AU$500,3,)=0,0,(VLOOKUP($D74,$C$5:$AU$500,24,)/VLOOKUP($D74,$C$5:$AU$500,3,))*$E74)</f>
        <v>0</v>
      </c>
      <c r="AA74" s="107">
        <f>IF(VLOOKUP($D74,$C$5:$AU$500,3,)=0,0,(VLOOKUP($D74,$C$5:$AU$500,25,)/VLOOKUP($D74,$C$5:$AU$500,3,))*$E74)</f>
        <v>0</v>
      </c>
      <c r="AB74" s="107">
        <f>IF(VLOOKUP($D74,$C$5:$AU$500,3,)=0,0,(VLOOKUP($D74,$C$5:$AU$500,26,)/VLOOKUP($D74,$C$5:$AU$500,3,))*$E74)</f>
        <v>0</v>
      </c>
      <c r="AC74" s="107">
        <f>IF(VLOOKUP($D74,$C$5:$AU$500,3,)=0,0,(VLOOKUP($D74,$C$5:$AU$500,27,)/VLOOKUP($D74,$C$5:$AU$500,3,))*$E74)</f>
        <v>0</v>
      </c>
      <c r="AD74" s="107">
        <f>IF(VLOOKUP($D74,$C$5:$AU$500,3,)=0,0,(VLOOKUP($D74,$C$5:$AU$500,28,)/VLOOKUP($D74,$C$5:$AU$500,3,))*$E74)</f>
        <v>0</v>
      </c>
      <c r="AE74" s="107">
        <f>IF(VLOOKUP($D74,$C$5:$AU$500,3,)=0,0,(VLOOKUP($D74,$C$5:$AU$500,29,)/VLOOKUP($D74,$C$5:$AU$500,3,))*$E74)</f>
        <v>0</v>
      </c>
      <c r="AF74" s="107">
        <f>IF(VLOOKUP($D74,$C$5:$AU$500,3,)=0,0,(VLOOKUP($D74,$C$5:$AU$500,30,)/VLOOKUP($D74,$C$5:$AU$500,3,))*$E74)</f>
        <v>0</v>
      </c>
      <c r="AG74" s="91">
        <f>SUM(F74:AF74)</f>
        <v>0</v>
      </c>
      <c r="AH74" s="28" t="str">
        <f>IF(ABS(E74-AG74)&lt;0.01,"ok","err")</f>
        <v>ok</v>
      </c>
    </row>
    <row r="75" spans="1:34" x14ac:dyDescent="0.25">
      <c r="E75" s="23"/>
    </row>
    <row r="76" spans="1:34" x14ac:dyDescent="0.25">
      <c r="A76" s="13" t="s">
        <v>470</v>
      </c>
      <c r="E76" s="23"/>
    </row>
    <row r="77" spans="1:34" x14ac:dyDescent="0.25">
      <c r="A77" s="94" t="s">
        <v>220</v>
      </c>
      <c r="C77" s="14" t="s">
        <v>243</v>
      </c>
      <c r="D77" s="14" t="s">
        <v>234</v>
      </c>
      <c r="E77" s="42">
        <f>'Func &amp; Classif'!AA126</f>
        <v>0</v>
      </c>
      <c r="F77" s="67">
        <f>IF(VLOOKUP($D77,$C$5:$AU$500,3,)=0,0,(VLOOKUP($D77,$C$5:$AU$500,4,)/VLOOKUP($D77,$C$5:$AU$500,3,))*$E77)</f>
        <v>0</v>
      </c>
      <c r="G77" s="67">
        <f>IF(VLOOKUP($D77,$C$5:$AU$500,3,)=0,0,(VLOOKUP($D77,$C$5:$AU$500,5,)/VLOOKUP($D77,$C$5:$AU$500,3,))*$E77)</f>
        <v>0</v>
      </c>
      <c r="H77" s="42">
        <f>IF(VLOOKUP($D77,$C$5:$AU$500,3,)=0,0,(VLOOKUP($D77,$C$5:$AU$500,6,)/VLOOKUP($D77,$C$5:$AU$500,3,))*$E77)</f>
        <v>0</v>
      </c>
      <c r="I77" s="42">
        <f>IF(VLOOKUP($D77,$C$5:$AU$500,3,)=0,0,(VLOOKUP($D77,$C$5:$AU$500,7,)/VLOOKUP($D77,$C$5:$AU$500,3,))*$E77)</f>
        <v>0</v>
      </c>
      <c r="J77" s="42">
        <f>IF(VLOOKUP($D77,$C$5:$AU$500,3,)=0,0,(VLOOKUP($D77,$C$5:$AU$500,8,)/VLOOKUP($D77,$C$5:$AU$500,3,))*$E77)</f>
        <v>0</v>
      </c>
      <c r="K77" s="42">
        <f>IF(VLOOKUP($D77,$C$5:$AU$500,3,)=0,0,(VLOOKUP($D77,$C$5:$AU$500,9,)/VLOOKUP($D77,$C$5:$AU$500,3,))*$E77)</f>
        <v>0</v>
      </c>
      <c r="L77" s="67">
        <f>IF(VLOOKUP($D77,$C$5:$AU$500,3,)=0,0,(VLOOKUP($D77,$C$5:$AU$500,10,)/VLOOKUP($D77,$C$5:$AU$500,3,))*$E77)</f>
        <v>0</v>
      </c>
      <c r="M77" s="42">
        <f>IF(VLOOKUP($D77,$C$5:$AU$500,3,)=0,0,(VLOOKUP($D77,$C$5:$AU$500,11,)/VLOOKUP($D77,$C$5:$AU$500,3,))*$E77)</f>
        <v>0</v>
      </c>
      <c r="N77" s="42">
        <f>IF(VLOOKUP($D77,$C$5:$AU$500,3,)=0,0,(VLOOKUP($D77,$C$5:$AU$500,12,)/VLOOKUP($D77,$C$5:$AU$500,3,))*$E77)</f>
        <v>0</v>
      </c>
      <c r="O77" s="42">
        <f>IF(VLOOKUP($D77,$C$5:$AU$500,3,)=0,0,(VLOOKUP($D77,$C$5:$AU$500,13,)/VLOOKUP($D77,$C$5:$AU$500,3,))*$E77)</f>
        <v>0</v>
      </c>
      <c r="P77" s="42">
        <f>IF(VLOOKUP($D77,$C$5:$AU$500,3,)=0,0,(VLOOKUP($D77,$C$5:$AU$500,14,)/VLOOKUP($D77,$C$5:$AU$500,3,))*$E77)</f>
        <v>0</v>
      </c>
      <c r="Q77" s="42">
        <f>IF(VLOOKUP($D77,$C$5:$AU$500,3,)=0,0,(VLOOKUP($D77,$C$5:$AU$500,15,)/VLOOKUP($D77,$C$5:$AU$500,3,))*$E77)</f>
        <v>0</v>
      </c>
      <c r="R77" s="42">
        <f>IF(VLOOKUP($D77,$C$5:$AU$500,3,)=0,0,(VLOOKUP($D77,$C$5:$AU$500,16,)/VLOOKUP($D77,$C$5:$AU$500,3,))*$E77)</f>
        <v>0</v>
      </c>
      <c r="S77" s="107">
        <f>IF(VLOOKUP($D77,$C$5:$AU$500,3,)=0,0,(VLOOKUP($D77,$C$5:$AU$500,17,)/VLOOKUP($D77,$C$5:$AU$500,3,))*$E77)</f>
        <v>0</v>
      </c>
      <c r="T77" s="107">
        <f>IF(VLOOKUP($D77,$C$5:$AU$500,3,)=0,0,(VLOOKUP($D77,$C$5:$AU$500,18,)/VLOOKUP($D77,$C$5:$AU$500,3,))*$E77)</f>
        <v>0</v>
      </c>
      <c r="U77" s="107">
        <f>IF(VLOOKUP($D77,$C$5:$AU$500,3,)=0,0,(VLOOKUP($D77,$C$5:$AU$500,19,)/VLOOKUP($D77,$C$5:$AU$500,3,))*$E77)</f>
        <v>0</v>
      </c>
      <c r="V77" s="107">
        <f>IF(VLOOKUP($D77,$C$5:$AU$500,3,)=0,0,(VLOOKUP($D77,$C$5:$AU$500,20,)/VLOOKUP($D77,$C$5:$AU$500,3,))*$E77)</f>
        <v>0</v>
      </c>
      <c r="W77" s="107">
        <f>IF(VLOOKUP($D77,$C$5:$AU$500,3,)=0,0,(VLOOKUP($D77,$C$5:$AU$500,21,)/VLOOKUP($D77,$C$5:$AU$500,3,))*$E77)</f>
        <v>0</v>
      </c>
      <c r="X77" s="107">
        <f>IF(VLOOKUP($D77,$C$5:$AU$500,3,)=0,0,(VLOOKUP($D77,$C$5:$AU$500,22,)/VLOOKUP($D77,$C$5:$AU$500,3,))*$E77)</f>
        <v>0</v>
      </c>
      <c r="Y77" s="107">
        <f>IF(VLOOKUP($D77,$C$5:$AU$500,3,)=0,0,(VLOOKUP($D77,$C$5:$AU$500,23,)/VLOOKUP($D77,$C$5:$AU$500,3,))*$E77)</f>
        <v>0</v>
      </c>
      <c r="Z77" s="107">
        <f>IF(VLOOKUP($D77,$C$5:$AU$500,3,)=0,0,(VLOOKUP($D77,$C$5:$AU$500,24,)/VLOOKUP($D77,$C$5:$AU$500,3,))*$E77)</f>
        <v>0</v>
      </c>
      <c r="AA77" s="107">
        <f>IF(VLOOKUP($D77,$C$5:$AU$500,3,)=0,0,(VLOOKUP($D77,$C$5:$AU$500,25,)/VLOOKUP($D77,$C$5:$AU$500,3,))*$E77)</f>
        <v>0</v>
      </c>
      <c r="AB77" s="107">
        <f>IF(VLOOKUP($D77,$C$5:$AU$500,3,)=0,0,(VLOOKUP($D77,$C$5:$AU$500,26,)/VLOOKUP($D77,$C$5:$AU$500,3,))*$E77)</f>
        <v>0</v>
      </c>
      <c r="AC77" s="107">
        <f>IF(VLOOKUP($D77,$C$5:$AU$500,3,)=0,0,(VLOOKUP($D77,$C$5:$AU$500,27,)/VLOOKUP($D77,$C$5:$AU$500,3,))*$E77)</f>
        <v>0</v>
      </c>
      <c r="AD77" s="107">
        <f>IF(VLOOKUP($D77,$C$5:$AU$500,3,)=0,0,(VLOOKUP($D77,$C$5:$AU$500,28,)/VLOOKUP($D77,$C$5:$AU$500,3,))*$E77)</f>
        <v>0</v>
      </c>
      <c r="AE77" s="107">
        <f>IF(VLOOKUP($D77,$C$5:$AU$500,3,)=0,0,(VLOOKUP($D77,$C$5:$AU$500,29,)/VLOOKUP($D77,$C$5:$AU$500,3,))*$E77)</f>
        <v>0</v>
      </c>
      <c r="AF77" s="107">
        <f>IF(VLOOKUP($D77,$C$5:$AU$500,3,)=0,0,(VLOOKUP($D77,$C$5:$AU$500,30,)/VLOOKUP($D77,$C$5:$AU$500,3,))*$E77)</f>
        <v>0</v>
      </c>
      <c r="AG77" s="91">
        <f>SUM(F77:AF77)</f>
        <v>0</v>
      </c>
      <c r="AH77" s="28" t="str">
        <f>IF(ABS(E77-AG77)&lt;0.01,"ok","err")</f>
        <v>ok</v>
      </c>
    </row>
    <row r="78" spans="1:34" x14ac:dyDescent="0.25">
      <c r="E78" s="23"/>
    </row>
    <row r="79" spans="1:34" x14ac:dyDescent="0.25">
      <c r="A79" s="14" t="s">
        <v>0</v>
      </c>
      <c r="C79" s="14" t="s">
        <v>247</v>
      </c>
      <c r="E79" s="42">
        <f>E49+E52+E55+E60+E65+E68+E71+E74+E77</f>
        <v>142573693.88000003</v>
      </c>
      <c r="F79" s="42">
        <f t="shared" ref="F79:R79" si="14">F49+F52+F55+F60+F65+F68+F71+F74+F77</f>
        <v>96345997.214470133</v>
      </c>
      <c r="G79" s="42">
        <f t="shared" si="14"/>
        <v>16185984.413751643</v>
      </c>
      <c r="H79" s="42">
        <f t="shared" si="14"/>
        <v>3583070.3703580792</v>
      </c>
      <c r="I79" s="42">
        <f t="shared" si="14"/>
        <v>20574882.360367775</v>
      </c>
      <c r="J79" s="42">
        <f t="shared" si="14"/>
        <v>0</v>
      </c>
      <c r="K79" s="42">
        <f t="shared" si="14"/>
        <v>1914984.0072333559</v>
      </c>
      <c r="L79" s="42">
        <f t="shared" si="14"/>
        <v>3968775.5138190323</v>
      </c>
      <c r="M79" s="42">
        <f t="shared" si="14"/>
        <v>0</v>
      </c>
      <c r="N79" s="42">
        <f t="shared" si="14"/>
        <v>0</v>
      </c>
      <c r="O79" s="42">
        <f t="shared" si="14"/>
        <v>0</v>
      </c>
      <c r="P79" s="42">
        <f t="shared" si="14"/>
        <v>0</v>
      </c>
      <c r="Q79" s="42">
        <f t="shared" si="14"/>
        <v>0</v>
      </c>
      <c r="R79" s="42">
        <f t="shared" si="14"/>
        <v>0</v>
      </c>
      <c r="S79" s="107">
        <f t="shared" ref="S79:AF79" si="15">S49+S55+S60+S65+S68+S71+S74+S77</f>
        <v>0</v>
      </c>
      <c r="T79" s="107">
        <f t="shared" si="15"/>
        <v>0</v>
      </c>
      <c r="U79" s="107">
        <f t="shared" si="15"/>
        <v>0</v>
      </c>
      <c r="V79" s="107">
        <f t="shared" si="15"/>
        <v>0</v>
      </c>
      <c r="W79" s="107">
        <f t="shared" si="15"/>
        <v>0</v>
      </c>
      <c r="X79" s="107">
        <f t="shared" si="15"/>
        <v>0</v>
      </c>
      <c r="Y79" s="107">
        <f t="shared" si="15"/>
        <v>0</v>
      </c>
      <c r="Z79" s="107">
        <f t="shared" si="15"/>
        <v>0</v>
      </c>
      <c r="AA79" s="107">
        <f t="shared" si="15"/>
        <v>0</v>
      </c>
      <c r="AB79" s="107">
        <f t="shared" si="15"/>
        <v>0</v>
      </c>
      <c r="AC79" s="107">
        <f t="shared" si="15"/>
        <v>0</v>
      </c>
      <c r="AD79" s="107">
        <f t="shared" si="15"/>
        <v>0</v>
      </c>
      <c r="AE79" s="107">
        <f t="shared" si="15"/>
        <v>0</v>
      </c>
      <c r="AF79" s="107">
        <f t="shared" si="15"/>
        <v>0</v>
      </c>
      <c r="AG79" s="91">
        <f>SUM(F79:AF79)</f>
        <v>142573693.88000003</v>
      </c>
      <c r="AH79" s="28" t="str">
        <f>IF(ABS(E79-AG79)&lt;0.01,"ok","err")</f>
        <v>ok</v>
      </c>
    </row>
    <row r="80" spans="1:34" x14ac:dyDescent="0.25">
      <c r="F80" s="48">
        <f>F79/E79</f>
        <v>0.67576279040340814</v>
      </c>
    </row>
    <row r="82" spans="1:34" x14ac:dyDescent="0.25">
      <c r="A82" s="26" t="s">
        <v>248</v>
      </c>
    </row>
    <row r="84" spans="1:34" x14ac:dyDescent="0.25">
      <c r="A84" s="13" t="s">
        <v>893</v>
      </c>
    </row>
    <row r="85" spans="1:34" x14ac:dyDescent="0.25">
      <c r="A85" s="94" t="s">
        <v>208</v>
      </c>
      <c r="C85" s="14" t="s">
        <v>249</v>
      </c>
      <c r="D85" s="14" t="s">
        <v>657</v>
      </c>
      <c r="E85" s="42">
        <f>'Func &amp; Classif'!H144</f>
        <v>0</v>
      </c>
      <c r="F85" s="67">
        <f>IF(VLOOKUP($D85,$C$5:$AU$500,3,)=0,0,(VLOOKUP($D85,$C$5:$AU$500,4,)/VLOOKUP($D85,$C$5:$AU$500,3,))*$E85)</f>
        <v>0</v>
      </c>
      <c r="G85" s="67">
        <f>IF(VLOOKUP($D85,$C$5:$AU$500,3,)=0,0,(VLOOKUP($D85,$C$5:$AU$500,5,)/VLOOKUP($D85,$C$5:$AU$500,3,))*$E85)</f>
        <v>0</v>
      </c>
      <c r="H85" s="42">
        <f>IF(VLOOKUP($D85,$C$5:$AU$500,3,)=0,0,(VLOOKUP($D85,$C$5:$AU$500,6,)/VLOOKUP($D85,$C$5:$AU$500,3,))*$E85)</f>
        <v>0</v>
      </c>
      <c r="I85" s="42">
        <f>IF(VLOOKUP($D85,$C$5:$AU$500,3,)=0,0,(VLOOKUP($D85,$C$5:$AU$500,7,)/VLOOKUP($D85,$C$5:$AU$500,3,))*$E85)</f>
        <v>0</v>
      </c>
      <c r="J85" s="42">
        <f>IF(VLOOKUP($D85,$C$5:$AU$500,3,)=0,0,(VLOOKUP($D85,$C$5:$AU$500,8,)/VLOOKUP($D85,$C$5:$AU$500,3,))*$E85)</f>
        <v>0</v>
      </c>
      <c r="K85" s="42">
        <f>IF(VLOOKUP($D85,$C$5:$AU$500,3,)=0,0,(VLOOKUP($D85,$C$5:$AU$500,9,)/VLOOKUP($D85,$C$5:$AU$500,3,))*$E85)</f>
        <v>0</v>
      </c>
      <c r="L85" s="67">
        <f>IF(VLOOKUP($D85,$C$5:$AU$500,3,)=0,0,(VLOOKUP($D85,$C$5:$AU$500,10,)/VLOOKUP($D85,$C$5:$AU$500,3,))*$E85)</f>
        <v>0</v>
      </c>
      <c r="M85" s="42">
        <f>IF(VLOOKUP($D85,$C$5:$AU$500,3,)=0,0,(VLOOKUP($D85,$C$5:$AU$500,11,)/VLOOKUP($D85,$C$5:$AU$500,3,))*$E85)</f>
        <v>0</v>
      </c>
      <c r="N85" s="42">
        <f>IF(VLOOKUP($D85,$C$5:$AU$500,3,)=0,0,(VLOOKUP($D85,$C$5:$AU$500,12,)/VLOOKUP($D85,$C$5:$AU$500,3,))*$E85)</f>
        <v>0</v>
      </c>
      <c r="O85" s="42">
        <f>IF(VLOOKUP($D85,$C$5:$AU$500,3,)=0,0,(VLOOKUP($D85,$C$5:$AU$500,13,)/VLOOKUP($D85,$C$5:$AU$500,3,))*$E85)</f>
        <v>0</v>
      </c>
      <c r="P85" s="42">
        <f>IF(VLOOKUP($D85,$C$5:$AU$500,3,)=0,0,(VLOOKUP($D85,$C$5:$AU$500,14,)/VLOOKUP($D85,$C$5:$AU$500,3,))*$E85)</f>
        <v>0</v>
      </c>
      <c r="Q85" s="42">
        <f>IF(VLOOKUP($D85,$C$5:$AU$500,3,)=0,0,(VLOOKUP($D85,$C$5:$AU$500,15,)/VLOOKUP($D85,$C$5:$AU$500,3,))*$E85)</f>
        <v>0</v>
      </c>
      <c r="R85" s="42">
        <f>IF(VLOOKUP($D85,$C$5:$AU$500,3,)=0,0,(VLOOKUP($D85,$C$5:$AU$500,16,)/VLOOKUP($D85,$C$5:$AU$500,3,))*$E85)</f>
        <v>0</v>
      </c>
      <c r="S85" s="107">
        <f>IF(VLOOKUP($D85,$C$5:$AU$500,3,)=0,0,(VLOOKUP($D85,$C$5:$AU$500,17,)/VLOOKUP($D85,$C$5:$AU$500,3,))*$E85)</f>
        <v>0</v>
      </c>
      <c r="T85" s="107">
        <f>IF(VLOOKUP($D85,$C$5:$AU$500,3,)=0,0,(VLOOKUP($D85,$C$5:$AU$500,18,)/VLOOKUP($D85,$C$5:$AU$500,3,))*$E85)</f>
        <v>0</v>
      </c>
      <c r="U85" s="107">
        <f>IF(VLOOKUP($D85,$C$5:$AU$500,3,)=0,0,(VLOOKUP($D85,$C$5:$AU$500,19,)/VLOOKUP($D85,$C$5:$AU$500,3,))*$E85)</f>
        <v>0</v>
      </c>
      <c r="V85" s="107">
        <f>IF(VLOOKUP($D85,$C$5:$AU$500,3,)=0,0,(VLOOKUP($D85,$C$5:$AU$500,20,)/VLOOKUP($D85,$C$5:$AU$500,3,))*$E85)</f>
        <v>0</v>
      </c>
      <c r="W85" s="107">
        <f>IF(VLOOKUP($D85,$C$5:$AU$500,3,)=0,0,(VLOOKUP($D85,$C$5:$AU$500,21,)/VLOOKUP($D85,$C$5:$AU$500,3,))*$E85)</f>
        <v>0</v>
      </c>
      <c r="X85" s="107">
        <f>IF(VLOOKUP($D85,$C$5:$AU$500,3,)=0,0,(VLOOKUP($D85,$C$5:$AU$500,22,)/VLOOKUP($D85,$C$5:$AU$500,3,))*$E85)</f>
        <v>0</v>
      </c>
      <c r="Y85" s="107">
        <f>IF(VLOOKUP($D85,$C$5:$AU$500,3,)=0,0,(VLOOKUP($D85,$C$5:$AU$500,23,)/VLOOKUP($D85,$C$5:$AU$500,3,))*$E85)</f>
        <v>0</v>
      </c>
      <c r="Z85" s="107">
        <f>IF(VLOOKUP($D85,$C$5:$AU$500,3,)=0,0,(VLOOKUP($D85,$C$5:$AU$500,24,)/VLOOKUP($D85,$C$5:$AU$500,3,))*$E85)</f>
        <v>0</v>
      </c>
      <c r="AA85" s="107">
        <f>IF(VLOOKUP($D85,$C$5:$AU$500,3,)=0,0,(VLOOKUP($D85,$C$5:$AU$500,25,)/VLOOKUP($D85,$C$5:$AU$500,3,))*$E85)</f>
        <v>0</v>
      </c>
      <c r="AB85" s="107">
        <f>IF(VLOOKUP($D85,$C$5:$AU$500,3,)=0,0,(VLOOKUP($D85,$C$5:$AU$500,26,)/VLOOKUP($D85,$C$5:$AU$500,3,))*$E85)</f>
        <v>0</v>
      </c>
      <c r="AC85" s="107">
        <f>IF(VLOOKUP($D85,$C$5:$AU$500,3,)=0,0,(VLOOKUP($D85,$C$5:$AU$500,27,)/VLOOKUP($D85,$C$5:$AU$500,3,))*$E85)</f>
        <v>0</v>
      </c>
      <c r="AD85" s="107">
        <f>IF(VLOOKUP($D85,$C$5:$AU$500,3,)=0,0,(VLOOKUP($D85,$C$5:$AU$500,28,)/VLOOKUP($D85,$C$5:$AU$500,3,))*$E85)</f>
        <v>0</v>
      </c>
      <c r="AE85" s="107">
        <f>IF(VLOOKUP($D85,$C$5:$AU$500,3,)=0,0,(VLOOKUP($D85,$C$5:$AU$500,29,)/VLOOKUP($D85,$C$5:$AU$500,3,))*$E85)</f>
        <v>0</v>
      </c>
      <c r="AF85" s="107">
        <f>IF(VLOOKUP($D85,$C$5:$AU$500,3,)=0,0,(VLOOKUP($D85,$C$5:$AU$500,30,)/VLOOKUP($D85,$C$5:$AU$500,3,))*$E85)</f>
        <v>0</v>
      </c>
      <c r="AG85" s="91">
        <f>SUM(F85:AF85)</f>
        <v>0</v>
      </c>
      <c r="AH85" s="28" t="str">
        <f>IF(ABS(E85-AG85)&lt;0.01,"ok","err")</f>
        <v>ok</v>
      </c>
    </row>
    <row r="86" spans="1:34" x14ac:dyDescent="0.25">
      <c r="A86" s="94" t="s">
        <v>211</v>
      </c>
      <c r="C86" s="14" t="s">
        <v>250</v>
      </c>
      <c r="D86" s="14" t="s">
        <v>666</v>
      </c>
      <c r="E86" s="23">
        <f>'Func &amp; Classif'!I144</f>
        <v>0</v>
      </c>
      <c r="F86" s="67">
        <f>IF(VLOOKUP($D86,$C$5:$AU$500,3,)=0,0,(VLOOKUP($D86,$C$5:$AU$500,4,)/VLOOKUP($D86,$C$5:$AU$500,3,))*$E86)</f>
        <v>0</v>
      </c>
      <c r="G86" s="67">
        <f>IF(VLOOKUP($D86,$C$5:$AU$500,3,)=0,0,(VLOOKUP($D86,$C$5:$AU$500,5,)/VLOOKUP($D86,$C$5:$AU$500,3,))*$E86)</f>
        <v>0</v>
      </c>
      <c r="H86" s="42">
        <f>IF(VLOOKUP($D86,$C$5:$AU$500,3,)=0,0,(VLOOKUP($D86,$C$5:$AU$500,6,)/VLOOKUP($D86,$C$5:$AU$500,3,))*$E86)</f>
        <v>0</v>
      </c>
      <c r="I86" s="42">
        <f>IF(VLOOKUP($D86,$C$5:$AU$500,3,)=0,0,(VLOOKUP($D86,$C$5:$AU$500,7,)/VLOOKUP($D86,$C$5:$AU$500,3,))*$E86)</f>
        <v>0</v>
      </c>
      <c r="J86" s="42">
        <f>IF(VLOOKUP($D86,$C$5:$AU$500,3,)=0,0,(VLOOKUP($D86,$C$5:$AU$500,8,)/VLOOKUP($D86,$C$5:$AU$500,3,))*$E86)</f>
        <v>0</v>
      </c>
      <c r="K86" s="42">
        <f>IF(VLOOKUP($D86,$C$5:$AU$500,3,)=0,0,(VLOOKUP($D86,$C$5:$AU$500,9,)/VLOOKUP($D86,$C$5:$AU$500,3,))*$E86)</f>
        <v>0</v>
      </c>
      <c r="L86" s="67">
        <f>IF(VLOOKUP($D86,$C$5:$AU$500,3,)=0,0,(VLOOKUP($D86,$C$5:$AU$500,10,)/VLOOKUP($D86,$C$5:$AU$500,3,))*$E86)</f>
        <v>0</v>
      </c>
      <c r="M86" s="42">
        <f>IF(VLOOKUP($D86,$C$5:$AU$500,3,)=0,0,(VLOOKUP($D86,$C$5:$AU$500,11,)/VLOOKUP($D86,$C$5:$AU$500,3,))*$E86)</f>
        <v>0</v>
      </c>
      <c r="N86" s="42">
        <f>IF(VLOOKUP($D86,$C$5:$AU$500,3,)=0,0,(VLOOKUP($D86,$C$5:$AU$500,12,)/VLOOKUP($D86,$C$5:$AU$500,3,))*$E86)</f>
        <v>0</v>
      </c>
      <c r="O86" s="42">
        <f>IF(VLOOKUP($D86,$C$5:$AU$500,3,)=0,0,(VLOOKUP($D86,$C$5:$AU$500,13,)/VLOOKUP($D86,$C$5:$AU$500,3,))*$E86)</f>
        <v>0</v>
      </c>
      <c r="P86" s="42">
        <f>IF(VLOOKUP($D86,$C$5:$AU$500,3,)=0,0,(VLOOKUP($D86,$C$5:$AU$500,14,)/VLOOKUP($D86,$C$5:$AU$500,3,))*$E86)</f>
        <v>0</v>
      </c>
      <c r="Q86" s="42">
        <f>IF(VLOOKUP($D86,$C$5:$AU$500,3,)=0,0,(VLOOKUP($D86,$C$5:$AU$500,15,)/VLOOKUP($D86,$C$5:$AU$500,3,))*$E86)</f>
        <v>0</v>
      </c>
      <c r="R86" s="42">
        <f>IF(VLOOKUP($D86,$C$5:$AU$500,3,)=0,0,(VLOOKUP($D86,$C$5:$AU$500,16,)/VLOOKUP($D86,$C$5:$AU$500,3,))*$E86)</f>
        <v>0</v>
      </c>
      <c r="S86" s="107">
        <f>IF(VLOOKUP($D86,$C$5:$AU$500,3,)=0,0,(VLOOKUP($D86,$C$5:$AU$500,17,)/VLOOKUP($D86,$C$5:$AU$500,3,))*$E86)</f>
        <v>0</v>
      </c>
      <c r="T86" s="107">
        <f>IF(VLOOKUP($D86,$C$5:$AU$500,3,)=0,0,(VLOOKUP($D86,$C$5:$AU$500,18,)/VLOOKUP($D86,$C$5:$AU$500,3,))*$E86)</f>
        <v>0</v>
      </c>
      <c r="U86" s="107">
        <f>IF(VLOOKUP($D86,$C$5:$AU$500,3,)=0,0,(VLOOKUP($D86,$C$5:$AU$500,19,)/VLOOKUP($D86,$C$5:$AU$500,3,))*$E86)</f>
        <v>0</v>
      </c>
      <c r="V86" s="107">
        <f>IF(VLOOKUP($D86,$C$5:$AU$500,3,)=0,0,(VLOOKUP($D86,$C$5:$AU$500,20,)/VLOOKUP($D86,$C$5:$AU$500,3,))*$E86)</f>
        <v>0</v>
      </c>
      <c r="W86" s="107">
        <f>IF(VLOOKUP($D86,$C$5:$AU$500,3,)=0,0,(VLOOKUP($D86,$C$5:$AU$500,21,)/VLOOKUP($D86,$C$5:$AU$500,3,))*$E86)</f>
        <v>0</v>
      </c>
      <c r="X86" s="107">
        <f>IF(VLOOKUP($D86,$C$5:$AU$500,3,)=0,0,(VLOOKUP($D86,$C$5:$AU$500,22,)/VLOOKUP($D86,$C$5:$AU$500,3,))*$E86)</f>
        <v>0</v>
      </c>
      <c r="Y86" s="107">
        <f>IF(VLOOKUP($D86,$C$5:$AU$500,3,)=0,0,(VLOOKUP($D86,$C$5:$AU$500,23,)/VLOOKUP($D86,$C$5:$AU$500,3,))*$E86)</f>
        <v>0</v>
      </c>
      <c r="Z86" s="107">
        <f>IF(VLOOKUP($D86,$C$5:$AU$500,3,)=0,0,(VLOOKUP($D86,$C$5:$AU$500,24,)/VLOOKUP($D86,$C$5:$AU$500,3,))*$E86)</f>
        <v>0</v>
      </c>
      <c r="AA86" s="107">
        <f>IF(VLOOKUP($D86,$C$5:$AU$500,3,)=0,0,(VLOOKUP($D86,$C$5:$AU$500,25,)/VLOOKUP($D86,$C$5:$AU$500,3,))*$E86)</f>
        <v>0</v>
      </c>
      <c r="AB86" s="107">
        <f>IF(VLOOKUP($D86,$C$5:$AU$500,3,)=0,0,(VLOOKUP($D86,$C$5:$AU$500,26,)/VLOOKUP($D86,$C$5:$AU$500,3,))*$E86)</f>
        <v>0</v>
      </c>
      <c r="AC86" s="107">
        <f>IF(VLOOKUP($D86,$C$5:$AU$500,3,)=0,0,(VLOOKUP($D86,$C$5:$AU$500,27,)/VLOOKUP($D86,$C$5:$AU$500,3,))*$E86)</f>
        <v>0</v>
      </c>
      <c r="AD86" s="107">
        <f>IF(VLOOKUP($D86,$C$5:$AU$500,3,)=0,0,(VLOOKUP($D86,$C$5:$AU$500,28,)/VLOOKUP($D86,$C$5:$AU$500,3,))*$E86)</f>
        <v>0</v>
      </c>
      <c r="AE86" s="107">
        <f>IF(VLOOKUP($D86,$C$5:$AU$500,3,)=0,0,(VLOOKUP($D86,$C$5:$AU$500,29,)/VLOOKUP($D86,$C$5:$AU$500,3,))*$E86)</f>
        <v>0</v>
      </c>
      <c r="AF86" s="107">
        <f>IF(VLOOKUP($D86,$C$5:$AU$500,3,)=0,0,(VLOOKUP($D86,$C$5:$AU$500,30,)/VLOOKUP($D86,$C$5:$AU$500,3,))*$E86)</f>
        <v>0</v>
      </c>
      <c r="AG86" s="91">
        <f>SUM(F86:AF86)</f>
        <v>0</v>
      </c>
      <c r="AH86" s="28" t="str">
        <f>IF(ABS(E86-AG86)&lt;0.01,"ok","err")</f>
        <v>ok</v>
      </c>
    </row>
    <row r="87" spans="1:34" x14ac:dyDescent="0.25">
      <c r="A87" s="14" t="s">
        <v>214</v>
      </c>
      <c r="C87" s="14" t="s">
        <v>251</v>
      </c>
      <c r="E87" s="23">
        <f t="shared" ref="E87:T87" si="16">E85+E86</f>
        <v>0</v>
      </c>
      <c r="F87" s="67">
        <f t="shared" si="16"/>
        <v>0</v>
      </c>
      <c r="G87" s="67">
        <f t="shared" si="16"/>
        <v>0</v>
      </c>
      <c r="H87" s="42">
        <f t="shared" si="16"/>
        <v>0</v>
      </c>
      <c r="I87" s="42">
        <f t="shared" si="16"/>
        <v>0</v>
      </c>
      <c r="J87" s="42">
        <f t="shared" si="16"/>
        <v>0</v>
      </c>
      <c r="K87" s="42">
        <f t="shared" si="16"/>
        <v>0</v>
      </c>
      <c r="L87" s="67">
        <f t="shared" si="16"/>
        <v>0</v>
      </c>
      <c r="M87" s="42">
        <f t="shared" si="16"/>
        <v>0</v>
      </c>
      <c r="N87" s="42">
        <f t="shared" si="16"/>
        <v>0</v>
      </c>
      <c r="O87" s="42">
        <f t="shared" si="16"/>
        <v>0</v>
      </c>
      <c r="P87" s="42">
        <f t="shared" si="16"/>
        <v>0</v>
      </c>
      <c r="Q87" s="42">
        <f t="shared" si="16"/>
        <v>0</v>
      </c>
      <c r="R87" s="42">
        <f t="shared" si="16"/>
        <v>0</v>
      </c>
      <c r="S87" s="107">
        <f t="shared" si="16"/>
        <v>0</v>
      </c>
      <c r="T87" s="107">
        <f t="shared" si="16"/>
        <v>0</v>
      </c>
      <c r="U87" s="107">
        <f t="shared" ref="U87:AF87" si="17">U85+U86</f>
        <v>0</v>
      </c>
      <c r="V87" s="107">
        <f t="shared" si="17"/>
        <v>0</v>
      </c>
      <c r="W87" s="107">
        <f t="shared" si="17"/>
        <v>0</v>
      </c>
      <c r="X87" s="107">
        <f t="shared" si="17"/>
        <v>0</v>
      </c>
      <c r="Y87" s="107">
        <f t="shared" si="17"/>
        <v>0</v>
      </c>
      <c r="Z87" s="107">
        <f t="shared" si="17"/>
        <v>0</v>
      </c>
      <c r="AA87" s="107">
        <f t="shared" si="17"/>
        <v>0</v>
      </c>
      <c r="AB87" s="107">
        <f t="shared" si="17"/>
        <v>0</v>
      </c>
      <c r="AC87" s="107">
        <f t="shared" si="17"/>
        <v>0</v>
      </c>
      <c r="AD87" s="107">
        <f t="shared" si="17"/>
        <v>0</v>
      </c>
      <c r="AE87" s="107">
        <f t="shared" si="17"/>
        <v>0</v>
      </c>
      <c r="AF87" s="107">
        <f t="shared" si="17"/>
        <v>0</v>
      </c>
      <c r="AG87" s="91">
        <f>SUM(F87:AF87)</f>
        <v>0</v>
      </c>
      <c r="AH87" s="28" t="str">
        <f>IF(ABS(E87-AG87)&lt;0.01,"ok","err")</f>
        <v>ok</v>
      </c>
    </row>
    <row r="88" spans="1:34" x14ac:dyDescent="0.25">
      <c r="E88" s="23"/>
      <c r="F88" s="50"/>
    </row>
    <row r="89" spans="1:34" x14ac:dyDescent="0.25">
      <c r="A89" s="13" t="s">
        <v>349</v>
      </c>
      <c r="E89" s="23"/>
      <c r="F89" s="50"/>
    </row>
    <row r="90" spans="1:34" x14ac:dyDescent="0.25">
      <c r="A90" s="94" t="s">
        <v>208</v>
      </c>
      <c r="C90" s="14" t="s">
        <v>884</v>
      </c>
      <c r="D90" s="14" t="s">
        <v>600</v>
      </c>
      <c r="E90" s="42">
        <f>'Func &amp; Classif'!K144</f>
        <v>0</v>
      </c>
      <c r="F90" s="67">
        <f>IF(VLOOKUP($D90,$C$5:$AU$500,3,)=0,0,(VLOOKUP($D90,$C$5:$AU$500,4,)/VLOOKUP($D90,$C$5:$AU$500,3,))*$E90)</f>
        <v>0</v>
      </c>
      <c r="G90" s="67">
        <f>IF(VLOOKUP($D90,$C$5:$AU$500,3,)=0,0,(VLOOKUP($D90,$C$5:$AU$500,5,)/VLOOKUP($D90,$C$5:$AU$500,3,))*$E90)</f>
        <v>0</v>
      </c>
      <c r="H90" s="42">
        <f>IF(VLOOKUP($D90,$C$5:$AU$500,3,)=0,0,(VLOOKUP($D90,$C$5:$AU$500,6,)/VLOOKUP($D90,$C$5:$AU$500,3,))*$E90)</f>
        <v>0</v>
      </c>
      <c r="I90" s="42">
        <f>IF(VLOOKUP($D90,$C$5:$AU$500,3,)=0,0,(VLOOKUP($D90,$C$5:$AU$500,7,)/VLOOKUP($D90,$C$5:$AU$500,3,))*$E90)</f>
        <v>0</v>
      </c>
      <c r="J90" s="42">
        <f>IF(VLOOKUP($D90,$C$5:$AU$500,3,)=0,0,(VLOOKUP($D90,$C$5:$AU$500,8,)/VLOOKUP($D90,$C$5:$AU$500,3,))*$E90)</f>
        <v>0</v>
      </c>
      <c r="K90" s="42">
        <f>IF(VLOOKUP($D90,$C$5:$AU$500,3,)=0,0,(VLOOKUP($D90,$C$5:$AU$500,9,)/VLOOKUP($D90,$C$5:$AU$500,3,))*$E90)</f>
        <v>0</v>
      </c>
      <c r="L90" s="67">
        <f>IF(VLOOKUP($D90,$C$5:$AU$500,3,)=0,0,(VLOOKUP($D90,$C$5:$AU$500,10,)/VLOOKUP($D90,$C$5:$AU$500,3,))*$E90)</f>
        <v>0</v>
      </c>
      <c r="M90" s="42">
        <f>IF(VLOOKUP($D90,$C$5:$AU$500,3,)=0,0,(VLOOKUP($D90,$C$5:$AU$500,11,)/VLOOKUP($D90,$C$5:$AU$500,3,))*$E90)</f>
        <v>0</v>
      </c>
      <c r="N90" s="42">
        <f>IF(VLOOKUP($D90,$C$5:$AU$500,3,)=0,0,(VLOOKUP($D90,$C$5:$AU$500,12,)/VLOOKUP($D90,$C$5:$AU$500,3,))*$E90)</f>
        <v>0</v>
      </c>
      <c r="O90" s="42">
        <f>IF(VLOOKUP($D90,$C$5:$AU$500,3,)=0,0,(VLOOKUP($D90,$C$5:$AU$500,13,)/VLOOKUP($D90,$C$5:$AU$500,3,))*$E90)</f>
        <v>0</v>
      </c>
      <c r="P90" s="42">
        <f>IF(VLOOKUP($D90,$C$5:$AU$500,3,)=0,0,(VLOOKUP($D90,$C$5:$AU$500,14,)/VLOOKUP($D90,$C$5:$AU$500,3,))*$E90)</f>
        <v>0</v>
      </c>
      <c r="Q90" s="42">
        <f>IF(VLOOKUP($D90,$C$5:$AU$500,3,)=0,0,(VLOOKUP($D90,$C$5:$AU$500,15,)/VLOOKUP($D90,$C$5:$AU$500,3,))*$E90)</f>
        <v>0</v>
      </c>
      <c r="R90" s="42">
        <f>IF(VLOOKUP($D90,$C$5:$AU$500,3,)=0,0,(VLOOKUP($D90,$C$5:$AU$500,16,)/VLOOKUP($D90,$C$5:$AU$500,3,))*$E90)</f>
        <v>0</v>
      </c>
      <c r="S90" s="107">
        <f>IF(VLOOKUP($D90,$C$5:$AU$500,3,)=0,0,(VLOOKUP($D90,$C$5:$AU$500,17,)/VLOOKUP($D90,$C$5:$AU$500,3,))*$E90)</f>
        <v>0</v>
      </c>
      <c r="T90" s="107">
        <f>IF(VLOOKUP($D90,$C$5:$AU$500,3,)=0,0,(VLOOKUP($D90,$C$5:$AU$500,18,)/VLOOKUP($D90,$C$5:$AU$500,3,))*$E90)</f>
        <v>0</v>
      </c>
      <c r="U90" s="107">
        <f>IF(VLOOKUP($D90,$C$5:$AU$500,3,)=0,0,(VLOOKUP($D90,$C$5:$AU$500,19,)/VLOOKUP($D90,$C$5:$AU$500,3,))*$E90)</f>
        <v>0</v>
      </c>
      <c r="V90" s="107">
        <f>IF(VLOOKUP($D90,$C$5:$AU$500,3,)=0,0,(VLOOKUP($D90,$C$5:$AU$500,20,)/VLOOKUP($D90,$C$5:$AU$500,3,))*$E90)</f>
        <v>0</v>
      </c>
      <c r="W90" s="107">
        <f>IF(VLOOKUP($D90,$C$5:$AU$500,3,)=0,0,(VLOOKUP($D90,$C$5:$AU$500,21,)/VLOOKUP($D90,$C$5:$AU$500,3,))*$E90)</f>
        <v>0</v>
      </c>
      <c r="X90" s="107">
        <f>IF(VLOOKUP($D90,$C$5:$AU$500,3,)=0,0,(VLOOKUP($D90,$C$5:$AU$500,22,)/VLOOKUP($D90,$C$5:$AU$500,3,))*$E90)</f>
        <v>0</v>
      </c>
      <c r="Y90" s="107">
        <f>IF(VLOOKUP($D90,$C$5:$AU$500,3,)=0,0,(VLOOKUP($D90,$C$5:$AU$500,23,)/VLOOKUP($D90,$C$5:$AU$500,3,))*$E90)</f>
        <v>0</v>
      </c>
      <c r="Z90" s="107">
        <f>IF(VLOOKUP($D90,$C$5:$AU$500,3,)=0,0,(VLOOKUP($D90,$C$5:$AU$500,24,)/VLOOKUP($D90,$C$5:$AU$500,3,))*$E90)</f>
        <v>0</v>
      </c>
      <c r="AA90" s="107">
        <f>IF(VLOOKUP($D90,$C$5:$AU$500,3,)=0,0,(VLOOKUP($D90,$C$5:$AU$500,25,)/VLOOKUP($D90,$C$5:$AU$500,3,))*$E90)</f>
        <v>0</v>
      </c>
      <c r="AB90" s="107">
        <f>IF(VLOOKUP($D90,$C$5:$AU$500,3,)=0,0,(VLOOKUP($D90,$C$5:$AU$500,26,)/VLOOKUP($D90,$C$5:$AU$500,3,))*$E90)</f>
        <v>0</v>
      </c>
      <c r="AC90" s="107">
        <f>IF(VLOOKUP($D90,$C$5:$AU$500,3,)=0,0,(VLOOKUP($D90,$C$5:$AU$500,27,)/VLOOKUP($D90,$C$5:$AU$500,3,))*$E90)</f>
        <v>0</v>
      </c>
      <c r="AD90" s="107">
        <f>IF(VLOOKUP($D90,$C$5:$AU$500,3,)=0,0,(VLOOKUP($D90,$C$5:$AU$500,28,)/VLOOKUP($D90,$C$5:$AU$500,3,))*$E90)</f>
        <v>0</v>
      </c>
      <c r="AE90" s="107">
        <f>IF(VLOOKUP($D90,$C$5:$AU$500,3,)=0,0,(VLOOKUP($D90,$C$5:$AU$500,29,)/VLOOKUP($D90,$C$5:$AU$500,3,))*$E90)</f>
        <v>0</v>
      </c>
      <c r="AF90" s="107">
        <f>IF(VLOOKUP($D90,$C$5:$AU$500,3,)=0,0,(VLOOKUP($D90,$C$5:$AU$500,30,)/VLOOKUP($D90,$C$5:$AU$500,3,))*$E90)</f>
        <v>0</v>
      </c>
      <c r="AG90" s="91">
        <f>SUM(F90:AF90)</f>
        <v>0</v>
      </c>
      <c r="AH90" s="28" t="str">
        <f>IF(ABS(E90-AG90)&lt;0.01,"ok","err")</f>
        <v>ok</v>
      </c>
    </row>
    <row r="91" spans="1:34" x14ac:dyDescent="0.25">
      <c r="E91" s="23"/>
    </row>
    <row r="92" spans="1:34" x14ac:dyDescent="0.25">
      <c r="A92" s="13" t="s">
        <v>1</v>
      </c>
      <c r="E92" s="23"/>
      <c r="F92" s="50"/>
    </row>
    <row r="93" spans="1:34" x14ac:dyDescent="0.25">
      <c r="A93" s="94" t="s">
        <v>208</v>
      </c>
      <c r="C93" s="14" t="s">
        <v>252</v>
      </c>
      <c r="D93" s="14" t="s">
        <v>616</v>
      </c>
      <c r="E93" s="42">
        <f>'Func &amp; Classif'!M144</f>
        <v>23045436.265156623</v>
      </c>
      <c r="F93" s="67">
        <f>IF(VLOOKUP($D93,$C$5:$AU$500,3,)=0,0,(VLOOKUP($D93,$C$5:$AU$500,4,)/VLOOKUP($D93,$C$5:$AU$500,3,))*$E93)</f>
        <v>14499669.626402261</v>
      </c>
      <c r="G93" s="67">
        <f>IF(VLOOKUP($D93,$C$5:$AU$500,3,)=0,0,(VLOOKUP($D93,$C$5:$AU$500,5,)/VLOOKUP($D93,$C$5:$AU$500,3,))*$E93)</f>
        <v>1418621.0502894628</v>
      </c>
      <c r="H93" s="42">
        <f>IF(VLOOKUP($D93,$C$5:$AU$500,3,)=0,0,(VLOOKUP($D93,$C$5:$AU$500,6,)/VLOOKUP($D93,$C$5:$AU$500,3,))*$E93)</f>
        <v>403411.18656653166</v>
      </c>
      <c r="I93" s="42">
        <f>IF(VLOOKUP($D93,$C$5:$AU$500,3,)=0,0,(VLOOKUP($D93,$C$5:$AU$500,7,)/VLOOKUP($D93,$C$5:$AU$500,3,))*$E93)</f>
        <v>5833275.2471136376</v>
      </c>
      <c r="J93" s="42">
        <f>IF(VLOOKUP($D93,$C$5:$AU$500,3,)=0,0,(VLOOKUP($D93,$C$5:$AU$500,8,)/VLOOKUP($D93,$C$5:$AU$500,3,))*$E93)</f>
        <v>0</v>
      </c>
      <c r="K93" s="42">
        <f>IF(VLOOKUP($D93,$C$5:$AU$500,3,)=0,0,(VLOOKUP($D93,$C$5:$AU$500,9,)/VLOOKUP($D93,$C$5:$AU$500,3,))*$E93)</f>
        <v>735982.08514692832</v>
      </c>
      <c r="L93" s="67">
        <f>IF(VLOOKUP($D93,$C$5:$AU$500,3,)=0,0,(VLOOKUP($D93,$C$5:$AU$500,10,)/VLOOKUP($D93,$C$5:$AU$500,3,))*$E93)</f>
        <v>154477.06963780295</v>
      </c>
      <c r="M93" s="42">
        <f>IF(VLOOKUP($D93,$C$5:$AU$500,3,)=0,0,(VLOOKUP($D93,$C$5:$AU$500,11,)/VLOOKUP($D93,$C$5:$AU$500,3,))*$E93)</f>
        <v>0</v>
      </c>
      <c r="N93" s="42">
        <f>IF(VLOOKUP($D93,$C$5:$AU$500,3,)=0,0,(VLOOKUP($D93,$C$5:$AU$500,12,)/VLOOKUP($D93,$C$5:$AU$500,3,))*$E93)</f>
        <v>0</v>
      </c>
      <c r="O93" s="42">
        <f>IF(VLOOKUP($D93,$C$5:$AU$500,3,)=0,0,(VLOOKUP($D93,$C$5:$AU$500,13,)/VLOOKUP($D93,$C$5:$AU$500,3,))*$E93)</f>
        <v>0</v>
      </c>
      <c r="P93" s="42">
        <f>IF(VLOOKUP($D93,$C$5:$AU$500,3,)=0,0,(VLOOKUP($D93,$C$5:$AU$500,14,)/VLOOKUP($D93,$C$5:$AU$500,3,))*$E93)</f>
        <v>0</v>
      </c>
      <c r="Q93" s="42">
        <f>IF(VLOOKUP($D93,$C$5:$AU$500,3,)=0,0,(VLOOKUP($D93,$C$5:$AU$500,15,)/VLOOKUP($D93,$C$5:$AU$500,3,))*$E93)</f>
        <v>0</v>
      </c>
      <c r="R93" s="42">
        <f>IF(VLOOKUP($D93,$C$5:$AU$500,3,)=0,0,(VLOOKUP($D93,$C$5:$AU$500,16,)/VLOOKUP($D93,$C$5:$AU$500,3,))*$E93)</f>
        <v>0</v>
      </c>
      <c r="S93" s="107">
        <f>IF(VLOOKUP($D93,$C$5:$AU$500,3,)=0,0,(VLOOKUP($D93,$C$5:$AU$500,17,)/VLOOKUP($D93,$C$5:$AU$500,3,))*$E93)</f>
        <v>0</v>
      </c>
      <c r="T93" s="107">
        <f>IF(VLOOKUP($D93,$C$5:$AU$500,3,)=0,0,(VLOOKUP($D93,$C$5:$AU$500,18,)/VLOOKUP($D93,$C$5:$AU$500,3,))*$E93)</f>
        <v>0</v>
      </c>
      <c r="U93" s="107">
        <f>IF(VLOOKUP($D93,$C$5:$AU$500,3,)=0,0,(VLOOKUP($D93,$C$5:$AU$500,19,)/VLOOKUP($D93,$C$5:$AU$500,3,))*$E93)</f>
        <v>0</v>
      </c>
      <c r="V93" s="107">
        <f>IF(VLOOKUP($D93,$C$5:$AU$500,3,)=0,0,(VLOOKUP($D93,$C$5:$AU$500,20,)/VLOOKUP($D93,$C$5:$AU$500,3,))*$E93)</f>
        <v>0</v>
      </c>
      <c r="W93" s="107">
        <f>IF(VLOOKUP($D93,$C$5:$AU$500,3,)=0,0,(VLOOKUP($D93,$C$5:$AU$500,21,)/VLOOKUP($D93,$C$5:$AU$500,3,))*$E93)</f>
        <v>0</v>
      </c>
      <c r="X93" s="107">
        <f>IF(VLOOKUP($D93,$C$5:$AU$500,3,)=0,0,(VLOOKUP($D93,$C$5:$AU$500,22,)/VLOOKUP($D93,$C$5:$AU$500,3,))*$E93)</f>
        <v>0</v>
      </c>
      <c r="Y93" s="107">
        <f>IF(VLOOKUP($D93,$C$5:$AU$500,3,)=0,0,(VLOOKUP($D93,$C$5:$AU$500,23,)/VLOOKUP($D93,$C$5:$AU$500,3,))*$E93)</f>
        <v>0</v>
      </c>
      <c r="Z93" s="107">
        <f>IF(VLOOKUP($D93,$C$5:$AU$500,3,)=0,0,(VLOOKUP($D93,$C$5:$AU$500,24,)/VLOOKUP($D93,$C$5:$AU$500,3,))*$E93)</f>
        <v>0</v>
      </c>
      <c r="AA93" s="107">
        <f>IF(VLOOKUP($D93,$C$5:$AU$500,3,)=0,0,(VLOOKUP($D93,$C$5:$AU$500,25,)/VLOOKUP($D93,$C$5:$AU$500,3,))*$E93)</f>
        <v>0</v>
      </c>
      <c r="AB93" s="107">
        <f>IF(VLOOKUP($D93,$C$5:$AU$500,3,)=0,0,(VLOOKUP($D93,$C$5:$AU$500,26,)/VLOOKUP($D93,$C$5:$AU$500,3,))*$E93)</f>
        <v>0</v>
      </c>
      <c r="AC93" s="107">
        <f>IF(VLOOKUP($D93,$C$5:$AU$500,3,)=0,0,(VLOOKUP($D93,$C$5:$AU$500,27,)/VLOOKUP($D93,$C$5:$AU$500,3,))*$E93)</f>
        <v>0</v>
      </c>
      <c r="AD93" s="107">
        <f>IF(VLOOKUP($D93,$C$5:$AU$500,3,)=0,0,(VLOOKUP($D93,$C$5:$AU$500,28,)/VLOOKUP($D93,$C$5:$AU$500,3,))*$E93)</f>
        <v>0</v>
      </c>
      <c r="AE93" s="107">
        <f>IF(VLOOKUP($D93,$C$5:$AU$500,3,)=0,0,(VLOOKUP($D93,$C$5:$AU$500,29,)/VLOOKUP($D93,$C$5:$AU$500,3,))*$E93)</f>
        <v>0</v>
      </c>
      <c r="AF93" s="107">
        <f>IF(VLOOKUP($D93,$C$5:$AU$500,3,)=0,0,(VLOOKUP($D93,$C$5:$AU$500,30,)/VLOOKUP($D93,$C$5:$AU$500,3,))*$E93)</f>
        <v>0</v>
      </c>
      <c r="AG93" s="91">
        <f>SUM(F93:AF93)</f>
        <v>23045436.265156627</v>
      </c>
      <c r="AH93" s="28" t="str">
        <f>IF(ABS(E93-AG93)&lt;0.01,"ok","err")</f>
        <v>ok</v>
      </c>
    </row>
    <row r="94" spans="1:34" x14ac:dyDescent="0.25">
      <c r="E94" s="23"/>
    </row>
    <row r="95" spans="1:34" x14ac:dyDescent="0.25">
      <c r="A95" s="13" t="s">
        <v>2</v>
      </c>
      <c r="E95" s="23"/>
    </row>
    <row r="96" spans="1:34" x14ac:dyDescent="0.25">
      <c r="A96" s="94" t="s">
        <v>208</v>
      </c>
      <c r="C96" s="14" t="s">
        <v>253</v>
      </c>
      <c r="D96" s="14" t="s">
        <v>608</v>
      </c>
      <c r="E96" s="42">
        <f>'Func &amp; Classif'!O144</f>
        <v>36969778.496318385</v>
      </c>
      <c r="F96" s="67">
        <f>IF(VLOOKUP($D96,$C$5:$AU$500,3,)=0,0,(VLOOKUP($D96,$C$5:$AU$500,4,)/VLOOKUP($D96,$C$5:$AU$500,3,))*$E96)</f>
        <v>23236240.906069875</v>
      </c>
      <c r="G96" s="67">
        <f>IF(VLOOKUP($D96,$C$5:$AU$500,3,)=0,0,(VLOOKUP($D96,$C$5:$AU$500,5,)/VLOOKUP($D96,$C$5:$AU$500,3,))*$E96)</f>
        <v>597373.4914942797</v>
      </c>
      <c r="H96" s="42">
        <f>IF(VLOOKUP($D96,$C$5:$AU$500,3,)=0,0,(VLOOKUP($D96,$C$5:$AU$500,6,)/VLOOKUP($D96,$C$5:$AU$500,3,))*$E96)</f>
        <v>956076.31309268542</v>
      </c>
      <c r="I96" s="42">
        <f>IF(VLOOKUP($D96,$C$5:$AU$500,3,)=0,0,(VLOOKUP($D96,$C$5:$AU$500,7,)/VLOOKUP($D96,$C$5:$AU$500,3,))*$E96)</f>
        <v>10819944.279531231</v>
      </c>
      <c r="J96" s="42">
        <f>IF(VLOOKUP($D96,$C$5:$AU$500,3,)=0,0,(VLOOKUP($D96,$C$5:$AU$500,8,)/VLOOKUP($D96,$C$5:$AU$500,3,))*$E96)</f>
        <v>0</v>
      </c>
      <c r="K96" s="42">
        <f>IF(VLOOKUP($D96,$C$5:$AU$500,3,)=0,0,(VLOOKUP($D96,$C$5:$AU$500,9,)/VLOOKUP($D96,$C$5:$AU$500,3,))*$E96)</f>
        <v>1197613.9159481206</v>
      </c>
      <c r="L96" s="67">
        <f>IF(VLOOKUP($D96,$C$5:$AU$500,3,)=0,0,(VLOOKUP($D96,$C$5:$AU$500,10,)/VLOOKUP($D96,$C$5:$AU$500,3,))*$E96)</f>
        <v>162529.59018219283</v>
      </c>
      <c r="M96" s="42">
        <f>IF(VLOOKUP($D96,$C$5:$AU$500,3,)=0,0,(VLOOKUP($D96,$C$5:$AU$500,11,)/VLOOKUP($D96,$C$5:$AU$500,3,))*$E96)</f>
        <v>0</v>
      </c>
      <c r="N96" s="42">
        <f>IF(VLOOKUP($D96,$C$5:$AU$500,3,)=0,0,(VLOOKUP($D96,$C$5:$AU$500,12,)/VLOOKUP($D96,$C$5:$AU$500,3,))*$E96)</f>
        <v>0</v>
      </c>
      <c r="O96" s="42">
        <f>IF(VLOOKUP($D96,$C$5:$AU$500,3,)=0,0,(VLOOKUP($D96,$C$5:$AU$500,13,)/VLOOKUP($D96,$C$5:$AU$500,3,))*$E96)</f>
        <v>0</v>
      </c>
      <c r="P96" s="42">
        <f>IF(VLOOKUP($D96,$C$5:$AU$500,3,)=0,0,(VLOOKUP($D96,$C$5:$AU$500,14,)/VLOOKUP($D96,$C$5:$AU$500,3,))*$E96)</f>
        <v>0</v>
      </c>
      <c r="Q96" s="42">
        <f>IF(VLOOKUP($D96,$C$5:$AU$500,3,)=0,0,(VLOOKUP($D96,$C$5:$AU$500,15,)/VLOOKUP($D96,$C$5:$AU$500,3,))*$E96)</f>
        <v>0</v>
      </c>
      <c r="R96" s="42">
        <f>IF(VLOOKUP($D96,$C$5:$AU$500,3,)=0,0,(VLOOKUP($D96,$C$5:$AU$500,16,)/VLOOKUP($D96,$C$5:$AU$500,3,))*$E96)</f>
        <v>0</v>
      </c>
      <c r="S96" s="107">
        <f>IF(VLOOKUP($D96,$C$5:$AU$500,3,)=0,0,(VLOOKUP($D96,$C$5:$AU$500,17,)/VLOOKUP($D96,$C$5:$AU$500,3,))*$E96)</f>
        <v>0</v>
      </c>
      <c r="T96" s="107">
        <f>IF(VLOOKUP($D96,$C$5:$AU$500,3,)=0,0,(VLOOKUP($D96,$C$5:$AU$500,18,)/VLOOKUP($D96,$C$5:$AU$500,3,))*$E96)</f>
        <v>0</v>
      </c>
      <c r="U96" s="107">
        <f>IF(VLOOKUP($D96,$C$5:$AU$500,3,)=0,0,(VLOOKUP($D96,$C$5:$AU$500,19,)/VLOOKUP($D96,$C$5:$AU$500,3,))*$E96)</f>
        <v>0</v>
      </c>
      <c r="V96" s="107">
        <f>IF(VLOOKUP($D96,$C$5:$AU$500,3,)=0,0,(VLOOKUP($D96,$C$5:$AU$500,20,)/VLOOKUP($D96,$C$5:$AU$500,3,))*$E96)</f>
        <v>0</v>
      </c>
      <c r="W96" s="107">
        <f>IF(VLOOKUP($D96,$C$5:$AU$500,3,)=0,0,(VLOOKUP($D96,$C$5:$AU$500,21,)/VLOOKUP($D96,$C$5:$AU$500,3,))*$E96)</f>
        <v>0</v>
      </c>
      <c r="X96" s="107">
        <f>IF(VLOOKUP($D96,$C$5:$AU$500,3,)=0,0,(VLOOKUP($D96,$C$5:$AU$500,22,)/VLOOKUP($D96,$C$5:$AU$500,3,))*$E96)</f>
        <v>0</v>
      </c>
      <c r="Y96" s="107">
        <f>IF(VLOOKUP($D96,$C$5:$AU$500,3,)=0,0,(VLOOKUP($D96,$C$5:$AU$500,23,)/VLOOKUP($D96,$C$5:$AU$500,3,))*$E96)</f>
        <v>0</v>
      </c>
      <c r="Z96" s="107">
        <f>IF(VLOOKUP($D96,$C$5:$AU$500,3,)=0,0,(VLOOKUP($D96,$C$5:$AU$500,24,)/VLOOKUP($D96,$C$5:$AU$500,3,))*$E96)</f>
        <v>0</v>
      </c>
      <c r="AA96" s="107">
        <f>IF(VLOOKUP($D96,$C$5:$AU$500,3,)=0,0,(VLOOKUP($D96,$C$5:$AU$500,25,)/VLOOKUP($D96,$C$5:$AU$500,3,))*$E96)</f>
        <v>0</v>
      </c>
      <c r="AB96" s="107">
        <f>IF(VLOOKUP($D96,$C$5:$AU$500,3,)=0,0,(VLOOKUP($D96,$C$5:$AU$500,26,)/VLOOKUP($D96,$C$5:$AU$500,3,))*$E96)</f>
        <v>0</v>
      </c>
      <c r="AC96" s="107">
        <f>IF(VLOOKUP($D96,$C$5:$AU$500,3,)=0,0,(VLOOKUP($D96,$C$5:$AU$500,27,)/VLOOKUP($D96,$C$5:$AU$500,3,))*$E96)</f>
        <v>0</v>
      </c>
      <c r="AD96" s="107">
        <f>IF(VLOOKUP($D96,$C$5:$AU$500,3,)=0,0,(VLOOKUP($D96,$C$5:$AU$500,28,)/VLOOKUP($D96,$C$5:$AU$500,3,))*$E96)</f>
        <v>0</v>
      </c>
      <c r="AE96" s="107">
        <f>IF(VLOOKUP($D96,$C$5:$AU$500,3,)=0,0,(VLOOKUP($D96,$C$5:$AU$500,29,)/VLOOKUP($D96,$C$5:$AU$500,3,))*$E96)</f>
        <v>0</v>
      </c>
      <c r="AF96" s="107">
        <f>IF(VLOOKUP($D96,$C$5:$AU$500,3,)=0,0,(VLOOKUP($D96,$C$5:$AU$500,30,)/VLOOKUP($D96,$C$5:$AU$500,3,))*$E96)</f>
        <v>0</v>
      </c>
      <c r="AG96" s="91">
        <f>SUM(F96:AF96)</f>
        <v>36969778.496318385</v>
      </c>
      <c r="AH96" s="28" t="str">
        <f>IF(ABS(E96-AG96)&lt;0.01,"ok","err")</f>
        <v>ok</v>
      </c>
    </row>
    <row r="97" spans="1:34" x14ac:dyDescent="0.25">
      <c r="A97" s="94" t="s">
        <v>220</v>
      </c>
      <c r="C97" s="14" t="s">
        <v>254</v>
      </c>
      <c r="D97" s="14" t="s">
        <v>222</v>
      </c>
      <c r="E97" s="23">
        <f>'Func &amp; Classif'!P144</f>
        <v>62438587.366086975</v>
      </c>
      <c r="F97" s="67">
        <f>IF(VLOOKUP($D97,$C$5:$AU$500,3,)=0,0,(VLOOKUP($D97,$C$5:$AU$500,4,)/VLOOKUP($D97,$C$5:$AU$500,3,))*$E97)</f>
        <v>49981168.097359508</v>
      </c>
      <c r="G97" s="67">
        <f>IF(VLOOKUP($D97,$C$5:$AU$500,3,)=0,0,(VLOOKUP($D97,$C$5:$AU$500,5,)/VLOOKUP($D97,$C$5:$AU$500,3,))*$E97)</f>
        <v>9872391.406949155</v>
      </c>
      <c r="H97" s="42">
        <f>IF(VLOOKUP($D97,$C$5:$AU$500,3,)=0,0,(VLOOKUP($D97,$C$5:$AU$500,6,)/VLOOKUP($D97,$C$5:$AU$500,3,))*$E97)</f>
        <v>1048888.5141805948</v>
      </c>
      <c r="I97" s="42">
        <f>IF(VLOOKUP($D97,$C$5:$AU$500,3,)=0,0,(VLOOKUP($D97,$C$5:$AU$500,7,)/VLOOKUP($D97,$C$5:$AU$500,3,))*$E97)</f>
        <v>1317224.6301788688</v>
      </c>
      <c r="J97" s="42">
        <f>IF(VLOOKUP($D97,$C$5:$AU$500,3,)=0,0,(VLOOKUP($D97,$C$5:$AU$500,8,)/VLOOKUP($D97,$C$5:$AU$500,3,))*$E97)</f>
        <v>0</v>
      </c>
      <c r="K97" s="42">
        <f>IF(VLOOKUP($D97,$C$5:$AU$500,3,)=0,0,(VLOOKUP($D97,$C$5:$AU$500,9,)/VLOOKUP($D97,$C$5:$AU$500,3,))*$E97)</f>
        <v>2037.9958177084095</v>
      </c>
      <c r="L97" s="67">
        <f>IF(VLOOKUP($D97,$C$5:$AU$500,3,)=0,0,(VLOOKUP($D97,$C$5:$AU$500,10,)/VLOOKUP($D97,$C$5:$AU$500,3,))*$E97)</f>
        <v>216876.72160113658</v>
      </c>
      <c r="M97" s="42">
        <f>IF(VLOOKUP($D97,$C$5:$AU$500,3,)=0,0,(VLOOKUP($D97,$C$5:$AU$500,11,)/VLOOKUP($D97,$C$5:$AU$500,3,))*$E97)</f>
        <v>0</v>
      </c>
      <c r="N97" s="42">
        <f>IF(VLOOKUP($D97,$C$5:$AU$500,3,)=0,0,(VLOOKUP($D97,$C$5:$AU$500,12,)/VLOOKUP($D97,$C$5:$AU$500,3,))*$E97)</f>
        <v>0</v>
      </c>
      <c r="O97" s="42">
        <f>IF(VLOOKUP($D97,$C$5:$AU$500,3,)=0,0,(VLOOKUP($D97,$C$5:$AU$500,13,)/VLOOKUP($D97,$C$5:$AU$500,3,))*$E97)</f>
        <v>0</v>
      </c>
      <c r="P97" s="42">
        <f>IF(VLOOKUP($D97,$C$5:$AU$500,3,)=0,0,(VLOOKUP($D97,$C$5:$AU$500,14,)/VLOOKUP($D97,$C$5:$AU$500,3,))*$E97)</f>
        <v>0</v>
      </c>
      <c r="Q97" s="42">
        <f>IF(VLOOKUP($D97,$C$5:$AU$500,3,)=0,0,(VLOOKUP($D97,$C$5:$AU$500,15,)/VLOOKUP($D97,$C$5:$AU$500,3,))*$E97)</f>
        <v>0</v>
      </c>
      <c r="R97" s="42">
        <f>IF(VLOOKUP($D97,$C$5:$AU$500,3,)=0,0,(VLOOKUP($D97,$C$5:$AU$500,16,)/VLOOKUP($D97,$C$5:$AU$500,3,))*$E97)</f>
        <v>0</v>
      </c>
      <c r="S97" s="107">
        <f>IF(VLOOKUP($D97,$C$5:$AU$500,3,)=0,0,(VLOOKUP($D97,$C$5:$AU$500,17,)/VLOOKUP($D97,$C$5:$AU$500,3,))*$E97)</f>
        <v>0</v>
      </c>
      <c r="T97" s="107">
        <f>IF(VLOOKUP($D97,$C$5:$AU$500,3,)=0,0,(VLOOKUP($D97,$C$5:$AU$500,18,)/VLOOKUP($D97,$C$5:$AU$500,3,))*$E97)</f>
        <v>0</v>
      </c>
      <c r="U97" s="107">
        <f>IF(VLOOKUP($D97,$C$5:$AU$500,3,)=0,0,(VLOOKUP($D97,$C$5:$AU$500,19,)/VLOOKUP($D97,$C$5:$AU$500,3,))*$E97)</f>
        <v>0</v>
      </c>
      <c r="V97" s="107">
        <f>IF(VLOOKUP($D97,$C$5:$AU$500,3,)=0,0,(VLOOKUP($D97,$C$5:$AU$500,20,)/VLOOKUP($D97,$C$5:$AU$500,3,))*$E97)</f>
        <v>0</v>
      </c>
      <c r="W97" s="107">
        <f>IF(VLOOKUP($D97,$C$5:$AU$500,3,)=0,0,(VLOOKUP($D97,$C$5:$AU$500,21,)/VLOOKUP($D97,$C$5:$AU$500,3,))*$E97)</f>
        <v>0</v>
      </c>
      <c r="X97" s="107">
        <f>IF(VLOOKUP($D97,$C$5:$AU$500,3,)=0,0,(VLOOKUP($D97,$C$5:$AU$500,22,)/VLOOKUP($D97,$C$5:$AU$500,3,))*$E97)</f>
        <v>0</v>
      </c>
      <c r="Y97" s="107">
        <f>IF(VLOOKUP($D97,$C$5:$AU$500,3,)=0,0,(VLOOKUP($D97,$C$5:$AU$500,23,)/VLOOKUP($D97,$C$5:$AU$500,3,))*$E97)</f>
        <v>0</v>
      </c>
      <c r="Z97" s="107">
        <f>IF(VLOOKUP($D97,$C$5:$AU$500,3,)=0,0,(VLOOKUP($D97,$C$5:$AU$500,24,)/VLOOKUP($D97,$C$5:$AU$500,3,))*$E97)</f>
        <v>0</v>
      </c>
      <c r="AA97" s="107">
        <f>IF(VLOOKUP($D97,$C$5:$AU$500,3,)=0,0,(VLOOKUP($D97,$C$5:$AU$500,25,)/VLOOKUP($D97,$C$5:$AU$500,3,))*$E97)</f>
        <v>0</v>
      </c>
      <c r="AB97" s="107">
        <f>IF(VLOOKUP($D97,$C$5:$AU$500,3,)=0,0,(VLOOKUP($D97,$C$5:$AU$500,26,)/VLOOKUP($D97,$C$5:$AU$500,3,))*$E97)</f>
        <v>0</v>
      </c>
      <c r="AC97" s="107">
        <f>IF(VLOOKUP($D97,$C$5:$AU$500,3,)=0,0,(VLOOKUP($D97,$C$5:$AU$500,27,)/VLOOKUP($D97,$C$5:$AU$500,3,))*$E97)</f>
        <v>0</v>
      </c>
      <c r="AD97" s="107">
        <f>IF(VLOOKUP($D97,$C$5:$AU$500,3,)=0,0,(VLOOKUP($D97,$C$5:$AU$500,28,)/VLOOKUP($D97,$C$5:$AU$500,3,))*$E97)</f>
        <v>0</v>
      </c>
      <c r="AE97" s="107">
        <f>IF(VLOOKUP($D97,$C$5:$AU$500,3,)=0,0,(VLOOKUP($D97,$C$5:$AU$500,29,)/VLOOKUP($D97,$C$5:$AU$500,3,))*$E97)</f>
        <v>0</v>
      </c>
      <c r="AF97" s="107">
        <f>IF(VLOOKUP($D97,$C$5:$AU$500,3,)=0,0,(VLOOKUP($D97,$C$5:$AU$500,30,)/VLOOKUP($D97,$C$5:$AU$500,3,))*$E97)</f>
        <v>0</v>
      </c>
      <c r="AG97" s="91">
        <f>SUM(F97:AF97)</f>
        <v>62438587.366086967</v>
      </c>
      <c r="AH97" s="28" t="str">
        <f>IF(ABS(E97-AG97)&lt;0.01,"ok","err")</f>
        <v>ok</v>
      </c>
    </row>
    <row r="98" spans="1:34" x14ac:dyDescent="0.25">
      <c r="A98" s="14" t="s">
        <v>223</v>
      </c>
      <c r="E98" s="42">
        <f t="shared" ref="E98:T98" si="18">E96+E97</f>
        <v>99408365.86240536</v>
      </c>
      <c r="F98" s="67">
        <f t="shared" si="18"/>
        <v>73217409.003429383</v>
      </c>
      <c r="G98" s="67">
        <f t="shared" si="18"/>
        <v>10469764.898443434</v>
      </c>
      <c r="H98" s="42">
        <f t="shared" si="18"/>
        <v>2004964.8272732804</v>
      </c>
      <c r="I98" s="42">
        <f t="shared" si="18"/>
        <v>12137168.9097101</v>
      </c>
      <c r="J98" s="42">
        <f t="shared" si="18"/>
        <v>0</v>
      </c>
      <c r="K98" s="42">
        <f t="shared" si="18"/>
        <v>1199651.911765829</v>
      </c>
      <c r="L98" s="67">
        <f t="shared" si="18"/>
        <v>379406.31178332941</v>
      </c>
      <c r="M98" s="42">
        <f t="shared" si="18"/>
        <v>0</v>
      </c>
      <c r="N98" s="42">
        <f t="shared" si="18"/>
        <v>0</v>
      </c>
      <c r="O98" s="42">
        <f t="shared" si="18"/>
        <v>0</v>
      </c>
      <c r="P98" s="42">
        <f t="shared" si="18"/>
        <v>0</v>
      </c>
      <c r="Q98" s="42">
        <f t="shared" si="18"/>
        <v>0</v>
      </c>
      <c r="R98" s="42">
        <f t="shared" si="18"/>
        <v>0</v>
      </c>
      <c r="S98" s="107">
        <f t="shared" si="18"/>
        <v>0</v>
      </c>
      <c r="T98" s="107">
        <f t="shared" si="18"/>
        <v>0</v>
      </c>
      <c r="U98" s="107">
        <f t="shared" ref="U98:AF98" si="19">U96+U97</f>
        <v>0</v>
      </c>
      <c r="V98" s="107">
        <f t="shared" si="19"/>
        <v>0</v>
      </c>
      <c r="W98" s="107">
        <f t="shared" si="19"/>
        <v>0</v>
      </c>
      <c r="X98" s="107">
        <f t="shared" si="19"/>
        <v>0</v>
      </c>
      <c r="Y98" s="107">
        <f t="shared" si="19"/>
        <v>0</v>
      </c>
      <c r="Z98" s="107">
        <f t="shared" si="19"/>
        <v>0</v>
      </c>
      <c r="AA98" s="107">
        <f t="shared" si="19"/>
        <v>0</v>
      </c>
      <c r="AB98" s="107">
        <f t="shared" si="19"/>
        <v>0</v>
      </c>
      <c r="AC98" s="107">
        <f t="shared" si="19"/>
        <v>0</v>
      </c>
      <c r="AD98" s="107">
        <f t="shared" si="19"/>
        <v>0</v>
      </c>
      <c r="AE98" s="107">
        <f t="shared" si="19"/>
        <v>0</v>
      </c>
      <c r="AF98" s="107">
        <f t="shared" si="19"/>
        <v>0</v>
      </c>
      <c r="AG98" s="91">
        <f>SUM(F98:AF98)</f>
        <v>99408365.862405345</v>
      </c>
      <c r="AH98" s="28" t="str">
        <f>IF(ABS(E98-AG98)&lt;0.01,"ok","err")</f>
        <v>ok</v>
      </c>
    </row>
    <row r="99" spans="1:34" x14ac:dyDescent="0.25">
      <c r="E99" s="23"/>
    </row>
    <row r="100" spans="1:34" x14ac:dyDescent="0.25">
      <c r="A100" s="13" t="s">
        <v>3</v>
      </c>
      <c r="E100" s="23"/>
    </row>
    <row r="101" spans="1:34" x14ac:dyDescent="0.25">
      <c r="A101" s="94" t="s">
        <v>208</v>
      </c>
      <c r="C101" s="14" t="s">
        <v>255</v>
      </c>
      <c r="D101" s="14" t="s">
        <v>619</v>
      </c>
      <c r="E101" s="42">
        <f>'Func &amp; Classif'!R144</f>
        <v>0</v>
      </c>
      <c r="F101" s="67">
        <f>IF(VLOOKUP($D101,$C$5:$AU$500,3,)=0,0,(VLOOKUP($D101,$C$5:$AU$500,4,)/VLOOKUP($D101,$C$5:$AU$500,3,))*$E101)</f>
        <v>0</v>
      </c>
      <c r="G101" s="67">
        <f>IF(VLOOKUP($D101,$C$5:$AU$500,3,)=0,0,(VLOOKUP($D101,$C$5:$AU$500,5,)/VLOOKUP($D101,$C$5:$AU$500,3,))*$E101)</f>
        <v>0</v>
      </c>
      <c r="H101" s="42">
        <f>IF(VLOOKUP($D101,$C$5:$AU$500,3,)=0,0,(VLOOKUP($D101,$C$5:$AU$500,6,)/VLOOKUP($D101,$C$5:$AU$500,3,))*$E101)</f>
        <v>0</v>
      </c>
      <c r="I101" s="42">
        <f>IF(VLOOKUP($D101,$C$5:$AU$500,3,)=0,0,(VLOOKUP($D101,$C$5:$AU$500,7,)/VLOOKUP($D101,$C$5:$AU$500,3,))*$E101)</f>
        <v>0</v>
      </c>
      <c r="J101" s="42">
        <f>IF(VLOOKUP($D101,$C$5:$AU$500,3,)=0,0,(VLOOKUP($D101,$C$5:$AU$500,8,)/VLOOKUP($D101,$C$5:$AU$500,3,))*$E101)</f>
        <v>0</v>
      </c>
      <c r="K101" s="42">
        <f>IF(VLOOKUP($D101,$C$5:$AU$500,3,)=0,0,(VLOOKUP($D101,$C$5:$AU$500,9,)/VLOOKUP($D101,$C$5:$AU$500,3,))*$E101)</f>
        <v>0</v>
      </c>
      <c r="L101" s="67">
        <f>IF(VLOOKUP($D101,$C$5:$AU$500,3,)=0,0,(VLOOKUP($D101,$C$5:$AU$500,10,)/VLOOKUP($D101,$C$5:$AU$500,3,))*$E101)</f>
        <v>0</v>
      </c>
      <c r="M101" s="42">
        <f>IF(VLOOKUP($D101,$C$5:$AU$500,3,)=0,0,(VLOOKUP($D101,$C$5:$AU$500,11,)/VLOOKUP($D101,$C$5:$AU$500,3,))*$E101)</f>
        <v>0</v>
      </c>
      <c r="N101" s="42">
        <f>IF(VLOOKUP($D101,$C$5:$AU$500,3,)=0,0,(VLOOKUP($D101,$C$5:$AU$500,12,)/VLOOKUP($D101,$C$5:$AU$500,3,))*$E101)</f>
        <v>0</v>
      </c>
      <c r="O101" s="42">
        <f>IF(VLOOKUP($D101,$C$5:$AU$500,3,)=0,0,(VLOOKUP($D101,$C$5:$AU$500,13,)/VLOOKUP($D101,$C$5:$AU$500,3,))*$E101)</f>
        <v>0</v>
      </c>
      <c r="P101" s="42">
        <f>IF(VLOOKUP($D101,$C$5:$AU$500,3,)=0,0,(VLOOKUP($D101,$C$5:$AU$500,14,)/VLOOKUP($D101,$C$5:$AU$500,3,))*$E101)</f>
        <v>0</v>
      </c>
      <c r="Q101" s="42">
        <f>IF(VLOOKUP($D101,$C$5:$AU$500,3,)=0,0,(VLOOKUP($D101,$C$5:$AU$500,15,)/VLOOKUP($D101,$C$5:$AU$500,3,))*$E101)</f>
        <v>0</v>
      </c>
      <c r="R101" s="42">
        <f>IF(VLOOKUP($D101,$C$5:$AU$500,3,)=0,0,(VLOOKUP($D101,$C$5:$AU$500,16,)/VLOOKUP($D101,$C$5:$AU$500,3,))*$E101)</f>
        <v>0</v>
      </c>
      <c r="S101" s="107">
        <f>IF(VLOOKUP($D101,$C$5:$AU$500,3,)=0,0,(VLOOKUP($D101,$C$5:$AU$500,17,)/VLOOKUP($D101,$C$5:$AU$500,3,))*$E101)</f>
        <v>0</v>
      </c>
      <c r="T101" s="107">
        <f>IF(VLOOKUP($D101,$C$5:$AU$500,3,)=0,0,(VLOOKUP($D101,$C$5:$AU$500,18,)/VLOOKUP($D101,$C$5:$AU$500,3,))*$E101)</f>
        <v>0</v>
      </c>
      <c r="U101" s="107">
        <f>IF(VLOOKUP($D101,$C$5:$AU$500,3,)=0,0,(VLOOKUP($D101,$C$5:$AU$500,19,)/VLOOKUP($D101,$C$5:$AU$500,3,))*$E101)</f>
        <v>0</v>
      </c>
      <c r="V101" s="107">
        <f>IF(VLOOKUP($D101,$C$5:$AU$500,3,)=0,0,(VLOOKUP($D101,$C$5:$AU$500,20,)/VLOOKUP($D101,$C$5:$AU$500,3,))*$E101)</f>
        <v>0</v>
      </c>
      <c r="W101" s="107">
        <f>IF(VLOOKUP($D101,$C$5:$AU$500,3,)=0,0,(VLOOKUP($D101,$C$5:$AU$500,21,)/VLOOKUP($D101,$C$5:$AU$500,3,))*$E101)</f>
        <v>0</v>
      </c>
      <c r="X101" s="107">
        <f>IF(VLOOKUP($D101,$C$5:$AU$500,3,)=0,0,(VLOOKUP($D101,$C$5:$AU$500,22,)/VLOOKUP($D101,$C$5:$AU$500,3,))*$E101)</f>
        <v>0</v>
      </c>
      <c r="Y101" s="107">
        <f>IF(VLOOKUP($D101,$C$5:$AU$500,3,)=0,0,(VLOOKUP($D101,$C$5:$AU$500,23,)/VLOOKUP($D101,$C$5:$AU$500,3,))*$E101)</f>
        <v>0</v>
      </c>
      <c r="Z101" s="107">
        <f>IF(VLOOKUP($D101,$C$5:$AU$500,3,)=0,0,(VLOOKUP($D101,$C$5:$AU$500,24,)/VLOOKUP($D101,$C$5:$AU$500,3,))*$E101)</f>
        <v>0</v>
      </c>
      <c r="AA101" s="107">
        <f>IF(VLOOKUP($D101,$C$5:$AU$500,3,)=0,0,(VLOOKUP($D101,$C$5:$AU$500,25,)/VLOOKUP($D101,$C$5:$AU$500,3,))*$E101)</f>
        <v>0</v>
      </c>
      <c r="AB101" s="107">
        <f>IF(VLOOKUP($D101,$C$5:$AU$500,3,)=0,0,(VLOOKUP($D101,$C$5:$AU$500,26,)/VLOOKUP($D101,$C$5:$AU$500,3,))*$E101)</f>
        <v>0</v>
      </c>
      <c r="AC101" s="107">
        <f>IF(VLOOKUP($D101,$C$5:$AU$500,3,)=0,0,(VLOOKUP($D101,$C$5:$AU$500,27,)/VLOOKUP($D101,$C$5:$AU$500,3,))*$E101)</f>
        <v>0</v>
      </c>
      <c r="AD101" s="107">
        <f>IF(VLOOKUP($D101,$C$5:$AU$500,3,)=0,0,(VLOOKUP($D101,$C$5:$AU$500,28,)/VLOOKUP($D101,$C$5:$AU$500,3,))*$E101)</f>
        <v>0</v>
      </c>
      <c r="AE101" s="107">
        <f>IF(VLOOKUP($D101,$C$5:$AU$500,3,)=0,0,(VLOOKUP($D101,$C$5:$AU$500,29,)/VLOOKUP($D101,$C$5:$AU$500,3,))*$E101)</f>
        <v>0</v>
      </c>
      <c r="AF101" s="107">
        <f>IF(VLOOKUP($D101,$C$5:$AU$500,3,)=0,0,(VLOOKUP($D101,$C$5:$AU$500,30,)/VLOOKUP($D101,$C$5:$AU$500,3,))*$E101)</f>
        <v>0</v>
      </c>
      <c r="AG101" s="91">
        <f>SUM(F101:AF101)</f>
        <v>0</v>
      </c>
      <c r="AH101" s="28" t="str">
        <f>IF(ABS(E101-AG101)&lt;0.01,"ok","err")</f>
        <v>ok</v>
      </c>
    </row>
    <row r="102" spans="1:34" x14ac:dyDescent="0.25">
      <c r="A102" s="94" t="s">
        <v>220</v>
      </c>
      <c r="C102" s="14" t="s">
        <v>256</v>
      </c>
      <c r="D102" s="14" t="s">
        <v>701</v>
      </c>
      <c r="E102" s="23">
        <f>'Func &amp; Classif'!S144</f>
        <v>10395758.935674757</v>
      </c>
      <c r="F102" s="67">
        <f>IF(VLOOKUP($D102,$C$5:$AU$500,3,)=0,0,(VLOOKUP($D102,$C$5:$AU$500,4,)/VLOOKUP($D102,$C$5:$AU$500,3,))*$E102)</f>
        <v>5426955.0356786549</v>
      </c>
      <c r="G102" s="67">
        <f>IF(VLOOKUP($D102,$C$5:$AU$500,3,)=0,0,(VLOOKUP($D102,$C$5:$AU$500,5,)/VLOOKUP($D102,$C$5:$AU$500,3,))*$E102)</f>
        <v>2358277.284410255</v>
      </c>
      <c r="H102" s="42">
        <f>IF(VLOOKUP($D102,$C$5:$AU$500,3,)=0,0,(VLOOKUP($D102,$C$5:$AU$500,6,)/VLOOKUP($D102,$C$5:$AU$500,3,))*$E102)</f>
        <v>628663.47533754981</v>
      </c>
      <c r="I102" s="42">
        <f>IF(VLOOKUP($D102,$C$5:$AU$500,3,)=0,0,(VLOOKUP($D102,$C$5:$AU$500,7,)/VLOOKUP($D102,$C$5:$AU$500,3,))*$E102)</f>
        <v>1487452.1497741251</v>
      </c>
      <c r="J102" s="42">
        <f>IF(VLOOKUP($D102,$C$5:$AU$500,3,)=0,0,(VLOOKUP($D102,$C$5:$AU$500,8,)/VLOOKUP($D102,$C$5:$AU$500,3,))*$E102)</f>
        <v>0</v>
      </c>
      <c r="K102" s="42">
        <f>IF(VLOOKUP($D102,$C$5:$AU$500,3,)=0,0,(VLOOKUP($D102,$C$5:$AU$500,9,)/VLOOKUP($D102,$C$5:$AU$500,3,))*$E102)</f>
        <v>4602.7400199302465</v>
      </c>
      <c r="L102" s="67">
        <f>IF(VLOOKUP($D102,$C$5:$AU$500,3,)=0,0,(VLOOKUP($D102,$C$5:$AU$500,10,)/VLOOKUP($D102,$C$5:$AU$500,3,))*$E102)</f>
        <v>489808.25045424385</v>
      </c>
      <c r="M102" s="42">
        <f>IF(VLOOKUP($D102,$C$5:$AU$500,3,)=0,0,(VLOOKUP($D102,$C$5:$AU$500,11,)/VLOOKUP($D102,$C$5:$AU$500,3,))*$E102)</f>
        <v>0</v>
      </c>
      <c r="N102" s="42">
        <f>IF(VLOOKUP($D102,$C$5:$AU$500,3,)=0,0,(VLOOKUP($D102,$C$5:$AU$500,12,)/VLOOKUP($D102,$C$5:$AU$500,3,))*$E102)</f>
        <v>0</v>
      </c>
      <c r="O102" s="42">
        <f>IF(VLOOKUP($D102,$C$5:$AU$500,3,)=0,0,(VLOOKUP($D102,$C$5:$AU$500,13,)/VLOOKUP($D102,$C$5:$AU$500,3,))*$E102)</f>
        <v>0</v>
      </c>
      <c r="P102" s="42">
        <f>IF(VLOOKUP($D102,$C$5:$AU$500,3,)=0,0,(VLOOKUP($D102,$C$5:$AU$500,14,)/VLOOKUP($D102,$C$5:$AU$500,3,))*$E102)</f>
        <v>0</v>
      </c>
      <c r="Q102" s="42">
        <f>IF(VLOOKUP($D102,$C$5:$AU$500,3,)=0,0,(VLOOKUP($D102,$C$5:$AU$500,15,)/VLOOKUP($D102,$C$5:$AU$500,3,))*$E102)</f>
        <v>0</v>
      </c>
      <c r="R102" s="42">
        <f>IF(VLOOKUP($D102,$C$5:$AU$500,3,)=0,0,(VLOOKUP($D102,$C$5:$AU$500,16,)/VLOOKUP($D102,$C$5:$AU$500,3,))*$E102)</f>
        <v>0</v>
      </c>
      <c r="S102" s="107">
        <f>IF(VLOOKUP($D102,$C$5:$AU$500,3,)=0,0,(VLOOKUP($D102,$C$5:$AU$500,17,)/VLOOKUP($D102,$C$5:$AU$500,3,))*$E102)</f>
        <v>0</v>
      </c>
      <c r="T102" s="107">
        <f>IF(VLOOKUP($D102,$C$5:$AU$500,3,)=0,0,(VLOOKUP($D102,$C$5:$AU$500,18,)/VLOOKUP($D102,$C$5:$AU$500,3,))*$E102)</f>
        <v>0</v>
      </c>
      <c r="U102" s="107">
        <f>IF(VLOOKUP($D102,$C$5:$AU$500,3,)=0,0,(VLOOKUP($D102,$C$5:$AU$500,19,)/VLOOKUP($D102,$C$5:$AU$500,3,))*$E102)</f>
        <v>0</v>
      </c>
      <c r="V102" s="107">
        <f>IF(VLOOKUP($D102,$C$5:$AU$500,3,)=0,0,(VLOOKUP($D102,$C$5:$AU$500,20,)/VLOOKUP($D102,$C$5:$AU$500,3,))*$E102)</f>
        <v>0</v>
      </c>
      <c r="W102" s="107">
        <f>IF(VLOOKUP($D102,$C$5:$AU$500,3,)=0,0,(VLOOKUP($D102,$C$5:$AU$500,21,)/VLOOKUP($D102,$C$5:$AU$500,3,))*$E102)</f>
        <v>0</v>
      </c>
      <c r="X102" s="107">
        <f>IF(VLOOKUP($D102,$C$5:$AU$500,3,)=0,0,(VLOOKUP($D102,$C$5:$AU$500,22,)/VLOOKUP($D102,$C$5:$AU$500,3,))*$E102)</f>
        <v>0</v>
      </c>
      <c r="Y102" s="107">
        <f>IF(VLOOKUP($D102,$C$5:$AU$500,3,)=0,0,(VLOOKUP($D102,$C$5:$AU$500,23,)/VLOOKUP($D102,$C$5:$AU$500,3,))*$E102)</f>
        <v>0</v>
      </c>
      <c r="Z102" s="107">
        <f>IF(VLOOKUP($D102,$C$5:$AU$500,3,)=0,0,(VLOOKUP($D102,$C$5:$AU$500,24,)/VLOOKUP($D102,$C$5:$AU$500,3,))*$E102)</f>
        <v>0</v>
      </c>
      <c r="AA102" s="107">
        <f>IF(VLOOKUP($D102,$C$5:$AU$500,3,)=0,0,(VLOOKUP($D102,$C$5:$AU$500,25,)/VLOOKUP($D102,$C$5:$AU$500,3,))*$E102)</f>
        <v>0</v>
      </c>
      <c r="AB102" s="107">
        <f>IF(VLOOKUP($D102,$C$5:$AU$500,3,)=0,0,(VLOOKUP($D102,$C$5:$AU$500,26,)/VLOOKUP($D102,$C$5:$AU$500,3,))*$E102)</f>
        <v>0</v>
      </c>
      <c r="AC102" s="107">
        <f>IF(VLOOKUP($D102,$C$5:$AU$500,3,)=0,0,(VLOOKUP($D102,$C$5:$AU$500,27,)/VLOOKUP($D102,$C$5:$AU$500,3,))*$E102)</f>
        <v>0</v>
      </c>
      <c r="AD102" s="107">
        <f>IF(VLOOKUP($D102,$C$5:$AU$500,3,)=0,0,(VLOOKUP($D102,$C$5:$AU$500,28,)/VLOOKUP($D102,$C$5:$AU$500,3,))*$E102)</f>
        <v>0</v>
      </c>
      <c r="AE102" s="107">
        <f>IF(VLOOKUP($D102,$C$5:$AU$500,3,)=0,0,(VLOOKUP($D102,$C$5:$AU$500,29,)/VLOOKUP($D102,$C$5:$AU$500,3,))*$E102)</f>
        <v>0</v>
      </c>
      <c r="AF102" s="107">
        <f>IF(VLOOKUP($D102,$C$5:$AU$500,3,)=0,0,(VLOOKUP($D102,$C$5:$AU$500,30,)/VLOOKUP($D102,$C$5:$AU$500,3,))*$E102)</f>
        <v>0</v>
      </c>
      <c r="AG102" s="91">
        <f>SUM(F102:AF102)</f>
        <v>10395758.935674759</v>
      </c>
      <c r="AH102" s="28" t="str">
        <f>IF(ABS(E102-AG102)&lt;0.01,"ok","err")</f>
        <v>ok</v>
      </c>
    </row>
    <row r="103" spans="1:34" x14ac:dyDescent="0.25">
      <c r="A103" s="14" t="s">
        <v>227</v>
      </c>
      <c r="E103" s="42">
        <f t="shared" ref="E103:T103" si="20">E101+E102</f>
        <v>10395758.935674757</v>
      </c>
      <c r="F103" s="67">
        <f t="shared" si="20"/>
        <v>5426955.0356786549</v>
      </c>
      <c r="G103" s="67">
        <f t="shared" si="20"/>
        <v>2358277.284410255</v>
      </c>
      <c r="H103" s="42">
        <f t="shared" si="20"/>
        <v>628663.47533754981</v>
      </c>
      <c r="I103" s="42">
        <f t="shared" si="20"/>
        <v>1487452.1497741251</v>
      </c>
      <c r="J103" s="42">
        <f t="shared" si="20"/>
        <v>0</v>
      </c>
      <c r="K103" s="42">
        <f t="shared" si="20"/>
        <v>4602.7400199302465</v>
      </c>
      <c r="L103" s="67">
        <f t="shared" si="20"/>
        <v>489808.25045424385</v>
      </c>
      <c r="M103" s="42">
        <f t="shared" si="20"/>
        <v>0</v>
      </c>
      <c r="N103" s="42">
        <f t="shared" si="20"/>
        <v>0</v>
      </c>
      <c r="O103" s="42">
        <f t="shared" si="20"/>
        <v>0</v>
      </c>
      <c r="P103" s="42">
        <f t="shared" si="20"/>
        <v>0</v>
      </c>
      <c r="Q103" s="42">
        <f t="shared" si="20"/>
        <v>0</v>
      </c>
      <c r="R103" s="42">
        <f t="shared" si="20"/>
        <v>0</v>
      </c>
      <c r="S103" s="107">
        <f t="shared" si="20"/>
        <v>0</v>
      </c>
      <c r="T103" s="107">
        <f t="shared" si="20"/>
        <v>0</v>
      </c>
      <c r="U103" s="107">
        <f t="shared" ref="U103:AF103" si="21">U101+U102</f>
        <v>0</v>
      </c>
      <c r="V103" s="107">
        <f t="shared" si="21"/>
        <v>0</v>
      </c>
      <c r="W103" s="107">
        <f t="shared" si="21"/>
        <v>0</v>
      </c>
      <c r="X103" s="107">
        <f t="shared" si="21"/>
        <v>0</v>
      </c>
      <c r="Y103" s="107">
        <f t="shared" si="21"/>
        <v>0</v>
      </c>
      <c r="Z103" s="107">
        <f t="shared" si="21"/>
        <v>0</v>
      </c>
      <c r="AA103" s="107">
        <f t="shared" si="21"/>
        <v>0</v>
      </c>
      <c r="AB103" s="107">
        <f t="shared" si="21"/>
        <v>0</v>
      </c>
      <c r="AC103" s="107">
        <f t="shared" si="21"/>
        <v>0</v>
      </c>
      <c r="AD103" s="107">
        <f t="shared" si="21"/>
        <v>0</v>
      </c>
      <c r="AE103" s="107">
        <f t="shared" si="21"/>
        <v>0</v>
      </c>
      <c r="AF103" s="107">
        <f t="shared" si="21"/>
        <v>0</v>
      </c>
      <c r="AG103" s="91">
        <f>SUM(F103:AF103)</f>
        <v>10395758.935674759</v>
      </c>
      <c r="AH103" s="28" t="str">
        <f>IF(ABS(E103-AG103)&lt;0.01,"ok","err")</f>
        <v>ok</v>
      </c>
    </row>
    <row r="104" spans="1:34" x14ac:dyDescent="0.25">
      <c r="E104" s="23"/>
    </row>
    <row r="105" spans="1:34" x14ac:dyDescent="0.25">
      <c r="A105" s="13" t="s">
        <v>4</v>
      </c>
      <c r="E105" s="23"/>
    </row>
    <row r="106" spans="1:34" x14ac:dyDescent="0.25">
      <c r="A106" s="94" t="s">
        <v>220</v>
      </c>
      <c r="C106" s="14" t="s">
        <v>257</v>
      </c>
      <c r="D106" s="14" t="s">
        <v>229</v>
      </c>
      <c r="E106" s="42">
        <f>'Func &amp; Classif'!U144</f>
        <v>10190488.787739765</v>
      </c>
      <c r="F106" s="67">
        <f>IF(VLOOKUP($D106,$C$5:$AU$500,3,)=0,0,(VLOOKUP($D106,$C$5:$AU$500,4,)/VLOOKUP($D106,$C$5:$AU$500,3,))*$E106)</f>
        <v>5319796.7348847166</v>
      </c>
      <c r="G106" s="67">
        <f>IF(VLOOKUP($D106,$C$5:$AU$500,3,)=0,0,(VLOOKUP($D106,$C$5:$AU$500,5,)/VLOOKUP($D106,$C$5:$AU$500,3,))*$E106)</f>
        <v>2311711.7637938228</v>
      </c>
      <c r="H106" s="42">
        <f>IF(VLOOKUP($D106,$C$5:$AU$500,3,)=0,0,(VLOOKUP($D106,$C$5:$AU$500,6,)/VLOOKUP($D106,$C$5:$AU$500,3,))*$E106)</f>
        <v>616250.15896667633</v>
      </c>
      <c r="I106" s="42">
        <f>IF(VLOOKUP($D106,$C$5:$AU$500,3,)=0,0,(VLOOKUP($D106,$C$5:$AU$500,7,)/VLOOKUP($D106,$C$5:$AU$500,3,))*$E106)</f>
        <v>1458081.5646422817</v>
      </c>
      <c r="J106" s="42">
        <f>IF(VLOOKUP($D106,$C$5:$AU$500,3,)=0,0,(VLOOKUP($D106,$C$5:$AU$500,8,)/VLOOKUP($D106,$C$5:$AU$500,3,))*$E106)</f>
        <v>0</v>
      </c>
      <c r="K106" s="42">
        <f>IF(VLOOKUP($D106,$C$5:$AU$500,3,)=0,0,(VLOOKUP($D106,$C$5:$AU$500,9,)/VLOOKUP($D106,$C$5:$AU$500,3,))*$E106)</f>
        <v>4511.8563114253166</v>
      </c>
      <c r="L106" s="67">
        <f>IF(VLOOKUP($D106,$C$5:$AU$500,3,)=0,0,(VLOOKUP($D106,$C$5:$AU$500,10,)/VLOOKUP($D106,$C$5:$AU$500,3,))*$E106)</f>
        <v>480136.70914084418</v>
      </c>
      <c r="M106" s="42">
        <f>IF(VLOOKUP($D106,$C$5:$AU$500,3,)=0,0,(VLOOKUP($D106,$C$5:$AU$500,11,)/VLOOKUP($D106,$C$5:$AU$500,3,))*$E106)</f>
        <v>0</v>
      </c>
      <c r="N106" s="42">
        <f>IF(VLOOKUP($D106,$C$5:$AU$500,3,)=0,0,(VLOOKUP($D106,$C$5:$AU$500,12,)/VLOOKUP($D106,$C$5:$AU$500,3,))*$E106)</f>
        <v>0</v>
      </c>
      <c r="O106" s="42">
        <f>IF(VLOOKUP($D106,$C$5:$AU$500,3,)=0,0,(VLOOKUP($D106,$C$5:$AU$500,13,)/VLOOKUP($D106,$C$5:$AU$500,3,))*$E106)</f>
        <v>0</v>
      </c>
      <c r="P106" s="42">
        <f>IF(VLOOKUP($D106,$C$5:$AU$500,3,)=0,0,(VLOOKUP($D106,$C$5:$AU$500,14,)/VLOOKUP($D106,$C$5:$AU$500,3,))*$E106)</f>
        <v>0</v>
      </c>
      <c r="Q106" s="42">
        <f>IF(VLOOKUP($D106,$C$5:$AU$500,3,)=0,0,(VLOOKUP($D106,$C$5:$AU$500,15,)/VLOOKUP($D106,$C$5:$AU$500,3,))*$E106)</f>
        <v>0</v>
      </c>
      <c r="R106" s="42">
        <f>IF(VLOOKUP($D106,$C$5:$AU$500,3,)=0,0,(VLOOKUP($D106,$C$5:$AU$500,16,)/VLOOKUP($D106,$C$5:$AU$500,3,))*$E106)</f>
        <v>0</v>
      </c>
      <c r="S106" s="107">
        <f>IF(VLOOKUP($D106,$C$5:$AU$500,3,)=0,0,(VLOOKUP($D106,$C$5:$AU$500,17,)/VLOOKUP($D106,$C$5:$AU$500,3,))*$E106)</f>
        <v>0</v>
      </c>
      <c r="T106" s="107">
        <f>IF(VLOOKUP($D106,$C$5:$AU$500,3,)=0,0,(VLOOKUP($D106,$C$5:$AU$500,18,)/VLOOKUP($D106,$C$5:$AU$500,3,))*$E106)</f>
        <v>0</v>
      </c>
      <c r="U106" s="107">
        <f>IF(VLOOKUP($D106,$C$5:$AU$500,3,)=0,0,(VLOOKUP($D106,$C$5:$AU$500,19,)/VLOOKUP($D106,$C$5:$AU$500,3,))*$E106)</f>
        <v>0</v>
      </c>
      <c r="V106" s="107">
        <f>IF(VLOOKUP($D106,$C$5:$AU$500,3,)=0,0,(VLOOKUP($D106,$C$5:$AU$500,20,)/VLOOKUP($D106,$C$5:$AU$500,3,))*$E106)</f>
        <v>0</v>
      </c>
      <c r="W106" s="107">
        <f>IF(VLOOKUP($D106,$C$5:$AU$500,3,)=0,0,(VLOOKUP($D106,$C$5:$AU$500,21,)/VLOOKUP($D106,$C$5:$AU$500,3,))*$E106)</f>
        <v>0</v>
      </c>
      <c r="X106" s="107">
        <f>IF(VLOOKUP($D106,$C$5:$AU$500,3,)=0,0,(VLOOKUP($D106,$C$5:$AU$500,22,)/VLOOKUP($D106,$C$5:$AU$500,3,))*$E106)</f>
        <v>0</v>
      </c>
      <c r="Y106" s="107">
        <f>IF(VLOOKUP($D106,$C$5:$AU$500,3,)=0,0,(VLOOKUP($D106,$C$5:$AU$500,23,)/VLOOKUP($D106,$C$5:$AU$500,3,))*$E106)</f>
        <v>0</v>
      </c>
      <c r="Z106" s="107">
        <f>IF(VLOOKUP($D106,$C$5:$AU$500,3,)=0,0,(VLOOKUP($D106,$C$5:$AU$500,24,)/VLOOKUP($D106,$C$5:$AU$500,3,))*$E106)</f>
        <v>0</v>
      </c>
      <c r="AA106" s="107">
        <f>IF(VLOOKUP($D106,$C$5:$AU$500,3,)=0,0,(VLOOKUP($D106,$C$5:$AU$500,25,)/VLOOKUP($D106,$C$5:$AU$500,3,))*$E106)</f>
        <v>0</v>
      </c>
      <c r="AB106" s="107">
        <f>IF(VLOOKUP($D106,$C$5:$AU$500,3,)=0,0,(VLOOKUP($D106,$C$5:$AU$500,26,)/VLOOKUP($D106,$C$5:$AU$500,3,))*$E106)</f>
        <v>0</v>
      </c>
      <c r="AC106" s="107">
        <f>IF(VLOOKUP($D106,$C$5:$AU$500,3,)=0,0,(VLOOKUP($D106,$C$5:$AU$500,27,)/VLOOKUP($D106,$C$5:$AU$500,3,))*$E106)</f>
        <v>0</v>
      </c>
      <c r="AD106" s="107">
        <f>IF(VLOOKUP($D106,$C$5:$AU$500,3,)=0,0,(VLOOKUP($D106,$C$5:$AU$500,28,)/VLOOKUP($D106,$C$5:$AU$500,3,))*$E106)</f>
        <v>0</v>
      </c>
      <c r="AE106" s="107">
        <f>IF(VLOOKUP($D106,$C$5:$AU$500,3,)=0,0,(VLOOKUP($D106,$C$5:$AU$500,29,)/VLOOKUP($D106,$C$5:$AU$500,3,))*$E106)</f>
        <v>0</v>
      </c>
      <c r="AF106" s="107">
        <f>IF(VLOOKUP($D106,$C$5:$AU$500,3,)=0,0,(VLOOKUP($D106,$C$5:$AU$500,30,)/VLOOKUP($D106,$C$5:$AU$500,3,))*$E106)</f>
        <v>0</v>
      </c>
      <c r="AG106" s="91">
        <f>SUM(F106:AF106)</f>
        <v>10190488.787739767</v>
      </c>
      <c r="AH106" s="28" t="str">
        <f>IF(ABS(E106-AG106)&lt;0.01,"ok","err")</f>
        <v>ok</v>
      </c>
    </row>
    <row r="107" spans="1:34" x14ac:dyDescent="0.25">
      <c r="E107" s="23"/>
    </row>
    <row r="108" spans="1:34" x14ac:dyDescent="0.25">
      <c r="A108" s="13" t="s">
        <v>5</v>
      </c>
      <c r="E108" s="23"/>
    </row>
    <row r="109" spans="1:34" x14ac:dyDescent="0.25">
      <c r="A109" s="94" t="s">
        <v>220</v>
      </c>
      <c r="C109" s="14" t="s">
        <v>258</v>
      </c>
      <c r="D109" s="14" t="s">
        <v>231</v>
      </c>
      <c r="E109" s="42">
        <f>'Func &amp; Classif'!W144</f>
        <v>2530054.4071191</v>
      </c>
      <c r="F109" s="67">
        <f>IF(VLOOKUP($D109,$C$5:$AU$500,3,)=0,0,(VLOOKUP($D109,$C$5:$AU$500,4,)/VLOOKUP($D109,$C$5:$AU$500,3,))*$E109)</f>
        <v>0</v>
      </c>
      <c r="G109" s="67">
        <f>IF(VLOOKUP($D109,$C$5:$AU$500,3,)=0,0,(VLOOKUP($D109,$C$5:$AU$500,5,)/VLOOKUP($D109,$C$5:$AU$500,3,))*$E109)</f>
        <v>0</v>
      </c>
      <c r="H109" s="42">
        <f>IF(VLOOKUP($D109,$C$5:$AU$500,3,)=0,0,(VLOOKUP($D109,$C$5:$AU$500,6,)/VLOOKUP($D109,$C$5:$AU$500,3,))*$E109)</f>
        <v>0</v>
      </c>
      <c r="I109" s="42">
        <f>IF(VLOOKUP($D109,$C$5:$AU$500,3,)=0,0,(VLOOKUP($D109,$C$5:$AU$500,7,)/VLOOKUP($D109,$C$5:$AU$500,3,))*$E109)</f>
        <v>0</v>
      </c>
      <c r="J109" s="42">
        <f>IF(VLOOKUP($D109,$C$5:$AU$500,3,)=0,0,(VLOOKUP($D109,$C$5:$AU$500,8,)/VLOOKUP($D109,$C$5:$AU$500,3,))*$E109)</f>
        <v>0</v>
      </c>
      <c r="K109" s="42">
        <f>IF(VLOOKUP($D109,$C$5:$AU$500,3,)=0,0,(VLOOKUP($D109,$C$5:$AU$500,9,)/VLOOKUP($D109,$C$5:$AU$500,3,))*$E109)</f>
        <v>0</v>
      </c>
      <c r="L109" s="67">
        <f>IF(VLOOKUP($D109,$C$5:$AU$500,3,)=0,0,(VLOOKUP($D109,$C$5:$AU$500,10,)/VLOOKUP($D109,$C$5:$AU$500,3,))*$E109)</f>
        <v>2530054.4071191</v>
      </c>
      <c r="M109" s="42">
        <f>IF(VLOOKUP($D109,$C$5:$AU$500,3,)=0,0,(VLOOKUP($D109,$C$5:$AU$500,11,)/VLOOKUP($D109,$C$5:$AU$500,3,))*$E109)</f>
        <v>0</v>
      </c>
      <c r="N109" s="42">
        <f>IF(VLOOKUP($D109,$C$5:$AU$500,3,)=0,0,(VLOOKUP($D109,$C$5:$AU$500,12,)/VLOOKUP($D109,$C$5:$AU$500,3,))*$E109)</f>
        <v>0</v>
      </c>
      <c r="O109" s="42">
        <f>IF(VLOOKUP($D109,$C$5:$AU$500,3,)=0,0,(VLOOKUP($D109,$C$5:$AU$500,13,)/VLOOKUP($D109,$C$5:$AU$500,3,))*$E109)</f>
        <v>0</v>
      </c>
      <c r="P109" s="42">
        <f>IF(VLOOKUP($D109,$C$5:$AU$500,3,)=0,0,(VLOOKUP($D109,$C$5:$AU$500,14,)/VLOOKUP($D109,$C$5:$AU$500,3,))*$E109)</f>
        <v>0</v>
      </c>
      <c r="Q109" s="42">
        <f>IF(VLOOKUP($D109,$C$5:$AU$500,3,)=0,0,(VLOOKUP($D109,$C$5:$AU$500,15,)/VLOOKUP($D109,$C$5:$AU$500,3,))*$E109)</f>
        <v>0</v>
      </c>
      <c r="R109" s="42">
        <f>IF(VLOOKUP($D109,$C$5:$AU$500,3,)=0,0,(VLOOKUP($D109,$C$5:$AU$500,16,)/VLOOKUP($D109,$C$5:$AU$500,3,))*$E109)</f>
        <v>0</v>
      </c>
      <c r="S109" s="107">
        <f>IF(VLOOKUP($D109,$C$5:$AU$500,3,)=0,0,(VLOOKUP($D109,$C$5:$AU$500,17,)/VLOOKUP($D109,$C$5:$AU$500,3,))*$E109)</f>
        <v>0</v>
      </c>
      <c r="T109" s="107">
        <f>IF(VLOOKUP($D109,$C$5:$AU$500,3,)=0,0,(VLOOKUP($D109,$C$5:$AU$500,18,)/VLOOKUP($D109,$C$5:$AU$500,3,))*$E109)</f>
        <v>0</v>
      </c>
      <c r="U109" s="107">
        <f>IF(VLOOKUP($D109,$C$5:$AU$500,3,)=0,0,(VLOOKUP($D109,$C$5:$AU$500,19,)/VLOOKUP($D109,$C$5:$AU$500,3,))*$E109)</f>
        <v>0</v>
      </c>
      <c r="V109" s="107">
        <f>IF(VLOOKUP($D109,$C$5:$AU$500,3,)=0,0,(VLOOKUP($D109,$C$5:$AU$500,20,)/VLOOKUP($D109,$C$5:$AU$500,3,))*$E109)</f>
        <v>0</v>
      </c>
      <c r="W109" s="107">
        <f>IF(VLOOKUP($D109,$C$5:$AU$500,3,)=0,0,(VLOOKUP($D109,$C$5:$AU$500,21,)/VLOOKUP($D109,$C$5:$AU$500,3,))*$E109)</f>
        <v>0</v>
      </c>
      <c r="X109" s="107">
        <f>IF(VLOOKUP($D109,$C$5:$AU$500,3,)=0,0,(VLOOKUP($D109,$C$5:$AU$500,22,)/VLOOKUP($D109,$C$5:$AU$500,3,))*$E109)</f>
        <v>0</v>
      </c>
      <c r="Y109" s="107">
        <f>IF(VLOOKUP($D109,$C$5:$AU$500,3,)=0,0,(VLOOKUP($D109,$C$5:$AU$500,23,)/VLOOKUP($D109,$C$5:$AU$500,3,))*$E109)</f>
        <v>0</v>
      </c>
      <c r="Z109" s="107">
        <f>IF(VLOOKUP($D109,$C$5:$AU$500,3,)=0,0,(VLOOKUP($D109,$C$5:$AU$500,24,)/VLOOKUP($D109,$C$5:$AU$500,3,))*$E109)</f>
        <v>0</v>
      </c>
      <c r="AA109" s="107">
        <f>IF(VLOOKUP($D109,$C$5:$AU$500,3,)=0,0,(VLOOKUP($D109,$C$5:$AU$500,25,)/VLOOKUP($D109,$C$5:$AU$500,3,))*$E109)</f>
        <v>0</v>
      </c>
      <c r="AB109" s="107">
        <f>IF(VLOOKUP($D109,$C$5:$AU$500,3,)=0,0,(VLOOKUP($D109,$C$5:$AU$500,26,)/VLOOKUP($D109,$C$5:$AU$500,3,))*$E109)</f>
        <v>0</v>
      </c>
      <c r="AC109" s="107">
        <f>IF(VLOOKUP($D109,$C$5:$AU$500,3,)=0,0,(VLOOKUP($D109,$C$5:$AU$500,27,)/VLOOKUP($D109,$C$5:$AU$500,3,))*$E109)</f>
        <v>0</v>
      </c>
      <c r="AD109" s="107">
        <f>IF(VLOOKUP($D109,$C$5:$AU$500,3,)=0,0,(VLOOKUP($D109,$C$5:$AU$500,28,)/VLOOKUP($D109,$C$5:$AU$500,3,))*$E109)</f>
        <v>0</v>
      </c>
      <c r="AE109" s="107">
        <f>IF(VLOOKUP($D109,$C$5:$AU$500,3,)=0,0,(VLOOKUP($D109,$C$5:$AU$500,29,)/VLOOKUP($D109,$C$5:$AU$500,3,))*$E109)</f>
        <v>0</v>
      </c>
      <c r="AF109" s="107">
        <f>IF(VLOOKUP($D109,$C$5:$AU$500,3,)=0,0,(VLOOKUP($D109,$C$5:$AU$500,30,)/VLOOKUP($D109,$C$5:$AU$500,3,))*$E109)</f>
        <v>0</v>
      </c>
      <c r="AG109" s="91">
        <f>SUM(F109:AF109)</f>
        <v>2530054.4071191</v>
      </c>
      <c r="AH109" s="28" t="str">
        <f>IF(ABS(E109-AG109)&lt;0.01,"ok","err")</f>
        <v>ok</v>
      </c>
    </row>
    <row r="110" spans="1:34" x14ac:dyDescent="0.25">
      <c r="E110" s="23"/>
    </row>
    <row r="111" spans="1:34" x14ac:dyDescent="0.25">
      <c r="A111" s="13" t="s">
        <v>545</v>
      </c>
      <c r="E111" s="23"/>
    </row>
    <row r="112" spans="1:34" x14ac:dyDescent="0.25">
      <c r="A112" s="94" t="s">
        <v>220</v>
      </c>
      <c r="C112" s="14" t="s">
        <v>259</v>
      </c>
      <c r="D112" s="14" t="s">
        <v>233</v>
      </c>
      <c r="E112" s="42">
        <f>'Func &amp; Classif'!Y144</f>
        <v>189925.02518211398</v>
      </c>
      <c r="F112" s="67">
        <f>IF(VLOOKUP($D112,$C$5:$AU$500,3,)=0,0,(VLOOKUP($D112,$C$5:$AU$500,4,)/VLOOKUP($D112,$C$5:$AU$500,3,))*$E112)</f>
        <v>152032.18089905646</v>
      </c>
      <c r="G112" s="67">
        <f>IF(VLOOKUP($D112,$C$5:$AU$500,3,)=0,0,(VLOOKUP($D112,$C$5:$AU$500,5,)/VLOOKUP($D112,$C$5:$AU$500,3,))*$E112)</f>
        <v>30029.734266392181</v>
      </c>
      <c r="H112" s="42">
        <f>IF(VLOOKUP($D112,$C$5:$AU$500,3,)=0,0,(VLOOKUP($D112,$C$5:$AU$500,6,)/VLOOKUP($D112,$C$5:$AU$500,3,))*$E112)</f>
        <v>3190.4978295069341</v>
      </c>
      <c r="I112" s="42">
        <f>IF(VLOOKUP($D112,$C$5:$AU$500,3,)=0,0,(VLOOKUP($D112,$C$5:$AU$500,7,)/VLOOKUP($D112,$C$5:$AU$500,3,))*$E112)</f>
        <v>4006.7197483250948</v>
      </c>
      <c r="J112" s="42">
        <f>IF(VLOOKUP($D112,$C$5:$AU$500,3,)=0,0,(VLOOKUP($D112,$C$5:$AU$500,8,)/VLOOKUP($D112,$C$5:$AU$500,3,))*$E112)</f>
        <v>0</v>
      </c>
      <c r="K112" s="42">
        <f>IF(VLOOKUP($D112,$C$5:$AU$500,3,)=0,0,(VLOOKUP($D112,$C$5:$AU$500,9,)/VLOOKUP($D112,$C$5:$AU$500,3,))*$E112)</f>
        <v>6.1991538138088105</v>
      </c>
      <c r="L112" s="67">
        <f>IF(VLOOKUP($D112,$C$5:$AU$500,3,)=0,0,(VLOOKUP($D112,$C$5:$AU$500,10,)/VLOOKUP($D112,$C$5:$AU$500,3,))*$E112)</f>
        <v>659.69328501948758</v>
      </c>
      <c r="M112" s="42">
        <f>IF(VLOOKUP($D112,$C$5:$AU$500,3,)=0,0,(VLOOKUP($D112,$C$5:$AU$500,11,)/VLOOKUP($D112,$C$5:$AU$500,3,))*$E112)</f>
        <v>0</v>
      </c>
      <c r="N112" s="42">
        <f>IF(VLOOKUP($D112,$C$5:$AU$500,3,)=0,0,(VLOOKUP($D112,$C$5:$AU$500,12,)/VLOOKUP($D112,$C$5:$AU$500,3,))*$E112)</f>
        <v>0</v>
      </c>
      <c r="O112" s="42">
        <f>IF(VLOOKUP($D112,$C$5:$AU$500,3,)=0,0,(VLOOKUP($D112,$C$5:$AU$500,13,)/VLOOKUP($D112,$C$5:$AU$500,3,))*$E112)</f>
        <v>0</v>
      </c>
      <c r="P112" s="42">
        <f>IF(VLOOKUP($D112,$C$5:$AU$500,3,)=0,0,(VLOOKUP($D112,$C$5:$AU$500,14,)/VLOOKUP($D112,$C$5:$AU$500,3,))*$E112)</f>
        <v>0</v>
      </c>
      <c r="Q112" s="42">
        <f>IF(VLOOKUP($D112,$C$5:$AU$500,3,)=0,0,(VLOOKUP($D112,$C$5:$AU$500,15,)/VLOOKUP($D112,$C$5:$AU$500,3,))*$E112)</f>
        <v>0</v>
      </c>
      <c r="R112" s="42">
        <f>IF(VLOOKUP($D112,$C$5:$AU$500,3,)=0,0,(VLOOKUP($D112,$C$5:$AU$500,16,)/VLOOKUP($D112,$C$5:$AU$500,3,))*$E112)</f>
        <v>0</v>
      </c>
      <c r="S112" s="107">
        <f>IF(VLOOKUP($D112,$C$5:$AU$500,3,)=0,0,(VLOOKUP($D112,$C$5:$AU$500,17,)/VLOOKUP($D112,$C$5:$AU$500,3,))*$E112)</f>
        <v>0</v>
      </c>
      <c r="T112" s="107">
        <f>IF(VLOOKUP($D112,$C$5:$AU$500,3,)=0,0,(VLOOKUP($D112,$C$5:$AU$500,18,)/VLOOKUP($D112,$C$5:$AU$500,3,))*$E112)</f>
        <v>0</v>
      </c>
      <c r="U112" s="107">
        <f>IF(VLOOKUP($D112,$C$5:$AU$500,3,)=0,0,(VLOOKUP($D112,$C$5:$AU$500,19,)/VLOOKUP($D112,$C$5:$AU$500,3,))*$E112)</f>
        <v>0</v>
      </c>
      <c r="V112" s="107">
        <f>IF(VLOOKUP($D112,$C$5:$AU$500,3,)=0,0,(VLOOKUP($D112,$C$5:$AU$500,20,)/VLOOKUP($D112,$C$5:$AU$500,3,))*$E112)</f>
        <v>0</v>
      </c>
      <c r="W112" s="107">
        <f>IF(VLOOKUP($D112,$C$5:$AU$500,3,)=0,0,(VLOOKUP($D112,$C$5:$AU$500,21,)/VLOOKUP($D112,$C$5:$AU$500,3,))*$E112)</f>
        <v>0</v>
      </c>
      <c r="X112" s="107">
        <f>IF(VLOOKUP($D112,$C$5:$AU$500,3,)=0,0,(VLOOKUP($D112,$C$5:$AU$500,22,)/VLOOKUP($D112,$C$5:$AU$500,3,))*$E112)</f>
        <v>0</v>
      </c>
      <c r="Y112" s="107">
        <f>IF(VLOOKUP($D112,$C$5:$AU$500,3,)=0,0,(VLOOKUP($D112,$C$5:$AU$500,23,)/VLOOKUP($D112,$C$5:$AU$500,3,))*$E112)</f>
        <v>0</v>
      </c>
      <c r="Z112" s="107">
        <f>IF(VLOOKUP($D112,$C$5:$AU$500,3,)=0,0,(VLOOKUP($D112,$C$5:$AU$500,24,)/VLOOKUP($D112,$C$5:$AU$500,3,))*$E112)</f>
        <v>0</v>
      </c>
      <c r="AA112" s="107">
        <f>IF(VLOOKUP($D112,$C$5:$AU$500,3,)=0,0,(VLOOKUP($D112,$C$5:$AU$500,25,)/VLOOKUP($D112,$C$5:$AU$500,3,))*$E112)</f>
        <v>0</v>
      </c>
      <c r="AB112" s="107">
        <f>IF(VLOOKUP($D112,$C$5:$AU$500,3,)=0,0,(VLOOKUP($D112,$C$5:$AU$500,26,)/VLOOKUP($D112,$C$5:$AU$500,3,))*$E112)</f>
        <v>0</v>
      </c>
      <c r="AC112" s="107">
        <f>IF(VLOOKUP($D112,$C$5:$AU$500,3,)=0,0,(VLOOKUP($D112,$C$5:$AU$500,27,)/VLOOKUP($D112,$C$5:$AU$500,3,))*$E112)</f>
        <v>0</v>
      </c>
      <c r="AD112" s="107">
        <f>IF(VLOOKUP($D112,$C$5:$AU$500,3,)=0,0,(VLOOKUP($D112,$C$5:$AU$500,28,)/VLOOKUP($D112,$C$5:$AU$500,3,))*$E112)</f>
        <v>0</v>
      </c>
      <c r="AE112" s="107">
        <f>IF(VLOOKUP($D112,$C$5:$AU$500,3,)=0,0,(VLOOKUP($D112,$C$5:$AU$500,29,)/VLOOKUP($D112,$C$5:$AU$500,3,))*$E112)</f>
        <v>0</v>
      </c>
      <c r="AF112" s="107">
        <f>IF(VLOOKUP($D112,$C$5:$AU$500,3,)=0,0,(VLOOKUP($D112,$C$5:$AU$500,30,)/VLOOKUP($D112,$C$5:$AU$500,3,))*$E112)</f>
        <v>0</v>
      </c>
      <c r="AG112" s="91">
        <f>SUM(F112:AF112)</f>
        <v>189925.02518211395</v>
      </c>
      <c r="AH112" s="28" t="str">
        <f>IF(ABS(E112-AG112)&lt;0.01,"ok","err")</f>
        <v>ok</v>
      </c>
    </row>
    <row r="113" spans="1:35" x14ac:dyDescent="0.25">
      <c r="E113" s="23"/>
    </row>
    <row r="114" spans="1:35" x14ac:dyDescent="0.25">
      <c r="A114" s="13" t="s">
        <v>470</v>
      </c>
      <c r="E114" s="23"/>
    </row>
    <row r="115" spans="1:35" x14ac:dyDescent="0.25">
      <c r="A115" s="94" t="s">
        <v>220</v>
      </c>
      <c r="C115" s="14" t="s">
        <v>256</v>
      </c>
      <c r="D115" s="14" t="s">
        <v>234</v>
      </c>
      <c r="E115" s="42">
        <f>'Func &amp; Classif'!AA144</f>
        <v>671.55537614869093</v>
      </c>
      <c r="F115" s="67">
        <f>IF(VLOOKUP($D115,$C$5:$AU$500,3,)=0,0,(VLOOKUP($D115,$C$5:$AU$500,4,)/VLOOKUP($D115,$C$5:$AU$500,3,))*$E115)</f>
        <v>537.57017187425743</v>
      </c>
      <c r="G115" s="67">
        <f>IF(VLOOKUP($D115,$C$5:$AU$500,3,)=0,0,(VLOOKUP($D115,$C$5:$AU$500,5,)/VLOOKUP($D115,$C$5:$AU$500,3,))*$E115)</f>
        <v>106.18205511135247</v>
      </c>
      <c r="H115" s="42">
        <f>IF(VLOOKUP($D115,$C$5:$AU$500,3,)=0,0,(VLOOKUP($D115,$C$5:$AU$500,6,)/VLOOKUP($D115,$C$5:$AU$500,3,))*$E115)</f>
        <v>11.281272533420141</v>
      </c>
      <c r="I115" s="42">
        <f>IF(VLOOKUP($D115,$C$5:$AU$500,3,)=0,0,(VLOOKUP($D115,$C$5:$AU$500,7,)/VLOOKUP($D115,$C$5:$AU$500,3,))*$E115)</f>
        <v>14.167349379729052</v>
      </c>
      <c r="J115" s="42">
        <f>IF(VLOOKUP($D115,$C$5:$AU$500,3,)=0,0,(VLOOKUP($D115,$C$5:$AU$500,8,)/VLOOKUP($D115,$C$5:$AU$500,3,))*$E115)</f>
        <v>0</v>
      </c>
      <c r="K115" s="42">
        <f>IF(VLOOKUP($D115,$C$5:$AU$500,3,)=0,0,(VLOOKUP($D115,$C$5:$AU$500,9,)/VLOOKUP($D115,$C$5:$AU$500,3,))*$E115)</f>
        <v>2.1919570984624628E-2</v>
      </c>
      <c r="L115" s="67">
        <f>IF(VLOOKUP($D115,$C$5:$AU$500,3,)=0,0,(VLOOKUP($D115,$C$5:$AU$500,10,)/VLOOKUP($D115,$C$5:$AU$500,3,))*$E115)</f>
        <v>2.3326076789471375</v>
      </c>
      <c r="M115" s="42">
        <f>IF(VLOOKUP($D115,$C$5:$AU$500,3,)=0,0,(VLOOKUP($D115,$C$5:$AU$500,11,)/VLOOKUP($D115,$C$5:$AU$500,3,))*$E115)</f>
        <v>0</v>
      </c>
      <c r="N115" s="42">
        <f>IF(VLOOKUP($D115,$C$5:$AU$500,3,)=0,0,(VLOOKUP($D115,$C$5:$AU$500,12,)/VLOOKUP($D115,$C$5:$AU$500,3,))*$E115)</f>
        <v>0</v>
      </c>
      <c r="O115" s="42">
        <f>IF(VLOOKUP($D115,$C$5:$AU$500,3,)=0,0,(VLOOKUP($D115,$C$5:$AU$500,13,)/VLOOKUP($D115,$C$5:$AU$500,3,))*$E115)</f>
        <v>0</v>
      </c>
      <c r="P115" s="42">
        <f>IF(VLOOKUP($D115,$C$5:$AU$500,3,)=0,0,(VLOOKUP($D115,$C$5:$AU$500,14,)/VLOOKUP($D115,$C$5:$AU$500,3,))*$E115)</f>
        <v>0</v>
      </c>
      <c r="Q115" s="42">
        <f>IF(VLOOKUP($D115,$C$5:$AU$500,3,)=0,0,(VLOOKUP($D115,$C$5:$AU$500,15,)/VLOOKUP($D115,$C$5:$AU$500,3,))*$E115)</f>
        <v>0</v>
      </c>
      <c r="R115" s="42">
        <f>IF(VLOOKUP($D115,$C$5:$AU$500,3,)=0,0,(VLOOKUP($D115,$C$5:$AU$500,16,)/VLOOKUP($D115,$C$5:$AU$500,3,))*$E115)</f>
        <v>0</v>
      </c>
      <c r="S115" s="107">
        <f>IF(VLOOKUP($D115,$C$5:$AU$500,3,)=0,0,(VLOOKUP($D115,$C$5:$AU$500,17,)/VLOOKUP($D115,$C$5:$AU$500,3,))*$E115)</f>
        <v>0</v>
      </c>
      <c r="T115" s="107">
        <f>IF(VLOOKUP($D115,$C$5:$AU$500,3,)=0,0,(VLOOKUP($D115,$C$5:$AU$500,18,)/VLOOKUP($D115,$C$5:$AU$500,3,))*$E115)</f>
        <v>0</v>
      </c>
      <c r="U115" s="107">
        <f>IF(VLOOKUP($D115,$C$5:$AU$500,3,)=0,0,(VLOOKUP($D115,$C$5:$AU$500,19,)/VLOOKUP($D115,$C$5:$AU$500,3,))*$E115)</f>
        <v>0</v>
      </c>
      <c r="V115" s="107">
        <f>IF(VLOOKUP($D115,$C$5:$AU$500,3,)=0,0,(VLOOKUP($D115,$C$5:$AU$500,20,)/VLOOKUP($D115,$C$5:$AU$500,3,))*$E115)</f>
        <v>0</v>
      </c>
      <c r="W115" s="107">
        <f>IF(VLOOKUP($D115,$C$5:$AU$500,3,)=0,0,(VLOOKUP($D115,$C$5:$AU$500,21,)/VLOOKUP($D115,$C$5:$AU$500,3,))*$E115)</f>
        <v>0</v>
      </c>
      <c r="X115" s="107">
        <f>IF(VLOOKUP($D115,$C$5:$AU$500,3,)=0,0,(VLOOKUP($D115,$C$5:$AU$500,22,)/VLOOKUP($D115,$C$5:$AU$500,3,))*$E115)</f>
        <v>0</v>
      </c>
      <c r="Y115" s="107">
        <f>IF(VLOOKUP($D115,$C$5:$AU$500,3,)=0,0,(VLOOKUP($D115,$C$5:$AU$500,23,)/VLOOKUP($D115,$C$5:$AU$500,3,))*$E115)</f>
        <v>0</v>
      </c>
      <c r="Z115" s="107">
        <f>IF(VLOOKUP($D115,$C$5:$AU$500,3,)=0,0,(VLOOKUP($D115,$C$5:$AU$500,24,)/VLOOKUP($D115,$C$5:$AU$500,3,))*$E115)</f>
        <v>0</v>
      </c>
      <c r="AA115" s="107">
        <f>IF(VLOOKUP($D115,$C$5:$AU$500,3,)=0,0,(VLOOKUP($D115,$C$5:$AU$500,25,)/VLOOKUP($D115,$C$5:$AU$500,3,))*$E115)</f>
        <v>0</v>
      </c>
      <c r="AB115" s="107">
        <f>IF(VLOOKUP($D115,$C$5:$AU$500,3,)=0,0,(VLOOKUP($D115,$C$5:$AU$500,26,)/VLOOKUP($D115,$C$5:$AU$500,3,))*$E115)</f>
        <v>0</v>
      </c>
      <c r="AC115" s="107">
        <f>IF(VLOOKUP($D115,$C$5:$AU$500,3,)=0,0,(VLOOKUP($D115,$C$5:$AU$500,27,)/VLOOKUP($D115,$C$5:$AU$500,3,))*$E115)</f>
        <v>0</v>
      </c>
      <c r="AD115" s="107">
        <f>IF(VLOOKUP($D115,$C$5:$AU$500,3,)=0,0,(VLOOKUP($D115,$C$5:$AU$500,28,)/VLOOKUP($D115,$C$5:$AU$500,3,))*$E115)</f>
        <v>0</v>
      </c>
      <c r="AE115" s="107">
        <f>IF(VLOOKUP($D115,$C$5:$AU$500,3,)=0,0,(VLOOKUP($D115,$C$5:$AU$500,29,)/VLOOKUP($D115,$C$5:$AU$500,3,))*$E115)</f>
        <v>0</v>
      </c>
      <c r="AF115" s="107">
        <f>IF(VLOOKUP($D115,$C$5:$AU$500,3,)=0,0,(VLOOKUP($D115,$C$5:$AU$500,30,)/VLOOKUP($D115,$C$5:$AU$500,3,))*$E115)</f>
        <v>0</v>
      </c>
      <c r="AG115" s="91">
        <f>SUM(F115:AF115)</f>
        <v>671.55537614869104</v>
      </c>
      <c r="AH115" s="28" t="str">
        <f>IF(ABS(E115-AG115)&lt;0.01,"ok","err")</f>
        <v>ok</v>
      </c>
    </row>
    <row r="116" spans="1:35" x14ac:dyDescent="0.25">
      <c r="E116" s="23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</row>
    <row r="117" spans="1:35" x14ac:dyDescent="0.25">
      <c r="A117" s="14" t="s">
        <v>0</v>
      </c>
      <c r="C117" s="14" t="s">
        <v>260</v>
      </c>
      <c r="E117" s="42">
        <f>E87+E90+E93+E98+E103+E106+E109+E112+E115</f>
        <v>145760700.83865386</v>
      </c>
      <c r="F117" s="42">
        <f t="shared" ref="F117:R117" si="22">F87+F90+F93+F98+F103+F106+F109+F112+F115</f>
        <v>98616400.151465937</v>
      </c>
      <c r="G117" s="42">
        <f t="shared" si="22"/>
        <v>16588510.91325848</v>
      </c>
      <c r="H117" s="42">
        <f t="shared" si="22"/>
        <v>3656491.4272460788</v>
      </c>
      <c r="I117" s="42">
        <f t="shared" si="22"/>
        <v>20919998.758337852</v>
      </c>
      <c r="J117" s="42">
        <f t="shared" si="22"/>
        <v>0</v>
      </c>
      <c r="K117" s="42">
        <f t="shared" si="22"/>
        <v>1944754.8143174979</v>
      </c>
      <c r="L117" s="42">
        <f t="shared" si="22"/>
        <v>4034544.774028019</v>
      </c>
      <c r="M117" s="42">
        <f t="shared" si="22"/>
        <v>0</v>
      </c>
      <c r="N117" s="42">
        <f t="shared" si="22"/>
        <v>0</v>
      </c>
      <c r="O117" s="42">
        <f t="shared" si="22"/>
        <v>0</v>
      </c>
      <c r="P117" s="42">
        <f t="shared" si="22"/>
        <v>0</v>
      </c>
      <c r="Q117" s="42">
        <f t="shared" si="22"/>
        <v>0</v>
      </c>
      <c r="R117" s="42">
        <f t="shared" si="22"/>
        <v>0</v>
      </c>
      <c r="S117" s="107">
        <f t="shared" ref="S117:AF117" si="23">S87+S93+S98+S103+S106+S109+S112+S115</f>
        <v>0</v>
      </c>
      <c r="T117" s="107">
        <f t="shared" si="23"/>
        <v>0</v>
      </c>
      <c r="U117" s="107">
        <f t="shared" si="23"/>
        <v>0</v>
      </c>
      <c r="V117" s="107">
        <f t="shared" si="23"/>
        <v>0</v>
      </c>
      <c r="W117" s="107">
        <f t="shared" si="23"/>
        <v>0</v>
      </c>
      <c r="X117" s="107">
        <f t="shared" si="23"/>
        <v>0</v>
      </c>
      <c r="Y117" s="107">
        <f t="shared" si="23"/>
        <v>0</v>
      </c>
      <c r="Z117" s="107">
        <f t="shared" si="23"/>
        <v>0</v>
      </c>
      <c r="AA117" s="107">
        <f t="shared" si="23"/>
        <v>0</v>
      </c>
      <c r="AB117" s="107">
        <f t="shared" si="23"/>
        <v>0</v>
      </c>
      <c r="AC117" s="107">
        <f t="shared" si="23"/>
        <v>0</v>
      </c>
      <c r="AD117" s="107">
        <f t="shared" si="23"/>
        <v>0</v>
      </c>
      <c r="AE117" s="107">
        <f t="shared" si="23"/>
        <v>0</v>
      </c>
      <c r="AF117" s="107">
        <f t="shared" si="23"/>
        <v>0</v>
      </c>
      <c r="AG117" s="91">
        <f>SUM(F117:AF117)</f>
        <v>145760700.83865386</v>
      </c>
      <c r="AH117" s="28" t="str">
        <f>IF(ABS(E117-AG117)&lt;0.01,"ok","err")</f>
        <v>ok</v>
      </c>
    </row>
    <row r="118" spans="1:35" x14ac:dyDescent="0.25">
      <c r="E118" s="200">
        <f>E117/$E117</f>
        <v>1</v>
      </c>
      <c r="F118" s="200">
        <f>F117/$E117</f>
        <v>0.67656370739206917</v>
      </c>
      <c r="G118" s="200">
        <f t="shared" ref="G118:M118" si="24">G117/$E117</f>
        <v>0.11380647059059297</v>
      </c>
      <c r="H118" s="200">
        <f t="shared" si="24"/>
        <v>2.5085577979578597E-2</v>
      </c>
      <c r="I118" s="200">
        <f t="shared" si="24"/>
        <v>0.14352290183823085</v>
      </c>
      <c r="J118" s="200">
        <f t="shared" si="24"/>
        <v>0</v>
      </c>
      <c r="K118" s="200">
        <f t="shared" si="24"/>
        <v>1.3342106638676191E-2</v>
      </c>
      <c r="L118" s="200">
        <f t="shared" si="24"/>
        <v>2.7679235560852281E-2</v>
      </c>
      <c r="M118" s="48">
        <f t="shared" si="24"/>
        <v>0</v>
      </c>
    </row>
    <row r="119" spans="1:35" x14ac:dyDescent="0.25">
      <c r="E119" s="91"/>
    </row>
    <row r="120" spans="1:35" x14ac:dyDescent="0.25">
      <c r="A120" s="26" t="s">
        <v>86</v>
      </c>
    </row>
    <row r="122" spans="1:35" x14ac:dyDescent="0.25">
      <c r="A122" s="13" t="s">
        <v>893</v>
      </c>
    </row>
    <row r="123" spans="1:35" x14ac:dyDescent="0.25">
      <c r="A123" s="94" t="s">
        <v>208</v>
      </c>
      <c r="C123" s="14" t="s">
        <v>261</v>
      </c>
      <c r="D123" s="14" t="s">
        <v>657</v>
      </c>
      <c r="E123" s="42">
        <f>'Func &amp; Classif'!H285</f>
        <v>18054874.878003754</v>
      </c>
      <c r="F123" s="67">
        <f>IF(VLOOKUP($D123,$C$5:$AU$500,3,)=0,0,(VLOOKUP($D123,$C$5:$AU$500,4,)/VLOOKUP($D123,$C$5:$AU$500,3,))*$E123)</f>
        <v>10099468.83766523</v>
      </c>
      <c r="G123" s="67">
        <f>IF(VLOOKUP($D123,$C$5:$AU$500,3,)=0,0,(VLOOKUP($D123,$C$5:$AU$500,5,)/VLOOKUP($D123,$C$5:$AU$500,3,))*$E123)</f>
        <v>988113.4852732037</v>
      </c>
      <c r="H123" s="42">
        <f>IF(VLOOKUP($D123,$C$5:$AU$500,3,)=0,0,(VLOOKUP($D123,$C$5:$AU$500,6,)/VLOOKUP($D123,$C$5:$AU$500,3,))*$E123)</f>
        <v>280988.3819749598</v>
      </c>
      <c r="I123" s="42">
        <f>IF(VLOOKUP($D123,$C$5:$AU$500,3,)=0,0,(VLOOKUP($D123,$C$5:$AU$500,7,)/VLOOKUP($D123,$C$5:$AU$500,3,))*$E123)</f>
        <v>4063056.8211343409</v>
      </c>
      <c r="J123" s="42">
        <f>IF(VLOOKUP($D123,$C$5:$AU$500,3,)=0,0,(VLOOKUP($D123,$C$5:$AU$500,8,)/VLOOKUP($D123,$C$5:$AU$500,3,))*$E123)</f>
        <v>2003014.98</v>
      </c>
      <c r="K123" s="42">
        <f>IF(VLOOKUP($D123,$C$5:$AU$500,3,)=0,0,(VLOOKUP($D123,$C$5:$AU$500,9,)/VLOOKUP($D123,$C$5:$AU$500,3,))*$E123)</f>
        <v>512634.30999052391</v>
      </c>
      <c r="L123" s="67">
        <f>IF(VLOOKUP($D123,$C$5:$AU$500,3,)=0,0,(VLOOKUP($D123,$C$5:$AU$500,10,)/VLOOKUP($D123,$C$5:$AU$500,3,))*$E123)</f>
        <v>107598.06196549475</v>
      </c>
      <c r="M123" s="42">
        <f>IF(VLOOKUP($D123,$C$5:$AU$500,3,)=0,0,(VLOOKUP($D123,$C$5:$AU$500,11,)/VLOOKUP($D123,$C$5:$AU$500,3,))*$E123)</f>
        <v>0</v>
      </c>
      <c r="N123" s="42">
        <f>IF(VLOOKUP($D123,$C$5:$AU$500,3,)=0,0,(VLOOKUP($D123,$C$5:$AU$500,12,)/VLOOKUP($D123,$C$5:$AU$500,3,))*$E123)</f>
        <v>0</v>
      </c>
      <c r="O123" s="42">
        <f>IF(VLOOKUP($D123,$C$5:$AU$500,3,)=0,0,(VLOOKUP($D123,$C$5:$AU$500,13,)/VLOOKUP($D123,$C$5:$AU$500,3,))*$E123)</f>
        <v>0</v>
      </c>
      <c r="P123" s="42">
        <f>IF(VLOOKUP($D123,$C$5:$AU$500,3,)=0,0,(VLOOKUP($D123,$C$5:$AU$500,14,)/VLOOKUP($D123,$C$5:$AU$500,3,))*$E123)</f>
        <v>0</v>
      </c>
      <c r="Q123" s="42">
        <f>IF(VLOOKUP($D123,$C$5:$AU$500,3,)=0,0,(VLOOKUP($D123,$C$5:$AU$500,15,)/VLOOKUP($D123,$C$5:$AU$500,3,))*$E123)</f>
        <v>0</v>
      </c>
      <c r="R123" s="42">
        <f>IF(VLOOKUP($D123,$C$5:$AU$500,3,)=0,0,(VLOOKUP($D123,$C$5:$AU$500,16,)/VLOOKUP($D123,$C$5:$AU$500,3,))*$E123)</f>
        <v>0</v>
      </c>
      <c r="S123" s="107">
        <f>IF(VLOOKUP($D123,$C$5:$AU$500,3,)=0,0,(VLOOKUP($D123,$C$5:$AU$500,17,)/VLOOKUP($D123,$C$5:$AU$500,3,))*$E123)</f>
        <v>0</v>
      </c>
      <c r="T123" s="107">
        <f>IF(VLOOKUP($D123,$C$5:$AU$500,3,)=0,0,(VLOOKUP($D123,$C$5:$AU$500,18,)/VLOOKUP($D123,$C$5:$AU$500,3,))*$E123)</f>
        <v>0</v>
      </c>
      <c r="U123" s="107">
        <f>IF(VLOOKUP($D123,$C$5:$AU$500,3,)=0,0,(VLOOKUP($D123,$C$5:$AU$500,19,)/VLOOKUP($D123,$C$5:$AU$500,3,))*$E123)</f>
        <v>0</v>
      </c>
      <c r="V123" s="107">
        <f>IF(VLOOKUP($D123,$C$5:$AU$500,3,)=0,0,(VLOOKUP($D123,$C$5:$AU$500,20,)/VLOOKUP($D123,$C$5:$AU$500,3,))*$E123)</f>
        <v>0</v>
      </c>
      <c r="W123" s="107">
        <f>IF(VLOOKUP($D123,$C$5:$AU$500,3,)=0,0,(VLOOKUP($D123,$C$5:$AU$500,21,)/VLOOKUP($D123,$C$5:$AU$500,3,))*$E123)</f>
        <v>0</v>
      </c>
      <c r="X123" s="107">
        <f>IF(VLOOKUP($D123,$C$5:$AU$500,3,)=0,0,(VLOOKUP($D123,$C$5:$AU$500,22,)/VLOOKUP($D123,$C$5:$AU$500,3,))*$E123)</f>
        <v>0</v>
      </c>
      <c r="Y123" s="107">
        <f>IF(VLOOKUP($D123,$C$5:$AU$500,3,)=0,0,(VLOOKUP($D123,$C$5:$AU$500,23,)/VLOOKUP($D123,$C$5:$AU$500,3,))*$E123)</f>
        <v>0</v>
      </c>
      <c r="Z123" s="107">
        <f>IF(VLOOKUP($D123,$C$5:$AU$500,3,)=0,0,(VLOOKUP($D123,$C$5:$AU$500,24,)/VLOOKUP($D123,$C$5:$AU$500,3,))*$E123)</f>
        <v>0</v>
      </c>
      <c r="AA123" s="107">
        <f>IF(VLOOKUP($D123,$C$5:$AU$500,3,)=0,0,(VLOOKUP($D123,$C$5:$AU$500,25,)/VLOOKUP($D123,$C$5:$AU$500,3,))*$E123)</f>
        <v>0</v>
      </c>
      <c r="AB123" s="107">
        <f>IF(VLOOKUP($D123,$C$5:$AU$500,3,)=0,0,(VLOOKUP($D123,$C$5:$AU$500,26,)/VLOOKUP($D123,$C$5:$AU$500,3,))*$E123)</f>
        <v>0</v>
      </c>
      <c r="AC123" s="107">
        <f>IF(VLOOKUP($D123,$C$5:$AU$500,3,)=0,0,(VLOOKUP($D123,$C$5:$AU$500,27,)/VLOOKUP($D123,$C$5:$AU$500,3,))*$E123)</f>
        <v>0</v>
      </c>
      <c r="AD123" s="107">
        <f>IF(VLOOKUP($D123,$C$5:$AU$500,3,)=0,0,(VLOOKUP($D123,$C$5:$AU$500,28,)/VLOOKUP($D123,$C$5:$AU$500,3,))*$E123)</f>
        <v>0</v>
      </c>
      <c r="AE123" s="107">
        <f>IF(VLOOKUP($D123,$C$5:$AU$500,3,)=0,0,(VLOOKUP($D123,$C$5:$AU$500,29,)/VLOOKUP($D123,$C$5:$AU$500,3,))*$E123)</f>
        <v>0</v>
      </c>
      <c r="AF123" s="107">
        <f>IF(VLOOKUP($D123,$C$5:$AU$500,3,)=0,0,(VLOOKUP($D123,$C$5:$AU$500,30,)/VLOOKUP($D123,$C$5:$AU$500,3,))*$E123)</f>
        <v>0</v>
      </c>
      <c r="AG123" s="91">
        <f>SUM(F123:AF123)</f>
        <v>18054874.878003754</v>
      </c>
      <c r="AH123" s="28" t="str">
        <f>IF(ABS(E123-AG123)&lt;0.01,"ok","err")</f>
        <v>ok</v>
      </c>
      <c r="AI123" s="153">
        <f>M123/AG123</f>
        <v>0</v>
      </c>
    </row>
    <row r="124" spans="1:35" x14ac:dyDescent="0.25">
      <c r="A124" s="94" t="s">
        <v>211</v>
      </c>
      <c r="C124" s="14" t="s">
        <v>262</v>
      </c>
      <c r="D124" s="14" t="s">
        <v>666</v>
      </c>
      <c r="E124" s="23">
        <f>'Func &amp; Classif'!I285</f>
        <v>52667410.771996282</v>
      </c>
      <c r="F124" s="67">
        <f>IF(VLOOKUP($D124,$C$5:$AU$500,3,)=0,0,(VLOOKUP($D124,$C$5:$AU$500,4,)/VLOOKUP($D124,$C$5:$AU$500,3,))*$E124)</f>
        <v>24070265.159986038</v>
      </c>
      <c r="G124" s="67">
        <f>IF(VLOOKUP($D124,$C$5:$AU$500,3,)=0,0,(VLOOKUP($D124,$C$5:$AU$500,5,)/VLOOKUP($D124,$C$5:$AU$500,3,))*$E124)</f>
        <v>2734816.0705293277</v>
      </c>
      <c r="H124" s="42">
        <f>IF(VLOOKUP($D124,$C$5:$AU$500,3,)=0,0,(VLOOKUP($D124,$C$5:$AU$500,6,)/VLOOKUP($D124,$C$5:$AU$500,3,))*$E124)</f>
        <v>853540.15067788376</v>
      </c>
      <c r="I124" s="42">
        <f>IF(VLOOKUP($D124,$C$5:$AU$500,3,)=0,0,(VLOOKUP($D124,$C$5:$AU$500,7,)/VLOOKUP($D124,$C$5:$AU$500,3,))*$E124)</f>
        <v>12441001.617115542</v>
      </c>
      <c r="J124" s="42">
        <f>IF(VLOOKUP($D124,$C$5:$AU$500,3,)=0,0,(VLOOKUP($D124,$C$5:$AU$500,8,)/VLOOKUP($D124,$C$5:$AU$500,3,))*$E124)</f>
        <v>10765565.209999999</v>
      </c>
      <c r="K124" s="42">
        <f>IF(VLOOKUP($D124,$C$5:$AU$500,3,)=0,0,(VLOOKUP($D124,$C$5:$AU$500,9,)/VLOOKUP($D124,$C$5:$AU$500,3,))*$E124)</f>
        <v>1334461.6800846804</v>
      </c>
      <c r="L124" s="67">
        <f>IF(VLOOKUP($D124,$C$5:$AU$500,3,)=0,0,(VLOOKUP($D124,$C$5:$AU$500,10,)/VLOOKUP($D124,$C$5:$AU$500,3,))*$E124)</f>
        <v>467760.88360281236</v>
      </c>
      <c r="M124" s="42">
        <f>IF(VLOOKUP($D124,$C$5:$AU$500,3,)=0,0,(VLOOKUP($D124,$C$5:$AU$500,11,)/VLOOKUP($D124,$C$5:$AU$500,3,))*$E124)</f>
        <v>0</v>
      </c>
      <c r="N124" s="42">
        <f>IF(VLOOKUP($D124,$C$5:$AU$500,3,)=0,0,(VLOOKUP($D124,$C$5:$AU$500,12,)/VLOOKUP($D124,$C$5:$AU$500,3,))*$E124)</f>
        <v>0</v>
      </c>
      <c r="O124" s="42">
        <f>IF(VLOOKUP($D124,$C$5:$AU$500,3,)=0,0,(VLOOKUP($D124,$C$5:$AU$500,13,)/VLOOKUP($D124,$C$5:$AU$500,3,))*$E124)</f>
        <v>0</v>
      </c>
      <c r="P124" s="42">
        <f>IF(VLOOKUP($D124,$C$5:$AU$500,3,)=0,0,(VLOOKUP($D124,$C$5:$AU$500,14,)/VLOOKUP($D124,$C$5:$AU$500,3,))*$E124)</f>
        <v>0</v>
      </c>
      <c r="Q124" s="42">
        <f>IF(VLOOKUP($D124,$C$5:$AU$500,3,)=0,0,(VLOOKUP($D124,$C$5:$AU$500,15,)/VLOOKUP($D124,$C$5:$AU$500,3,))*$E124)</f>
        <v>0</v>
      </c>
      <c r="R124" s="42">
        <f>IF(VLOOKUP($D124,$C$5:$AU$500,3,)=0,0,(VLOOKUP($D124,$C$5:$AU$500,16,)/VLOOKUP($D124,$C$5:$AU$500,3,))*$E124)</f>
        <v>0</v>
      </c>
      <c r="S124" s="107">
        <f>IF(VLOOKUP($D124,$C$5:$AU$500,3,)=0,0,(VLOOKUP($D124,$C$5:$AU$500,17,)/VLOOKUP($D124,$C$5:$AU$500,3,))*$E124)</f>
        <v>0</v>
      </c>
      <c r="T124" s="107">
        <f>IF(VLOOKUP($D124,$C$5:$AU$500,3,)=0,0,(VLOOKUP($D124,$C$5:$AU$500,18,)/VLOOKUP($D124,$C$5:$AU$500,3,))*$E124)</f>
        <v>0</v>
      </c>
      <c r="U124" s="107">
        <f>IF(VLOOKUP($D124,$C$5:$AU$500,3,)=0,0,(VLOOKUP($D124,$C$5:$AU$500,19,)/VLOOKUP($D124,$C$5:$AU$500,3,))*$E124)</f>
        <v>0</v>
      </c>
      <c r="V124" s="107">
        <f>IF(VLOOKUP($D124,$C$5:$AU$500,3,)=0,0,(VLOOKUP($D124,$C$5:$AU$500,20,)/VLOOKUP($D124,$C$5:$AU$500,3,))*$E124)</f>
        <v>0</v>
      </c>
      <c r="W124" s="107">
        <f>IF(VLOOKUP($D124,$C$5:$AU$500,3,)=0,0,(VLOOKUP($D124,$C$5:$AU$500,21,)/VLOOKUP($D124,$C$5:$AU$500,3,))*$E124)</f>
        <v>0</v>
      </c>
      <c r="X124" s="107">
        <f>IF(VLOOKUP($D124,$C$5:$AU$500,3,)=0,0,(VLOOKUP($D124,$C$5:$AU$500,22,)/VLOOKUP($D124,$C$5:$AU$500,3,))*$E124)</f>
        <v>0</v>
      </c>
      <c r="Y124" s="107">
        <f>IF(VLOOKUP($D124,$C$5:$AU$500,3,)=0,0,(VLOOKUP($D124,$C$5:$AU$500,23,)/VLOOKUP($D124,$C$5:$AU$500,3,))*$E124)</f>
        <v>0</v>
      </c>
      <c r="Z124" s="107">
        <f>IF(VLOOKUP($D124,$C$5:$AU$500,3,)=0,0,(VLOOKUP($D124,$C$5:$AU$500,24,)/VLOOKUP($D124,$C$5:$AU$500,3,))*$E124)</f>
        <v>0</v>
      </c>
      <c r="AA124" s="107">
        <f>IF(VLOOKUP($D124,$C$5:$AU$500,3,)=0,0,(VLOOKUP($D124,$C$5:$AU$500,25,)/VLOOKUP($D124,$C$5:$AU$500,3,))*$E124)</f>
        <v>0</v>
      </c>
      <c r="AB124" s="107">
        <f>IF(VLOOKUP($D124,$C$5:$AU$500,3,)=0,0,(VLOOKUP($D124,$C$5:$AU$500,26,)/VLOOKUP($D124,$C$5:$AU$500,3,))*$E124)</f>
        <v>0</v>
      </c>
      <c r="AC124" s="107">
        <f>IF(VLOOKUP($D124,$C$5:$AU$500,3,)=0,0,(VLOOKUP($D124,$C$5:$AU$500,27,)/VLOOKUP($D124,$C$5:$AU$500,3,))*$E124)</f>
        <v>0</v>
      </c>
      <c r="AD124" s="107">
        <f>IF(VLOOKUP($D124,$C$5:$AU$500,3,)=0,0,(VLOOKUP($D124,$C$5:$AU$500,28,)/VLOOKUP($D124,$C$5:$AU$500,3,))*$E124)</f>
        <v>0</v>
      </c>
      <c r="AE124" s="107">
        <f>IF(VLOOKUP($D124,$C$5:$AU$500,3,)=0,0,(VLOOKUP($D124,$C$5:$AU$500,29,)/VLOOKUP($D124,$C$5:$AU$500,3,))*$E124)</f>
        <v>0</v>
      </c>
      <c r="AF124" s="107">
        <f>IF(VLOOKUP($D124,$C$5:$AU$500,3,)=0,0,(VLOOKUP($D124,$C$5:$AU$500,30,)/VLOOKUP($D124,$C$5:$AU$500,3,))*$E124)</f>
        <v>0</v>
      </c>
      <c r="AG124" s="91">
        <f>SUM(F124:AF124)</f>
        <v>52667410.771996289</v>
      </c>
      <c r="AH124" s="28" t="str">
        <f>IF(ABS(E124-AG124)&lt;0.01,"ok","err")</f>
        <v>ok</v>
      </c>
      <c r="AI124" s="153">
        <f t="shared" ref="AI124:AI155" si="25">M124/AG124</f>
        <v>0</v>
      </c>
    </row>
    <row r="125" spans="1:35" x14ac:dyDescent="0.25">
      <c r="A125" s="14" t="s">
        <v>214</v>
      </c>
      <c r="C125" s="14" t="s">
        <v>263</v>
      </c>
      <c r="E125" s="37">
        <f t="shared" ref="E125:T125" si="26">E123+E124</f>
        <v>70722285.650000036</v>
      </c>
      <c r="F125" s="108">
        <f t="shared" si="26"/>
        <v>34169733.997651264</v>
      </c>
      <c r="G125" s="108">
        <f t="shared" si="26"/>
        <v>3722929.5558025315</v>
      </c>
      <c r="H125" s="109">
        <f t="shared" si="26"/>
        <v>1134528.5326528435</v>
      </c>
      <c r="I125" s="109">
        <f t="shared" si="26"/>
        <v>16504058.438249882</v>
      </c>
      <c r="J125" s="109">
        <f t="shared" si="26"/>
        <v>12768580.189999999</v>
      </c>
      <c r="K125" s="109">
        <f t="shared" si="26"/>
        <v>1847095.9900752043</v>
      </c>
      <c r="L125" s="108">
        <f t="shared" si="26"/>
        <v>575358.94556830707</v>
      </c>
      <c r="M125" s="109">
        <f t="shared" si="26"/>
        <v>0</v>
      </c>
      <c r="N125" s="109">
        <f t="shared" si="26"/>
        <v>0</v>
      </c>
      <c r="O125" s="109">
        <f t="shared" si="26"/>
        <v>0</v>
      </c>
      <c r="P125" s="109">
        <f t="shared" si="26"/>
        <v>0</v>
      </c>
      <c r="Q125" s="109">
        <f t="shared" si="26"/>
        <v>0</v>
      </c>
      <c r="R125" s="109">
        <f t="shared" si="26"/>
        <v>0</v>
      </c>
      <c r="S125" s="110">
        <f t="shared" si="26"/>
        <v>0</v>
      </c>
      <c r="T125" s="110">
        <f t="shared" si="26"/>
        <v>0</v>
      </c>
      <c r="U125" s="110">
        <f t="shared" ref="U125:AF125" si="27">U123+U124</f>
        <v>0</v>
      </c>
      <c r="V125" s="110">
        <f t="shared" si="27"/>
        <v>0</v>
      </c>
      <c r="W125" s="110">
        <f t="shared" si="27"/>
        <v>0</v>
      </c>
      <c r="X125" s="110">
        <f t="shared" si="27"/>
        <v>0</v>
      </c>
      <c r="Y125" s="110">
        <f t="shared" si="27"/>
        <v>0</v>
      </c>
      <c r="Z125" s="110">
        <f t="shared" si="27"/>
        <v>0</v>
      </c>
      <c r="AA125" s="110">
        <f t="shared" si="27"/>
        <v>0</v>
      </c>
      <c r="AB125" s="110">
        <f t="shared" si="27"/>
        <v>0</v>
      </c>
      <c r="AC125" s="110">
        <f t="shared" si="27"/>
        <v>0</v>
      </c>
      <c r="AD125" s="110">
        <f t="shared" si="27"/>
        <v>0</v>
      </c>
      <c r="AE125" s="110">
        <f t="shared" si="27"/>
        <v>0</v>
      </c>
      <c r="AF125" s="110">
        <f t="shared" si="27"/>
        <v>0</v>
      </c>
      <c r="AG125" s="111">
        <f>SUM(F125:AF125)</f>
        <v>70722285.650000021</v>
      </c>
      <c r="AH125" s="28" t="str">
        <f>IF(ABS(E125-AG125)&lt;0.01,"ok","err")</f>
        <v>ok</v>
      </c>
      <c r="AI125" s="153">
        <f t="shared" si="25"/>
        <v>0</v>
      </c>
    </row>
    <row r="126" spans="1:35" x14ac:dyDescent="0.25">
      <c r="E126" s="23"/>
      <c r="F126" s="50"/>
      <c r="AI126" s="153"/>
    </row>
    <row r="127" spans="1:35" x14ac:dyDescent="0.25">
      <c r="A127" s="13" t="s">
        <v>349</v>
      </c>
      <c r="E127" s="23"/>
      <c r="F127" s="50"/>
      <c r="AI127" s="153"/>
    </row>
    <row r="128" spans="1:35" x14ac:dyDescent="0.25">
      <c r="A128" s="94" t="s">
        <v>208</v>
      </c>
      <c r="C128" s="14" t="s">
        <v>885</v>
      </c>
      <c r="D128" s="14" t="s">
        <v>625</v>
      </c>
      <c r="E128" s="42">
        <f>'Func &amp; Classif'!K285</f>
        <v>0</v>
      </c>
      <c r="F128" s="67">
        <f>IF(VLOOKUP($D128,$C$5:$AU$500,3,)=0,0,(VLOOKUP($D128,$C$5:$AU$500,4,)/VLOOKUP($D128,$C$5:$AU$500,3,))*$E128)</f>
        <v>0</v>
      </c>
      <c r="G128" s="67">
        <f>IF(VLOOKUP($D128,$C$5:$AU$500,3,)=0,0,(VLOOKUP($D128,$C$5:$AU$500,5,)/VLOOKUP($D128,$C$5:$AU$500,3,))*$E128)</f>
        <v>0</v>
      </c>
      <c r="H128" s="42">
        <f>IF(VLOOKUP($D128,$C$5:$AU$500,3,)=0,0,(VLOOKUP($D128,$C$5:$AU$500,6,)/VLOOKUP($D128,$C$5:$AU$500,3,))*$E128)</f>
        <v>0</v>
      </c>
      <c r="I128" s="42">
        <f>IF(VLOOKUP($D128,$C$5:$AU$500,3,)=0,0,(VLOOKUP($D128,$C$5:$AU$500,7,)/VLOOKUP($D128,$C$5:$AU$500,3,))*$E128)</f>
        <v>0</v>
      </c>
      <c r="J128" s="42">
        <f>IF(VLOOKUP($D128,$C$5:$AU$500,3,)=0,0,(VLOOKUP($D128,$C$5:$AU$500,8,)/VLOOKUP($D128,$C$5:$AU$500,3,))*$E128)</f>
        <v>0</v>
      </c>
      <c r="K128" s="42">
        <f>IF(VLOOKUP($D128,$C$5:$AU$500,3,)=0,0,(VLOOKUP($D128,$C$5:$AU$500,9,)/VLOOKUP($D128,$C$5:$AU$500,3,))*$E128)</f>
        <v>0</v>
      </c>
      <c r="L128" s="67">
        <f>IF(VLOOKUP($D128,$C$5:$AU$500,3,)=0,0,(VLOOKUP($D128,$C$5:$AU$500,10,)/VLOOKUP($D128,$C$5:$AU$500,3,))*$E128)</f>
        <v>0</v>
      </c>
      <c r="M128" s="42">
        <f>IF(VLOOKUP($D128,$C$5:$AU$500,3,)=0,0,(VLOOKUP($D128,$C$5:$AU$500,11,)/VLOOKUP($D128,$C$5:$AU$500,3,))*$E128)</f>
        <v>0</v>
      </c>
      <c r="N128" s="42">
        <f>IF(VLOOKUP($D128,$C$5:$AU$500,3,)=0,0,(VLOOKUP($D128,$C$5:$AU$500,12,)/VLOOKUP($D128,$C$5:$AU$500,3,))*$E128)</f>
        <v>0</v>
      </c>
      <c r="O128" s="42">
        <f>IF(VLOOKUP($D128,$C$5:$AU$500,3,)=0,0,(VLOOKUP($D128,$C$5:$AU$500,13,)/VLOOKUP($D128,$C$5:$AU$500,3,))*$E128)</f>
        <v>0</v>
      </c>
      <c r="P128" s="42">
        <f>IF(VLOOKUP($D128,$C$5:$AU$500,3,)=0,0,(VLOOKUP($D128,$C$5:$AU$500,14,)/VLOOKUP($D128,$C$5:$AU$500,3,))*$E128)</f>
        <v>0</v>
      </c>
      <c r="Q128" s="42">
        <f>IF(VLOOKUP($D128,$C$5:$AU$500,3,)=0,0,(VLOOKUP($D128,$C$5:$AU$500,15,)/VLOOKUP($D128,$C$5:$AU$500,3,))*$E128)</f>
        <v>0</v>
      </c>
      <c r="R128" s="42">
        <f>IF(VLOOKUP($D128,$C$5:$AU$500,3,)=0,0,(VLOOKUP($D128,$C$5:$AU$500,16,)/VLOOKUP($D128,$C$5:$AU$500,3,))*$E128)</f>
        <v>0</v>
      </c>
      <c r="S128" s="107">
        <f>IF(VLOOKUP($D128,$C$5:$AU$500,3,)=0,0,(VLOOKUP($D128,$C$5:$AU$500,17,)/VLOOKUP($D128,$C$5:$AU$500,3,))*$E128)</f>
        <v>0</v>
      </c>
      <c r="T128" s="107">
        <f>IF(VLOOKUP($D128,$C$5:$AU$500,3,)=0,0,(VLOOKUP($D128,$C$5:$AU$500,18,)/VLOOKUP($D128,$C$5:$AU$500,3,))*$E128)</f>
        <v>0</v>
      </c>
      <c r="U128" s="107">
        <f>IF(VLOOKUP($D128,$C$5:$AU$500,3,)=0,0,(VLOOKUP($D128,$C$5:$AU$500,19,)/VLOOKUP($D128,$C$5:$AU$500,3,))*$E128)</f>
        <v>0</v>
      </c>
      <c r="V128" s="107">
        <f>IF(VLOOKUP($D128,$C$5:$AU$500,3,)=0,0,(VLOOKUP($D128,$C$5:$AU$500,20,)/VLOOKUP($D128,$C$5:$AU$500,3,))*$E128)</f>
        <v>0</v>
      </c>
      <c r="W128" s="107">
        <f>IF(VLOOKUP($D128,$C$5:$AU$500,3,)=0,0,(VLOOKUP($D128,$C$5:$AU$500,21,)/VLOOKUP($D128,$C$5:$AU$500,3,))*$E128)</f>
        <v>0</v>
      </c>
      <c r="X128" s="107">
        <f>IF(VLOOKUP($D128,$C$5:$AU$500,3,)=0,0,(VLOOKUP($D128,$C$5:$AU$500,22,)/VLOOKUP($D128,$C$5:$AU$500,3,))*$E128)</f>
        <v>0</v>
      </c>
      <c r="Y128" s="107">
        <f>IF(VLOOKUP($D128,$C$5:$AU$500,3,)=0,0,(VLOOKUP($D128,$C$5:$AU$500,23,)/VLOOKUP($D128,$C$5:$AU$500,3,))*$E128)</f>
        <v>0</v>
      </c>
      <c r="Z128" s="107">
        <f>IF(VLOOKUP($D128,$C$5:$AU$500,3,)=0,0,(VLOOKUP($D128,$C$5:$AU$500,24,)/VLOOKUP($D128,$C$5:$AU$500,3,))*$E128)</f>
        <v>0</v>
      </c>
      <c r="AA128" s="107">
        <f>IF(VLOOKUP($D128,$C$5:$AU$500,3,)=0,0,(VLOOKUP($D128,$C$5:$AU$500,25,)/VLOOKUP($D128,$C$5:$AU$500,3,))*$E128)</f>
        <v>0</v>
      </c>
      <c r="AB128" s="107">
        <f>IF(VLOOKUP($D128,$C$5:$AU$500,3,)=0,0,(VLOOKUP($D128,$C$5:$AU$500,26,)/VLOOKUP($D128,$C$5:$AU$500,3,))*$E128)</f>
        <v>0</v>
      </c>
      <c r="AC128" s="107">
        <f>IF(VLOOKUP($D128,$C$5:$AU$500,3,)=0,0,(VLOOKUP($D128,$C$5:$AU$500,27,)/VLOOKUP($D128,$C$5:$AU$500,3,))*$E128)</f>
        <v>0</v>
      </c>
      <c r="AD128" s="107">
        <f>IF(VLOOKUP($D128,$C$5:$AU$500,3,)=0,0,(VLOOKUP($D128,$C$5:$AU$500,28,)/VLOOKUP($D128,$C$5:$AU$500,3,))*$E128)</f>
        <v>0</v>
      </c>
      <c r="AE128" s="107">
        <f>IF(VLOOKUP($D128,$C$5:$AU$500,3,)=0,0,(VLOOKUP($D128,$C$5:$AU$500,29,)/VLOOKUP($D128,$C$5:$AU$500,3,))*$E128)</f>
        <v>0</v>
      </c>
      <c r="AF128" s="107">
        <f>IF(VLOOKUP($D128,$C$5:$AU$500,3,)=0,0,(VLOOKUP($D128,$C$5:$AU$500,30,)/VLOOKUP($D128,$C$5:$AU$500,3,))*$E128)</f>
        <v>0</v>
      </c>
      <c r="AG128" s="91">
        <f>SUM(F128:AF128)</f>
        <v>0</v>
      </c>
      <c r="AH128" s="28" t="str">
        <f>IF(ABS(E128-AG128)&lt;0.01,"ok","err")</f>
        <v>ok</v>
      </c>
      <c r="AI128" s="153"/>
    </row>
    <row r="129" spans="1:41" x14ac:dyDescent="0.25">
      <c r="E129" s="23"/>
      <c r="AI129" s="153"/>
    </row>
    <row r="130" spans="1:41" x14ac:dyDescent="0.25">
      <c r="A130" s="13" t="s">
        <v>1</v>
      </c>
      <c r="E130" s="23"/>
      <c r="F130" s="50"/>
      <c r="AI130" s="153"/>
    </row>
    <row r="131" spans="1:41" x14ac:dyDescent="0.25">
      <c r="A131" s="94" t="s">
        <v>208</v>
      </c>
      <c r="C131" s="14" t="s">
        <v>264</v>
      </c>
      <c r="D131" s="14" t="s">
        <v>632</v>
      </c>
      <c r="E131" s="42">
        <f>'Func &amp; Classif'!M285</f>
        <v>942547.95431459299</v>
      </c>
      <c r="F131" s="67">
        <f>IF(VLOOKUP($D131,$C$5:$AU$500,3,)=0,0,(VLOOKUP($D131,$C$5:$AU$500,4,)/VLOOKUP($D131,$C$5:$AU$500,3,))*$E131)</f>
        <v>593029.95123880799</v>
      </c>
      <c r="G131" s="67">
        <f>IF(VLOOKUP($D131,$C$5:$AU$500,3,)=0,0,(VLOOKUP($D131,$C$5:$AU$500,5,)/VLOOKUP($D131,$C$5:$AU$500,3,))*$E131)</f>
        <v>58020.961439536673</v>
      </c>
      <c r="H131" s="42">
        <f>IF(VLOOKUP($D131,$C$5:$AU$500,3,)=0,0,(VLOOKUP($D131,$C$5:$AU$500,6,)/VLOOKUP($D131,$C$5:$AU$500,3,))*$E131)</f>
        <v>16499.335671974222</v>
      </c>
      <c r="I131" s="42">
        <f>IF(VLOOKUP($D131,$C$5:$AU$500,3,)=0,0,(VLOOKUP($D131,$C$5:$AU$500,7,)/VLOOKUP($D131,$C$5:$AU$500,3,))*$E131)</f>
        <v>238578.32795440656</v>
      </c>
      <c r="J131" s="42">
        <f>IF(VLOOKUP($D131,$C$5:$AU$500,3,)=0,0,(VLOOKUP($D131,$C$5:$AU$500,8,)/VLOOKUP($D131,$C$5:$AU$500,3,))*$E131)</f>
        <v>0</v>
      </c>
      <c r="K131" s="42">
        <f>IF(VLOOKUP($D131,$C$5:$AU$500,3,)=0,0,(VLOOKUP($D131,$C$5:$AU$500,9,)/VLOOKUP($D131,$C$5:$AU$500,3,))*$E131)</f>
        <v>30101.335500263798</v>
      </c>
      <c r="L131" s="67">
        <f>IF(VLOOKUP($D131,$C$5:$AU$500,3,)=0,0,(VLOOKUP($D131,$C$5:$AU$500,10,)/VLOOKUP($D131,$C$5:$AU$500,3,))*$E131)</f>
        <v>6318.0425096037798</v>
      </c>
      <c r="M131" s="42">
        <f>IF(VLOOKUP($D131,$C$5:$AU$500,3,)=0,0,(VLOOKUP($D131,$C$5:$AU$500,11,)/VLOOKUP($D131,$C$5:$AU$500,3,))*$E131)</f>
        <v>0</v>
      </c>
      <c r="N131" s="42">
        <f>IF(VLOOKUP($D131,$C$5:$AU$500,3,)=0,0,(VLOOKUP($D131,$C$5:$AU$500,12,)/VLOOKUP($D131,$C$5:$AU$500,3,))*$E131)</f>
        <v>0</v>
      </c>
      <c r="O131" s="42">
        <f>IF(VLOOKUP($D131,$C$5:$AU$500,3,)=0,0,(VLOOKUP($D131,$C$5:$AU$500,13,)/VLOOKUP($D131,$C$5:$AU$500,3,))*$E131)</f>
        <v>0</v>
      </c>
      <c r="P131" s="42">
        <f>IF(VLOOKUP($D131,$C$5:$AU$500,3,)=0,0,(VLOOKUP($D131,$C$5:$AU$500,14,)/VLOOKUP($D131,$C$5:$AU$500,3,))*$E131)</f>
        <v>0</v>
      </c>
      <c r="Q131" s="42">
        <f>IF(VLOOKUP($D131,$C$5:$AU$500,3,)=0,0,(VLOOKUP($D131,$C$5:$AU$500,15,)/VLOOKUP($D131,$C$5:$AU$500,3,))*$E131)</f>
        <v>0</v>
      </c>
      <c r="R131" s="42">
        <f>IF(VLOOKUP($D131,$C$5:$AU$500,3,)=0,0,(VLOOKUP($D131,$C$5:$AU$500,16,)/VLOOKUP($D131,$C$5:$AU$500,3,))*$E131)</f>
        <v>0</v>
      </c>
      <c r="S131" s="107">
        <f>IF(VLOOKUP($D131,$C$5:$AU$500,3,)=0,0,(VLOOKUP($D131,$C$5:$AU$500,17,)/VLOOKUP($D131,$C$5:$AU$500,3,))*$E131)</f>
        <v>0</v>
      </c>
      <c r="T131" s="107">
        <f>IF(VLOOKUP($D131,$C$5:$AU$500,3,)=0,0,(VLOOKUP($D131,$C$5:$AU$500,18,)/VLOOKUP($D131,$C$5:$AU$500,3,))*$E131)</f>
        <v>0</v>
      </c>
      <c r="U131" s="107">
        <f>IF(VLOOKUP($D131,$C$5:$AU$500,3,)=0,0,(VLOOKUP($D131,$C$5:$AU$500,19,)/VLOOKUP($D131,$C$5:$AU$500,3,))*$E131)</f>
        <v>0</v>
      </c>
      <c r="V131" s="107">
        <f>IF(VLOOKUP($D131,$C$5:$AU$500,3,)=0,0,(VLOOKUP($D131,$C$5:$AU$500,20,)/VLOOKUP($D131,$C$5:$AU$500,3,))*$E131)</f>
        <v>0</v>
      </c>
      <c r="W131" s="107">
        <f>IF(VLOOKUP($D131,$C$5:$AU$500,3,)=0,0,(VLOOKUP($D131,$C$5:$AU$500,21,)/VLOOKUP($D131,$C$5:$AU$500,3,))*$E131)</f>
        <v>0</v>
      </c>
      <c r="X131" s="107">
        <f>IF(VLOOKUP($D131,$C$5:$AU$500,3,)=0,0,(VLOOKUP($D131,$C$5:$AU$500,22,)/VLOOKUP($D131,$C$5:$AU$500,3,))*$E131)</f>
        <v>0</v>
      </c>
      <c r="Y131" s="107">
        <f>IF(VLOOKUP($D131,$C$5:$AU$500,3,)=0,0,(VLOOKUP($D131,$C$5:$AU$500,23,)/VLOOKUP($D131,$C$5:$AU$500,3,))*$E131)</f>
        <v>0</v>
      </c>
      <c r="Z131" s="107">
        <f>IF(VLOOKUP($D131,$C$5:$AU$500,3,)=0,0,(VLOOKUP($D131,$C$5:$AU$500,24,)/VLOOKUP($D131,$C$5:$AU$500,3,))*$E131)</f>
        <v>0</v>
      </c>
      <c r="AA131" s="107">
        <f>IF(VLOOKUP($D131,$C$5:$AU$500,3,)=0,0,(VLOOKUP($D131,$C$5:$AU$500,25,)/VLOOKUP($D131,$C$5:$AU$500,3,))*$E131)</f>
        <v>0</v>
      </c>
      <c r="AB131" s="107">
        <f>IF(VLOOKUP($D131,$C$5:$AU$500,3,)=0,0,(VLOOKUP($D131,$C$5:$AU$500,26,)/VLOOKUP($D131,$C$5:$AU$500,3,))*$E131)</f>
        <v>0</v>
      </c>
      <c r="AC131" s="107">
        <f>IF(VLOOKUP($D131,$C$5:$AU$500,3,)=0,0,(VLOOKUP($D131,$C$5:$AU$500,27,)/VLOOKUP($D131,$C$5:$AU$500,3,))*$E131)</f>
        <v>0</v>
      </c>
      <c r="AD131" s="107">
        <f>IF(VLOOKUP($D131,$C$5:$AU$500,3,)=0,0,(VLOOKUP($D131,$C$5:$AU$500,28,)/VLOOKUP($D131,$C$5:$AU$500,3,))*$E131)</f>
        <v>0</v>
      </c>
      <c r="AE131" s="107">
        <f>IF(VLOOKUP($D131,$C$5:$AU$500,3,)=0,0,(VLOOKUP($D131,$C$5:$AU$500,29,)/VLOOKUP($D131,$C$5:$AU$500,3,))*$E131)</f>
        <v>0</v>
      </c>
      <c r="AF131" s="107">
        <f>IF(VLOOKUP($D131,$C$5:$AU$500,3,)=0,0,(VLOOKUP($D131,$C$5:$AU$500,30,)/VLOOKUP($D131,$C$5:$AU$500,3,))*$E131)</f>
        <v>0</v>
      </c>
      <c r="AG131" s="91">
        <f>SUM(F131:AF131)</f>
        <v>942547.95431459299</v>
      </c>
      <c r="AH131" s="28" t="str">
        <f>IF(ABS(E131-AG131)&lt;0.01,"ok","err")</f>
        <v>ok</v>
      </c>
      <c r="AI131" s="153">
        <f t="shared" si="25"/>
        <v>0</v>
      </c>
    </row>
    <row r="132" spans="1:41" x14ac:dyDescent="0.25">
      <c r="E132" s="23"/>
      <c r="AI132" s="153"/>
    </row>
    <row r="133" spans="1:41" x14ac:dyDescent="0.25">
      <c r="A133" s="13" t="s">
        <v>2</v>
      </c>
      <c r="E133" s="23"/>
      <c r="AI133" s="153"/>
    </row>
    <row r="134" spans="1:41" x14ac:dyDescent="0.25">
      <c r="A134" s="94" t="s">
        <v>208</v>
      </c>
      <c r="C134" s="14" t="s">
        <v>265</v>
      </c>
      <c r="D134" s="14" t="s">
        <v>629</v>
      </c>
      <c r="E134" s="42">
        <f>'Func &amp; Classif'!O285</f>
        <v>2806371.9386813864</v>
      </c>
      <c r="F134" s="67">
        <f>IF(VLOOKUP($D134,$C$5:$AU$500,3,)=0,0,(VLOOKUP($D134,$C$5:$AU$500,4,)/VLOOKUP($D134,$C$5:$AU$500,3,))*$E134)</f>
        <v>1763860.5664280325</v>
      </c>
      <c r="G134" s="67">
        <f>IF(VLOOKUP($D134,$C$5:$AU$500,3,)=0,0,(VLOOKUP($D134,$C$5:$AU$500,5,)/VLOOKUP($D134,$C$5:$AU$500,3,))*$E134)</f>
        <v>45346.557962434614</v>
      </c>
      <c r="H134" s="42">
        <f>IF(VLOOKUP($D134,$C$5:$AU$500,3,)=0,0,(VLOOKUP($D134,$C$5:$AU$500,6,)/VLOOKUP($D134,$C$5:$AU$500,3,))*$E134)</f>
        <v>72575.650854074425</v>
      </c>
      <c r="I134" s="42">
        <f>IF(VLOOKUP($D134,$C$5:$AU$500,3,)=0,0,(VLOOKUP($D134,$C$5:$AU$500,7,)/VLOOKUP($D134,$C$5:$AU$500,3,))*$E134)</f>
        <v>821340.81509837823</v>
      </c>
      <c r="J134" s="42">
        <f>IF(VLOOKUP($D134,$C$5:$AU$500,3,)=0,0,(VLOOKUP($D134,$C$5:$AU$500,8,)/VLOOKUP($D134,$C$5:$AU$500,3,))*$E134)</f>
        <v>0</v>
      </c>
      <c r="K134" s="42">
        <f>IF(VLOOKUP($D134,$C$5:$AU$500,3,)=0,0,(VLOOKUP($D134,$C$5:$AU$500,9,)/VLOOKUP($D134,$C$5:$AU$500,3,))*$E134)</f>
        <v>90910.744499749504</v>
      </c>
      <c r="L134" s="67">
        <f>IF(VLOOKUP($D134,$C$5:$AU$500,3,)=0,0,(VLOOKUP($D134,$C$5:$AU$500,10,)/VLOOKUP($D134,$C$5:$AU$500,3,))*$E134)</f>
        <v>12337.603838716914</v>
      </c>
      <c r="M134" s="42">
        <f>IF(VLOOKUP($D134,$C$5:$AU$500,3,)=0,0,(VLOOKUP($D134,$C$5:$AU$500,11,)/VLOOKUP($D134,$C$5:$AU$500,3,))*$E134)</f>
        <v>0</v>
      </c>
      <c r="N134" s="42">
        <f>IF(VLOOKUP($D134,$C$5:$AU$500,3,)=0,0,(VLOOKUP($D134,$C$5:$AU$500,12,)/VLOOKUP($D134,$C$5:$AU$500,3,))*$E134)</f>
        <v>0</v>
      </c>
      <c r="O134" s="42">
        <f>IF(VLOOKUP($D134,$C$5:$AU$500,3,)=0,0,(VLOOKUP($D134,$C$5:$AU$500,13,)/VLOOKUP($D134,$C$5:$AU$500,3,))*$E134)</f>
        <v>0</v>
      </c>
      <c r="P134" s="42">
        <f>IF(VLOOKUP($D134,$C$5:$AU$500,3,)=0,0,(VLOOKUP($D134,$C$5:$AU$500,14,)/VLOOKUP($D134,$C$5:$AU$500,3,))*$E134)</f>
        <v>0</v>
      </c>
      <c r="Q134" s="42">
        <f>IF(VLOOKUP($D134,$C$5:$AU$500,3,)=0,0,(VLOOKUP($D134,$C$5:$AU$500,15,)/VLOOKUP($D134,$C$5:$AU$500,3,))*$E134)</f>
        <v>0</v>
      </c>
      <c r="R134" s="42">
        <f>IF(VLOOKUP($D134,$C$5:$AU$500,3,)=0,0,(VLOOKUP($D134,$C$5:$AU$500,16,)/VLOOKUP($D134,$C$5:$AU$500,3,))*$E134)</f>
        <v>0</v>
      </c>
      <c r="S134" s="107">
        <f>IF(VLOOKUP($D134,$C$5:$AU$500,3,)=0,0,(VLOOKUP($D134,$C$5:$AU$500,17,)/VLOOKUP($D134,$C$5:$AU$500,3,))*$E134)</f>
        <v>0</v>
      </c>
      <c r="T134" s="107">
        <f>IF(VLOOKUP($D134,$C$5:$AU$500,3,)=0,0,(VLOOKUP($D134,$C$5:$AU$500,18,)/VLOOKUP($D134,$C$5:$AU$500,3,))*$E134)</f>
        <v>0</v>
      </c>
      <c r="U134" s="107">
        <f>IF(VLOOKUP($D134,$C$5:$AU$500,3,)=0,0,(VLOOKUP($D134,$C$5:$AU$500,19,)/VLOOKUP($D134,$C$5:$AU$500,3,))*$E134)</f>
        <v>0</v>
      </c>
      <c r="V134" s="107">
        <f>IF(VLOOKUP($D134,$C$5:$AU$500,3,)=0,0,(VLOOKUP($D134,$C$5:$AU$500,20,)/VLOOKUP($D134,$C$5:$AU$500,3,))*$E134)</f>
        <v>0</v>
      </c>
      <c r="W134" s="107">
        <f>IF(VLOOKUP($D134,$C$5:$AU$500,3,)=0,0,(VLOOKUP($D134,$C$5:$AU$500,21,)/VLOOKUP($D134,$C$5:$AU$500,3,))*$E134)</f>
        <v>0</v>
      </c>
      <c r="X134" s="107">
        <f>IF(VLOOKUP($D134,$C$5:$AU$500,3,)=0,0,(VLOOKUP($D134,$C$5:$AU$500,22,)/VLOOKUP($D134,$C$5:$AU$500,3,))*$E134)</f>
        <v>0</v>
      </c>
      <c r="Y134" s="107">
        <f>IF(VLOOKUP($D134,$C$5:$AU$500,3,)=0,0,(VLOOKUP($D134,$C$5:$AU$500,23,)/VLOOKUP($D134,$C$5:$AU$500,3,))*$E134)</f>
        <v>0</v>
      </c>
      <c r="Z134" s="107">
        <f>IF(VLOOKUP($D134,$C$5:$AU$500,3,)=0,0,(VLOOKUP($D134,$C$5:$AU$500,24,)/VLOOKUP($D134,$C$5:$AU$500,3,))*$E134)</f>
        <v>0</v>
      </c>
      <c r="AA134" s="107">
        <f>IF(VLOOKUP($D134,$C$5:$AU$500,3,)=0,0,(VLOOKUP($D134,$C$5:$AU$500,25,)/VLOOKUP($D134,$C$5:$AU$500,3,))*$E134)</f>
        <v>0</v>
      </c>
      <c r="AB134" s="107">
        <f>IF(VLOOKUP($D134,$C$5:$AU$500,3,)=0,0,(VLOOKUP($D134,$C$5:$AU$500,26,)/VLOOKUP($D134,$C$5:$AU$500,3,))*$E134)</f>
        <v>0</v>
      </c>
      <c r="AC134" s="107">
        <f>IF(VLOOKUP($D134,$C$5:$AU$500,3,)=0,0,(VLOOKUP($D134,$C$5:$AU$500,27,)/VLOOKUP($D134,$C$5:$AU$500,3,))*$E134)</f>
        <v>0</v>
      </c>
      <c r="AD134" s="107">
        <f>IF(VLOOKUP($D134,$C$5:$AU$500,3,)=0,0,(VLOOKUP($D134,$C$5:$AU$500,28,)/VLOOKUP($D134,$C$5:$AU$500,3,))*$E134)</f>
        <v>0</v>
      </c>
      <c r="AE134" s="107">
        <f>IF(VLOOKUP($D134,$C$5:$AU$500,3,)=0,0,(VLOOKUP($D134,$C$5:$AU$500,29,)/VLOOKUP($D134,$C$5:$AU$500,3,))*$E134)</f>
        <v>0</v>
      </c>
      <c r="AF134" s="107">
        <f>IF(VLOOKUP($D134,$C$5:$AU$500,3,)=0,0,(VLOOKUP($D134,$C$5:$AU$500,30,)/VLOOKUP($D134,$C$5:$AU$500,3,))*$E134)</f>
        <v>0</v>
      </c>
      <c r="AG134" s="91">
        <f>SUM(F134:AF134)</f>
        <v>2806371.9386813864</v>
      </c>
      <c r="AH134" s="28" t="str">
        <f>IF(ABS(E134-AG134)&lt;0.01,"ok","err")</f>
        <v>ok</v>
      </c>
      <c r="AI134" s="153">
        <f t="shared" si="25"/>
        <v>0</v>
      </c>
    </row>
    <row r="135" spans="1:41" x14ac:dyDescent="0.25">
      <c r="A135" s="94" t="s">
        <v>220</v>
      </c>
      <c r="C135" s="14" t="s">
        <v>266</v>
      </c>
      <c r="D135" s="14" t="s">
        <v>222</v>
      </c>
      <c r="E135" s="23">
        <f>'Func &amp; Classif'!P285</f>
        <v>9483270.9576492719</v>
      </c>
      <c r="F135" s="67">
        <f>IF(VLOOKUP($D135,$C$5:$AU$500,3,)=0,0,(VLOOKUP($D135,$C$5:$AU$500,4,)/VLOOKUP($D135,$C$5:$AU$500,3,))*$E135)</f>
        <v>7591218.5051213531</v>
      </c>
      <c r="G135" s="67">
        <f>IF(VLOOKUP($D135,$C$5:$AU$500,3,)=0,0,(VLOOKUP($D135,$C$5:$AU$500,5,)/VLOOKUP($D135,$C$5:$AU$500,3,))*$E135)</f>
        <v>1499434.35079887</v>
      </c>
      <c r="H135" s="42">
        <f>IF(VLOOKUP($D135,$C$5:$AU$500,3,)=0,0,(VLOOKUP($D135,$C$5:$AU$500,6,)/VLOOKUP($D135,$C$5:$AU$500,3,))*$E135)</f>
        <v>159306.83899077619</v>
      </c>
      <c r="I135" s="42">
        <f>IF(VLOOKUP($D135,$C$5:$AU$500,3,)=0,0,(VLOOKUP($D135,$C$5:$AU$500,7,)/VLOOKUP($D135,$C$5:$AU$500,3,))*$E135)</f>
        <v>200062.15077921961</v>
      </c>
      <c r="J135" s="42">
        <f>IF(VLOOKUP($D135,$C$5:$AU$500,3,)=0,0,(VLOOKUP($D135,$C$5:$AU$500,8,)/VLOOKUP($D135,$C$5:$AU$500,3,))*$E135)</f>
        <v>0</v>
      </c>
      <c r="K135" s="42">
        <f>IF(VLOOKUP($D135,$C$5:$AU$500,3,)=0,0,(VLOOKUP($D135,$C$5:$AU$500,9,)/VLOOKUP($D135,$C$5:$AU$500,3,))*$E135)</f>
        <v>309.53401358311436</v>
      </c>
      <c r="L135" s="67">
        <f>IF(VLOOKUP($D135,$C$5:$AU$500,3,)=0,0,(VLOOKUP($D135,$C$5:$AU$500,10,)/VLOOKUP($D135,$C$5:$AU$500,3,))*$E135)</f>
        <v>32939.577945469755</v>
      </c>
      <c r="M135" s="42">
        <f>IF(VLOOKUP($D135,$C$5:$AU$500,3,)=0,0,(VLOOKUP($D135,$C$5:$AU$500,11,)/VLOOKUP($D135,$C$5:$AU$500,3,))*$E135)</f>
        <v>0</v>
      </c>
      <c r="N135" s="42">
        <f>IF(VLOOKUP($D135,$C$5:$AU$500,3,)=0,0,(VLOOKUP($D135,$C$5:$AU$500,12,)/VLOOKUP($D135,$C$5:$AU$500,3,))*$E135)</f>
        <v>0</v>
      </c>
      <c r="O135" s="42">
        <f>IF(VLOOKUP($D135,$C$5:$AU$500,3,)=0,0,(VLOOKUP($D135,$C$5:$AU$500,13,)/VLOOKUP($D135,$C$5:$AU$500,3,))*$E135)</f>
        <v>0</v>
      </c>
      <c r="P135" s="42">
        <f>IF(VLOOKUP($D135,$C$5:$AU$500,3,)=0,0,(VLOOKUP($D135,$C$5:$AU$500,14,)/VLOOKUP($D135,$C$5:$AU$500,3,))*$E135)</f>
        <v>0</v>
      </c>
      <c r="Q135" s="42">
        <f>IF(VLOOKUP($D135,$C$5:$AU$500,3,)=0,0,(VLOOKUP($D135,$C$5:$AU$500,15,)/VLOOKUP($D135,$C$5:$AU$500,3,))*$E135)</f>
        <v>0</v>
      </c>
      <c r="R135" s="42">
        <f>IF(VLOOKUP($D135,$C$5:$AU$500,3,)=0,0,(VLOOKUP($D135,$C$5:$AU$500,16,)/VLOOKUP($D135,$C$5:$AU$500,3,))*$E135)</f>
        <v>0</v>
      </c>
      <c r="S135" s="107">
        <f>IF(VLOOKUP($D135,$C$5:$AU$500,3,)=0,0,(VLOOKUP($D135,$C$5:$AU$500,17,)/VLOOKUP($D135,$C$5:$AU$500,3,))*$E135)</f>
        <v>0</v>
      </c>
      <c r="T135" s="107">
        <f>IF(VLOOKUP($D135,$C$5:$AU$500,3,)=0,0,(VLOOKUP($D135,$C$5:$AU$500,18,)/VLOOKUP($D135,$C$5:$AU$500,3,))*$E135)</f>
        <v>0</v>
      </c>
      <c r="U135" s="107">
        <f>IF(VLOOKUP($D135,$C$5:$AU$500,3,)=0,0,(VLOOKUP($D135,$C$5:$AU$500,19,)/VLOOKUP($D135,$C$5:$AU$500,3,))*$E135)</f>
        <v>0</v>
      </c>
      <c r="V135" s="107">
        <f>IF(VLOOKUP($D135,$C$5:$AU$500,3,)=0,0,(VLOOKUP($D135,$C$5:$AU$500,20,)/VLOOKUP($D135,$C$5:$AU$500,3,))*$E135)</f>
        <v>0</v>
      </c>
      <c r="W135" s="107">
        <f>IF(VLOOKUP($D135,$C$5:$AU$500,3,)=0,0,(VLOOKUP($D135,$C$5:$AU$500,21,)/VLOOKUP($D135,$C$5:$AU$500,3,))*$E135)</f>
        <v>0</v>
      </c>
      <c r="X135" s="107">
        <f>IF(VLOOKUP($D135,$C$5:$AU$500,3,)=0,0,(VLOOKUP($D135,$C$5:$AU$500,22,)/VLOOKUP($D135,$C$5:$AU$500,3,))*$E135)</f>
        <v>0</v>
      </c>
      <c r="Y135" s="107">
        <f>IF(VLOOKUP($D135,$C$5:$AU$500,3,)=0,0,(VLOOKUP($D135,$C$5:$AU$500,23,)/VLOOKUP($D135,$C$5:$AU$500,3,))*$E135)</f>
        <v>0</v>
      </c>
      <c r="Z135" s="107">
        <f>IF(VLOOKUP($D135,$C$5:$AU$500,3,)=0,0,(VLOOKUP($D135,$C$5:$AU$500,24,)/VLOOKUP($D135,$C$5:$AU$500,3,))*$E135)</f>
        <v>0</v>
      </c>
      <c r="AA135" s="107">
        <f>IF(VLOOKUP($D135,$C$5:$AU$500,3,)=0,0,(VLOOKUP($D135,$C$5:$AU$500,25,)/VLOOKUP($D135,$C$5:$AU$500,3,))*$E135)</f>
        <v>0</v>
      </c>
      <c r="AB135" s="107">
        <f>IF(VLOOKUP($D135,$C$5:$AU$500,3,)=0,0,(VLOOKUP($D135,$C$5:$AU$500,26,)/VLOOKUP($D135,$C$5:$AU$500,3,))*$E135)</f>
        <v>0</v>
      </c>
      <c r="AC135" s="107">
        <f>IF(VLOOKUP($D135,$C$5:$AU$500,3,)=0,0,(VLOOKUP($D135,$C$5:$AU$500,27,)/VLOOKUP($D135,$C$5:$AU$500,3,))*$E135)</f>
        <v>0</v>
      </c>
      <c r="AD135" s="107">
        <f>IF(VLOOKUP($D135,$C$5:$AU$500,3,)=0,0,(VLOOKUP($D135,$C$5:$AU$500,28,)/VLOOKUP($D135,$C$5:$AU$500,3,))*$E135)</f>
        <v>0</v>
      </c>
      <c r="AE135" s="107">
        <f>IF(VLOOKUP($D135,$C$5:$AU$500,3,)=0,0,(VLOOKUP($D135,$C$5:$AU$500,29,)/VLOOKUP($D135,$C$5:$AU$500,3,))*$E135)</f>
        <v>0</v>
      </c>
      <c r="AF135" s="107">
        <f>IF(VLOOKUP($D135,$C$5:$AU$500,3,)=0,0,(VLOOKUP($D135,$C$5:$AU$500,30,)/VLOOKUP($D135,$C$5:$AU$500,3,))*$E135)</f>
        <v>0</v>
      </c>
      <c r="AG135" s="91">
        <f>SUM(F135:AF135)</f>
        <v>9483270.9576492701</v>
      </c>
      <c r="AH135" s="28" t="str">
        <f>IF(ABS(E135-AG135)&lt;0.01,"ok","err")</f>
        <v>ok</v>
      </c>
      <c r="AI135" s="153">
        <f t="shared" si="25"/>
        <v>0</v>
      </c>
      <c r="AK135" s="41"/>
      <c r="AL135" s="211"/>
      <c r="AM135" s="24"/>
      <c r="AO135" s="211"/>
    </row>
    <row r="136" spans="1:41" x14ac:dyDescent="0.25">
      <c r="A136" s="14" t="s">
        <v>223</v>
      </c>
      <c r="E136" s="42">
        <f t="shared" ref="E136:T136" si="28">E134+E135</f>
        <v>12289642.896330658</v>
      </c>
      <c r="F136" s="67">
        <f t="shared" si="28"/>
        <v>9355079.0715493858</v>
      </c>
      <c r="G136" s="67">
        <f t="shared" si="28"/>
        <v>1544780.9087613046</v>
      </c>
      <c r="H136" s="42">
        <f t="shared" si="28"/>
        <v>231882.48984485061</v>
      </c>
      <c r="I136" s="42">
        <f t="shared" si="28"/>
        <v>1021402.9658775978</v>
      </c>
      <c r="J136" s="42">
        <f t="shared" si="28"/>
        <v>0</v>
      </c>
      <c r="K136" s="42">
        <f t="shared" si="28"/>
        <v>91220.278513332625</v>
      </c>
      <c r="L136" s="67">
        <f t="shared" si="28"/>
        <v>45277.181784186672</v>
      </c>
      <c r="M136" s="42">
        <f t="shared" si="28"/>
        <v>0</v>
      </c>
      <c r="N136" s="42">
        <f t="shared" si="28"/>
        <v>0</v>
      </c>
      <c r="O136" s="42">
        <f t="shared" si="28"/>
        <v>0</v>
      </c>
      <c r="P136" s="42">
        <f t="shared" si="28"/>
        <v>0</v>
      </c>
      <c r="Q136" s="42">
        <f t="shared" si="28"/>
        <v>0</v>
      </c>
      <c r="R136" s="42">
        <f t="shared" si="28"/>
        <v>0</v>
      </c>
      <c r="S136" s="107">
        <f t="shared" si="28"/>
        <v>0</v>
      </c>
      <c r="T136" s="107">
        <f t="shared" si="28"/>
        <v>0</v>
      </c>
      <c r="U136" s="107">
        <f t="shared" ref="U136:AF136" si="29">U134+U135</f>
        <v>0</v>
      </c>
      <c r="V136" s="107">
        <f t="shared" si="29"/>
        <v>0</v>
      </c>
      <c r="W136" s="107">
        <f t="shared" si="29"/>
        <v>0</v>
      </c>
      <c r="X136" s="107">
        <f t="shared" si="29"/>
        <v>0</v>
      </c>
      <c r="Y136" s="107">
        <f t="shared" si="29"/>
        <v>0</v>
      </c>
      <c r="Z136" s="107">
        <f t="shared" si="29"/>
        <v>0</v>
      </c>
      <c r="AA136" s="107">
        <f t="shared" si="29"/>
        <v>0</v>
      </c>
      <c r="AB136" s="107">
        <f t="shared" si="29"/>
        <v>0</v>
      </c>
      <c r="AC136" s="107">
        <f t="shared" si="29"/>
        <v>0</v>
      </c>
      <c r="AD136" s="107">
        <f t="shared" si="29"/>
        <v>0</v>
      </c>
      <c r="AE136" s="107">
        <f t="shared" si="29"/>
        <v>0</v>
      </c>
      <c r="AF136" s="107">
        <f t="shared" si="29"/>
        <v>0</v>
      </c>
      <c r="AG136" s="91">
        <f>SUM(F136:AF136)</f>
        <v>12289642.896330658</v>
      </c>
      <c r="AH136" s="28" t="str">
        <f>IF(ABS(E136-AG136)&lt;0.01,"ok","err")</f>
        <v>ok</v>
      </c>
      <c r="AI136" s="153">
        <f t="shared" si="25"/>
        <v>0</v>
      </c>
    </row>
    <row r="137" spans="1:41" x14ac:dyDescent="0.25">
      <c r="E137" s="40">
        <f>E136/$E136</f>
        <v>1</v>
      </c>
      <c r="F137" s="40">
        <f t="shared" ref="F137:M137" si="30">F136/$E136</f>
        <v>0.7612165097443595</v>
      </c>
      <c r="G137" s="40">
        <f t="shared" si="30"/>
        <v>0.1256977864851169</v>
      </c>
      <c r="H137" s="40">
        <f t="shared" si="30"/>
        <v>1.8868122678656854E-2</v>
      </c>
      <c r="I137" s="40">
        <f t="shared" si="30"/>
        <v>8.3110874294204273E-2</v>
      </c>
      <c r="J137" s="40">
        <f t="shared" si="30"/>
        <v>0</v>
      </c>
      <c r="K137" s="40">
        <f t="shared" si="30"/>
        <v>7.4225328825924175E-3</v>
      </c>
      <c r="L137" s="40">
        <f t="shared" si="30"/>
        <v>3.6841739150699948E-3</v>
      </c>
      <c r="M137" s="40">
        <f t="shared" si="30"/>
        <v>0</v>
      </c>
      <c r="N137" s="40">
        <f t="shared" ref="N137" si="31">N136/$E136</f>
        <v>0</v>
      </c>
      <c r="O137" s="40">
        <f t="shared" ref="O137" si="32">O136/$E136</f>
        <v>0</v>
      </c>
      <c r="P137" s="40">
        <f t="shared" ref="P137" si="33">P136/$E136</f>
        <v>0</v>
      </c>
      <c r="Q137" s="40">
        <f t="shared" ref="Q137" si="34">Q136/$E136</f>
        <v>0</v>
      </c>
      <c r="R137" s="40">
        <f t="shared" ref="R137" si="35">R136/$E136</f>
        <v>0</v>
      </c>
      <c r="S137" s="40">
        <f t="shared" ref="S137" si="36">S136/$E136</f>
        <v>0</v>
      </c>
      <c r="T137" s="40">
        <f t="shared" ref="T137:U137" si="37">T136/$E136</f>
        <v>0</v>
      </c>
      <c r="U137" s="40">
        <f t="shared" si="37"/>
        <v>0</v>
      </c>
      <c r="V137" s="40">
        <f t="shared" ref="V137" si="38">V136/$E136</f>
        <v>0</v>
      </c>
      <c r="W137" s="40">
        <f t="shared" ref="W137" si="39">W136/$E136</f>
        <v>0</v>
      </c>
      <c r="X137" s="40">
        <f t="shared" ref="X137" si="40">X136/$E136</f>
        <v>0</v>
      </c>
      <c r="Y137" s="40">
        <f t="shared" ref="Y137" si="41">Y136/$E136</f>
        <v>0</v>
      </c>
      <c r="Z137" s="40">
        <f t="shared" ref="Z137" si="42">Z136/$E136</f>
        <v>0</v>
      </c>
      <c r="AA137" s="40">
        <f t="shared" ref="AA137" si="43">AA136/$E136</f>
        <v>0</v>
      </c>
      <c r="AB137" s="40">
        <f t="shared" ref="AB137:AC137" si="44">AB136/$E136</f>
        <v>0</v>
      </c>
      <c r="AC137" s="40">
        <f t="shared" si="44"/>
        <v>0</v>
      </c>
      <c r="AD137" s="40">
        <f t="shared" ref="AD137" si="45">AD136/$E136</f>
        <v>0</v>
      </c>
      <c r="AE137" s="40">
        <f t="shared" ref="AE137" si="46">AE136/$E136</f>
        <v>0</v>
      </c>
      <c r="AF137" s="40">
        <f t="shared" ref="AF137" si="47">AF136/$E136</f>
        <v>0</v>
      </c>
      <c r="AG137" s="40">
        <f t="shared" ref="AG137" si="48">AG136/$E136</f>
        <v>1</v>
      </c>
      <c r="AI137" s="153"/>
    </row>
    <row r="138" spans="1:41" x14ac:dyDescent="0.25">
      <c r="A138" s="13" t="s">
        <v>3</v>
      </c>
      <c r="E138" s="23"/>
      <c r="AI138" s="153"/>
    </row>
    <row r="139" spans="1:41" x14ac:dyDescent="0.25">
      <c r="A139" s="94" t="s">
        <v>208</v>
      </c>
      <c r="C139" s="14" t="s">
        <v>267</v>
      </c>
      <c r="D139" s="14" t="s">
        <v>701</v>
      </c>
      <c r="E139" s="42">
        <f>'Func &amp; Classif'!R285</f>
        <v>0</v>
      </c>
      <c r="F139" s="67">
        <f>IF(VLOOKUP($D139,$C$5:$AU$500,3,)=0,0,(VLOOKUP($D139,$C$5:$AU$500,4,)/VLOOKUP($D139,$C$5:$AU$500,3,))*$E139)</f>
        <v>0</v>
      </c>
      <c r="G139" s="67">
        <f>IF(VLOOKUP($D139,$C$5:$AU$500,3,)=0,0,(VLOOKUP($D139,$C$5:$AU$500,5,)/VLOOKUP($D139,$C$5:$AU$500,3,))*$E139)</f>
        <v>0</v>
      </c>
      <c r="H139" s="42">
        <f>IF(VLOOKUP($D139,$C$5:$AU$500,3,)=0,0,(VLOOKUP($D139,$C$5:$AU$500,6,)/VLOOKUP($D139,$C$5:$AU$500,3,))*$E139)</f>
        <v>0</v>
      </c>
      <c r="I139" s="42">
        <f>IF(VLOOKUP($D139,$C$5:$AU$500,3,)=0,0,(VLOOKUP($D139,$C$5:$AU$500,7,)/VLOOKUP($D139,$C$5:$AU$500,3,))*$E139)</f>
        <v>0</v>
      </c>
      <c r="J139" s="42">
        <f>IF(VLOOKUP($D139,$C$5:$AU$500,3,)=0,0,(VLOOKUP($D139,$C$5:$AU$500,8,)/VLOOKUP($D139,$C$5:$AU$500,3,))*$E139)</f>
        <v>0</v>
      </c>
      <c r="K139" s="42">
        <f>IF(VLOOKUP($D139,$C$5:$AU$500,3,)=0,0,(VLOOKUP($D139,$C$5:$AU$500,9,)/VLOOKUP($D139,$C$5:$AU$500,3,))*$E139)</f>
        <v>0</v>
      </c>
      <c r="L139" s="67">
        <f>IF(VLOOKUP($D139,$C$5:$AU$500,3,)=0,0,(VLOOKUP($D139,$C$5:$AU$500,10,)/VLOOKUP($D139,$C$5:$AU$500,3,))*$E139)</f>
        <v>0</v>
      </c>
      <c r="M139" s="42">
        <f>IF(VLOOKUP($D139,$C$5:$AU$500,3,)=0,0,(VLOOKUP($D139,$C$5:$AU$500,11,)/VLOOKUP($D139,$C$5:$AU$500,3,))*$E139)</f>
        <v>0</v>
      </c>
      <c r="N139" s="42">
        <f>IF(VLOOKUP($D139,$C$5:$AU$500,3,)=0,0,(VLOOKUP($D139,$C$5:$AU$500,12,)/VLOOKUP($D139,$C$5:$AU$500,3,))*$E139)</f>
        <v>0</v>
      </c>
      <c r="O139" s="42">
        <f>IF(VLOOKUP($D139,$C$5:$AU$500,3,)=0,0,(VLOOKUP($D139,$C$5:$AU$500,13,)/VLOOKUP($D139,$C$5:$AU$500,3,))*$E139)</f>
        <v>0</v>
      </c>
      <c r="P139" s="42">
        <f>IF(VLOOKUP($D139,$C$5:$AU$500,3,)=0,0,(VLOOKUP($D139,$C$5:$AU$500,14,)/VLOOKUP($D139,$C$5:$AU$500,3,))*$E139)</f>
        <v>0</v>
      </c>
      <c r="Q139" s="42">
        <f>IF(VLOOKUP($D139,$C$5:$AU$500,3,)=0,0,(VLOOKUP($D139,$C$5:$AU$500,15,)/VLOOKUP($D139,$C$5:$AU$500,3,))*$E139)</f>
        <v>0</v>
      </c>
      <c r="R139" s="42">
        <f>IF(VLOOKUP($D139,$C$5:$AU$500,3,)=0,0,(VLOOKUP($D139,$C$5:$AU$500,16,)/VLOOKUP($D139,$C$5:$AU$500,3,))*$E139)</f>
        <v>0</v>
      </c>
      <c r="S139" s="107">
        <f>IF(VLOOKUP($D139,$C$5:$AU$500,3,)=0,0,(VLOOKUP($D139,$C$5:$AU$500,17,)/VLOOKUP($D139,$C$5:$AU$500,3,))*$E139)</f>
        <v>0</v>
      </c>
      <c r="T139" s="107">
        <f>IF(VLOOKUP($D139,$C$5:$AU$500,3,)=0,0,(VLOOKUP($D139,$C$5:$AU$500,18,)/VLOOKUP($D139,$C$5:$AU$500,3,))*$E139)</f>
        <v>0</v>
      </c>
      <c r="U139" s="107">
        <f>IF(VLOOKUP($D139,$C$5:$AU$500,3,)=0,0,(VLOOKUP($D139,$C$5:$AU$500,19,)/VLOOKUP($D139,$C$5:$AU$500,3,))*$E139)</f>
        <v>0</v>
      </c>
      <c r="V139" s="107">
        <f>IF(VLOOKUP($D139,$C$5:$AU$500,3,)=0,0,(VLOOKUP($D139,$C$5:$AU$500,20,)/VLOOKUP($D139,$C$5:$AU$500,3,))*$E139)</f>
        <v>0</v>
      </c>
      <c r="W139" s="107">
        <f>IF(VLOOKUP($D139,$C$5:$AU$500,3,)=0,0,(VLOOKUP($D139,$C$5:$AU$500,21,)/VLOOKUP($D139,$C$5:$AU$500,3,))*$E139)</f>
        <v>0</v>
      </c>
      <c r="X139" s="107">
        <f>IF(VLOOKUP($D139,$C$5:$AU$500,3,)=0,0,(VLOOKUP($D139,$C$5:$AU$500,22,)/VLOOKUP($D139,$C$5:$AU$500,3,))*$E139)</f>
        <v>0</v>
      </c>
      <c r="Y139" s="107">
        <f>IF(VLOOKUP($D139,$C$5:$AU$500,3,)=0,0,(VLOOKUP($D139,$C$5:$AU$500,23,)/VLOOKUP($D139,$C$5:$AU$500,3,))*$E139)</f>
        <v>0</v>
      </c>
      <c r="Z139" s="107">
        <f>IF(VLOOKUP($D139,$C$5:$AU$500,3,)=0,0,(VLOOKUP($D139,$C$5:$AU$500,24,)/VLOOKUP($D139,$C$5:$AU$500,3,))*$E139)</f>
        <v>0</v>
      </c>
      <c r="AA139" s="107">
        <f>IF(VLOOKUP($D139,$C$5:$AU$500,3,)=0,0,(VLOOKUP($D139,$C$5:$AU$500,25,)/VLOOKUP($D139,$C$5:$AU$500,3,))*$E139)</f>
        <v>0</v>
      </c>
      <c r="AB139" s="107">
        <f>IF(VLOOKUP($D139,$C$5:$AU$500,3,)=0,0,(VLOOKUP($D139,$C$5:$AU$500,26,)/VLOOKUP($D139,$C$5:$AU$500,3,))*$E139)</f>
        <v>0</v>
      </c>
      <c r="AC139" s="107">
        <f>IF(VLOOKUP($D139,$C$5:$AU$500,3,)=0,0,(VLOOKUP($D139,$C$5:$AU$500,27,)/VLOOKUP($D139,$C$5:$AU$500,3,))*$E139)</f>
        <v>0</v>
      </c>
      <c r="AD139" s="107">
        <f>IF(VLOOKUP($D139,$C$5:$AU$500,3,)=0,0,(VLOOKUP($D139,$C$5:$AU$500,28,)/VLOOKUP($D139,$C$5:$AU$500,3,))*$E139)</f>
        <v>0</v>
      </c>
      <c r="AE139" s="107">
        <f>IF(VLOOKUP($D139,$C$5:$AU$500,3,)=0,0,(VLOOKUP($D139,$C$5:$AU$500,29,)/VLOOKUP($D139,$C$5:$AU$500,3,))*$E139)</f>
        <v>0</v>
      </c>
      <c r="AF139" s="107">
        <f>IF(VLOOKUP($D139,$C$5:$AU$500,3,)=0,0,(VLOOKUP($D139,$C$5:$AU$500,30,)/VLOOKUP($D139,$C$5:$AU$500,3,))*$E139)</f>
        <v>0</v>
      </c>
      <c r="AG139" s="91">
        <f>SUM(F139:AF139)</f>
        <v>0</v>
      </c>
      <c r="AH139" s="28" t="str">
        <f>IF(ABS(E139-AG139)&lt;0.01,"ok","err")</f>
        <v>ok</v>
      </c>
      <c r="AI139" s="153"/>
    </row>
    <row r="140" spans="1:41" x14ac:dyDescent="0.25">
      <c r="A140" s="94" t="s">
        <v>220</v>
      </c>
      <c r="C140" s="14" t="s">
        <v>268</v>
      </c>
      <c r="D140" s="14" t="s">
        <v>701</v>
      </c>
      <c r="E140" s="23">
        <f>'Func &amp; Classif'!S285</f>
        <v>223631.36079708402</v>
      </c>
      <c r="F140" s="67">
        <f>IF(VLOOKUP($D140,$C$5:$AU$500,3,)=0,0,(VLOOKUP($D140,$C$5:$AU$500,4,)/VLOOKUP($D140,$C$5:$AU$500,3,))*$E140)</f>
        <v>116743.50541629136</v>
      </c>
      <c r="G140" s="67">
        <f>IF(VLOOKUP($D140,$C$5:$AU$500,3,)=0,0,(VLOOKUP($D140,$C$5:$AU$500,5,)/VLOOKUP($D140,$C$5:$AU$500,3,))*$E140)</f>
        <v>50730.760641217807</v>
      </c>
      <c r="H140" s="42">
        <f>IF(VLOOKUP($D140,$C$5:$AU$500,3,)=0,0,(VLOOKUP($D140,$C$5:$AU$500,6,)/VLOOKUP($D140,$C$5:$AU$500,3,))*$E140)</f>
        <v>13523.675312507152</v>
      </c>
      <c r="I140" s="42">
        <f>IF(VLOOKUP($D140,$C$5:$AU$500,3,)=0,0,(VLOOKUP($D140,$C$5:$AU$500,7,)/VLOOKUP($D140,$C$5:$AU$500,3,))*$E140)</f>
        <v>31997.75508770442</v>
      </c>
      <c r="J140" s="42">
        <f>IF(VLOOKUP($D140,$C$5:$AU$500,3,)=0,0,(VLOOKUP($D140,$C$5:$AU$500,8,)/VLOOKUP($D140,$C$5:$AU$500,3,))*$E140)</f>
        <v>0</v>
      </c>
      <c r="K140" s="42">
        <f>IF(VLOOKUP($D140,$C$5:$AU$500,3,)=0,0,(VLOOKUP($D140,$C$5:$AU$500,9,)/VLOOKUP($D140,$C$5:$AU$500,3,))*$E140)</f>
        <v>99.013166852102358</v>
      </c>
      <c r="L140" s="67">
        <f>IF(VLOOKUP($D140,$C$5:$AU$500,3,)=0,0,(VLOOKUP($D140,$C$5:$AU$500,10,)/VLOOKUP($D140,$C$5:$AU$500,3,))*$E140)</f>
        <v>10536.651172511229</v>
      </c>
      <c r="M140" s="42">
        <f>IF(VLOOKUP($D140,$C$5:$AU$500,3,)=0,0,(VLOOKUP($D140,$C$5:$AU$500,11,)/VLOOKUP($D140,$C$5:$AU$500,3,))*$E140)</f>
        <v>0</v>
      </c>
      <c r="N140" s="42">
        <f>IF(VLOOKUP($D140,$C$5:$AU$500,3,)=0,0,(VLOOKUP($D140,$C$5:$AU$500,12,)/VLOOKUP($D140,$C$5:$AU$500,3,))*$E140)</f>
        <v>0</v>
      </c>
      <c r="O140" s="42">
        <f>IF(VLOOKUP($D140,$C$5:$AU$500,3,)=0,0,(VLOOKUP($D140,$C$5:$AU$500,13,)/VLOOKUP($D140,$C$5:$AU$500,3,))*$E140)</f>
        <v>0</v>
      </c>
      <c r="P140" s="42">
        <f>IF(VLOOKUP($D140,$C$5:$AU$500,3,)=0,0,(VLOOKUP($D140,$C$5:$AU$500,14,)/VLOOKUP($D140,$C$5:$AU$500,3,))*$E140)</f>
        <v>0</v>
      </c>
      <c r="Q140" s="42">
        <f>IF(VLOOKUP($D140,$C$5:$AU$500,3,)=0,0,(VLOOKUP($D140,$C$5:$AU$500,15,)/VLOOKUP($D140,$C$5:$AU$500,3,))*$E140)</f>
        <v>0</v>
      </c>
      <c r="R140" s="42">
        <f>IF(VLOOKUP($D140,$C$5:$AU$500,3,)=0,0,(VLOOKUP($D140,$C$5:$AU$500,16,)/VLOOKUP($D140,$C$5:$AU$500,3,))*$E140)</f>
        <v>0</v>
      </c>
      <c r="S140" s="107">
        <f>IF(VLOOKUP($D140,$C$5:$AU$500,3,)=0,0,(VLOOKUP($D140,$C$5:$AU$500,17,)/VLOOKUP($D140,$C$5:$AU$500,3,))*$E140)</f>
        <v>0</v>
      </c>
      <c r="T140" s="107">
        <f>IF(VLOOKUP($D140,$C$5:$AU$500,3,)=0,0,(VLOOKUP($D140,$C$5:$AU$500,18,)/VLOOKUP($D140,$C$5:$AU$500,3,))*$E140)</f>
        <v>0</v>
      </c>
      <c r="U140" s="107">
        <f>IF(VLOOKUP($D140,$C$5:$AU$500,3,)=0,0,(VLOOKUP($D140,$C$5:$AU$500,19,)/VLOOKUP($D140,$C$5:$AU$500,3,))*$E140)</f>
        <v>0</v>
      </c>
      <c r="V140" s="107">
        <f>IF(VLOOKUP($D140,$C$5:$AU$500,3,)=0,0,(VLOOKUP($D140,$C$5:$AU$500,20,)/VLOOKUP($D140,$C$5:$AU$500,3,))*$E140)</f>
        <v>0</v>
      </c>
      <c r="W140" s="107">
        <f>IF(VLOOKUP($D140,$C$5:$AU$500,3,)=0,0,(VLOOKUP($D140,$C$5:$AU$500,21,)/VLOOKUP($D140,$C$5:$AU$500,3,))*$E140)</f>
        <v>0</v>
      </c>
      <c r="X140" s="107">
        <f>IF(VLOOKUP($D140,$C$5:$AU$500,3,)=0,0,(VLOOKUP($D140,$C$5:$AU$500,22,)/VLOOKUP($D140,$C$5:$AU$500,3,))*$E140)</f>
        <v>0</v>
      </c>
      <c r="Y140" s="107">
        <f>IF(VLOOKUP($D140,$C$5:$AU$500,3,)=0,0,(VLOOKUP($D140,$C$5:$AU$500,23,)/VLOOKUP($D140,$C$5:$AU$500,3,))*$E140)</f>
        <v>0</v>
      </c>
      <c r="Z140" s="107">
        <f>IF(VLOOKUP($D140,$C$5:$AU$500,3,)=0,0,(VLOOKUP($D140,$C$5:$AU$500,24,)/VLOOKUP($D140,$C$5:$AU$500,3,))*$E140)</f>
        <v>0</v>
      </c>
      <c r="AA140" s="107">
        <f>IF(VLOOKUP($D140,$C$5:$AU$500,3,)=0,0,(VLOOKUP($D140,$C$5:$AU$500,25,)/VLOOKUP($D140,$C$5:$AU$500,3,))*$E140)</f>
        <v>0</v>
      </c>
      <c r="AB140" s="107">
        <f>IF(VLOOKUP($D140,$C$5:$AU$500,3,)=0,0,(VLOOKUP($D140,$C$5:$AU$500,26,)/VLOOKUP($D140,$C$5:$AU$500,3,))*$E140)</f>
        <v>0</v>
      </c>
      <c r="AC140" s="107">
        <f>IF(VLOOKUP($D140,$C$5:$AU$500,3,)=0,0,(VLOOKUP($D140,$C$5:$AU$500,27,)/VLOOKUP($D140,$C$5:$AU$500,3,))*$E140)</f>
        <v>0</v>
      </c>
      <c r="AD140" s="107">
        <f>IF(VLOOKUP($D140,$C$5:$AU$500,3,)=0,0,(VLOOKUP($D140,$C$5:$AU$500,28,)/VLOOKUP($D140,$C$5:$AU$500,3,))*$E140)</f>
        <v>0</v>
      </c>
      <c r="AE140" s="107">
        <f>IF(VLOOKUP($D140,$C$5:$AU$500,3,)=0,0,(VLOOKUP($D140,$C$5:$AU$500,29,)/VLOOKUP($D140,$C$5:$AU$500,3,))*$E140)</f>
        <v>0</v>
      </c>
      <c r="AF140" s="107">
        <f>IF(VLOOKUP($D140,$C$5:$AU$500,3,)=0,0,(VLOOKUP($D140,$C$5:$AU$500,30,)/VLOOKUP($D140,$C$5:$AU$500,3,))*$E140)</f>
        <v>0</v>
      </c>
      <c r="AG140" s="91">
        <f>SUM(F140:AF140)</f>
        <v>223631.36079708405</v>
      </c>
      <c r="AH140" s="28" t="str">
        <f>IF(ABS(E140-AG140)&lt;0.01,"ok","err")</f>
        <v>ok</v>
      </c>
      <c r="AI140" s="153">
        <f t="shared" si="25"/>
        <v>0</v>
      </c>
      <c r="AK140" s="41"/>
      <c r="AL140" s="211"/>
      <c r="AM140" s="24"/>
      <c r="AO140" s="211"/>
    </row>
    <row r="141" spans="1:41" x14ac:dyDescent="0.25">
      <c r="A141" s="14" t="s">
        <v>227</v>
      </c>
      <c r="E141" s="42">
        <f t="shared" ref="E141:T141" si="49">E139+E140</f>
        <v>223631.36079708402</v>
      </c>
      <c r="F141" s="67">
        <f t="shared" si="49"/>
        <v>116743.50541629136</v>
      </c>
      <c r="G141" s="67">
        <f t="shared" si="49"/>
        <v>50730.760641217807</v>
      </c>
      <c r="H141" s="42">
        <f t="shared" si="49"/>
        <v>13523.675312507152</v>
      </c>
      <c r="I141" s="42">
        <f t="shared" si="49"/>
        <v>31997.75508770442</v>
      </c>
      <c r="J141" s="42">
        <f t="shared" si="49"/>
        <v>0</v>
      </c>
      <c r="K141" s="42">
        <f t="shared" si="49"/>
        <v>99.013166852102358</v>
      </c>
      <c r="L141" s="67">
        <f t="shared" si="49"/>
        <v>10536.651172511229</v>
      </c>
      <c r="M141" s="42">
        <f t="shared" si="49"/>
        <v>0</v>
      </c>
      <c r="N141" s="42">
        <f t="shared" si="49"/>
        <v>0</v>
      </c>
      <c r="O141" s="42">
        <f t="shared" si="49"/>
        <v>0</v>
      </c>
      <c r="P141" s="42">
        <f t="shared" si="49"/>
        <v>0</v>
      </c>
      <c r="Q141" s="42">
        <f t="shared" si="49"/>
        <v>0</v>
      </c>
      <c r="R141" s="42">
        <f t="shared" si="49"/>
        <v>0</v>
      </c>
      <c r="S141" s="107">
        <f t="shared" si="49"/>
        <v>0</v>
      </c>
      <c r="T141" s="107">
        <f t="shared" si="49"/>
        <v>0</v>
      </c>
      <c r="U141" s="107">
        <f t="shared" ref="U141:AF141" si="50">U139+U140</f>
        <v>0</v>
      </c>
      <c r="V141" s="107">
        <f t="shared" si="50"/>
        <v>0</v>
      </c>
      <c r="W141" s="107">
        <f t="shared" si="50"/>
        <v>0</v>
      </c>
      <c r="X141" s="107">
        <f t="shared" si="50"/>
        <v>0</v>
      </c>
      <c r="Y141" s="107">
        <f t="shared" si="50"/>
        <v>0</v>
      </c>
      <c r="Z141" s="107">
        <f t="shared" si="50"/>
        <v>0</v>
      </c>
      <c r="AA141" s="107">
        <f t="shared" si="50"/>
        <v>0</v>
      </c>
      <c r="AB141" s="107">
        <f t="shared" si="50"/>
        <v>0</v>
      </c>
      <c r="AC141" s="107">
        <f t="shared" si="50"/>
        <v>0</v>
      </c>
      <c r="AD141" s="107">
        <f t="shared" si="50"/>
        <v>0</v>
      </c>
      <c r="AE141" s="107">
        <f t="shared" si="50"/>
        <v>0</v>
      </c>
      <c r="AF141" s="107">
        <f t="shared" si="50"/>
        <v>0</v>
      </c>
      <c r="AG141" s="91">
        <f>SUM(F141:AF141)</f>
        <v>223631.36079708405</v>
      </c>
      <c r="AH141" s="28" t="str">
        <f>IF(ABS(E141-AG141)&lt;0.01,"ok","err")</f>
        <v>ok</v>
      </c>
      <c r="AI141" s="153">
        <f t="shared" si="25"/>
        <v>0</v>
      </c>
    </row>
    <row r="142" spans="1:41" x14ac:dyDescent="0.25">
      <c r="E142" s="23"/>
      <c r="AI142" s="153"/>
    </row>
    <row r="143" spans="1:41" x14ac:dyDescent="0.25">
      <c r="A143" s="13" t="s">
        <v>4</v>
      </c>
      <c r="E143" s="23"/>
      <c r="AI143" s="153"/>
    </row>
    <row r="144" spans="1:41" x14ac:dyDescent="0.25">
      <c r="A144" s="94" t="s">
        <v>220</v>
      </c>
      <c r="C144" s="14" t="s">
        <v>269</v>
      </c>
      <c r="D144" s="14" t="s">
        <v>229</v>
      </c>
      <c r="E144" s="42">
        <f>'Func &amp; Classif'!U285</f>
        <v>1344073.2471801424</v>
      </c>
      <c r="F144" s="67">
        <f>IF(VLOOKUP($D144,$C$5:$AU$500,3,)=0,0,(VLOOKUP($D144,$C$5:$AU$500,4,)/VLOOKUP($D144,$C$5:$AU$500,3,))*$E144)</f>
        <v>701653.92659057362</v>
      </c>
      <c r="G144" s="67">
        <f>IF(VLOOKUP($D144,$C$5:$AU$500,3,)=0,0,(VLOOKUP($D144,$C$5:$AU$500,5,)/VLOOKUP($D144,$C$5:$AU$500,3,))*$E144)</f>
        <v>304902.93465069891</v>
      </c>
      <c r="H144" s="42">
        <f>IF(VLOOKUP($D144,$C$5:$AU$500,3,)=0,0,(VLOOKUP($D144,$C$5:$AU$500,6,)/VLOOKUP($D144,$C$5:$AU$500,3,))*$E144)</f>
        <v>81280.237826681536</v>
      </c>
      <c r="I144" s="42">
        <f>IF(VLOOKUP($D144,$C$5:$AU$500,3,)=0,0,(VLOOKUP($D144,$C$5:$AU$500,7,)/VLOOKUP($D144,$C$5:$AU$500,3,))*$E144)</f>
        <v>192313.48604201037</v>
      </c>
      <c r="J144" s="42">
        <f>IF(VLOOKUP($D144,$C$5:$AU$500,3,)=0,0,(VLOOKUP($D144,$C$5:$AU$500,8,)/VLOOKUP($D144,$C$5:$AU$500,3,))*$E144)</f>
        <v>0</v>
      </c>
      <c r="K144" s="42">
        <f>IF(VLOOKUP($D144,$C$5:$AU$500,3,)=0,0,(VLOOKUP($D144,$C$5:$AU$500,9,)/VLOOKUP($D144,$C$5:$AU$500,3,))*$E144)</f>
        <v>595.09072524603505</v>
      </c>
      <c r="L144" s="67">
        <f>IF(VLOOKUP($D144,$C$5:$AU$500,3,)=0,0,(VLOOKUP($D144,$C$5:$AU$500,10,)/VLOOKUP($D144,$C$5:$AU$500,3,))*$E144)</f>
        <v>63327.571344932243</v>
      </c>
      <c r="M144" s="42">
        <f>IF(VLOOKUP($D144,$C$5:$AU$500,3,)=0,0,(VLOOKUP($D144,$C$5:$AU$500,11,)/VLOOKUP($D144,$C$5:$AU$500,3,))*$E144)</f>
        <v>0</v>
      </c>
      <c r="N144" s="42">
        <f>IF(VLOOKUP($D144,$C$5:$AU$500,3,)=0,0,(VLOOKUP($D144,$C$5:$AU$500,12,)/VLOOKUP($D144,$C$5:$AU$500,3,))*$E144)</f>
        <v>0</v>
      </c>
      <c r="O144" s="42">
        <f>IF(VLOOKUP($D144,$C$5:$AU$500,3,)=0,0,(VLOOKUP($D144,$C$5:$AU$500,13,)/VLOOKUP($D144,$C$5:$AU$500,3,))*$E144)</f>
        <v>0</v>
      </c>
      <c r="P144" s="42">
        <f>IF(VLOOKUP($D144,$C$5:$AU$500,3,)=0,0,(VLOOKUP($D144,$C$5:$AU$500,14,)/VLOOKUP($D144,$C$5:$AU$500,3,))*$E144)</f>
        <v>0</v>
      </c>
      <c r="Q144" s="42">
        <f>IF(VLOOKUP($D144,$C$5:$AU$500,3,)=0,0,(VLOOKUP($D144,$C$5:$AU$500,15,)/VLOOKUP($D144,$C$5:$AU$500,3,))*$E144)</f>
        <v>0</v>
      </c>
      <c r="R144" s="42">
        <f>IF(VLOOKUP($D144,$C$5:$AU$500,3,)=0,0,(VLOOKUP($D144,$C$5:$AU$500,16,)/VLOOKUP($D144,$C$5:$AU$500,3,))*$E144)</f>
        <v>0</v>
      </c>
      <c r="S144" s="107">
        <f>IF(VLOOKUP($D144,$C$5:$AU$500,3,)=0,0,(VLOOKUP($D144,$C$5:$AU$500,17,)/VLOOKUP($D144,$C$5:$AU$500,3,))*$E144)</f>
        <v>0</v>
      </c>
      <c r="T144" s="107">
        <f>IF(VLOOKUP($D144,$C$5:$AU$500,3,)=0,0,(VLOOKUP($D144,$C$5:$AU$500,18,)/VLOOKUP($D144,$C$5:$AU$500,3,))*$E144)</f>
        <v>0</v>
      </c>
      <c r="U144" s="107">
        <f>IF(VLOOKUP($D144,$C$5:$AU$500,3,)=0,0,(VLOOKUP($D144,$C$5:$AU$500,19,)/VLOOKUP($D144,$C$5:$AU$500,3,))*$E144)</f>
        <v>0</v>
      </c>
      <c r="V144" s="107">
        <f>IF(VLOOKUP($D144,$C$5:$AU$500,3,)=0,0,(VLOOKUP($D144,$C$5:$AU$500,20,)/VLOOKUP($D144,$C$5:$AU$500,3,))*$E144)</f>
        <v>0</v>
      </c>
      <c r="W144" s="107">
        <f>IF(VLOOKUP($D144,$C$5:$AU$500,3,)=0,0,(VLOOKUP($D144,$C$5:$AU$500,21,)/VLOOKUP($D144,$C$5:$AU$500,3,))*$E144)</f>
        <v>0</v>
      </c>
      <c r="X144" s="107">
        <f>IF(VLOOKUP($D144,$C$5:$AU$500,3,)=0,0,(VLOOKUP($D144,$C$5:$AU$500,22,)/VLOOKUP($D144,$C$5:$AU$500,3,))*$E144)</f>
        <v>0</v>
      </c>
      <c r="Y144" s="107">
        <f>IF(VLOOKUP($D144,$C$5:$AU$500,3,)=0,0,(VLOOKUP($D144,$C$5:$AU$500,23,)/VLOOKUP($D144,$C$5:$AU$500,3,))*$E144)</f>
        <v>0</v>
      </c>
      <c r="Z144" s="107">
        <f>IF(VLOOKUP($D144,$C$5:$AU$500,3,)=0,0,(VLOOKUP($D144,$C$5:$AU$500,24,)/VLOOKUP($D144,$C$5:$AU$500,3,))*$E144)</f>
        <v>0</v>
      </c>
      <c r="AA144" s="107">
        <f>IF(VLOOKUP($D144,$C$5:$AU$500,3,)=0,0,(VLOOKUP($D144,$C$5:$AU$500,25,)/VLOOKUP($D144,$C$5:$AU$500,3,))*$E144)</f>
        <v>0</v>
      </c>
      <c r="AB144" s="107">
        <f>IF(VLOOKUP($D144,$C$5:$AU$500,3,)=0,0,(VLOOKUP($D144,$C$5:$AU$500,26,)/VLOOKUP($D144,$C$5:$AU$500,3,))*$E144)</f>
        <v>0</v>
      </c>
      <c r="AC144" s="107">
        <f>IF(VLOOKUP($D144,$C$5:$AU$500,3,)=0,0,(VLOOKUP($D144,$C$5:$AU$500,27,)/VLOOKUP($D144,$C$5:$AU$500,3,))*$E144)</f>
        <v>0</v>
      </c>
      <c r="AD144" s="107">
        <f>IF(VLOOKUP($D144,$C$5:$AU$500,3,)=0,0,(VLOOKUP($D144,$C$5:$AU$500,28,)/VLOOKUP($D144,$C$5:$AU$500,3,))*$E144)</f>
        <v>0</v>
      </c>
      <c r="AE144" s="107">
        <f>IF(VLOOKUP($D144,$C$5:$AU$500,3,)=0,0,(VLOOKUP($D144,$C$5:$AU$500,29,)/VLOOKUP($D144,$C$5:$AU$500,3,))*$E144)</f>
        <v>0</v>
      </c>
      <c r="AF144" s="107">
        <f>IF(VLOOKUP($D144,$C$5:$AU$500,3,)=0,0,(VLOOKUP($D144,$C$5:$AU$500,30,)/VLOOKUP($D144,$C$5:$AU$500,3,))*$E144)</f>
        <v>0</v>
      </c>
      <c r="AG144" s="91">
        <f>SUM(F144:AF144)</f>
        <v>1344073.2471801429</v>
      </c>
      <c r="AH144" s="28" t="str">
        <f>IF(ABS(E144-AG144)&lt;0.01,"ok","err")</f>
        <v>ok</v>
      </c>
      <c r="AI144" s="153">
        <f t="shared" si="25"/>
        <v>0</v>
      </c>
      <c r="AK144" s="41"/>
      <c r="AL144" s="211"/>
      <c r="AM144" s="24"/>
      <c r="AO144" s="211"/>
    </row>
    <row r="145" spans="1:41" x14ac:dyDescent="0.25">
      <c r="E145" s="23"/>
      <c r="AI145" s="153"/>
    </row>
    <row r="146" spans="1:41" x14ac:dyDescent="0.25">
      <c r="A146" s="13" t="s">
        <v>5</v>
      </c>
      <c r="E146" s="23"/>
      <c r="AI146" s="153"/>
    </row>
    <row r="147" spans="1:41" x14ac:dyDescent="0.25">
      <c r="A147" s="94" t="s">
        <v>220</v>
      </c>
      <c r="C147" s="14" t="s">
        <v>270</v>
      </c>
      <c r="D147" s="14" t="s">
        <v>231</v>
      </c>
      <c r="E147" s="42">
        <f>'Func &amp; Classif'!W285</f>
        <v>85971.596911421191</v>
      </c>
      <c r="F147" s="67">
        <f>IF(VLOOKUP($D147,$C$5:$AU$500,3,)=0,0,(VLOOKUP($D147,$C$5:$AU$500,4,)/VLOOKUP($D147,$C$5:$AU$500,3,))*$E147)</f>
        <v>0</v>
      </c>
      <c r="G147" s="67">
        <f>IF(VLOOKUP($D147,$C$5:$AU$500,3,)=0,0,(VLOOKUP($D147,$C$5:$AU$500,5,)/VLOOKUP($D147,$C$5:$AU$500,3,))*$E147)</f>
        <v>0</v>
      </c>
      <c r="H147" s="42">
        <f>IF(VLOOKUP($D147,$C$5:$AU$500,3,)=0,0,(VLOOKUP($D147,$C$5:$AU$500,6,)/VLOOKUP($D147,$C$5:$AU$500,3,))*$E147)</f>
        <v>0</v>
      </c>
      <c r="I147" s="42">
        <f>IF(VLOOKUP($D147,$C$5:$AU$500,3,)=0,0,(VLOOKUP($D147,$C$5:$AU$500,7,)/VLOOKUP($D147,$C$5:$AU$500,3,))*$E147)</f>
        <v>0</v>
      </c>
      <c r="J147" s="42">
        <f>IF(VLOOKUP($D147,$C$5:$AU$500,3,)=0,0,(VLOOKUP($D147,$C$5:$AU$500,8,)/VLOOKUP($D147,$C$5:$AU$500,3,))*$E147)</f>
        <v>0</v>
      </c>
      <c r="K147" s="42">
        <f>IF(VLOOKUP($D147,$C$5:$AU$500,3,)=0,0,(VLOOKUP($D147,$C$5:$AU$500,9,)/VLOOKUP($D147,$C$5:$AU$500,3,))*$E147)</f>
        <v>0</v>
      </c>
      <c r="L147" s="67">
        <f>IF(VLOOKUP($D147,$C$5:$AU$500,3,)=0,0,(VLOOKUP($D147,$C$5:$AU$500,10,)/VLOOKUP($D147,$C$5:$AU$500,3,))*$E147)</f>
        <v>85971.596911421191</v>
      </c>
      <c r="M147" s="42">
        <f>IF(VLOOKUP($D147,$C$5:$AU$500,3,)=0,0,(VLOOKUP($D147,$C$5:$AU$500,11,)/VLOOKUP($D147,$C$5:$AU$500,3,))*$E147)</f>
        <v>0</v>
      </c>
      <c r="N147" s="42">
        <f>IF(VLOOKUP($D147,$C$5:$AU$500,3,)=0,0,(VLOOKUP($D147,$C$5:$AU$500,12,)/VLOOKUP($D147,$C$5:$AU$500,3,))*$E147)</f>
        <v>0</v>
      </c>
      <c r="O147" s="42">
        <f>IF(VLOOKUP($D147,$C$5:$AU$500,3,)=0,0,(VLOOKUP($D147,$C$5:$AU$500,13,)/VLOOKUP($D147,$C$5:$AU$500,3,))*$E147)</f>
        <v>0</v>
      </c>
      <c r="P147" s="42">
        <f>IF(VLOOKUP($D147,$C$5:$AU$500,3,)=0,0,(VLOOKUP($D147,$C$5:$AU$500,14,)/VLOOKUP($D147,$C$5:$AU$500,3,))*$E147)</f>
        <v>0</v>
      </c>
      <c r="Q147" s="42">
        <f>IF(VLOOKUP($D147,$C$5:$AU$500,3,)=0,0,(VLOOKUP($D147,$C$5:$AU$500,15,)/VLOOKUP($D147,$C$5:$AU$500,3,))*$E147)</f>
        <v>0</v>
      </c>
      <c r="R147" s="42">
        <f>IF(VLOOKUP($D147,$C$5:$AU$500,3,)=0,0,(VLOOKUP($D147,$C$5:$AU$500,16,)/VLOOKUP($D147,$C$5:$AU$500,3,))*$E147)</f>
        <v>0</v>
      </c>
      <c r="S147" s="107">
        <f>IF(VLOOKUP($D147,$C$5:$AU$500,3,)=0,0,(VLOOKUP($D147,$C$5:$AU$500,17,)/VLOOKUP($D147,$C$5:$AU$500,3,))*$E147)</f>
        <v>0</v>
      </c>
      <c r="T147" s="107">
        <f>IF(VLOOKUP($D147,$C$5:$AU$500,3,)=0,0,(VLOOKUP($D147,$C$5:$AU$500,18,)/VLOOKUP($D147,$C$5:$AU$500,3,))*$E147)</f>
        <v>0</v>
      </c>
      <c r="U147" s="107">
        <f>IF(VLOOKUP($D147,$C$5:$AU$500,3,)=0,0,(VLOOKUP($D147,$C$5:$AU$500,19,)/VLOOKUP($D147,$C$5:$AU$500,3,))*$E147)</f>
        <v>0</v>
      </c>
      <c r="V147" s="107">
        <f>IF(VLOOKUP($D147,$C$5:$AU$500,3,)=0,0,(VLOOKUP($D147,$C$5:$AU$500,20,)/VLOOKUP($D147,$C$5:$AU$500,3,))*$E147)</f>
        <v>0</v>
      </c>
      <c r="W147" s="107">
        <f>IF(VLOOKUP($D147,$C$5:$AU$500,3,)=0,0,(VLOOKUP($D147,$C$5:$AU$500,21,)/VLOOKUP($D147,$C$5:$AU$500,3,))*$E147)</f>
        <v>0</v>
      </c>
      <c r="X147" s="107">
        <f>IF(VLOOKUP($D147,$C$5:$AU$500,3,)=0,0,(VLOOKUP($D147,$C$5:$AU$500,22,)/VLOOKUP($D147,$C$5:$AU$500,3,))*$E147)</f>
        <v>0</v>
      </c>
      <c r="Y147" s="107">
        <f>IF(VLOOKUP($D147,$C$5:$AU$500,3,)=0,0,(VLOOKUP($D147,$C$5:$AU$500,23,)/VLOOKUP($D147,$C$5:$AU$500,3,))*$E147)</f>
        <v>0</v>
      </c>
      <c r="Z147" s="107">
        <f>IF(VLOOKUP($D147,$C$5:$AU$500,3,)=0,0,(VLOOKUP($D147,$C$5:$AU$500,24,)/VLOOKUP($D147,$C$5:$AU$500,3,))*$E147)</f>
        <v>0</v>
      </c>
      <c r="AA147" s="107">
        <f>IF(VLOOKUP($D147,$C$5:$AU$500,3,)=0,0,(VLOOKUP($D147,$C$5:$AU$500,25,)/VLOOKUP($D147,$C$5:$AU$500,3,))*$E147)</f>
        <v>0</v>
      </c>
      <c r="AB147" s="107">
        <f>IF(VLOOKUP($D147,$C$5:$AU$500,3,)=0,0,(VLOOKUP($D147,$C$5:$AU$500,26,)/VLOOKUP($D147,$C$5:$AU$500,3,))*$E147)</f>
        <v>0</v>
      </c>
      <c r="AC147" s="107">
        <f>IF(VLOOKUP($D147,$C$5:$AU$500,3,)=0,0,(VLOOKUP($D147,$C$5:$AU$500,27,)/VLOOKUP($D147,$C$5:$AU$500,3,))*$E147)</f>
        <v>0</v>
      </c>
      <c r="AD147" s="107">
        <f>IF(VLOOKUP($D147,$C$5:$AU$500,3,)=0,0,(VLOOKUP($D147,$C$5:$AU$500,28,)/VLOOKUP($D147,$C$5:$AU$500,3,))*$E147)</f>
        <v>0</v>
      </c>
      <c r="AE147" s="107">
        <f>IF(VLOOKUP($D147,$C$5:$AU$500,3,)=0,0,(VLOOKUP($D147,$C$5:$AU$500,29,)/VLOOKUP($D147,$C$5:$AU$500,3,))*$E147)</f>
        <v>0</v>
      </c>
      <c r="AF147" s="107">
        <f>IF(VLOOKUP($D147,$C$5:$AU$500,3,)=0,0,(VLOOKUP($D147,$C$5:$AU$500,30,)/VLOOKUP($D147,$C$5:$AU$500,3,))*$E147)</f>
        <v>0</v>
      </c>
      <c r="AG147" s="91">
        <f>SUM(F147:AF147)</f>
        <v>85971.596911421191</v>
      </c>
      <c r="AH147" s="28" t="str">
        <f>IF(ABS(E147-AG147)&lt;0.01,"ok","err")</f>
        <v>ok</v>
      </c>
      <c r="AI147" s="153">
        <f t="shared" si="25"/>
        <v>0</v>
      </c>
      <c r="AK147" s="41"/>
      <c r="AL147" s="211"/>
      <c r="AM147" s="24"/>
      <c r="AO147" s="211"/>
    </row>
    <row r="148" spans="1:41" x14ac:dyDescent="0.25">
      <c r="E148" s="23"/>
      <c r="AI148" s="153"/>
    </row>
    <row r="149" spans="1:41" x14ac:dyDescent="0.25">
      <c r="A149" s="13" t="s">
        <v>545</v>
      </c>
      <c r="E149" s="23"/>
      <c r="AI149" s="153"/>
    </row>
    <row r="150" spans="1:41" x14ac:dyDescent="0.25">
      <c r="A150" s="94" t="s">
        <v>220</v>
      </c>
      <c r="C150" s="14" t="s">
        <v>271</v>
      </c>
      <c r="D150" s="14" t="s">
        <v>233</v>
      </c>
      <c r="E150" s="42">
        <f>'Func &amp; Classif'!Y285</f>
        <v>1519400.2014569119</v>
      </c>
      <c r="F150" s="67">
        <f>IF(VLOOKUP($D150,$C$5:$AU$500,3,)=0,0,(VLOOKUP($D150,$C$5:$AU$500,4,)/VLOOKUP($D150,$C$5:$AU$500,3,))*$E150)</f>
        <v>1216257.4471924517</v>
      </c>
      <c r="G150" s="67">
        <f>IF(VLOOKUP($D150,$C$5:$AU$500,3,)=0,0,(VLOOKUP($D150,$C$5:$AU$500,5,)/VLOOKUP($D150,$C$5:$AU$500,3,))*$E150)</f>
        <v>240237.87413113745</v>
      </c>
      <c r="H150" s="42">
        <f>IF(VLOOKUP($D150,$C$5:$AU$500,3,)=0,0,(VLOOKUP($D150,$C$5:$AU$500,6,)/VLOOKUP($D150,$C$5:$AU$500,3,))*$E150)</f>
        <v>25523.982636055473</v>
      </c>
      <c r="I150" s="42">
        <f>IF(VLOOKUP($D150,$C$5:$AU$500,3,)=0,0,(VLOOKUP($D150,$C$5:$AU$500,7,)/VLOOKUP($D150,$C$5:$AU$500,3,))*$E150)</f>
        <v>32053.757986600758</v>
      </c>
      <c r="J150" s="42">
        <f>IF(VLOOKUP($D150,$C$5:$AU$500,3,)=0,0,(VLOOKUP($D150,$C$5:$AU$500,8,)/VLOOKUP($D150,$C$5:$AU$500,3,))*$E150)</f>
        <v>0</v>
      </c>
      <c r="K150" s="42">
        <f>IF(VLOOKUP($D150,$C$5:$AU$500,3,)=0,0,(VLOOKUP($D150,$C$5:$AU$500,9,)/VLOOKUP($D150,$C$5:$AU$500,3,))*$E150)</f>
        <v>49.593230510470484</v>
      </c>
      <c r="L150" s="67">
        <f>IF(VLOOKUP($D150,$C$5:$AU$500,3,)=0,0,(VLOOKUP($D150,$C$5:$AU$500,10,)/VLOOKUP($D150,$C$5:$AU$500,3,))*$E150)</f>
        <v>5277.5462801559006</v>
      </c>
      <c r="M150" s="42">
        <f>IF(VLOOKUP($D150,$C$5:$AU$500,3,)=0,0,(VLOOKUP($D150,$C$5:$AU$500,11,)/VLOOKUP($D150,$C$5:$AU$500,3,))*$E150)</f>
        <v>0</v>
      </c>
      <c r="N150" s="42">
        <f>IF(VLOOKUP($D150,$C$5:$AU$500,3,)=0,0,(VLOOKUP($D150,$C$5:$AU$500,12,)/VLOOKUP($D150,$C$5:$AU$500,3,))*$E150)</f>
        <v>0</v>
      </c>
      <c r="O150" s="42">
        <f>IF(VLOOKUP($D150,$C$5:$AU$500,3,)=0,0,(VLOOKUP($D150,$C$5:$AU$500,13,)/VLOOKUP($D150,$C$5:$AU$500,3,))*$E150)</f>
        <v>0</v>
      </c>
      <c r="P150" s="42">
        <f>IF(VLOOKUP($D150,$C$5:$AU$500,3,)=0,0,(VLOOKUP($D150,$C$5:$AU$500,14,)/VLOOKUP($D150,$C$5:$AU$500,3,))*$E150)</f>
        <v>0</v>
      </c>
      <c r="Q150" s="42">
        <f>IF(VLOOKUP($D150,$C$5:$AU$500,3,)=0,0,(VLOOKUP($D150,$C$5:$AU$500,15,)/VLOOKUP($D150,$C$5:$AU$500,3,))*$E150)</f>
        <v>0</v>
      </c>
      <c r="R150" s="42">
        <f>IF(VLOOKUP($D150,$C$5:$AU$500,3,)=0,0,(VLOOKUP($D150,$C$5:$AU$500,16,)/VLOOKUP($D150,$C$5:$AU$500,3,))*$E150)</f>
        <v>0</v>
      </c>
      <c r="S150" s="107">
        <f>IF(VLOOKUP($D150,$C$5:$AU$500,3,)=0,0,(VLOOKUP($D150,$C$5:$AU$500,17,)/VLOOKUP($D150,$C$5:$AU$500,3,))*$E150)</f>
        <v>0</v>
      </c>
      <c r="T150" s="107">
        <f>IF(VLOOKUP($D150,$C$5:$AU$500,3,)=0,0,(VLOOKUP($D150,$C$5:$AU$500,18,)/VLOOKUP($D150,$C$5:$AU$500,3,))*$E150)</f>
        <v>0</v>
      </c>
      <c r="U150" s="107">
        <f>IF(VLOOKUP($D150,$C$5:$AU$500,3,)=0,0,(VLOOKUP($D150,$C$5:$AU$500,19,)/VLOOKUP($D150,$C$5:$AU$500,3,))*$E150)</f>
        <v>0</v>
      </c>
      <c r="V150" s="107">
        <f>IF(VLOOKUP($D150,$C$5:$AU$500,3,)=0,0,(VLOOKUP($D150,$C$5:$AU$500,20,)/VLOOKUP($D150,$C$5:$AU$500,3,))*$E150)</f>
        <v>0</v>
      </c>
      <c r="W150" s="107">
        <f>IF(VLOOKUP($D150,$C$5:$AU$500,3,)=0,0,(VLOOKUP($D150,$C$5:$AU$500,21,)/VLOOKUP($D150,$C$5:$AU$500,3,))*$E150)</f>
        <v>0</v>
      </c>
      <c r="X150" s="107">
        <f>IF(VLOOKUP($D150,$C$5:$AU$500,3,)=0,0,(VLOOKUP($D150,$C$5:$AU$500,22,)/VLOOKUP($D150,$C$5:$AU$500,3,))*$E150)</f>
        <v>0</v>
      </c>
      <c r="Y150" s="107">
        <f>IF(VLOOKUP($D150,$C$5:$AU$500,3,)=0,0,(VLOOKUP($D150,$C$5:$AU$500,23,)/VLOOKUP($D150,$C$5:$AU$500,3,))*$E150)</f>
        <v>0</v>
      </c>
      <c r="Z150" s="107">
        <f>IF(VLOOKUP($D150,$C$5:$AU$500,3,)=0,0,(VLOOKUP($D150,$C$5:$AU$500,24,)/VLOOKUP($D150,$C$5:$AU$500,3,))*$E150)</f>
        <v>0</v>
      </c>
      <c r="AA150" s="107">
        <f>IF(VLOOKUP($D150,$C$5:$AU$500,3,)=0,0,(VLOOKUP($D150,$C$5:$AU$500,25,)/VLOOKUP($D150,$C$5:$AU$500,3,))*$E150)</f>
        <v>0</v>
      </c>
      <c r="AB150" s="107">
        <f>IF(VLOOKUP($D150,$C$5:$AU$500,3,)=0,0,(VLOOKUP($D150,$C$5:$AU$500,26,)/VLOOKUP($D150,$C$5:$AU$500,3,))*$E150)</f>
        <v>0</v>
      </c>
      <c r="AC150" s="107">
        <f>IF(VLOOKUP($D150,$C$5:$AU$500,3,)=0,0,(VLOOKUP($D150,$C$5:$AU$500,27,)/VLOOKUP($D150,$C$5:$AU$500,3,))*$E150)</f>
        <v>0</v>
      </c>
      <c r="AD150" s="107">
        <f>IF(VLOOKUP($D150,$C$5:$AU$500,3,)=0,0,(VLOOKUP($D150,$C$5:$AU$500,28,)/VLOOKUP($D150,$C$5:$AU$500,3,))*$E150)</f>
        <v>0</v>
      </c>
      <c r="AE150" s="107">
        <f>IF(VLOOKUP($D150,$C$5:$AU$500,3,)=0,0,(VLOOKUP($D150,$C$5:$AU$500,29,)/VLOOKUP($D150,$C$5:$AU$500,3,))*$E150)</f>
        <v>0</v>
      </c>
      <c r="AF150" s="107">
        <f>IF(VLOOKUP($D150,$C$5:$AU$500,3,)=0,0,(VLOOKUP($D150,$C$5:$AU$500,30,)/VLOOKUP($D150,$C$5:$AU$500,3,))*$E150)</f>
        <v>0</v>
      </c>
      <c r="AG150" s="91">
        <f>SUM(F150:AF150)</f>
        <v>1519400.2014569116</v>
      </c>
      <c r="AH150" s="28" t="str">
        <f>IF(ABS(E150-AG150)&lt;0.01,"ok","err")</f>
        <v>ok</v>
      </c>
      <c r="AI150" s="153">
        <f t="shared" si="25"/>
        <v>0</v>
      </c>
      <c r="AK150" s="41"/>
      <c r="AL150" s="211"/>
      <c r="AM150" s="24"/>
      <c r="AO150" s="211"/>
    </row>
    <row r="151" spans="1:41" x14ac:dyDescent="0.25">
      <c r="E151" s="23"/>
      <c r="AI151" s="153"/>
    </row>
    <row r="152" spans="1:41" x14ac:dyDescent="0.25">
      <c r="A152" s="13" t="s">
        <v>470</v>
      </c>
      <c r="E152" s="23"/>
      <c r="AI152" s="153"/>
    </row>
    <row r="153" spans="1:41" x14ac:dyDescent="0.25">
      <c r="A153" s="94" t="s">
        <v>220</v>
      </c>
      <c r="C153" s="14" t="s">
        <v>268</v>
      </c>
      <c r="D153" s="14" t="s">
        <v>234</v>
      </c>
      <c r="E153" s="42">
        <f>'Func &amp; Classif'!AA285</f>
        <v>5372.4430091895274</v>
      </c>
      <c r="F153" s="67">
        <f>IF(VLOOKUP($D153,$C$5:$AU$500,3,)=0,0,(VLOOKUP($D153,$C$5:$AU$500,4,)/VLOOKUP($D153,$C$5:$AU$500,3,))*$E153)</f>
        <v>4300.5613749940594</v>
      </c>
      <c r="G153" s="67">
        <f>IF(VLOOKUP($D153,$C$5:$AU$500,3,)=0,0,(VLOOKUP($D153,$C$5:$AU$500,5,)/VLOOKUP($D153,$C$5:$AU$500,3,))*$E153)</f>
        <v>849.45644089081975</v>
      </c>
      <c r="H153" s="42">
        <f>IF(VLOOKUP($D153,$C$5:$AU$500,3,)=0,0,(VLOOKUP($D153,$C$5:$AU$500,6,)/VLOOKUP($D153,$C$5:$AU$500,3,))*$E153)</f>
        <v>90.250180267361131</v>
      </c>
      <c r="I153" s="42">
        <f>IF(VLOOKUP($D153,$C$5:$AU$500,3,)=0,0,(VLOOKUP($D153,$C$5:$AU$500,7,)/VLOOKUP($D153,$C$5:$AU$500,3,))*$E153)</f>
        <v>113.33879503783241</v>
      </c>
      <c r="J153" s="42">
        <f>IF(VLOOKUP($D153,$C$5:$AU$500,3,)=0,0,(VLOOKUP($D153,$C$5:$AU$500,8,)/VLOOKUP($D153,$C$5:$AU$500,3,))*$E153)</f>
        <v>0</v>
      </c>
      <c r="K153" s="236">
        <f>IF(VLOOKUP($D153,$C$5:$AU$500,3,)=0,0,(VLOOKUP($D153,$C$5:$AU$500,9,)/VLOOKUP($D153,$C$5:$AU$500,3,))*$E153)</f>
        <v>0.17535656787699702</v>
      </c>
      <c r="L153" s="67">
        <f>IF(VLOOKUP($D153,$C$5:$AU$500,3,)=0,0,(VLOOKUP($D153,$C$5:$AU$500,10,)/VLOOKUP($D153,$C$5:$AU$500,3,))*$E153)</f>
        <v>18.6608614315771</v>
      </c>
      <c r="M153" s="42">
        <f>IF(VLOOKUP($D153,$C$5:$AU$500,3,)=0,0,(VLOOKUP($D153,$C$5:$AU$500,11,)/VLOOKUP($D153,$C$5:$AU$500,3,))*$E153)</f>
        <v>0</v>
      </c>
      <c r="N153" s="42">
        <f>IF(VLOOKUP($D153,$C$5:$AU$500,3,)=0,0,(VLOOKUP($D153,$C$5:$AU$500,12,)/VLOOKUP($D153,$C$5:$AU$500,3,))*$E153)</f>
        <v>0</v>
      </c>
      <c r="O153" s="42">
        <f>IF(VLOOKUP($D153,$C$5:$AU$500,3,)=0,0,(VLOOKUP($D153,$C$5:$AU$500,13,)/VLOOKUP($D153,$C$5:$AU$500,3,))*$E153)</f>
        <v>0</v>
      </c>
      <c r="P153" s="42">
        <f>IF(VLOOKUP($D153,$C$5:$AU$500,3,)=0,0,(VLOOKUP($D153,$C$5:$AU$500,14,)/VLOOKUP($D153,$C$5:$AU$500,3,))*$E153)</f>
        <v>0</v>
      </c>
      <c r="Q153" s="42">
        <f>IF(VLOOKUP($D153,$C$5:$AU$500,3,)=0,0,(VLOOKUP($D153,$C$5:$AU$500,15,)/VLOOKUP($D153,$C$5:$AU$500,3,))*$E153)</f>
        <v>0</v>
      </c>
      <c r="R153" s="42">
        <f>IF(VLOOKUP($D153,$C$5:$AU$500,3,)=0,0,(VLOOKUP($D153,$C$5:$AU$500,16,)/VLOOKUP($D153,$C$5:$AU$500,3,))*$E153)</f>
        <v>0</v>
      </c>
      <c r="S153" s="107">
        <f>IF(VLOOKUP($D153,$C$5:$AU$500,3,)=0,0,(VLOOKUP($D153,$C$5:$AU$500,17,)/VLOOKUP($D153,$C$5:$AU$500,3,))*$E153)</f>
        <v>0</v>
      </c>
      <c r="T153" s="107">
        <f>IF(VLOOKUP($D153,$C$5:$AU$500,3,)=0,0,(VLOOKUP($D153,$C$5:$AU$500,18,)/VLOOKUP($D153,$C$5:$AU$500,3,))*$E153)</f>
        <v>0</v>
      </c>
      <c r="U153" s="107">
        <f>IF(VLOOKUP($D153,$C$5:$AU$500,3,)=0,0,(VLOOKUP($D153,$C$5:$AU$500,19,)/VLOOKUP($D153,$C$5:$AU$500,3,))*$E153)</f>
        <v>0</v>
      </c>
      <c r="V153" s="107">
        <f>IF(VLOOKUP($D153,$C$5:$AU$500,3,)=0,0,(VLOOKUP($D153,$C$5:$AU$500,20,)/VLOOKUP($D153,$C$5:$AU$500,3,))*$E153)</f>
        <v>0</v>
      </c>
      <c r="W153" s="107">
        <f>IF(VLOOKUP($D153,$C$5:$AU$500,3,)=0,0,(VLOOKUP($D153,$C$5:$AU$500,21,)/VLOOKUP($D153,$C$5:$AU$500,3,))*$E153)</f>
        <v>0</v>
      </c>
      <c r="X153" s="107">
        <f>IF(VLOOKUP($D153,$C$5:$AU$500,3,)=0,0,(VLOOKUP($D153,$C$5:$AU$500,22,)/VLOOKUP($D153,$C$5:$AU$500,3,))*$E153)</f>
        <v>0</v>
      </c>
      <c r="Y153" s="107">
        <f>IF(VLOOKUP($D153,$C$5:$AU$500,3,)=0,0,(VLOOKUP($D153,$C$5:$AU$500,23,)/VLOOKUP($D153,$C$5:$AU$500,3,))*$E153)</f>
        <v>0</v>
      </c>
      <c r="Z153" s="107">
        <f>IF(VLOOKUP($D153,$C$5:$AU$500,3,)=0,0,(VLOOKUP($D153,$C$5:$AU$500,24,)/VLOOKUP($D153,$C$5:$AU$500,3,))*$E153)</f>
        <v>0</v>
      </c>
      <c r="AA153" s="107">
        <f>IF(VLOOKUP($D153,$C$5:$AU$500,3,)=0,0,(VLOOKUP($D153,$C$5:$AU$500,25,)/VLOOKUP($D153,$C$5:$AU$500,3,))*$E153)</f>
        <v>0</v>
      </c>
      <c r="AB153" s="107">
        <f>IF(VLOOKUP($D153,$C$5:$AU$500,3,)=0,0,(VLOOKUP($D153,$C$5:$AU$500,26,)/VLOOKUP($D153,$C$5:$AU$500,3,))*$E153)</f>
        <v>0</v>
      </c>
      <c r="AC153" s="107">
        <f>IF(VLOOKUP($D153,$C$5:$AU$500,3,)=0,0,(VLOOKUP($D153,$C$5:$AU$500,27,)/VLOOKUP($D153,$C$5:$AU$500,3,))*$E153)</f>
        <v>0</v>
      </c>
      <c r="AD153" s="107">
        <f>IF(VLOOKUP($D153,$C$5:$AU$500,3,)=0,0,(VLOOKUP($D153,$C$5:$AU$500,28,)/VLOOKUP($D153,$C$5:$AU$500,3,))*$E153)</f>
        <v>0</v>
      </c>
      <c r="AE153" s="107">
        <f>IF(VLOOKUP($D153,$C$5:$AU$500,3,)=0,0,(VLOOKUP($D153,$C$5:$AU$500,29,)/VLOOKUP($D153,$C$5:$AU$500,3,))*$E153)</f>
        <v>0</v>
      </c>
      <c r="AF153" s="107">
        <f>IF(VLOOKUP($D153,$C$5:$AU$500,3,)=0,0,(VLOOKUP($D153,$C$5:$AU$500,30,)/VLOOKUP($D153,$C$5:$AU$500,3,))*$E153)</f>
        <v>0</v>
      </c>
      <c r="AG153" s="91">
        <f>SUM(F153:AF153)</f>
        <v>5372.4430091895283</v>
      </c>
      <c r="AH153" s="28" t="str">
        <f>IF(ABS(E153-AG153)&lt;0.01,"ok","err")</f>
        <v>ok</v>
      </c>
      <c r="AI153" s="153"/>
      <c r="AK153" s="41"/>
      <c r="AL153" s="211"/>
      <c r="AM153" s="24"/>
      <c r="AO153" s="211"/>
    </row>
    <row r="154" spans="1:41" x14ac:dyDescent="0.25">
      <c r="E154" s="23"/>
      <c r="AI154" s="153"/>
    </row>
    <row r="155" spans="1:41" x14ac:dyDescent="0.25">
      <c r="A155" s="14" t="s">
        <v>0</v>
      </c>
      <c r="C155" s="14" t="s">
        <v>272</v>
      </c>
      <c r="E155" s="42">
        <f>E125+E128+E131+E136+E141+E144+E147+E150+E153</f>
        <v>87132925.350000009</v>
      </c>
      <c r="F155" s="42">
        <f t="shared" ref="F155:R155" si="51">F125+F128+F131+F136+F141+F144+F147+F150+F153</f>
        <v>46156798.461013772</v>
      </c>
      <c r="G155" s="42">
        <f t="shared" si="51"/>
        <v>5922452.4518673187</v>
      </c>
      <c r="H155" s="42">
        <f t="shared" si="51"/>
        <v>1503328.5041251797</v>
      </c>
      <c r="I155" s="42">
        <f t="shared" si="51"/>
        <v>18020518.069993239</v>
      </c>
      <c r="J155" s="42">
        <f t="shared" si="51"/>
        <v>12768580.189999999</v>
      </c>
      <c r="K155" s="42">
        <f t="shared" si="51"/>
        <v>1969161.4765679771</v>
      </c>
      <c r="L155" s="42">
        <f t="shared" si="51"/>
        <v>792086.19643254962</v>
      </c>
      <c r="M155" s="42">
        <f t="shared" si="51"/>
        <v>0</v>
      </c>
      <c r="N155" s="42">
        <f t="shared" si="51"/>
        <v>0</v>
      </c>
      <c r="O155" s="42">
        <f t="shared" si="51"/>
        <v>0</v>
      </c>
      <c r="P155" s="42">
        <f t="shared" si="51"/>
        <v>0</v>
      </c>
      <c r="Q155" s="42">
        <f t="shared" si="51"/>
        <v>0</v>
      </c>
      <c r="R155" s="42">
        <f t="shared" si="51"/>
        <v>0</v>
      </c>
      <c r="S155" s="107">
        <f t="shared" ref="S155:AF155" si="52">S125+S131+S136+S141+S144+S147+S150+S153</f>
        <v>0</v>
      </c>
      <c r="T155" s="107">
        <f t="shared" si="52"/>
        <v>0</v>
      </c>
      <c r="U155" s="107">
        <f t="shared" si="52"/>
        <v>0</v>
      </c>
      <c r="V155" s="107">
        <f t="shared" si="52"/>
        <v>0</v>
      </c>
      <c r="W155" s="107">
        <f t="shared" si="52"/>
        <v>0</v>
      </c>
      <c r="X155" s="107">
        <f t="shared" si="52"/>
        <v>0</v>
      </c>
      <c r="Y155" s="107">
        <f t="shared" si="52"/>
        <v>0</v>
      </c>
      <c r="Z155" s="107">
        <f t="shared" si="52"/>
        <v>0</v>
      </c>
      <c r="AA155" s="107">
        <f t="shared" si="52"/>
        <v>0</v>
      </c>
      <c r="AB155" s="107">
        <f t="shared" si="52"/>
        <v>0</v>
      </c>
      <c r="AC155" s="107">
        <f t="shared" si="52"/>
        <v>0</v>
      </c>
      <c r="AD155" s="107">
        <f t="shared" si="52"/>
        <v>0</v>
      </c>
      <c r="AE155" s="107">
        <f t="shared" si="52"/>
        <v>0</v>
      </c>
      <c r="AF155" s="107">
        <f t="shared" si="52"/>
        <v>0</v>
      </c>
      <c r="AG155" s="91">
        <f>SUM(F155:AF155)</f>
        <v>87132925.350000039</v>
      </c>
      <c r="AH155" s="28" t="str">
        <f>IF(ABS(E155-AG155)&lt;0.01,"ok","err")</f>
        <v>ok</v>
      </c>
      <c r="AI155" s="153">
        <f t="shared" si="25"/>
        <v>0</v>
      </c>
      <c r="AK155" s="41"/>
      <c r="AL155" s="211"/>
      <c r="AM155" s="24"/>
      <c r="AO155" s="211"/>
    </row>
    <row r="156" spans="1:41" x14ac:dyDescent="0.25">
      <c r="E156" s="200">
        <f>E155/$E155</f>
        <v>1</v>
      </c>
      <c r="F156" s="200">
        <f>F155/$E155</f>
        <v>0.52972855296214116</v>
      </c>
      <c r="G156" s="200">
        <f t="shared" ref="G156" si="53">G155/$E155</f>
        <v>6.7970315791392372E-2</v>
      </c>
      <c r="H156" s="200">
        <f t="shared" ref="H156" si="54">H155/$E155</f>
        <v>1.7253277083106443E-2</v>
      </c>
      <c r="I156" s="200">
        <f t="shared" ref="I156" si="55">I155/$E155</f>
        <v>0.20681640146485955</v>
      </c>
      <c r="J156" s="200">
        <f t="shared" ref="J156" si="56">J155/$E155</f>
        <v>0.14654139223158766</v>
      </c>
      <c r="K156" s="200">
        <f t="shared" ref="K156" si="57">K155/$E155</f>
        <v>2.2599510674732291E-2</v>
      </c>
      <c r="L156" s="200">
        <f t="shared" ref="L156" si="58">L155/$E155</f>
        <v>9.0905497921808208E-3</v>
      </c>
      <c r="M156" s="48">
        <f t="shared" ref="M156" si="59">M155/$E155</f>
        <v>0</v>
      </c>
    </row>
    <row r="158" spans="1:41" x14ac:dyDescent="0.25">
      <c r="A158" s="26" t="s">
        <v>182</v>
      </c>
    </row>
    <row r="160" spans="1:41" x14ac:dyDescent="0.25">
      <c r="A160" s="13" t="s">
        <v>893</v>
      </c>
    </row>
    <row r="161" spans="1:38" x14ac:dyDescent="0.25">
      <c r="A161" s="94" t="s">
        <v>208</v>
      </c>
      <c r="C161" s="14" t="s">
        <v>273</v>
      </c>
      <c r="D161" s="14" t="s">
        <v>657</v>
      </c>
      <c r="E161" s="42">
        <f>'Func &amp; Classif'!H465</f>
        <v>0</v>
      </c>
      <c r="F161" s="67">
        <f>IF(VLOOKUP($D161,$C$5:$AU$500,3,)=0,0,(VLOOKUP($D161,$C$5:$AU$500,4,)/VLOOKUP($D161,$C$5:$AU$500,3,))*$E161)</f>
        <v>0</v>
      </c>
      <c r="G161" s="67">
        <f>IF(VLOOKUP($D161,$C$5:$AU$500,3,)=0,0,(VLOOKUP($D161,$C$5:$AU$500,5,)/VLOOKUP($D161,$C$5:$AU$500,3,))*$E161)</f>
        <v>0</v>
      </c>
      <c r="H161" s="42">
        <f>IF(VLOOKUP($D161,$C$5:$AU$500,3,)=0,0,(VLOOKUP($D161,$C$5:$AU$500,6,)/VLOOKUP($D161,$C$5:$AU$500,3,))*$E161)</f>
        <v>0</v>
      </c>
      <c r="I161" s="42">
        <f>IF(VLOOKUP($D161,$C$5:$AU$500,3,)=0,0,(VLOOKUP($D161,$C$5:$AU$500,7,)/VLOOKUP($D161,$C$5:$AU$500,3,))*$E161)</f>
        <v>0</v>
      </c>
      <c r="J161" s="42">
        <f>IF(VLOOKUP($D161,$C$5:$AU$500,3,)=0,0,(VLOOKUP($D161,$C$5:$AU$500,8,)/VLOOKUP($D161,$C$5:$AU$500,3,))*$E161)</f>
        <v>0</v>
      </c>
      <c r="K161" s="42">
        <f>IF(VLOOKUP($D161,$C$5:$AU$500,3,)=0,0,(VLOOKUP($D161,$C$5:$AU$500,9,)/VLOOKUP($D161,$C$5:$AU$500,3,))*$E161)</f>
        <v>0</v>
      </c>
      <c r="L161" s="67">
        <f>IF(VLOOKUP($D161,$C$5:$AU$500,3,)=0,0,(VLOOKUP($D161,$C$5:$AU$500,10,)/VLOOKUP($D161,$C$5:$AU$500,3,))*$E161)</f>
        <v>0</v>
      </c>
      <c r="M161" s="42">
        <f>IF(VLOOKUP($D161,$C$5:$AU$500,3,)=0,0,(VLOOKUP($D161,$C$5:$AU$500,11,)/VLOOKUP($D161,$C$5:$AU$500,3,))*$E161)</f>
        <v>0</v>
      </c>
      <c r="N161" s="42">
        <f>IF(VLOOKUP($D161,$C$5:$AU$500,3,)=0,0,(VLOOKUP($D161,$C$5:$AU$500,12,)/VLOOKUP($D161,$C$5:$AU$500,3,))*$E161)</f>
        <v>0</v>
      </c>
      <c r="O161" s="42">
        <f>IF(VLOOKUP($D161,$C$5:$AU$500,3,)=0,0,(VLOOKUP($D161,$C$5:$AU$500,13,)/VLOOKUP($D161,$C$5:$AU$500,3,))*$E161)</f>
        <v>0</v>
      </c>
      <c r="P161" s="42">
        <f>IF(VLOOKUP($D161,$C$5:$AU$500,3,)=0,0,(VLOOKUP($D161,$C$5:$AU$500,14,)/VLOOKUP($D161,$C$5:$AU$500,3,))*$E161)</f>
        <v>0</v>
      </c>
      <c r="Q161" s="42">
        <f>IF(VLOOKUP($D161,$C$5:$AU$500,3,)=0,0,(VLOOKUP($D161,$C$5:$AU$500,15,)/VLOOKUP($D161,$C$5:$AU$500,3,))*$E161)</f>
        <v>0</v>
      </c>
      <c r="R161" s="42">
        <f>IF(VLOOKUP($D161,$C$5:$AU$500,3,)=0,0,(VLOOKUP($D161,$C$5:$AU$500,16,)/VLOOKUP($D161,$C$5:$AU$500,3,))*$E161)</f>
        <v>0</v>
      </c>
      <c r="S161" s="107">
        <f>IF(VLOOKUP($D161,$C$5:$AU$500,3,)=0,0,(VLOOKUP($D161,$C$5:$AU$500,17,)/VLOOKUP($D161,$C$5:$AU$500,3,))*$E161)</f>
        <v>0</v>
      </c>
      <c r="T161" s="107">
        <f>IF(VLOOKUP($D161,$C$5:$AU$500,3,)=0,0,(VLOOKUP($D161,$C$5:$AU$500,18,)/VLOOKUP($D161,$C$5:$AU$500,3,))*$E161)</f>
        <v>0</v>
      </c>
      <c r="U161" s="107">
        <f>IF(VLOOKUP($D161,$C$5:$AU$500,3,)=0,0,(VLOOKUP($D161,$C$5:$AU$500,19,)/VLOOKUP($D161,$C$5:$AU$500,3,))*$E161)</f>
        <v>0</v>
      </c>
      <c r="V161" s="107">
        <f>IF(VLOOKUP($D161,$C$5:$AU$500,3,)=0,0,(VLOOKUP($D161,$C$5:$AU$500,20,)/VLOOKUP($D161,$C$5:$AU$500,3,))*$E161)</f>
        <v>0</v>
      </c>
      <c r="W161" s="107">
        <f>IF(VLOOKUP($D161,$C$5:$AU$500,3,)=0,0,(VLOOKUP($D161,$C$5:$AU$500,21,)/VLOOKUP($D161,$C$5:$AU$500,3,))*$E161)</f>
        <v>0</v>
      </c>
      <c r="X161" s="107">
        <f>IF(VLOOKUP($D161,$C$5:$AU$500,3,)=0,0,(VLOOKUP($D161,$C$5:$AU$500,22,)/VLOOKUP($D161,$C$5:$AU$500,3,))*$E161)</f>
        <v>0</v>
      </c>
      <c r="Y161" s="107">
        <f>IF(VLOOKUP($D161,$C$5:$AU$500,3,)=0,0,(VLOOKUP($D161,$C$5:$AU$500,23,)/VLOOKUP($D161,$C$5:$AU$500,3,))*$E161)</f>
        <v>0</v>
      </c>
      <c r="Z161" s="107">
        <f>IF(VLOOKUP($D161,$C$5:$AU$500,3,)=0,0,(VLOOKUP($D161,$C$5:$AU$500,24,)/VLOOKUP($D161,$C$5:$AU$500,3,))*$E161)</f>
        <v>0</v>
      </c>
      <c r="AA161" s="107">
        <f>IF(VLOOKUP($D161,$C$5:$AU$500,3,)=0,0,(VLOOKUP($D161,$C$5:$AU$500,25,)/VLOOKUP($D161,$C$5:$AU$500,3,))*$E161)</f>
        <v>0</v>
      </c>
      <c r="AB161" s="107">
        <f>IF(VLOOKUP($D161,$C$5:$AU$500,3,)=0,0,(VLOOKUP($D161,$C$5:$AU$500,26,)/VLOOKUP($D161,$C$5:$AU$500,3,))*$E161)</f>
        <v>0</v>
      </c>
      <c r="AC161" s="107">
        <f>IF(VLOOKUP($D161,$C$5:$AU$500,3,)=0,0,(VLOOKUP($D161,$C$5:$AU$500,27,)/VLOOKUP($D161,$C$5:$AU$500,3,))*$E161)</f>
        <v>0</v>
      </c>
      <c r="AD161" s="107">
        <f>IF(VLOOKUP($D161,$C$5:$AU$500,3,)=0,0,(VLOOKUP($D161,$C$5:$AU$500,28,)/VLOOKUP($D161,$C$5:$AU$500,3,))*$E161)</f>
        <v>0</v>
      </c>
      <c r="AE161" s="107">
        <f>IF(VLOOKUP($D161,$C$5:$AU$500,3,)=0,0,(VLOOKUP($D161,$C$5:$AU$500,29,)/VLOOKUP($D161,$C$5:$AU$500,3,))*$E161)</f>
        <v>0</v>
      </c>
      <c r="AF161" s="107">
        <f>IF(VLOOKUP($D161,$C$5:$AU$500,3,)=0,0,(VLOOKUP($D161,$C$5:$AU$500,30,)/VLOOKUP($D161,$C$5:$AU$500,3,))*$E161)</f>
        <v>0</v>
      </c>
      <c r="AG161" s="91">
        <f>SUM(F161:AF161)</f>
        <v>0</v>
      </c>
      <c r="AH161" s="28" t="str">
        <f>IF(ABS(E161-AG161)&lt;0.01,"ok","err")</f>
        <v>ok</v>
      </c>
    </row>
    <row r="162" spans="1:38" x14ac:dyDescent="0.25">
      <c r="A162" s="94" t="s">
        <v>211</v>
      </c>
      <c r="C162" s="14" t="s">
        <v>274</v>
      </c>
      <c r="D162" s="14" t="s">
        <v>666</v>
      </c>
      <c r="E162" s="23">
        <f>'Func &amp; Classif'!I465</f>
        <v>0</v>
      </c>
      <c r="F162" s="67">
        <f>IF(VLOOKUP($D162,$C$5:$AU$500,3,)=0,0,(VLOOKUP($D162,$C$5:$AU$500,4,)/VLOOKUP($D162,$C$5:$AU$500,3,))*$E162)</f>
        <v>0</v>
      </c>
      <c r="G162" s="67">
        <f>IF(VLOOKUP($D162,$C$5:$AU$500,3,)=0,0,(VLOOKUP($D162,$C$5:$AU$500,5,)/VLOOKUP($D162,$C$5:$AU$500,3,))*$E162)</f>
        <v>0</v>
      </c>
      <c r="H162" s="42">
        <f>IF(VLOOKUP($D162,$C$5:$AU$500,3,)=0,0,(VLOOKUP($D162,$C$5:$AU$500,6,)/VLOOKUP($D162,$C$5:$AU$500,3,))*$E162)</f>
        <v>0</v>
      </c>
      <c r="I162" s="42">
        <f>IF(VLOOKUP($D162,$C$5:$AU$500,3,)=0,0,(VLOOKUP($D162,$C$5:$AU$500,7,)/VLOOKUP($D162,$C$5:$AU$500,3,))*$E162)</f>
        <v>0</v>
      </c>
      <c r="J162" s="42">
        <f>IF(VLOOKUP($D162,$C$5:$AU$500,3,)=0,0,(VLOOKUP($D162,$C$5:$AU$500,8,)/VLOOKUP($D162,$C$5:$AU$500,3,))*$E162)</f>
        <v>0</v>
      </c>
      <c r="K162" s="42">
        <f>IF(VLOOKUP($D162,$C$5:$AU$500,3,)=0,0,(VLOOKUP($D162,$C$5:$AU$500,9,)/VLOOKUP($D162,$C$5:$AU$500,3,))*$E162)</f>
        <v>0</v>
      </c>
      <c r="L162" s="67">
        <f>IF(VLOOKUP($D162,$C$5:$AU$500,3,)=0,0,(VLOOKUP($D162,$C$5:$AU$500,10,)/VLOOKUP($D162,$C$5:$AU$500,3,))*$E162)</f>
        <v>0</v>
      </c>
      <c r="M162" s="42">
        <f>IF(VLOOKUP($D162,$C$5:$AU$500,3,)=0,0,(VLOOKUP($D162,$C$5:$AU$500,11,)/VLOOKUP($D162,$C$5:$AU$500,3,))*$E162)</f>
        <v>0</v>
      </c>
      <c r="N162" s="42">
        <f>IF(VLOOKUP($D162,$C$5:$AU$500,3,)=0,0,(VLOOKUP($D162,$C$5:$AU$500,12,)/VLOOKUP($D162,$C$5:$AU$500,3,))*$E162)</f>
        <v>0</v>
      </c>
      <c r="O162" s="42">
        <f>IF(VLOOKUP($D162,$C$5:$AU$500,3,)=0,0,(VLOOKUP($D162,$C$5:$AU$500,13,)/VLOOKUP($D162,$C$5:$AU$500,3,))*$E162)</f>
        <v>0</v>
      </c>
      <c r="P162" s="42">
        <f>IF(VLOOKUP($D162,$C$5:$AU$500,3,)=0,0,(VLOOKUP($D162,$C$5:$AU$500,14,)/VLOOKUP($D162,$C$5:$AU$500,3,))*$E162)</f>
        <v>0</v>
      </c>
      <c r="Q162" s="42">
        <f>IF(VLOOKUP($D162,$C$5:$AU$500,3,)=0,0,(VLOOKUP($D162,$C$5:$AU$500,15,)/VLOOKUP($D162,$C$5:$AU$500,3,))*$E162)</f>
        <v>0</v>
      </c>
      <c r="R162" s="42">
        <f>IF(VLOOKUP($D162,$C$5:$AU$500,3,)=0,0,(VLOOKUP($D162,$C$5:$AU$500,16,)/VLOOKUP($D162,$C$5:$AU$500,3,))*$E162)</f>
        <v>0</v>
      </c>
      <c r="S162" s="107">
        <f>IF(VLOOKUP($D162,$C$5:$AU$500,3,)=0,0,(VLOOKUP($D162,$C$5:$AU$500,17,)/VLOOKUP($D162,$C$5:$AU$500,3,))*$E162)</f>
        <v>0</v>
      </c>
      <c r="T162" s="107">
        <f>IF(VLOOKUP($D162,$C$5:$AU$500,3,)=0,0,(VLOOKUP($D162,$C$5:$AU$500,18,)/VLOOKUP($D162,$C$5:$AU$500,3,))*$E162)</f>
        <v>0</v>
      </c>
      <c r="U162" s="107">
        <f>IF(VLOOKUP($D162,$C$5:$AU$500,3,)=0,0,(VLOOKUP($D162,$C$5:$AU$500,19,)/VLOOKUP($D162,$C$5:$AU$500,3,))*$E162)</f>
        <v>0</v>
      </c>
      <c r="V162" s="107">
        <f>IF(VLOOKUP($D162,$C$5:$AU$500,3,)=0,0,(VLOOKUP($D162,$C$5:$AU$500,20,)/VLOOKUP($D162,$C$5:$AU$500,3,))*$E162)</f>
        <v>0</v>
      </c>
      <c r="W162" s="107">
        <f>IF(VLOOKUP($D162,$C$5:$AU$500,3,)=0,0,(VLOOKUP($D162,$C$5:$AU$500,21,)/VLOOKUP($D162,$C$5:$AU$500,3,))*$E162)</f>
        <v>0</v>
      </c>
      <c r="X162" s="107">
        <f>IF(VLOOKUP($D162,$C$5:$AU$500,3,)=0,0,(VLOOKUP($D162,$C$5:$AU$500,22,)/VLOOKUP($D162,$C$5:$AU$500,3,))*$E162)</f>
        <v>0</v>
      </c>
      <c r="Y162" s="107">
        <f>IF(VLOOKUP($D162,$C$5:$AU$500,3,)=0,0,(VLOOKUP($D162,$C$5:$AU$500,23,)/VLOOKUP($D162,$C$5:$AU$500,3,))*$E162)</f>
        <v>0</v>
      </c>
      <c r="Z162" s="107">
        <f>IF(VLOOKUP($D162,$C$5:$AU$500,3,)=0,0,(VLOOKUP($D162,$C$5:$AU$500,24,)/VLOOKUP($D162,$C$5:$AU$500,3,))*$E162)</f>
        <v>0</v>
      </c>
      <c r="AA162" s="107">
        <f>IF(VLOOKUP($D162,$C$5:$AU$500,3,)=0,0,(VLOOKUP($D162,$C$5:$AU$500,25,)/VLOOKUP($D162,$C$5:$AU$500,3,))*$E162)</f>
        <v>0</v>
      </c>
      <c r="AB162" s="107">
        <f>IF(VLOOKUP($D162,$C$5:$AU$500,3,)=0,0,(VLOOKUP($D162,$C$5:$AU$500,26,)/VLOOKUP($D162,$C$5:$AU$500,3,))*$E162)</f>
        <v>0</v>
      </c>
      <c r="AC162" s="107">
        <f>IF(VLOOKUP($D162,$C$5:$AU$500,3,)=0,0,(VLOOKUP($D162,$C$5:$AU$500,27,)/VLOOKUP($D162,$C$5:$AU$500,3,))*$E162)</f>
        <v>0</v>
      </c>
      <c r="AD162" s="107">
        <f>IF(VLOOKUP($D162,$C$5:$AU$500,3,)=0,0,(VLOOKUP($D162,$C$5:$AU$500,28,)/VLOOKUP($D162,$C$5:$AU$500,3,))*$E162)</f>
        <v>0</v>
      </c>
      <c r="AE162" s="107">
        <f>IF(VLOOKUP($D162,$C$5:$AU$500,3,)=0,0,(VLOOKUP($D162,$C$5:$AU$500,29,)/VLOOKUP($D162,$C$5:$AU$500,3,))*$E162)</f>
        <v>0</v>
      </c>
      <c r="AF162" s="107">
        <f>IF(VLOOKUP($D162,$C$5:$AU$500,3,)=0,0,(VLOOKUP($D162,$C$5:$AU$500,30,)/VLOOKUP($D162,$C$5:$AU$500,3,))*$E162)</f>
        <v>0</v>
      </c>
      <c r="AG162" s="91">
        <f>SUM(F162:AF162)</f>
        <v>0</v>
      </c>
      <c r="AH162" s="28" t="str">
        <f>IF(ABS(E162-AG162)&lt;0.01,"ok","err")</f>
        <v>ok</v>
      </c>
    </row>
    <row r="163" spans="1:38" x14ac:dyDescent="0.25">
      <c r="A163" s="14" t="s">
        <v>214</v>
      </c>
      <c r="C163" s="14" t="s">
        <v>275</v>
      </c>
      <c r="E163" s="23">
        <f t="shared" ref="E163:T163" si="60">E161+E162</f>
        <v>0</v>
      </c>
      <c r="F163" s="67">
        <f t="shared" si="60"/>
        <v>0</v>
      </c>
      <c r="G163" s="67">
        <f t="shared" si="60"/>
        <v>0</v>
      </c>
      <c r="H163" s="42">
        <f t="shared" si="60"/>
        <v>0</v>
      </c>
      <c r="I163" s="42">
        <f t="shared" si="60"/>
        <v>0</v>
      </c>
      <c r="J163" s="42">
        <f t="shared" si="60"/>
        <v>0</v>
      </c>
      <c r="K163" s="42">
        <f t="shared" si="60"/>
        <v>0</v>
      </c>
      <c r="L163" s="67">
        <f t="shared" si="60"/>
        <v>0</v>
      </c>
      <c r="M163" s="42">
        <f t="shared" si="60"/>
        <v>0</v>
      </c>
      <c r="N163" s="42">
        <f t="shared" si="60"/>
        <v>0</v>
      </c>
      <c r="O163" s="42">
        <f t="shared" si="60"/>
        <v>0</v>
      </c>
      <c r="P163" s="42">
        <f t="shared" si="60"/>
        <v>0</v>
      </c>
      <c r="Q163" s="42">
        <f t="shared" si="60"/>
        <v>0</v>
      </c>
      <c r="R163" s="42">
        <f t="shared" si="60"/>
        <v>0</v>
      </c>
      <c r="S163" s="107">
        <f t="shared" si="60"/>
        <v>0</v>
      </c>
      <c r="T163" s="107">
        <f t="shared" si="60"/>
        <v>0</v>
      </c>
      <c r="U163" s="107">
        <f t="shared" ref="U163:AF163" si="61">U161+U162</f>
        <v>0</v>
      </c>
      <c r="V163" s="107">
        <f t="shared" si="61"/>
        <v>0</v>
      </c>
      <c r="W163" s="107">
        <f t="shared" si="61"/>
        <v>0</v>
      </c>
      <c r="X163" s="107">
        <f t="shared" si="61"/>
        <v>0</v>
      </c>
      <c r="Y163" s="107">
        <f t="shared" si="61"/>
        <v>0</v>
      </c>
      <c r="Z163" s="107">
        <f t="shared" si="61"/>
        <v>0</v>
      </c>
      <c r="AA163" s="107">
        <f t="shared" si="61"/>
        <v>0</v>
      </c>
      <c r="AB163" s="107">
        <f t="shared" si="61"/>
        <v>0</v>
      </c>
      <c r="AC163" s="107">
        <f t="shared" si="61"/>
        <v>0</v>
      </c>
      <c r="AD163" s="107">
        <f t="shared" si="61"/>
        <v>0</v>
      </c>
      <c r="AE163" s="107">
        <f t="shared" si="61"/>
        <v>0</v>
      </c>
      <c r="AF163" s="107">
        <f t="shared" si="61"/>
        <v>0</v>
      </c>
      <c r="AG163" s="91">
        <f>SUM(F163:AF163)</f>
        <v>0</v>
      </c>
      <c r="AH163" s="28" t="str">
        <f>IF(ABS(E163-AG163)&lt;0.01,"ok","err")</f>
        <v>ok</v>
      </c>
    </row>
    <row r="164" spans="1:38" x14ac:dyDescent="0.25">
      <c r="E164" s="23"/>
      <c r="F164" s="50"/>
    </row>
    <row r="165" spans="1:38" x14ac:dyDescent="0.25">
      <c r="A165" s="13" t="s">
        <v>349</v>
      </c>
      <c r="E165" s="23"/>
      <c r="F165" s="50"/>
    </row>
    <row r="166" spans="1:38" x14ac:dyDescent="0.25">
      <c r="A166" s="94" t="s">
        <v>208</v>
      </c>
      <c r="C166" s="14" t="s">
        <v>886</v>
      </c>
      <c r="D166" s="14" t="s">
        <v>625</v>
      </c>
      <c r="E166" s="42">
        <f>'Func &amp; Classif'!K465</f>
        <v>0</v>
      </c>
      <c r="F166" s="67">
        <f>IF(VLOOKUP($D166,$C$5:$AU$500,3,)=0,0,(VLOOKUP($D166,$C$5:$AU$500,4,)/VLOOKUP($D166,$C$5:$AU$500,3,))*$E166)</f>
        <v>0</v>
      </c>
      <c r="G166" s="67">
        <f>IF(VLOOKUP($D166,$C$5:$AU$500,3,)=0,0,(VLOOKUP($D166,$C$5:$AU$500,5,)/VLOOKUP($D166,$C$5:$AU$500,3,))*$E166)</f>
        <v>0</v>
      </c>
      <c r="H166" s="42">
        <f>IF(VLOOKUP($D166,$C$5:$AU$500,3,)=0,0,(VLOOKUP($D166,$C$5:$AU$500,6,)/VLOOKUP($D166,$C$5:$AU$500,3,))*$E166)</f>
        <v>0</v>
      </c>
      <c r="I166" s="42">
        <f>IF(VLOOKUP($D166,$C$5:$AU$500,3,)=0,0,(VLOOKUP($D166,$C$5:$AU$500,7,)/VLOOKUP($D166,$C$5:$AU$500,3,))*$E166)</f>
        <v>0</v>
      </c>
      <c r="J166" s="42">
        <f>IF(VLOOKUP($D166,$C$5:$AU$500,3,)=0,0,(VLOOKUP($D166,$C$5:$AU$500,8,)/VLOOKUP($D166,$C$5:$AU$500,3,))*$E166)</f>
        <v>0</v>
      </c>
      <c r="K166" s="42">
        <f>IF(VLOOKUP($D166,$C$5:$AU$500,3,)=0,0,(VLOOKUP($D166,$C$5:$AU$500,9,)/VLOOKUP($D166,$C$5:$AU$500,3,))*$E166)</f>
        <v>0</v>
      </c>
      <c r="L166" s="67">
        <f>IF(VLOOKUP($D166,$C$5:$AU$500,3,)=0,0,(VLOOKUP($D166,$C$5:$AU$500,10,)/VLOOKUP($D166,$C$5:$AU$500,3,))*$E166)</f>
        <v>0</v>
      </c>
      <c r="M166" s="42">
        <f>IF(VLOOKUP($D166,$C$5:$AU$500,3,)=0,0,(VLOOKUP($D166,$C$5:$AU$500,11,)/VLOOKUP($D166,$C$5:$AU$500,3,))*$E166)</f>
        <v>0</v>
      </c>
      <c r="N166" s="42">
        <f>IF(VLOOKUP($D166,$C$5:$AU$500,3,)=0,0,(VLOOKUP($D166,$C$5:$AU$500,12,)/VLOOKUP($D166,$C$5:$AU$500,3,))*$E166)</f>
        <v>0</v>
      </c>
      <c r="O166" s="42">
        <f>IF(VLOOKUP($D166,$C$5:$AU$500,3,)=0,0,(VLOOKUP($D166,$C$5:$AU$500,13,)/VLOOKUP($D166,$C$5:$AU$500,3,))*$E166)</f>
        <v>0</v>
      </c>
      <c r="P166" s="42">
        <f>IF(VLOOKUP($D166,$C$5:$AU$500,3,)=0,0,(VLOOKUP($D166,$C$5:$AU$500,14,)/VLOOKUP($D166,$C$5:$AU$500,3,))*$E166)</f>
        <v>0</v>
      </c>
      <c r="Q166" s="42">
        <f>IF(VLOOKUP($D166,$C$5:$AU$500,3,)=0,0,(VLOOKUP($D166,$C$5:$AU$500,15,)/VLOOKUP($D166,$C$5:$AU$500,3,))*$E166)</f>
        <v>0</v>
      </c>
      <c r="R166" s="42">
        <f>IF(VLOOKUP($D166,$C$5:$AU$500,3,)=0,0,(VLOOKUP($D166,$C$5:$AU$500,16,)/VLOOKUP($D166,$C$5:$AU$500,3,))*$E166)</f>
        <v>0</v>
      </c>
      <c r="S166" s="107">
        <f>IF(VLOOKUP($D166,$C$5:$AU$500,3,)=0,0,(VLOOKUP($D166,$C$5:$AU$500,17,)/VLOOKUP($D166,$C$5:$AU$500,3,))*$E166)</f>
        <v>0</v>
      </c>
      <c r="T166" s="107">
        <f>IF(VLOOKUP($D166,$C$5:$AU$500,3,)=0,0,(VLOOKUP($D166,$C$5:$AU$500,18,)/VLOOKUP($D166,$C$5:$AU$500,3,))*$E166)</f>
        <v>0</v>
      </c>
      <c r="U166" s="107">
        <f>IF(VLOOKUP($D166,$C$5:$AU$500,3,)=0,0,(VLOOKUP($D166,$C$5:$AU$500,19,)/VLOOKUP($D166,$C$5:$AU$500,3,))*$E166)</f>
        <v>0</v>
      </c>
      <c r="V166" s="107">
        <f>IF(VLOOKUP($D166,$C$5:$AU$500,3,)=0,0,(VLOOKUP($D166,$C$5:$AU$500,20,)/VLOOKUP($D166,$C$5:$AU$500,3,))*$E166)</f>
        <v>0</v>
      </c>
      <c r="W166" s="107">
        <f>IF(VLOOKUP($D166,$C$5:$AU$500,3,)=0,0,(VLOOKUP($D166,$C$5:$AU$500,21,)/VLOOKUP($D166,$C$5:$AU$500,3,))*$E166)</f>
        <v>0</v>
      </c>
      <c r="X166" s="107">
        <f>IF(VLOOKUP($D166,$C$5:$AU$500,3,)=0,0,(VLOOKUP($D166,$C$5:$AU$500,22,)/VLOOKUP($D166,$C$5:$AU$500,3,))*$E166)</f>
        <v>0</v>
      </c>
      <c r="Y166" s="107">
        <f>IF(VLOOKUP($D166,$C$5:$AU$500,3,)=0,0,(VLOOKUP($D166,$C$5:$AU$500,23,)/VLOOKUP($D166,$C$5:$AU$500,3,))*$E166)</f>
        <v>0</v>
      </c>
      <c r="Z166" s="107">
        <f>IF(VLOOKUP($D166,$C$5:$AU$500,3,)=0,0,(VLOOKUP($D166,$C$5:$AU$500,24,)/VLOOKUP($D166,$C$5:$AU$500,3,))*$E166)</f>
        <v>0</v>
      </c>
      <c r="AA166" s="107">
        <f>IF(VLOOKUP($D166,$C$5:$AU$500,3,)=0,0,(VLOOKUP($D166,$C$5:$AU$500,25,)/VLOOKUP($D166,$C$5:$AU$500,3,))*$E166)</f>
        <v>0</v>
      </c>
      <c r="AB166" s="107">
        <f>IF(VLOOKUP($D166,$C$5:$AU$500,3,)=0,0,(VLOOKUP($D166,$C$5:$AU$500,26,)/VLOOKUP($D166,$C$5:$AU$500,3,))*$E166)</f>
        <v>0</v>
      </c>
      <c r="AC166" s="107">
        <f>IF(VLOOKUP($D166,$C$5:$AU$500,3,)=0,0,(VLOOKUP($D166,$C$5:$AU$500,27,)/VLOOKUP($D166,$C$5:$AU$500,3,))*$E166)</f>
        <v>0</v>
      </c>
      <c r="AD166" s="107">
        <f>IF(VLOOKUP($D166,$C$5:$AU$500,3,)=0,0,(VLOOKUP($D166,$C$5:$AU$500,28,)/VLOOKUP($D166,$C$5:$AU$500,3,))*$E166)</f>
        <v>0</v>
      </c>
      <c r="AE166" s="107">
        <f>IF(VLOOKUP($D166,$C$5:$AU$500,3,)=0,0,(VLOOKUP($D166,$C$5:$AU$500,29,)/VLOOKUP($D166,$C$5:$AU$500,3,))*$E166)</f>
        <v>0</v>
      </c>
      <c r="AF166" s="107">
        <f>IF(VLOOKUP($D166,$C$5:$AU$500,3,)=0,0,(VLOOKUP($D166,$C$5:$AU$500,30,)/VLOOKUP($D166,$C$5:$AU$500,3,))*$E166)</f>
        <v>0</v>
      </c>
      <c r="AG166" s="91">
        <f>SUM(F166:AF166)</f>
        <v>0</v>
      </c>
      <c r="AH166" s="28" t="str">
        <f>IF(ABS(E166-AG166)&lt;0.01,"ok","err")</f>
        <v>ok</v>
      </c>
    </row>
    <row r="167" spans="1:38" x14ac:dyDescent="0.25">
      <c r="E167" s="23"/>
    </row>
    <row r="168" spans="1:38" x14ac:dyDescent="0.25">
      <c r="A168" s="13" t="s">
        <v>1</v>
      </c>
      <c r="E168" s="23"/>
      <c r="F168" s="50"/>
    </row>
    <row r="169" spans="1:38" x14ac:dyDescent="0.25">
      <c r="A169" s="94" t="s">
        <v>208</v>
      </c>
      <c r="C169" s="14" t="s">
        <v>276</v>
      </c>
      <c r="D169" s="14" t="s">
        <v>632</v>
      </c>
      <c r="E169" s="42">
        <f>'Func &amp; Classif'!M465</f>
        <v>406099.13618978264</v>
      </c>
      <c r="F169" s="67">
        <f>IF(VLOOKUP($D169,$C$5:$AU$500,3,)=0,0,(VLOOKUP($D169,$C$5:$AU$500,4,)/VLOOKUP($D169,$C$5:$AU$500,3,))*$E169)</f>
        <v>255508.43310447384</v>
      </c>
      <c r="G169" s="67">
        <f>IF(VLOOKUP($D169,$C$5:$AU$500,3,)=0,0,(VLOOKUP($D169,$C$5:$AU$500,5,)/VLOOKUP($D169,$C$5:$AU$500,3,))*$E169)</f>
        <v>24998.475901027934</v>
      </c>
      <c r="H169" s="42">
        <f>IF(VLOOKUP($D169,$C$5:$AU$500,3,)=0,0,(VLOOKUP($D169,$C$5:$AU$500,6,)/VLOOKUP($D169,$C$5:$AU$500,3,))*$E169)</f>
        <v>7108.7799123880186</v>
      </c>
      <c r="I169" s="42">
        <f>IF(VLOOKUP($D169,$C$5:$AU$500,3,)=0,0,(VLOOKUP($D169,$C$5:$AU$500,7,)/VLOOKUP($D169,$C$5:$AU$500,3,))*$E169)</f>
        <v>102792.06745119041</v>
      </c>
      <c r="J169" s="42">
        <f>IF(VLOOKUP($D169,$C$5:$AU$500,3,)=0,0,(VLOOKUP($D169,$C$5:$AU$500,8,)/VLOOKUP($D169,$C$5:$AU$500,3,))*$E169)</f>
        <v>0</v>
      </c>
      <c r="K169" s="42">
        <f>IF(VLOOKUP($D169,$C$5:$AU$500,3,)=0,0,(VLOOKUP($D169,$C$5:$AU$500,9,)/VLOOKUP($D169,$C$5:$AU$500,3,))*$E169)</f>
        <v>12969.235452540102</v>
      </c>
      <c r="L169" s="67">
        <f>IF(VLOOKUP($D169,$C$5:$AU$500,3,)=0,0,(VLOOKUP($D169,$C$5:$AU$500,10,)/VLOOKUP($D169,$C$5:$AU$500,3,))*$E169)</f>
        <v>2722.1443681623587</v>
      </c>
      <c r="M169" s="42">
        <f>IF(VLOOKUP($D169,$C$5:$AU$500,3,)=0,0,(VLOOKUP($D169,$C$5:$AU$500,11,)/VLOOKUP($D169,$C$5:$AU$500,3,))*$E169)</f>
        <v>0</v>
      </c>
      <c r="N169" s="42">
        <f>IF(VLOOKUP($D169,$C$5:$AU$500,3,)=0,0,(VLOOKUP($D169,$C$5:$AU$500,12,)/VLOOKUP($D169,$C$5:$AU$500,3,))*$E169)</f>
        <v>0</v>
      </c>
      <c r="O169" s="42">
        <f>IF(VLOOKUP($D169,$C$5:$AU$500,3,)=0,0,(VLOOKUP($D169,$C$5:$AU$500,13,)/VLOOKUP($D169,$C$5:$AU$500,3,))*$E169)</f>
        <v>0</v>
      </c>
      <c r="P169" s="42">
        <f>IF(VLOOKUP($D169,$C$5:$AU$500,3,)=0,0,(VLOOKUP($D169,$C$5:$AU$500,14,)/VLOOKUP($D169,$C$5:$AU$500,3,))*$E169)</f>
        <v>0</v>
      </c>
      <c r="Q169" s="42">
        <f>IF(VLOOKUP($D169,$C$5:$AU$500,3,)=0,0,(VLOOKUP($D169,$C$5:$AU$500,15,)/VLOOKUP($D169,$C$5:$AU$500,3,))*$E169)</f>
        <v>0</v>
      </c>
      <c r="R169" s="42">
        <f>IF(VLOOKUP($D169,$C$5:$AU$500,3,)=0,0,(VLOOKUP($D169,$C$5:$AU$500,16,)/VLOOKUP($D169,$C$5:$AU$500,3,))*$E169)</f>
        <v>0</v>
      </c>
      <c r="S169" s="107">
        <f>IF(VLOOKUP($D169,$C$5:$AU$500,3,)=0,0,(VLOOKUP($D169,$C$5:$AU$500,17,)/VLOOKUP($D169,$C$5:$AU$500,3,))*$E169)</f>
        <v>0</v>
      </c>
      <c r="T169" s="107">
        <f>IF(VLOOKUP($D169,$C$5:$AU$500,3,)=0,0,(VLOOKUP($D169,$C$5:$AU$500,18,)/VLOOKUP($D169,$C$5:$AU$500,3,))*$E169)</f>
        <v>0</v>
      </c>
      <c r="U169" s="107">
        <f>IF(VLOOKUP($D169,$C$5:$AU$500,3,)=0,0,(VLOOKUP($D169,$C$5:$AU$500,19,)/VLOOKUP($D169,$C$5:$AU$500,3,))*$E169)</f>
        <v>0</v>
      </c>
      <c r="V169" s="107">
        <f>IF(VLOOKUP($D169,$C$5:$AU$500,3,)=0,0,(VLOOKUP($D169,$C$5:$AU$500,20,)/VLOOKUP($D169,$C$5:$AU$500,3,))*$E169)</f>
        <v>0</v>
      </c>
      <c r="W169" s="107">
        <f>IF(VLOOKUP($D169,$C$5:$AU$500,3,)=0,0,(VLOOKUP($D169,$C$5:$AU$500,21,)/VLOOKUP($D169,$C$5:$AU$500,3,))*$E169)</f>
        <v>0</v>
      </c>
      <c r="X169" s="107">
        <f>IF(VLOOKUP($D169,$C$5:$AU$500,3,)=0,0,(VLOOKUP($D169,$C$5:$AU$500,22,)/VLOOKUP($D169,$C$5:$AU$500,3,))*$E169)</f>
        <v>0</v>
      </c>
      <c r="Y169" s="107">
        <f>IF(VLOOKUP($D169,$C$5:$AU$500,3,)=0,0,(VLOOKUP($D169,$C$5:$AU$500,23,)/VLOOKUP($D169,$C$5:$AU$500,3,))*$E169)</f>
        <v>0</v>
      </c>
      <c r="Z169" s="107">
        <f>IF(VLOOKUP($D169,$C$5:$AU$500,3,)=0,0,(VLOOKUP($D169,$C$5:$AU$500,24,)/VLOOKUP($D169,$C$5:$AU$500,3,))*$E169)</f>
        <v>0</v>
      </c>
      <c r="AA169" s="107">
        <f>IF(VLOOKUP($D169,$C$5:$AU$500,3,)=0,0,(VLOOKUP($D169,$C$5:$AU$500,25,)/VLOOKUP($D169,$C$5:$AU$500,3,))*$E169)</f>
        <v>0</v>
      </c>
      <c r="AB169" s="107">
        <f>IF(VLOOKUP($D169,$C$5:$AU$500,3,)=0,0,(VLOOKUP($D169,$C$5:$AU$500,26,)/VLOOKUP($D169,$C$5:$AU$500,3,))*$E169)</f>
        <v>0</v>
      </c>
      <c r="AC169" s="107">
        <f>IF(VLOOKUP($D169,$C$5:$AU$500,3,)=0,0,(VLOOKUP($D169,$C$5:$AU$500,27,)/VLOOKUP($D169,$C$5:$AU$500,3,))*$E169)</f>
        <v>0</v>
      </c>
      <c r="AD169" s="107">
        <f>IF(VLOOKUP($D169,$C$5:$AU$500,3,)=0,0,(VLOOKUP($D169,$C$5:$AU$500,28,)/VLOOKUP($D169,$C$5:$AU$500,3,))*$E169)</f>
        <v>0</v>
      </c>
      <c r="AE169" s="107">
        <f>IF(VLOOKUP($D169,$C$5:$AU$500,3,)=0,0,(VLOOKUP($D169,$C$5:$AU$500,29,)/VLOOKUP($D169,$C$5:$AU$500,3,))*$E169)</f>
        <v>0</v>
      </c>
      <c r="AF169" s="107">
        <f>IF(VLOOKUP($D169,$C$5:$AU$500,3,)=0,0,(VLOOKUP($D169,$C$5:$AU$500,30,)/VLOOKUP($D169,$C$5:$AU$500,3,))*$E169)</f>
        <v>0</v>
      </c>
      <c r="AG169" s="91">
        <f>SUM(F169:AF169)</f>
        <v>406099.13618978264</v>
      </c>
      <c r="AH169" s="28" t="str">
        <f>IF(ABS(E169-AG169)&lt;0.01,"ok","err")</f>
        <v>ok</v>
      </c>
    </row>
    <row r="170" spans="1:38" x14ac:dyDescent="0.25">
      <c r="E170" s="23"/>
    </row>
    <row r="171" spans="1:38" x14ac:dyDescent="0.25">
      <c r="A171" s="13" t="s">
        <v>2</v>
      </c>
      <c r="E171" s="23"/>
    </row>
    <row r="172" spans="1:38" x14ac:dyDescent="0.25">
      <c r="A172" s="94" t="s">
        <v>208</v>
      </c>
      <c r="C172" s="14" t="s">
        <v>277</v>
      </c>
      <c r="D172" s="14" t="s">
        <v>629</v>
      </c>
      <c r="E172" s="42">
        <f>'Func &amp; Classif'!O465</f>
        <v>1087208.4304196171</v>
      </c>
      <c r="F172" s="67">
        <f>IF(VLOOKUP($D172,$C$5:$AU$500,3,)=0,0,(VLOOKUP($D172,$C$5:$AU$500,4,)/VLOOKUP($D172,$C$5:$AU$500,3,))*$E172)</f>
        <v>683332.11698458227</v>
      </c>
      <c r="G172" s="67">
        <f>IF(VLOOKUP($D172,$C$5:$AU$500,3,)=0,0,(VLOOKUP($D172,$C$5:$AU$500,5,)/VLOOKUP($D172,$C$5:$AU$500,3,))*$E172)</f>
        <v>17567.578775903658</v>
      </c>
      <c r="H172" s="42">
        <f>IF(VLOOKUP($D172,$C$5:$AU$500,3,)=0,0,(VLOOKUP($D172,$C$5:$AU$500,6,)/VLOOKUP($D172,$C$5:$AU$500,3,))*$E172)</f>
        <v>28116.322845223061</v>
      </c>
      <c r="I172" s="42">
        <f>IF(VLOOKUP($D172,$C$5:$AU$500,3,)=0,0,(VLOOKUP($D172,$C$5:$AU$500,7,)/VLOOKUP($D172,$C$5:$AU$500,3,))*$E172)</f>
        <v>318193.26801074366</v>
      </c>
      <c r="J172" s="42">
        <f>IF(VLOOKUP($D172,$C$5:$AU$500,3,)=0,0,(VLOOKUP($D172,$C$5:$AU$500,8,)/VLOOKUP($D172,$C$5:$AU$500,3,))*$E172)</f>
        <v>0</v>
      </c>
      <c r="K172" s="42">
        <f>IF(VLOOKUP($D172,$C$5:$AU$500,3,)=0,0,(VLOOKUP($D172,$C$5:$AU$500,9,)/VLOOKUP($D172,$C$5:$AU$500,3,))*$E172)</f>
        <v>35219.468408129949</v>
      </c>
      <c r="L172" s="67">
        <f>IF(VLOOKUP($D172,$C$5:$AU$500,3,)=0,0,(VLOOKUP($D172,$C$5:$AU$500,10,)/VLOOKUP($D172,$C$5:$AU$500,3,))*$E172)</f>
        <v>4779.6753950344173</v>
      </c>
      <c r="M172" s="42">
        <f>IF(VLOOKUP($D172,$C$5:$AU$500,3,)=0,0,(VLOOKUP($D172,$C$5:$AU$500,11,)/VLOOKUP($D172,$C$5:$AU$500,3,))*$E172)</f>
        <v>0</v>
      </c>
      <c r="N172" s="42">
        <f>IF(VLOOKUP($D172,$C$5:$AU$500,3,)=0,0,(VLOOKUP($D172,$C$5:$AU$500,12,)/VLOOKUP($D172,$C$5:$AU$500,3,))*$E172)</f>
        <v>0</v>
      </c>
      <c r="O172" s="42">
        <f>IF(VLOOKUP($D172,$C$5:$AU$500,3,)=0,0,(VLOOKUP($D172,$C$5:$AU$500,13,)/VLOOKUP($D172,$C$5:$AU$500,3,))*$E172)</f>
        <v>0</v>
      </c>
      <c r="P172" s="42">
        <f>IF(VLOOKUP($D172,$C$5:$AU$500,3,)=0,0,(VLOOKUP($D172,$C$5:$AU$500,14,)/VLOOKUP($D172,$C$5:$AU$500,3,))*$E172)</f>
        <v>0</v>
      </c>
      <c r="Q172" s="42">
        <f>IF(VLOOKUP($D172,$C$5:$AU$500,3,)=0,0,(VLOOKUP($D172,$C$5:$AU$500,15,)/VLOOKUP($D172,$C$5:$AU$500,3,))*$E172)</f>
        <v>0</v>
      </c>
      <c r="R172" s="42">
        <f>IF(VLOOKUP($D172,$C$5:$AU$500,3,)=0,0,(VLOOKUP($D172,$C$5:$AU$500,16,)/VLOOKUP($D172,$C$5:$AU$500,3,))*$E172)</f>
        <v>0</v>
      </c>
      <c r="S172" s="107">
        <f>IF(VLOOKUP($D172,$C$5:$AU$500,3,)=0,0,(VLOOKUP($D172,$C$5:$AU$500,17,)/VLOOKUP($D172,$C$5:$AU$500,3,))*$E172)</f>
        <v>0</v>
      </c>
      <c r="T172" s="107">
        <f>IF(VLOOKUP($D172,$C$5:$AU$500,3,)=0,0,(VLOOKUP($D172,$C$5:$AU$500,18,)/VLOOKUP($D172,$C$5:$AU$500,3,))*$E172)</f>
        <v>0</v>
      </c>
      <c r="U172" s="107">
        <f>IF(VLOOKUP($D172,$C$5:$AU$500,3,)=0,0,(VLOOKUP($D172,$C$5:$AU$500,19,)/VLOOKUP($D172,$C$5:$AU$500,3,))*$E172)</f>
        <v>0</v>
      </c>
      <c r="V172" s="107">
        <f>IF(VLOOKUP($D172,$C$5:$AU$500,3,)=0,0,(VLOOKUP($D172,$C$5:$AU$500,20,)/VLOOKUP($D172,$C$5:$AU$500,3,))*$E172)</f>
        <v>0</v>
      </c>
      <c r="W172" s="107">
        <f>IF(VLOOKUP($D172,$C$5:$AU$500,3,)=0,0,(VLOOKUP($D172,$C$5:$AU$500,21,)/VLOOKUP($D172,$C$5:$AU$500,3,))*$E172)</f>
        <v>0</v>
      </c>
      <c r="X172" s="107">
        <f>IF(VLOOKUP($D172,$C$5:$AU$500,3,)=0,0,(VLOOKUP($D172,$C$5:$AU$500,22,)/VLOOKUP($D172,$C$5:$AU$500,3,))*$E172)</f>
        <v>0</v>
      </c>
      <c r="Y172" s="107">
        <f>IF(VLOOKUP($D172,$C$5:$AU$500,3,)=0,0,(VLOOKUP($D172,$C$5:$AU$500,23,)/VLOOKUP($D172,$C$5:$AU$500,3,))*$E172)</f>
        <v>0</v>
      </c>
      <c r="Z172" s="107">
        <f>IF(VLOOKUP($D172,$C$5:$AU$500,3,)=0,0,(VLOOKUP($D172,$C$5:$AU$500,24,)/VLOOKUP($D172,$C$5:$AU$500,3,))*$E172)</f>
        <v>0</v>
      </c>
      <c r="AA172" s="107">
        <f>IF(VLOOKUP($D172,$C$5:$AU$500,3,)=0,0,(VLOOKUP($D172,$C$5:$AU$500,25,)/VLOOKUP($D172,$C$5:$AU$500,3,))*$E172)</f>
        <v>0</v>
      </c>
      <c r="AB172" s="107">
        <f>IF(VLOOKUP($D172,$C$5:$AU$500,3,)=0,0,(VLOOKUP($D172,$C$5:$AU$500,26,)/VLOOKUP($D172,$C$5:$AU$500,3,))*$E172)</f>
        <v>0</v>
      </c>
      <c r="AC172" s="107">
        <f>IF(VLOOKUP($D172,$C$5:$AU$500,3,)=0,0,(VLOOKUP($D172,$C$5:$AU$500,27,)/VLOOKUP($D172,$C$5:$AU$500,3,))*$E172)</f>
        <v>0</v>
      </c>
      <c r="AD172" s="107">
        <f>IF(VLOOKUP($D172,$C$5:$AU$500,3,)=0,0,(VLOOKUP($D172,$C$5:$AU$500,28,)/VLOOKUP($D172,$C$5:$AU$500,3,))*$E172)</f>
        <v>0</v>
      </c>
      <c r="AE172" s="107">
        <f>IF(VLOOKUP($D172,$C$5:$AU$500,3,)=0,0,(VLOOKUP($D172,$C$5:$AU$500,29,)/VLOOKUP($D172,$C$5:$AU$500,3,))*$E172)</f>
        <v>0</v>
      </c>
      <c r="AF172" s="107">
        <f>IF(VLOOKUP($D172,$C$5:$AU$500,3,)=0,0,(VLOOKUP($D172,$C$5:$AU$500,30,)/VLOOKUP($D172,$C$5:$AU$500,3,))*$E172)</f>
        <v>0</v>
      </c>
      <c r="AG172" s="91">
        <f>SUM(F172:AF172)</f>
        <v>1087208.4304196171</v>
      </c>
      <c r="AH172" s="28" t="str">
        <f>IF(ABS(E172-AG172)&lt;0.01,"ok","err")</f>
        <v>ok</v>
      </c>
    </row>
    <row r="173" spans="1:38" x14ac:dyDescent="0.25">
      <c r="A173" s="94" t="s">
        <v>220</v>
      </c>
      <c r="C173" s="14" t="s">
        <v>278</v>
      </c>
      <c r="D173" s="14" t="s">
        <v>222</v>
      </c>
      <c r="E173" s="23">
        <f>'Func &amp; Classif'!P465</f>
        <v>3009016.3733214149</v>
      </c>
      <c r="F173" s="67">
        <f>IF(VLOOKUP($D173,$C$5:$AU$500,3,)=0,0,(VLOOKUP($D173,$C$5:$AU$500,4,)/VLOOKUP($D173,$C$5:$AU$500,3,))*$E173)</f>
        <v>2408673.2180678723</v>
      </c>
      <c r="G173" s="67">
        <f>IF(VLOOKUP($D173,$C$5:$AU$500,3,)=0,0,(VLOOKUP($D173,$C$5:$AU$500,5,)/VLOOKUP($D173,$C$5:$AU$500,3,))*$E173)</f>
        <v>475766.48736743082</v>
      </c>
      <c r="H173" s="42">
        <f>IF(VLOOKUP($D173,$C$5:$AU$500,3,)=0,0,(VLOOKUP($D173,$C$5:$AU$500,6,)/VLOOKUP($D173,$C$5:$AU$500,3,))*$E173)</f>
        <v>50547.631618462976</v>
      </c>
      <c r="I173" s="42">
        <f>IF(VLOOKUP($D173,$C$5:$AU$500,3,)=0,0,(VLOOKUP($D173,$C$5:$AU$500,7,)/VLOOKUP($D173,$C$5:$AU$500,3,))*$E173)</f>
        <v>63479.182453497226</v>
      </c>
      <c r="J173" s="42">
        <f>IF(VLOOKUP($D173,$C$5:$AU$500,3,)=0,0,(VLOOKUP($D173,$C$5:$AU$500,8,)/VLOOKUP($D173,$C$5:$AU$500,3,))*$E173)</f>
        <v>0</v>
      </c>
      <c r="K173" s="42">
        <f>IF(VLOOKUP($D173,$C$5:$AU$500,3,)=0,0,(VLOOKUP($D173,$C$5:$AU$500,9,)/VLOOKUP($D173,$C$5:$AU$500,3,))*$E173)</f>
        <v>98.214310139500597</v>
      </c>
      <c r="L173" s="67">
        <f>IF(VLOOKUP($D173,$C$5:$AU$500,3,)=0,0,(VLOOKUP($D173,$C$5:$AU$500,10,)/VLOOKUP($D173,$C$5:$AU$500,3,))*$E173)</f>
        <v>10451.639504011855</v>
      </c>
      <c r="M173" s="42">
        <f>IF(VLOOKUP($D173,$C$5:$AU$500,3,)=0,0,(VLOOKUP($D173,$C$5:$AU$500,11,)/VLOOKUP($D173,$C$5:$AU$500,3,))*$E173)</f>
        <v>0</v>
      </c>
      <c r="N173" s="42">
        <f>IF(VLOOKUP($D173,$C$5:$AU$500,3,)=0,0,(VLOOKUP($D173,$C$5:$AU$500,12,)/VLOOKUP($D173,$C$5:$AU$500,3,))*$E173)</f>
        <v>0</v>
      </c>
      <c r="O173" s="42">
        <f>IF(VLOOKUP($D173,$C$5:$AU$500,3,)=0,0,(VLOOKUP($D173,$C$5:$AU$500,13,)/VLOOKUP($D173,$C$5:$AU$500,3,))*$E173)</f>
        <v>0</v>
      </c>
      <c r="P173" s="42">
        <f>IF(VLOOKUP($D173,$C$5:$AU$500,3,)=0,0,(VLOOKUP($D173,$C$5:$AU$500,14,)/VLOOKUP($D173,$C$5:$AU$500,3,))*$E173)</f>
        <v>0</v>
      </c>
      <c r="Q173" s="42">
        <f>IF(VLOOKUP($D173,$C$5:$AU$500,3,)=0,0,(VLOOKUP($D173,$C$5:$AU$500,15,)/VLOOKUP($D173,$C$5:$AU$500,3,))*$E173)</f>
        <v>0</v>
      </c>
      <c r="R173" s="42">
        <f>IF(VLOOKUP($D173,$C$5:$AU$500,3,)=0,0,(VLOOKUP($D173,$C$5:$AU$500,16,)/VLOOKUP($D173,$C$5:$AU$500,3,))*$E173)</f>
        <v>0</v>
      </c>
      <c r="S173" s="107">
        <f>IF(VLOOKUP($D173,$C$5:$AU$500,3,)=0,0,(VLOOKUP($D173,$C$5:$AU$500,17,)/VLOOKUP($D173,$C$5:$AU$500,3,))*$E173)</f>
        <v>0</v>
      </c>
      <c r="T173" s="107">
        <f>IF(VLOOKUP($D173,$C$5:$AU$500,3,)=0,0,(VLOOKUP($D173,$C$5:$AU$500,18,)/VLOOKUP($D173,$C$5:$AU$500,3,))*$E173)</f>
        <v>0</v>
      </c>
      <c r="U173" s="107">
        <f>IF(VLOOKUP($D173,$C$5:$AU$500,3,)=0,0,(VLOOKUP($D173,$C$5:$AU$500,19,)/VLOOKUP($D173,$C$5:$AU$500,3,))*$E173)</f>
        <v>0</v>
      </c>
      <c r="V173" s="107">
        <f>IF(VLOOKUP($D173,$C$5:$AU$500,3,)=0,0,(VLOOKUP($D173,$C$5:$AU$500,20,)/VLOOKUP($D173,$C$5:$AU$500,3,))*$E173)</f>
        <v>0</v>
      </c>
      <c r="W173" s="107">
        <f>IF(VLOOKUP($D173,$C$5:$AU$500,3,)=0,0,(VLOOKUP($D173,$C$5:$AU$500,21,)/VLOOKUP($D173,$C$5:$AU$500,3,))*$E173)</f>
        <v>0</v>
      </c>
      <c r="X173" s="107">
        <f>IF(VLOOKUP($D173,$C$5:$AU$500,3,)=0,0,(VLOOKUP($D173,$C$5:$AU$500,22,)/VLOOKUP($D173,$C$5:$AU$500,3,))*$E173)</f>
        <v>0</v>
      </c>
      <c r="Y173" s="107">
        <f>IF(VLOOKUP($D173,$C$5:$AU$500,3,)=0,0,(VLOOKUP($D173,$C$5:$AU$500,23,)/VLOOKUP($D173,$C$5:$AU$500,3,))*$E173)</f>
        <v>0</v>
      </c>
      <c r="Z173" s="107">
        <f>IF(VLOOKUP($D173,$C$5:$AU$500,3,)=0,0,(VLOOKUP($D173,$C$5:$AU$500,24,)/VLOOKUP($D173,$C$5:$AU$500,3,))*$E173)</f>
        <v>0</v>
      </c>
      <c r="AA173" s="107">
        <f>IF(VLOOKUP($D173,$C$5:$AU$500,3,)=0,0,(VLOOKUP($D173,$C$5:$AU$500,25,)/VLOOKUP($D173,$C$5:$AU$500,3,))*$E173)</f>
        <v>0</v>
      </c>
      <c r="AB173" s="107">
        <f>IF(VLOOKUP($D173,$C$5:$AU$500,3,)=0,0,(VLOOKUP($D173,$C$5:$AU$500,26,)/VLOOKUP($D173,$C$5:$AU$500,3,))*$E173)</f>
        <v>0</v>
      </c>
      <c r="AC173" s="107">
        <f>IF(VLOOKUP($D173,$C$5:$AU$500,3,)=0,0,(VLOOKUP($D173,$C$5:$AU$500,27,)/VLOOKUP($D173,$C$5:$AU$500,3,))*$E173)</f>
        <v>0</v>
      </c>
      <c r="AD173" s="107">
        <f>IF(VLOOKUP($D173,$C$5:$AU$500,3,)=0,0,(VLOOKUP($D173,$C$5:$AU$500,28,)/VLOOKUP($D173,$C$5:$AU$500,3,))*$E173)</f>
        <v>0</v>
      </c>
      <c r="AE173" s="107">
        <f>IF(VLOOKUP($D173,$C$5:$AU$500,3,)=0,0,(VLOOKUP($D173,$C$5:$AU$500,29,)/VLOOKUP($D173,$C$5:$AU$500,3,))*$E173)</f>
        <v>0</v>
      </c>
      <c r="AF173" s="107">
        <f>IF(VLOOKUP($D173,$C$5:$AU$500,3,)=0,0,(VLOOKUP($D173,$C$5:$AU$500,30,)/VLOOKUP($D173,$C$5:$AU$500,3,))*$E173)</f>
        <v>0</v>
      </c>
      <c r="AG173" s="91">
        <f>SUM(F173:AF173)</f>
        <v>3009016.3733214145</v>
      </c>
      <c r="AH173" s="28" t="str">
        <f>IF(ABS(E173-AG173)&lt;0.01,"ok","err")</f>
        <v>ok</v>
      </c>
      <c r="AK173" s="41"/>
      <c r="AL173" s="211"/>
    </row>
    <row r="174" spans="1:38" x14ac:dyDescent="0.25">
      <c r="A174" s="14" t="s">
        <v>223</v>
      </c>
      <c r="E174" s="42">
        <f t="shared" ref="E174:T174" si="62">E172+E173</f>
        <v>4096224.8037410323</v>
      </c>
      <c r="F174" s="67">
        <f t="shared" si="62"/>
        <v>3092005.3350524548</v>
      </c>
      <c r="G174" s="67">
        <f t="shared" si="62"/>
        <v>493334.06614333449</v>
      </c>
      <c r="H174" s="42">
        <f t="shared" si="62"/>
        <v>78663.954463686037</v>
      </c>
      <c r="I174" s="42">
        <f t="shared" si="62"/>
        <v>381672.45046424086</v>
      </c>
      <c r="J174" s="42">
        <f t="shared" si="62"/>
        <v>0</v>
      </c>
      <c r="K174" s="42">
        <f t="shared" si="62"/>
        <v>35317.682718269447</v>
      </c>
      <c r="L174" s="67">
        <f t="shared" si="62"/>
        <v>15231.314899046272</v>
      </c>
      <c r="M174" s="42">
        <f t="shared" si="62"/>
        <v>0</v>
      </c>
      <c r="N174" s="42">
        <f t="shared" si="62"/>
        <v>0</v>
      </c>
      <c r="O174" s="42">
        <f t="shared" si="62"/>
        <v>0</v>
      </c>
      <c r="P174" s="42">
        <f t="shared" si="62"/>
        <v>0</v>
      </c>
      <c r="Q174" s="42">
        <f t="shared" si="62"/>
        <v>0</v>
      </c>
      <c r="R174" s="42">
        <f t="shared" si="62"/>
        <v>0</v>
      </c>
      <c r="S174" s="107">
        <f t="shared" si="62"/>
        <v>0</v>
      </c>
      <c r="T174" s="107">
        <f t="shared" si="62"/>
        <v>0</v>
      </c>
      <c r="U174" s="107">
        <f t="shared" ref="U174:AF174" si="63">U172+U173</f>
        <v>0</v>
      </c>
      <c r="V174" s="107">
        <f t="shared" si="63"/>
        <v>0</v>
      </c>
      <c r="W174" s="107">
        <f t="shared" si="63"/>
        <v>0</v>
      </c>
      <c r="X174" s="107">
        <f t="shared" si="63"/>
        <v>0</v>
      </c>
      <c r="Y174" s="107">
        <f t="shared" si="63"/>
        <v>0</v>
      </c>
      <c r="Z174" s="107">
        <f t="shared" si="63"/>
        <v>0</v>
      </c>
      <c r="AA174" s="107">
        <f t="shared" si="63"/>
        <v>0</v>
      </c>
      <c r="AB174" s="107">
        <f t="shared" si="63"/>
        <v>0</v>
      </c>
      <c r="AC174" s="107">
        <f t="shared" si="63"/>
        <v>0</v>
      </c>
      <c r="AD174" s="107">
        <f t="shared" si="63"/>
        <v>0</v>
      </c>
      <c r="AE174" s="107">
        <f t="shared" si="63"/>
        <v>0</v>
      </c>
      <c r="AF174" s="107">
        <f t="shared" si="63"/>
        <v>0</v>
      </c>
      <c r="AG174" s="91">
        <f>SUM(F174:AF174)</f>
        <v>4096224.8037410318</v>
      </c>
      <c r="AH174" s="28" t="str">
        <f>IF(ABS(E174-AG174)&lt;0.01,"ok","err")</f>
        <v>ok</v>
      </c>
      <c r="AK174" s="41"/>
    </row>
    <row r="175" spans="1:38" x14ac:dyDescent="0.25">
      <c r="E175" s="23"/>
      <c r="AK175" s="41"/>
    </row>
    <row r="176" spans="1:38" x14ac:dyDescent="0.25">
      <c r="A176" s="13" t="s">
        <v>3</v>
      </c>
      <c r="E176" s="23"/>
      <c r="AK176" s="41"/>
    </row>
    <row r="177" spans="1:38" x14ac:dyDescent="0.25">
      <c r="A177" s="94" t="s">
        <v>208</v>
      </c>
      <c r="C177" s="14" t="s">
        <v>279</v>
      </c>
      <c r="D177" s="14" t="s">
        <v>701</v>
      </c>
      <c r="E177" s="42">
        <f>'Func &amp; Classif'!R465</f>
        <v>0</v>
      </c>
      <c r="F177" s="67">
        <f>IF(VLOOKUP($D177,$C$5:$AU$500,3,)=0,0,(VLOOKUP($D177,$C$5:$AU$500,4,)/VLOOKUP($D177,$C$5:$AU$500,3,))*$E177)</f>
        <v>0</v>
      </c>
      <c r="G177" s="67">
        <f>IF(VLOOKUP($D177,$C$5:$AU$500,3,)=0,0,(VLOOKUP($D177,$C$5:$AU$500,5,)/VLOOKUP($D177,$C$5:$AU$500,3,))*$E177)</f>
        <v>0</v>
      </c>
      <c r="H177" s="42">
        <f>IF(VLOOKUP($D177,$C$5:$AU$500,3,)=0,0,(VLOOKUP($D177,$C$5:$AU$500,6,)/VLOOKUP($D177,$C$5:$AU$500,3,))*$E177)</f>
        <v>0</v>
      </c>
      <c r="I177" s="42">
        <f>IF(VLOOKUP($D177,$C$5:$AU$500,3,)=0,0,(VLOOKUP($D177,$C$5:$AU$500,7,)/VLOOKUP($D177,$C$5:$AU$500,3,))*$E177)</f>
        <v>0</v>
      </c>
      <c r="J177" s="42">
        <f>IF(VLOOKUP($D177,$C$5:$AU$500,3,)=0,0,(VLOOKUP($D177,$C$5:$AU$500,8,)/VLOOKUP($D177,$C$5:$AU$500,3,))*$E177)</f>
        <v>0</v>
      </c>
      <c r="K177" s="42">
        <f>IF(VLOOKUP($D177,$C$5:$AU$500,3,)=0,0,(VLOOKUP($D177,$C$5:$AU$500,9,)/VLOOKUP($D177,$C$5:$AU$500,3,))*$E177)</f>
        <v>0</v>
      </c>
      <c r="L177" s="67">
        <f>IF(VLOOKUP($D177,$C$5:$AU$500,3,)=0,0,(VLOOKUP($D177,$C$5:$AU$500,10,)/VLOOKUP($D177,$C$5:$AU$500,3,))*$E177)</f>
        <v>0</v>
      </c>
      <c r="M177" s="42">
        <f>IF(VLOOKUP($D177,$C$5:$AU$500,3,)=0,0,(VLOOKUP($D177,$C$5:$AU$500,11,)/VLOOKUP($D177,$C$5:$AU$500,3,))*$E177)</f>
        <v>0</v>
      </c>
      <c r="N177" s="42">
        <f>IF(VLOOKUP($D177,$C$5:$AU$500,3,)=0,0,(VLOOKUP($D177,$C$5:$AU$500,12,)/VLOOKUP($D177,$C$5:$AU$500,3,))*$E177)</f>
        <v>0</v>
      </c>
      <c r="O177" s="42">
        <f>IF(VLOOKUP($D177,$C$5:$AU$500,3,)=0,0,(VLOOKUP($D177,$C$5:$AU$500,13,)/VLOOKUP($D177,$C$5:$AU$500,3,))*$E177)</f>
        <v>0</v>
      </c>
      <c r="P177" s="42">
        <f>IF(VLOOKUP($D177,$C$5:$AU$500,3,)=0,0,(VLOOKUP($D177,$C$5:$AU$500,14,)/VLOOKUP($D177,$C$5:$AU$500,3,))*$E177)</f>
        <v>0</v>
      </c>
      <c r="Q177" s="42">
        <f>IF(VLOOKUP($D177,$C$5:$AU$500,3,)=0,0,(VLOOKUP($D177,$C$5:$AU$500,15,)/VLOOKUP($D177,$C$5:$AU$500,3,))*$E177)</f>
        <v>0</v>
      </c>
      <c r="R177" s="42">
        <f>IF(VLOOKUP($D177,$C$5:$AU$500,3,)=0,0,(VLOOKUP($D177,$C$5:$AU$500,16,)/VLOOKUP($D177,$C$5:$AU$500,3,))*$E177)</f>
        <v>0</v>
      </c>
      <c r="S177" s="107">
        <f>IF(VLOOKUP($D177,$C$5:$AU$500,3,)=0,0,(VLOOKUP($D177,$C$5:$AU$500,17,)/VLOOKUP($D177,$C$5:$AU$500,3,))*$E177)</f>
        <v>0</v>
      </c>
      <c r="T177" s="107">
        <f>IF(VLOOKUP($D177,$C$5:$AU$500,3,)=0,0,(VLOOKUP($D177,$C$5:$AU$500,18,)/VLOOKUP($D177,$C$5:$AU$500,3,))*$E177)</f>
        <v>0</v>
      </c>
      <c r="U177" s="107">
        <f>IF(VLOOKUP($D177,$C$5:$AU$500,3,)=0,0,(VLOOKUP($D177,$C$5:$AU$500,19,)/VLOOKUP($D177,$C$5:$AU$500,3,))*$E177)</f>
        <v>0</v>
      </c>
      <c r="V177" s="107">
        <f>IF(VLOOKUP($D177,$C$5:$AU$500,3,)=0,0,(VLOOKUP($D177,$C$5:$AU$500,20,)/VLOOKUP($D177,$C$5:$AU$500,3,))*$E177)</f>
        <v>0</v>
      </c>
      <c r="W177" s="107">
        <f>IF(VLOOKUP($D177,$C$5:$AU$500,3,)=0,0,(VLOOKUP($D177,$C$5:$AU$500,21,)/VLOOKUP($D177,$C$5:$AU$500,3,))*$E177)</f>
        <v>0</v>
      </c>
      <c r="X177" s="107">
        <f>IF(VLOOKUP($D177,$C$5:$AU$500,3,)=0,0,(VLOOKUP($D177,$C$5:$AU$500,22,)/VLOOKUP($D177,$C$5:$AU$500,3,))*$E177)</f>
        <v>0</v>
      </c>
      <c r="Y177" s="107">
        <f>IF(VLOOKUP($D177,$C$5:$AU$500,3,)=0,0,(VLOOKUP($D177,$C$5:$AU$500,23,)/VLOOKUP($D177,$C$5:$AU$500,3,))*$E177)</f>
        <v>0</v>
      </c>
      <c r="Z177" s="107">
        <f>IF(VLOOKUP($D177,$C$5:$AU$500,3,)=0,0,(VLOOKUP($D177,$C$5:$AU$500,24,)/VLOOKUP($D177,$C$5:$AU$500,3,))*$E177)</f>
        <v>0</v>
      </c>
      <c r="AA177" s="107">
        <f>IF(VLOOKUP($D177,$C$5:$AU$500,3,)=0,0,(VLOOKUP($D177,$C$5:$AU$500,25,)/VLOOKUP($D177,$C$5:$AU$500,3,))*$E177)</f>
        <v>0</v>
      </c>
      <c r="AB177" s="107">
        <f>IF(VLOOKUP($D177,$C$5:$AU$500,3,)=0,0,(VLOOKUP($D177,$C$5:$AU$500,26,)/VLOOKUP($D177,$C$5:$AU$500,3,))*$E177)</f>
        <v>0</v>
      </c>
      <c r="AC177" s="107">
        <f>IF(VLOOKUP($D177,$C$5:$AU$500,3,)=0,0,(VLOOKUP($D177,$C$5:$AU$500,27,)/VLOOKUP($D177,$C$5:$AU$500,3,))*$E177)</f>
        <v>0</v>
      </c>
      <c r="AD177" s="107">
        <f>IF(VLOOKUP($D177,$C$5:$AU$500,3,)=0,0,(VLOOKUP($D177,$C$5:$AU$500,28,)/VLOOKUP($D177,$C$5:$AU$500,3,))*$E177)</f>
        <v>0</v>
      </c>
      <c r="AE177" s="107">
        <f>IF(VLOOKUP($D177,$C$5:$AU$500,3,)=0,0,(VLOOKUP($D177,$C$5:$AU$500,29,)/VLOOKUP($D177,$C$5:$AU$500,3,))*$E177)</f>
        <v>0</v>
      </c>
      <c r="AF177" s="107">
        <f>IF(VLOOKUP($D177,$C$5:$AU$500,3,)=0,0,(VLOOKUP($D177,$C$5:$AU$500,30,)/VLOOKUP($D177,$C$5:$AU$500,3,))*$E177)</f>
        <v>0</v>
      </c>
      <c r="AG177" s="91">
        <f>SUM(F177:AF177)</f>
        <v>0</v>
      </c>
      <c r="AH177" s="28" t="str">
        <f>IF(ABS(E177-AG177)&lt;0.01,"ok","err")</f>
        <v>ok</v>
      </c>
      <c r="AK177" s="41"/>
    </row>
    <row r="178" spans="1:38" x14ac:dyDescent="0.25">
      <c r="A178" s="94" t="s">
        <v>220</v>
      </c>
      <c r="C178" s="14" t="s">
        <v>280</v>
      </c>
      <c r="D178" s="14" t="s">
        <v>701</v>
      </c>
      <c r="E178" s="23">
        <f>'Func &amp; Classif'!S465</f>
        <v>132617.89096346303</v>
      </c>
      <c r="F178" s="67">
        <f>IF(VLOOKUP($D178,$C$5:$AU$500,3,)=0,0,(VLOOKUP($D178,$C$5:$AU$500,4,)/VLOOKUP($D178,$C$5:$AU$500,3,))*$E178)</f>
        <v>69231.24474495466</v>
      </c>
      <c r="G178" s="67">
        <f>IF(VLOOKUP($D178,$C$5:$AU$500,3,)=0,0,(VLOOKUP($D178,$C$5:$AU$500,5,)/VLOOKUP($D178,$C$5:$AU$500,3,))*$E178)</f>
        <v>30084.360526317963</v>
      </c>
      <c r="H178" s="42">
        <f>IF(VLOOKUP($D178,$C$5:$AU$500,3,)=0,0,(VLOOKUP($D178,$C$5:$AU$500,6,)/VLOOKUP($D178,$C$5:$AU$500,3,))*$E178)</f>
        <v>8019.8112269535304</v>
      </c>
      <c r="I178" s="42">
        <f>IF(VLOOKUP($D178,$C$5:$AU$500,3,)=0,0,(VLOOKUP($D178,$C$5:$AU$500,7,)/VLOOKUP($D178,$C$5:$AU$500,3,))*$E178)</f>
        <v>18975.311781728025</v>
      </c>
      <c r="J178" s="42">
        <f>IF(VLOOKUP($D178,$C$5:$AU$500,3,)=0,0,(VLOOKUP($D178,$C$5:$AU$500,8,)/VLOOKUP($D178,$C$5:$AU$500,3,))*$E178)</f>
        <v>0</v>
      </c>
      <c r="K178" s="42">
        <f>IF(VLOOKUP($D178,$C$5:$AU$500,3,)=0,0,(VLOOKUP($D178,$C$5:$AU$500,9,)/VLOOKUP($D178,$C$5:$AU$500,3,))*$E178)</f>
        <v>58.716797674248646</v>
      </c>
      <c r="L178" s="67">
        <f>IF(VLOOKUP($D178,$C$5:$AU$500,3,)=0,0,(VLOOKUP($D178,$C$5:$AU$500,10,)/VLOOKUP($D178,$C$5:$AU$500,3,))*$E178)</f>
        <v>6248.445885834627</v>
      </c>
      <c r="M178" s="42">
        <f>IF(VLOOKUP($D178,$C$5:$AU$500,3,)=0,0,(VLOOKUP($D178,$C$5:$AU$500,11,)/VLOOKUP($D178,$C$5:$AU$500,3,))*$E178)</f>
        <v>0</v>
      </c>
      <c r="N178" s="42">
        <f>IF(VLOOKUP($D178,$C$5:$AU$500,3,)=0,0,(VLOOKUP($D178,$C$5:$AU$500,12,)/VLOOKUP($D178,$C$5:$AU$500,3,))*$E178)</f>
        <v>0</v>
      </c>
      <c r="O178" s="42">
        <f>IF(VLOOKUP($D178,$C$5:$AU$500,3,)=0,0,(VLOOKUP($D178,$C$5:$AU$500,13,)/VLOOKUP($D178,$C$5:$AU$500,3,))*$E178)</f>
        <v>0</v>
      </c>
      <c r="P178" s="42">
        <f>IF(VLOOKUP($D178,$C$5:$AU$500,3,)=0,0,(VLOOKUP($D178,$C$5:$AU$500,14,)/VLOOKUP($D178,$C$5:$AU$500,3,))*$E178)</f>
        <v>0</v>
      </c>
      <c r="Q178" s="42">
        <f>IF(VLOOKUP($D178,$C$5:$AU$500,3,)=0,0,(VLOOKUP($D178,$C$5:$AU$500,15,)/VLOOKUP($D178,$C$5:$AU$500,3,))*$E178)</f>
        <v>0</v>
      </c>
      <c r="R178" s="42">
        <f>IF(VLOOKUP($D178,$C$5:$AU$500,3,)=0,0,(VLOOKUP($D178,$C$5:$AU$500,16,)/VLOOKUP($D178,$C$5:$AU$500,3,))*$E178)</f>
        <v>0</v>
      </c>
      <c r="S178" s="107">
        <f>IF(VLOOKUP($D178,$C$5:$AU$500,3,)=0,0,(VLOOKUP($D178,$C$5:$AU$500,17,)/VLOOKUP($D178,$C$5:$AU$500,3,))*$E178)</f>
        <v>0</v>
      </c>
      <c r="T178" s="107">
        <f>IF(VLOOKUP($D178,$C$5:$AU$500,3,)=0,0,(VLOOKUP($D178,$C$5:$AU$500,18,)/VLOOKUP($D178,$C$5:$AU$500,3,))*$E178)</f>
        <v>0</v>
      </c>
      <c r="U178" s="107">
        <f>IF(VLOOKUP($D178,$C$5:$AU$500,3,)=0,0,(VLOOKUP($D178,$C$5:$AU$500,19,)/VLOOKUP($D178,$C$5:$AU$500,3,))*$E178)</f>
        <v>0</v>
      </c>
      <c r="V178" s="107">
        <f>IF(VLOOKUP($D178,$C$5:$AU$500,3,)=0,0,(VLOOKUP($D178,$C$5:$AU$500,20,)/VLOOKUP($D178,$C$5:$AU$500,3,))*$E178)</f>
        <v>0</v>
      </c>
      <c r="W178" s="107">
        <f>IF(VLOOKUP($D178,$C$5:$AU$500,3,)=0,0,(VLOOKUP($D178,$C$5:$AU$500,21,)/VLOOKUP($D178,$C$5:$AU$500,3,))*$E178)</f>
        <v>0</v>
      </c>
      <c r="X178" s="107">
        <f>IF(VLOOKUP($D178,$C$5:$AU$500,3,)=0,0,(VLOOKUP($D178,$C$5:$AU$500,22,)/VLOOKUP($D178,$C$5:$AU$500,3,))*$E178)</f>
        <v>0</v>
      </c>
      <c r="Y178" s="107">
        <f>IF(VLOOKUP($D178,$C$5:$AU$500,3,)=0,0,(VLOOKUP($D178,$C$5:$AU$500,23,)/VLOOKUP($D178,$C$5:$AU$500,3,))*$E178)</f>
        <v>0</v>
      </c>
      <c r="Z178" s="107">
        <f>IF(VLOOKUP($D178,$C$5:$AU$500,3,)=0,0,(VLOOKUP($D178,$C$5:$AU$500,24,)/VLOOKUP($D178,$C$5:$AU$500,3,))*$E178)</f>
        <v>0</v>
      </c>
      <c r="AA178" s="107">
        <f>IF(VLOOKUP($D178,$C$5:$AU$500,3,)=0,0,(VLOOKUP($D178,$C$5:$AU$500,25,)/VLOOKUP($D178,$C$5:$AU$500,3,))*$E178)</f>
        <v>0</v>
      </c>
      <c r="AB178" s="107">
        <f>IF(VLOOKUP($D178,$C$5:$AU$500,3,)=0,0,(VLOOKUP($D178,$C$5:$AU$500,26,)/VLOOKUP($D178,$C$5:$AU$500,3,))*$E178)</f>
        <v>0</v>
      </c>
      <c r="AC178" s="107">
        <f>IF(VLOOKUP($D178,$C$5:$AU$500,3,)=0,0,(VLOOKUP($D178,$C$5:$AU$500,27,)/VLOOKUP($D178,$C$5:$AU$500,3,))*$E178)</f>
        <v>0</v>
      </c>
      <c r="AD178" s="107">
        <f>IF(VLOOKUP($D178,$C$5:$AU$500,3,)=0,0,(VLOOKUP($D178,$C$5:$AU$500,28,)/VLOOKUP($D178,$C$5:$AU$500,3,))*$E178)</f>
        <v>0</v>
      </c>
      <c r="AE178" s="107">
        <f>IF(VLOOKUP($D178,$C$5:$AU$500,3,)=0,0,(VLOOKUP($D178,$C$5:$AU$500,29,)/VLOOKUP($D178,$C$5:$AU$500,3,))*$E178)</f>
        <v>0</v>
      </c>
      <c r="AF178" s="107">
        <f>IF(VLOOKUP($D178,$C$5:$AU$500,3,)=0,0,(VLOOKUP($D178,$C$5:$AU$500,30,)/VLOOKUP($D178,$C$5:$AU$500,3,))*$E178)</f>
        <v>0</v>
      </c>
      <c r="AG178" s="91">
        <f>SUM(F178:AF178)</f>
        <v>132617.89096346305</v>
      </c>
      <c r="AH178" s="28" t="str">
        <f>IF(ABS(E178-AG178)&lt;0.01,"ok","err")</f>
        <v>ok</v>
      </c>
      <c r="AK178" s="41"/>
      <c r="AL178" s="211"/>
    </row>
    <row r="179" spans="1:38" x14ac:dyDescent="0.25">
      <c r="A179" s="14" t="s">
        <v>227</v>
      </c>
      <c r="E179" s="42">
        <f t="shared" ref="E179:T179" si="64">E177+E178</f>
        <v>132617.89096346303</v>
      </c>
      <c r="F179" s="67">
        <f t="shared" si="64"/>
        <v>69231.24474495466</v>
      </c>
      <c r="G179" s="67">
        <f t="shared" si="64"/>
        <v>30084.360526317963</v>
      </c>
      <c r="H179" s="42">
        <f t="shared" si="64"/>
        <v>8019.8112269535304</v>
      </c>
      <c r="I179" s="42">
        <f t="shared" si="64"/>
        <v>18975.311781728025</v>
      </c>
      <c r="J179" s="42">
        <f t="shared" si="64"/>
        <v>0</v>
      </c>
      <c r="K179" s="42">
        <f t="shared" si="64"/>
        <v>58.716797674248646</v>
      </c>
      <c r="L179" s="67">
        <f t="shared" si="64"/>
        <v>6248.445885834627</v>
      </c>
      <c r="M179" s="42">
        <f t="shared" si="64"/>
        <v>0</v>
      </c>
      <c r="N179" s="42">
        <f t="shared" si="64"/>
        <v>0</v>
      </c>
      <c r="O179" s="42">
        <f t="shared" si="64"/>
        <v>0</v>
      </c>
      <c r="P179" s="42">
        <f t="shared" si="64"/>
        <v>0</v>
      </c>
      <c r="Q179" s="42">
        <f t="shared" si="64"/>
        <v>0</v>
      </c>
      <c r="R179" s="42">
        <f t="shared" si="64"/>
        <v>0</v>
      </c>
      <c r="S179" s="107">
        <f t="shared" si="64"/>
        <v>0</v>
      </c>
      <c r="T179" s="107">
        <f t="shared" si="64"/>
        <v>0</v>
      </c>
      <c r="U179" s="107">
        <f t="shared" ref="U179:AF179" si="65">U177+U178</f>
        <v>0</v>
      </c>
      <c r="V179" s="107">
        <f t="shared" si="65"/>
        <v>0</v>
      </c>
      <c r="W179" s="107">
        <f t="shared" si="65"/>
        <v>0</v>
      </c>
      <c r="X179" s="107">
        <f t="shared" si="65"/>
        <v>0</v>
      </c>
      <c r="Y179" s="107">
        <f t="shared" si="65"/>
        <v>0</v>
      </c>
      <c r="Z179" s="107">
        <f t="shared" si="65"/>
        <v>0</v>
      </c>
      <c r="AA179" s="107">
        <f t="shared" si="65"/>
        <v>0</v>
      </c>
      <c r="AB179" s="107">
        <f t="shared" si="65"/>
        <v>0</v>
      </c>
      <c r="AC179" s="107">
        <f t="shared" si="65"/>
        <v>0</v>
      </c>
      <c r="AD179" s="107">
        <f t="shared" si="65"/>
        <v>0</v>
      </c>
      <c r="AE179" s="107">
        <f t="shared" si="65"/>
        <v>0</v>
      </c>
      <c r="AF179" s="107">
        <f t="shared" si="65"/>
        <v>0</v>
      </c>
      <c r="AG179" s="91">
        <f>SUM(F179:AF179)</f>
        <v>132617.89096346305</v>
      </c>
      <c r="AH179" s="28" t="str">
        <f>IF(ABS(E179-AG179)&lt;0.01,"ok","err")</f>
        <v>ok</v>
      </c>
      <c r="AK179" s="41"/>
    </row>
    <row r="180" spans="1:38" x14ac:dyDescent="0.25">
      <c r="E180" s="23"/>
      <c r="AK180" s="41"/>
    </row>
    <row r="181" spans="1:38" x14ac:dyDescent="0.25">
      <c r="A181" s="13" t="s">
        <v>4</v>
      </c>
      <c r="E181" s="23"/>
      <c r="AK181" s="41"/>
    </row>
    <row r="182" spans="1:38" x14ac:dyDescent="0.25">
      <c r="A182" s="94" t="s">
        <v>220</v>
      </c>
      <c r="C182" s="14" t="s">
        <v>281</v>
      </c>
      <c r="D182" s="14" t="s">
        <v>229</v>
      </c>
      <c r="E182" s="42">
        <f>'Func &amp; Classif'!U465</f>
        <v>658571.25289889716</v>
      </c>
      <c r="F182" s="67">
        <f>IF(VLOOKUP($D182,$C$5:$AU$500,3,)=0,0,(VLOOKUP($D182,$C$5:$AU$500,4,)/VLOOKUP($D182,$C$5:$AU$500,3,))*$E182)</f>
        <v>343797.56200463406</v>
      </c>
      <c r="G182" s="67">
        <f>IF(VLOOKUP($D182,$C$5:$AU$500,3,)=0,0,(VLOOKUP($D182,$C$5:$AU$500,5,)/VLOOKUP($D182,$C$5:$AU$500,3,))*$E182)</f>
        <v>149396.84880027125</v>
      </c>
      <c r="H182" s="42">
        <f>IF(VLOOKUP($D182,$C$5:$AU$500,3,)=0,0,(VLOOKUP($D182,$C$5:$AU$500,6,)/VLOOKUP($D182,$C$5:$AU$500,3,))*$E182)</f>
        <v>39825.826586267634</v>
      </c>
      <c r="I182" s="42">
        <f>IF(VLOOKUP($D182,$C$5:$AU$500,3,)=0,0,(VLOOKUP($D182,$C$5:$AU$500,7,)/VLOOKUP($D182,$C$5:$AU$500,3,))*$E182)</f>
        <v>94230.082860258364</v>
      </c>
      <c r="J182" s="42">
        <f>IF(VLOOKUP($D182,$C$5:$AU$500,3,)=0,0,(VLOOKUP($D182,$C$5:$AU$500,8,)/VLOOKUP($D182,$C$5:$AU$500,3,))*$E182)</f>
        <v>0</v>
      </c>
      <c r="K182" s="42">
        <f>IF(VLOOKUP($D182,$C$5:$AU$500,3,)=0,0,(VLOOKUP($D182,$C$5:$AU$500,9,)/VLOOKUP($D182,$C$5:$AU$500,3,))*$E182)</f>
        <v>291.58354675685922</v>
      </c>
      <c r="L182" s="67">
        <f>IF(VLOOKUP($D182,$C$5:$AU$500,3,)=0,0,(VLOOKUP($D182,$C$5:$AU$500,10,)/VLOOKUP($D182,$C$5:$AU$500,3,))*$E182)</f>
        <v>31029.349100709107</v>
      </c>
      <c r="M182" s="42">
        <f>IF(VLOOKUP($D182,$C$5:$AU$500,3,)=0,0,(VLOOKUP($D182,$C$5:$AU$500,11,)/VLOOKUP($D182,$C$5:$AU$500,3,))*$E182)</f>
        <v>0</v>
      </c>
      <c r="N182" s="42">
        <f>IF(VLOOKUP($D182,$C$5:$AU$500,3,)=0,0,(VLOOKUP($D182,$C$5:$AU$500,12,)/VLOOKUP($D182,$C$5:$AU$500,3,))*$E182)</f>
        <v>0</v>
      </c>
      <c r="O182" s="42">
        <f>IF(VLOOKUP($D182,$C$5:$AU$500,3,)=0,0,(VLOOKUP($D182,$C$5:$AU$500,13,)/VLOOKUP($D182,$C$5:$AU$500,3,))*$E182)</f>
        <v>0</v>
      </c>
      <c r="P182" s="42">
        <f>IF(VLOOKUP($D182,$C$5:$AU$500,3,)=0,0,(VLOOKUP($D182,$C$5:$AU$500,14,)/VLOOKUP($D182,$C$5:$AU$500,3,))*$E182)</f>
        <v>0</v>
      </c>
      <c r="Q182" s="42">
        <f>IF(VLOOKUP($D182,$C$5:$AU$500,3,)=0,0,(VLOOKUP($D182,$C$5:$AU$500,15,)/VLOOKUP($D182,$C$5:$AU$500,3,))*$E182)</f>
        <v>0</v>
      </c>
      <c r="R182" s="42">
        <f>IF(VLOOKUP($D182,$C$5:$AU$500,3,)=0,0,(VLOOKUP($D182,$C$5:$AU$500,16,)/VLOOKUP($D182,$C$5:$AU$500,3,))*$E182)</f>
        <v>0</v>
      </c>
      <c r="S182" s="107">
        <f>IF(VLOOKUP($D182,$C$5:$AU$500,3,)=0,0,(VLOOKUP($D182,$C$5:$AU$500,17,)/VLOOKUP($D182,$C$5:$AU$500,3,))*$E182)</f>
        <v>0</v>
      </c>
      <c r="T182" s="107">
        <f>IF(VLOOKUP($D182,$C$5:$AU$500,3,)=0,0,(VLOOKUP($D182,$C$5:$AU$500,18,)/VLOOKUP($D182,$C$5:$AU$500,3,))*$E182)</f>
        <v>0</v>
      </c>
      <c r="U182" s="107">
        <f>IF(VLOOKUP($D182,$C$5:$AU$500,3,)=0,0,(VLOOKUP($D182,$C$5:$AU$500,19,)/VLOOKUP($D182,$C$5:$AU$500,3,))*$E182)</f>
        <v>0</v>
      </c>
      <c r="V182" s="107">
        <f>IF(VLOOKUP($D182,$C$5:$AU$500,3,)=0,0,(VLOOKUP($D182,$C$5:$AU$500,20,)/VLOOKUP($D182,$C$5:$AU$500,3,))*$E182)</f>
        <v>0</v>
      </c>
      <c r="W182" s="107">
        <f>IF(VLOOKUP($D182,$C$5:$AU$500,3,)=0,0,(VLOOKUP($D182,$C$5:$AU$500,21,)/VLOOKUP($D182,$C$5:$AU$500,3,))*$E182)</f>
        <v>0</v>
      </c>
      <c r="X182" s="107">
        <f>IF(VLOOKUP($D182,$C$5:$AU$500,3,)=0,0,(VLOOKUP($D182,$C$5:$AU$500,22,)/VLOOKUP($D182,$C$5:$AU$500,3,))*$E182)</f>
        <v>0</v>
      </c>
      <c r="Y182" s="107">
        <f>IF(VLOOKUP($D182,$C$5:$AU$500,3,)=0,0,(VLOOKUP($D182,$C$5:$AU$500,23,)/VLOOKUP($D182,$C$5:$AU$500,3,))*$E182)</f>
        <v>0</v>
      </c>
      <c r="Z182" s="107">
        <f>IF(VLOOKUP($D182,$C$5:$AU$500,3,)=0,0,(VLOOKUP($D182,$C$5:$AU$500,24,)/VLOOKUP($D182,$C$5:$AU$500,3,))*$E182)</f>
        <v>0</v>
      </c>
      <c r="AA182" s="107">
        <f>IF(VLOOKUP($D182,$C$5:$AU$500,3,)=0,0,(VLOOKUP($D182,$C$5:$AU$500,25,)/VLOOKUP($D182,$C$5:$AU$500,3,))*$E182)</f>
        <v>0</v>
      </c>
      <c r="AB182" s="107">
        <f>IF(VLOOKUP($D182,$C$5:$AU$500,3,)=0,0,(VLOOKUP($D182,$C$5:$AU$500,26,)/VLOOKUP($D182,$C$5:$AU$500,3,))*$E182)</f>
        <v>0</v>
      </c>
      <c r="AC182" s="107">
        <f>IF(VLOOKUP($D182,$C$5:$AU$500,3,)=0,0,(VLOOKUP($D182,$C$5:$AU$500,27,)/VLOOKUP($D182,$C$5:$AU$500,3,))*$E182)</f>
        <v>0</v>
      </c>
      <c r="AD182" s="107">
        <f>IF(VLOOKUP($D182,$C$5:$AU$500,3,)=0,0,(VLOOKUP($D182,$C$5:$AU$500,28,)/VLOOKUP($D182,$C$5:$AU$500,3,))*$E182)</f>
        <v>0</v>
      </c>
      <c r="AE182" s="107">
        <f>IF(VLOOKUP($D182,$C$5:$AU$500,3,)=0,0,(VLOOKUP($D182,$C$5:$AU$500,29,)/VLOOKUP($D182,$C$5:$AU$500,3,))*$E182)</f>
        <v>0</v>
      </c>
      <c r="AF182" s="107">
        <f>IF(VLOOKUP($D182,$C$5:$AU$500,3,)=0,0,(VLOOKUP($D182,$C$5:$AU$500,30,)/VLOOKUP($D182,$C$5:$AU$500,3,))*$E182)</f>
        <v>0</v>
      </c>
      <c r="AG182" s="91">
        <f>SUM(F182:AF182)</f>
        <v>658571.25289889739</v>
      </c>
      <c r="AH182" s="28" t="str">
        <f>IF(ABS(E182-AG182)&lt;0.01,"ok","err")</f>
        <v>ok</v>
      </c>
      <c r="AK182" s="41"/>
      <c r="AL182" s="211"/>
    </row>
    <row r="183" spans="1:38" x14ac:dyDescent="0.25">
      <c r="E183" s="23"/>
      <c r="AK183" s="41"/>
    </row>
    <row r="184" spans="1:38" x14ac:dyDescent="0.25">
      <c r="A184" s="13" t="s">
        <v>5</v>
      </c>
      <c r="E184" s="23"/>
      <c r="AK184" s="41"/>
    </row>
    <row r="185" spans="1:38" x14ac:dyDescent="0.25">
      <c r="A185" s="94" t="s">
        <v>220</v>
      </c>
      <c r="C185" s="14" t="s">
        <v>282</v>
      </c>
      <c r="D185" s="14" t="s">
        <v>231</v>
      </c>
      <c r="E185" s="42">
        <f>'Func &amp; Classif'!W465</f>
        <v>53415.221104629236</v>
      </c>
      <c r="F185" s="67">
        <f>IF(VLOOKUP($D185,$C$5:$AU$500,3,)=0,0,(VLOOKUP($D185,$C$5:$AU$500,4,)/VLOOKUP($D185,$C$5:$AU$500,3,))*$E185)</f>
        <v>0</v>
      </c>
      <c r="G185" s="67">
        <f>IF(VLOOKUP($D185,$C$5:$AU$500,3,)=0,0,(VLOOKUP($D185,$C$5:$AU$500,5,)/VLOOKUP($D185,$C$5:$AU$500,3,))*$E185)</f>
        <v>0</v>
      </c>
      <c r="H185" s="42">
        <f>IF(VLOOKUP($D185,$C$5:$AU$500,3,)=0,0,(VLOOKUP($D185,$C$5:$AU$500,6,)/VLOOKUP($D185,$C$5:$AU$500,3,))*$E185)</f>
        <v>0</v>
      </c>
      <c r="I185" s="42">
        <f>IF(VLOOKUP($D185,$C$5:$AU$500,3,)=0,0,(VLOOKUP($D185,$C$5:$AU$500,7,)/VLOOKUP($D185,$C$5:$AU$500,3,))*$E185)</f>
        <v>0</v>
      </c>
      <c r="J185" s="42">
        <f>IF(VLOOKUP($D185,$C$5:$AU$500,3,)=0,0,(VLOOKUP($D185,$C$5:$AU$500,8,)/VLOOKUP($D185,$C$5:$AU$500,3,))*$E185)</f>
        <v>0</v>
      </c>
      <c r="K185" s="42">
        <f>IF(VLOOKUP($D185,$C$5:$AU$500,3,)=0,0,(VLOOKUP($D185,$C$5:$AU$500,9,)/VLOOKUP($D185,$C$5:$AU$500,3,))*$E185)</f>
        <v>0</v>
      </c>
      <c r="L185" s="67">
        <f>IF(VLOOKUP($D185,$C$5:$AU$500,3,)=0,0,(VLOOKUP($D185,$C$5:$AU$500,10,)/VLOOKUP($D185,$C$5:$AU$500,3,))*$E185)</f>
        <v>53415.221104629236</v>
      </c>
      <c r="M185" s="42">
        <f>IF(VLOOKUP($D185,$C$5:$AU$500,3,)=0,0,(VLOOKUP($D185,$C$5:$AU$500,11,)/VLOOKUP($D185,$C$5:$AU$500,3,))*$E185)</f>
        <v>0</v>
      </c>
      <c r="N185" s="42">
        <f>IF(VLOOKUP($D185,$C$5:$AU$500,3,)=0,0,(VLOOKUP($D185,$C$5:$AU$500,12,)/VLOOKUP($D185,$C$5:$AU$500,3,))*$E185)</f>
        <v>0</v>
      </c>
      <c r="O185" s="42">
        <f>IF(VLOOKUP($D185,$C$5:$AU$500,3,)=0,0,(VLOOKUP($D185,$C$5:$AU$500,13,)/VLOOKUP($D185,$C$5:$AU$500,3,))*$E185)</f>
        <v>0</v>
      </c>
      <c r="P185" s="42">
        <f>IF(VLOOKUP($D185,$C$5:$AU$500,3,)=0,0,(VLOOKUP($D185,$C$5:$AU$500,14,)/VLOOKUP($D185,$C$5:$AU$500,3,))*$E185)</f>
        <v>0</v>
      </c>
      <c r="Q185" s="42">
        <f>IF(VLOOKUP($D185,$C$5:$AU$500,3,)=0,0,(VLOOKUP($D185,$C$5:$AU$500,15,)/VLOOKUP($D185,$C$5:$AU$500,3,))*$E185)</f>
        <v>0</v>
      </c>
      <c r="R185" s="42">
        <f>IF(VLOOKUP($D185,$C$5:$AU$500,3,)=0,0,(VLOOKUP($D185,$C$5:$AU$500,16,)/VLOOKUP($D185,$C$5:$AU$500,3,))*$E185)</f>
        <v>0</v>
      </c>
      <c r="S185" s="107">
        <f>IF(VLOOKUP($D185,$C$5:$AU$500,3,)=0,0,(VLOOKUP($D185,$C$5:$AU$500,17,)/VLOOKUP($D185,$C$5:$AU$500,3,))*$E185)</f>
        <v>0</v>
      </c>
      <c r="T185" s="107">
        <f>IF(VLOOKUP($D185,$C$5:$AU$500,3,)=0,0,(VLOOKUP($D185,$C$5:$AU$500,18,)/VLOOKUP($D185,$C$5:$AU$500,3,))*$E185)</f>
        <v>0</v>
      </c>
      <c r="U185" s="107">
        <f>IF(VLOOKUP($D185,$C$5:$AU$500,3,)=0,0,(VLOOKUP($D185,$C$5:$AU$500,19,)/VLOOKUP($D185,$C$5:$AU$500,3,))*$E185)</f>
        <v>0</v>
      </c>
      <c r="V185" s="107">
        <f>IF(VLOOKUP($D185,$C$5:$AU$500,3,)=0,0,(VLOOKUP($D185,$C$5:$AU$500,20,)/VLOOKUP($D185,$C$5:$AU$500,3,))*$E185)</f>
        <v>0</v>
      </c>
      <c r="W185" s="107">
        <f>IF(VLOOKUP($D185,$C$5:$AU$500,3,)=0,0,(VLOOKUP($D185,$C$5:$AU$500,21,)/VLOOKUP($D185,$C$5:$AU$500,3,))*$E185)</f>
        <v>0</v>
      </c>
      <c r="X185" s="107">
        <f>IF(VLOOKUP($D185,$C$5:$AU$500,3,)=0,0,(VLOOKUP($D185,$C$5:$AU$500,22,)/VLOOKUP($D185,$C$5:$AU$500,3,))*$E185)</f>
        <v>0</v>
      </c>
      <c r="Y185" s="107">
        <f>IF(VLOOKUP($D185,$C$5:$AU$500,3,)=0,0,(VLOOKUP($D185,$C$5:$AU$500,23,)/VLOOKUP($D185,$C$5:$AU$500,3,))*$E185)</f>
        <v>0</v>
      </c>
      <c r="Z185" s="107">
        <f>IF(VLOOKUP($D185,$C$5:$AU$500,3,)=0,0,(VLOOKUP($D185,$C$5:$AU$500,24,)/VLOOKUP($D185,$C$5:$AU$500,3,))*$E185)</f>
        <v>0</v>
      </c>
      <c r="AA185" s="107">
        <f>IF(VLOOKUP($D185,$C$5:$AU$500,3,)=0,0,(VLOOKUP($D185,$C$5:$AU$500,25,)/VLOOKUP($D185,$C$5:$AU$500,3,))*$E185)</f>
        <v>0</v>
      </c>
      <c r="AB185" s="107">
        <f>IF(VLOOKUP($D185,$C$5:$AU$500,3,)=0,0,(VLOOKUP($D185,$C$5:$AU$500,26,)/VLOOKUP($D185,$C$5:$AU$500,3,))*$E185)</f>
        <v>0</v>
      </c>
      <c r="AC185" s="107">
        <f>IF(VLOOKUP($D185,$C$5:$AU$500,3,)=0,0,(VLOOKUP($D185,$C$5:$AU$500,27,)/VLOOKUP($D185,$C$5:$AU$500,3,))*$E185)</f>
        <v>0</v>
      </c>
      <c r="AD185" s="107">
        <f>IF(VLOOKUP($D185,$C$5:$AU$500,3,)=0,0,(VLOOKUP($D185,$C$5:$AU$500,28,)/VLOOKUP($D185,$C$5:$AU$500,3,))*$E185)</f>
        <v>0</v>
      </c>
      <c r="AE185" s="107">
        <f>IF(VLOOKUP($D185,$C$5:$AU$500,3,)=0,0,(VLOOKUP($D185,$C$5:$AU$500,29,)/VLOOKUP($D185,$C$5:$AU$500,3,))*$E185)</f>
        <v>0</v>
      </c>
      <c r="AF185" s="107">
        <f>IF(VLOOKUP($D185,$C$5:$AU$500,3,)=0,0,(VLOOKUP($D185,$C$5:$AU$500,30,)/VLOOKUP($D185,$C$5:$AU$500,3,))*$E185)</f>
        <v>0</v>
      </c>
      <c r="AG185" s="91">
        <f>SUM(F185:AF185)</f>
        <v>53415.221104629236</v>
      </c>
      <c r="AH185" s="28" t="str">
        <f>IF(ABS(E185-AG185)&lt;0.01,"ok","err")</f>
        <v>ok</v>
      </c>
      <c r="AK185" s="41"/>
      <c r="AL185" s="211"/>
    </row>
    <row r="186" spans="1:38" x14ac:dyDescent="0.25">
      <c r="E186" s="23"/>
      <c r="AK186" s="41"/>
    </row>
    <row r="187" spans="1:38" x14ac:dyDescent="0.25">
      <c r="A187" s="13" t="s">
        <v>545</v>
      </c>
      <c r="E187" s="23"/>
      <c r="AK187" s="41"/>
    </row>
    <row r="188" spans="1:38" x14ac:dyDescent="0.25">
      <c r="A188" s="94" t="s">
        <v>220</v>
      </c>
      <c r="C188" s="14" t="s">
        <v>283</v>
      </c>
      <c r="D188" s="14" t="s">
        <v>233</v>
      </c>
      <c r="E188" s="42">
        <f>'Func &amp; Classif'!Y465</f>
        <v>964809.6054735746</v>
      </c>
      <c r="F188" s="67">
        <f>IF(VLOOKUP($D188,$C$5:$AU$500,3,)=0,0,(VLOOKUP($D188,$C$5:$AU$500,4,)/VLOOKUP($D188,$C$5:$AU$500,3,))*$E188)</f>
        <v>772315.85638520401</v>
      </c>
      <c r="G188" s="67">
        <f>IF(VLOOKUP($D188,$C$5:$AU$500,3,)=0,0,(VLOOKUP($D188,$C$5:$AU$500,5,)/VLOOKUP($D188,$C$5:$AU$500,3,))*$E188)</f>
        <v>152549.5444439337</v>
      </c>
      <c r="H188" s="42">
        <f>IF(VLOOKUP($D188,$C$5:$AU$500,3,)=0,0,(VLOOKUP($D188,$C$5:$AU$500,6,)/VLOOKUP($D188,$C$5:$AU$500,3,))*$E188)</f>
        <v>16207.569008872086</v>
      </c>
      <c r="I188" s="42">
        <f>IF(VLOOKUP($D188,$C$5:$AU$500,3,)=0,0,(VLOOKUP($D188,$C$5:$AU$500,7,)/VLOOKUP($D188,$C$5:$AU$500,3,))*$E188)</f>
        <v>20353.935432773949</v>
      </c>
      <c r="J188" s="42">
        <f>IF(VLOOKUP($D188,$C$5:$AU$500,3,)=0,0,(VLOOKUP($D188,$C$5:$AU$500,8,)/VLOOKUP($D188,$C$5:$AU$500,3,))*$E188)</f>
        <v>0</v>
      </c>
      <c r="K188" s="42">
        <f>IF(VLOOKUP($D188,$C$5:$AU$500,3,)=0,0,(VLOOKUP($D188,$C$5:$AU$500,9,)/VLOOKUP($D188,$C$5:$AU$500,3,))*$E188)</f>
        <v>31.49139056127996</v>
      </c>
      <c r="L188" s="67">
        <f>IF(VLOOKUP($D188,$C$5:$AU$500,3,)=0,0,(VLOOKUP($D188,$C$5:$AU$500,10,)/VLOOKUP($D188,$C$5:$AU$500,3,))*$E188)</f>
        <v>3351.2088122295427</v>
      </c>
      <c r="M188" s="42">
        <f>IF(VLOOKUP($D188,$C$5:$AU$500,3,)=0,0,(VLOOKUP($D188,$C$5:$AU$500,11,)/VLOOKUP($D188,$C$5:$AU$500,3,))*$E188)</f>
        <v>0</v>
      </c>
      <c r="N188" s="42">
        <f>IF(VLOOKUP($D188,$C$5:$AU$500,3,)=0,0,(VLOOKUP($D188,$C$5:$AU$500,12,)/VLOOKUP($D188,$C$5:$AU$500,3,))*$E188)</f>
        <v>0</v>
      </c>
      <c r="O188" s="42">
        <f>IF(VLOOKUP($D188,$C$5:$AU$500,3,)=0,0,(VLOOKUP($D188,$C$5:$AU$500,13,)/VLOOKUP($D188,$C$5:$AU$500,3,))*$E188)</f>
        <v>0</v>
      </c>
      <c r="P188" s="42">
        <f>IF(VLOOKUP($D188,$C$5:$AU$500,3,)=0,0,(VLOOKUP($D188,$C$5:$AU$500,14,)/VLOOKUP($D188,$C$5:$AU$500,3,))*$E188)</f>
        <v>0</v>
      </c>
      <c r="Q188" s="42">
        <f>IF(VLOOKUP($D188,$C$5:$AU$500,3,)=0,0,(VLOOKUP($D188,$C$5:$AU$500,15,)/VLOOKUP($D188,$C$5:$AU$500,3,))*$E188)</f>
        <v>0</v>
      </c>
      <c r="R188" s="42">
        <f>IF(VLOOKUP($D188,$C$5:$AU$500,3,)=0,0,(VLOOKUP($D188,$C$5:$AU$500,16,)/VLOOKUP($D188,$C$5:$AU$500,3,))*$E188)</f>
        <v>0</v>
      </c>
      <c r="S188" s="107">
        <f>IF(VLOOKUP($D188,$C$5:$AU$500,3,)=0,0,(VLOOKUP($D188,$C$5:$AU$500,17,)/VLOOKUP($D188,$C$5:$AU$500,3,))*$E188)</f>
        <v>0</v>
      </c>
      <c r="T188" s="107">
        <f>IF(VLOOKUP($D188,$C$5:$AU$500,3,)=0,0,(VLOOKUP($D188,$C$5:$AU$500,18,)/VLOOKUP($D188,$C$5:$AU$500,3,))*$E188)</f>
        <v>0</v>
      </c>
      <c r="U188" s="107">
        <f>IF(VLOOKUP($D188,$C$5:$AU$500,3,)=0,0,(VLOOKUP($D188,$C$5:$AU$500,19,)/VLOOKUP($D188,$C$5:$AU$500,3,))*$E188)</f>
        <v>0</v>
      </c>
      <c r="V188" s="107">
        <f>IF(VLOOKUP($D188,$C$5:$AU$500,3,)=0,0,(VLOOKUP($D188,$C$5:$AU$500,20,)/VLOOKUP($D188,$C$5:$AU$500,3,))*$E188)</f>
        <v>0</v>
      </c>
      <c r="W188" s="107">
        <f>IF(VLOOKUP($D188,$C$5:$AU$500,3,)=0,0,(VLOOKUP($D188,$C$5:$AU$500,21,)/VLOOKUP($D188,$C$5:$AU$500,3,))*$E188)</f>
        <v>0</v>
      </c>
      <c r="X188" s="107">
        <f>IF(VLOOKUP($D188,$C$5:$AU$500,3,)=0,0,(VLOOKUP($D188,$C$5:$AU$500,22,)/VLOOKUP($D188,$C$5:$AU$500,3,))*$E188)</f>
        <v>0</v>
      </c>
      <c r="Y188" s="107">
        <f>IF(VLOOKUP($D188,$C$5:$AU$500,3,)=0,0,(VLOOKUP($D188,$C$5:$AU$500,23,)/VLOOKUP($D188,$C$5:$AU$500,3,))*$E188)</f>
        <v>0</v>
      </c>
      <c r="Z188" s="107">
        <f>IF(VLOOKUP($D188,$C$5:$AU$500,3,)=0,0,(VLOOKUP($D188,$C$5:$AU$500,24,)/VLOOKUP($D188,$C$5:$AU$500,3,))*$E188)</f>
        <v>0</v>
      </c>
      <c r="AA188" s="107">
        <f>IF(VLOOKUP($D188,$C$5:$AU$500,3,)=0,0,(VLOOKUP($D188,$C$5:$AU$500,25,)/VLOOKUP($D188,$C$5:$AU$500,3,))*$E188)</f>
        <v>0</v>
      </c>
      <c r="AB188" s="107">
        <f>IF(VLOOKUP($D188,$C$5:$AU$500,3,)=0,0,(VLOOKUP($D188,$C$5:$AU$500,26,)/VLOOKUP($D188,$C$5:$AU$500,3,))*$E188)</f>
        <v>0</v>
      </c>
      <c r="AC188" s="107">
        <f>IF(VLOOKUP($D188,$C$5:$AU$500,3,)=0,0,(VLOOKUP($D188,$C$5:$AU$500,27,)/VLOOKUP($D188,$C$5:$AU$500,3,))*$E188)</f>
        <v>0</v>
      </c>
      <c r="AD188" s="107">
        <f>IF(VLOOKUP($D188,$C$5:$AU$500,3,)=0,0,(VLOOKUP($D188,$C$5:$AU$500,28,)/VLOOKUP($D188,$C$5:$AU$500,3,))*$E188)</f>
        <v>0</v>
      </c>
      <c r="AE188" s="107">
        <f>IF(VLOOKUP($D188,$C$5:$AU$500,3,)=0,0,(VLOOKUP($D188,$C$5:$AU$500,29,)/VLOOKUP($D188,$C$5:$AU$500,3,))*$E188)</f>
        <v>0</v>
      </c>
      <c r="AF188" s="107">
        <f>IF(VLOOKUP($D188,$C$5:$AU$500,3,)=0,0,(VLOOKUP($D188,$C$5:$AU$500,30,)/VLOOKUP($D188,$C$5:$AU$500,3,))*$E188)</f>
        <v>0</v>
      </c>
      <c r="AG188" s="91">
        <f>SUM(F188:AF188)</f>
        <v>964809.6054735746</v>
      </c>
      <c r="AH188" s="28" t="str">
        <f>IF(ABS(E188-AG188)&lt;0.01,"ok","err")</f>
        <v>ok</v>
      </c>
      <c r="AK188" s="41"/>
      <c r="AL188" s="211"/>
    </row>
    <row r="189" spans="1:38" x14ac:dyDescent="0.25">
      <c r="E189" s="23"/>
      <c r="AK189" s="41"/>
    </row>
    <row r="190" spans="1:38" x14ac:dyDescent="0.25">
      <c r="A190" s="13" t="s">
        <v>470</v>
      </c>
      <c r="E190" s="23"/>
      <c r="AK190" s="41"/>
    </row>
    <row r="191" spans="1:38" x14ac:dyDescent="0.25">
      <c r="A191" s="94" t="s">
        <v>220</v>
      </c>
      <c r="C191" s="14" t="s">
        <v>280</v>
      </c>
      <c r="D191" s="14" t="s">
        <v>234</v>
      </c>
      <c r="E191" s="42">
        <f>'Func &amp; Classif'!AA465</f>
        <v>621.07962862140471</v>
      </c>
      <c r="F191" s="67">
        <f>IF(VLOOKUP($D191,$C$5:$AU$500,3,)=0,0,(VLOOKUP($D191,$C$5:$AU$500,4,)/VLOOKUP($D191,$C$5:$AU$500,3,))*$E191)</f>
        <v>497.16508059297348</v>
      </c>
      <c r="G191" s="67">
        <f>IF(VLOOKUP($D191,$C$5:$AU$500,3,)=0,0,(VLOOKUP($D191,$C$5:$AU$500,5,)/VLOOKUP($D191,$C$5:$AU$500,3,))*$E191)</f>
        <v>98.201151680177603</v>
      </c>
      <c r="H191" s="42">
        <f>IF(VLOOKUP($D191,$C$5:$AU$500,3,)=0,0,(VLOOKUP($D191,$C$5:$AU$500,6,)/VLOOKUP($D191,$C$5:$AU$500,3,))*$E191)</f>
        <v>10.433344448250073</v>
      </c>
      <c r="I191" s="42">
        <f>IF(VLOOKUP($D191,$C$5:$AU$500,3,)=0,0,(VLOOKUP($D191,$C$5:$AU$500,7,)/VLOOKUP($D191,$C$5:$AU$500,3,))*$E191)</f>
        <v>13.102496687277782</v>
      </c>
      <c r="J191" s="42">
        <f>IF(VLOOKUP($D191,$C$5:$AU$500,3,)=0,0,(VLOOKUP($D191,$C$5:$AU$500,8,)/VLOOKUP($D191,$C$5:$AU$500,3,))*$E191)</f>
        <v>0</v>
      </c>
      <c r="K191" s="42">
        <f>IF(VLOOKUP($D191,$C$5:$AU$500,3,)=0,0,(VLOOKUP($D191,$C$5:$AU$500,9,)/VLOOKUP($D191,$C$5:$AU$500,3,))*$E191)</f>
        <v>2.0272042321729418E-2</v>
      </c>
      <c r="L191" s="67">
        <f>IF(VLOOKUP($D191,$C$5:$AU$500,3,)=0,0,(VLOOKUP($D191,$C$5:$AU$500,10,)/VLOOKUP($D191,$C$5:$AU$500,3,))*$E191)</f>
        <v>2.1572831704040389</v>
      </c>
      <c r="M191" s="42">
        <f>IF(VLOOKUP($D191,$C$5:$AU$500,3,)=0,0,(VLOOKUP($D191,$C$5:$AU$500,11,)/VLOOKUP($D191,$C$5:$AU$500,3,))*$E191)</f>
        <v>0</v>
      </c>
      <c r="N191" s="42">
        <f>IF(VLOOKUP($D191,$C$5:$AU$500,3,)=0,0,(VLOOKUP($D191,$C$5:$AU$500,12,)/VLOOKUP($D191,$C$5:$AU$500,3,))*$E191)</f>
        <v>0</v>
      </c>
      <c r="O191" s="42">
        <f>IF(VLOOKUP($D191,$C$5:$AU$500,3,)=0,0,(VLOOKUP($D191,$C$5:$AU$500,13,)/VLOOKUP($D191,$C$5:$AU$500,3,))*$E191)</f>
        <v>0</v>
      </c>
      <c r="P191" s="42">
        <f>IF(VLOOKUP($D191,$C$5:$AU$500,3,)=0,0,(VLOOKUP($D191,$C$5:$AU$500,14,)/VLOOKUP($D191,$C$5:$AU$500,3,))*$E191)</f>
        <v>0</v>
      </c>
      <c r="Q191" s="42">
        <f>IF(VLOOKUP($D191,$C$5:$AU$500,3,)=0,0,(VLOOKUP($D191,$C$5:$AU$500,15,)/VLOOKUP($D191,$C$5:$AU$500,3,))*$E191)</f>
        <v>0</v>
      </c>
      <c r="R191" s="42">
        <f>IF(VLOOKUP($D191,$C$5:$AU$500,3,)=0,0,(VLOOKUP($D191,$C$5:$AU$500,16,)/VLOOKUP($D191,$C$5:$AU$500,3,))*$E191)</f>
        <v>0</v>
      </c>
      <c r="S191" s="107">
        <f>IF(VLOOKUP($D191,$C$5:$AU$500,3,)=0,0,(VLOOKUP($D191,$C$5:$AU$500,17,)/VLOOKUP($D191,$C$5:$AU$500,3,))*$E191)</f>
        <v>0</v>
      </c>
      <c r="T191" s="107">
        <f>IF(VLOOKUP($D191,$C$5:$AU$500,3,)=0,0,(VLOOKUP($D191,$C$5:$AU$500,18,)/VLOOKUP($D191,$C$5:$AU$500,3,))*$E191)</f>
        <v>0</v>
      </c>
      <c r="U191" s="107">
        <f>IF(VLOOKUP($D191,$C$5:$AU$500,3,)=0,0,(VLOOKUP($D191,$C$5:$AU$500,19,)/VLOOKUP($D191,$C$5:$AU$500,3,))*$E191)</f>
        <v>0</v>
      </c>
      <c r="V191" s="107">
        <f>IF(VLOOKUP($D191,$C$5:$AU$500,3,)=0,0,(VLOOKUP($D191,$C$5:$AU$500,20,)/VLOOKUP($D191,$C$5:$AU$500,3,))*$E191)</f>
        <v>0</v>
      </c>
      <c r="W191" s="107">
        <f>IF(VLOOKUP($D191,$C$5:$AU$500,3,)=0,0,(VLOOKUP($D191,$C$5:$AU$500,21,)/VLOOKUP($D191,$C$5:$AU$500,3,))*$E191)</f>
        <v>0</v>
      </c>
      <c r="X191" s="107">
        <f>IF(VLOOKUP($D191,$C$5:$AU$500,3,)=0,0,(VLOOKUP($D191,$C$5:$AU$500,22,)/VLOOKUP($D191,$C$5:$AU$500,3,))*$E191)</f>
        <v>0</v>
      </c>
      <c r="Y191" s="107">
        <f>IF(VLOOKUP($D191,$C$5:$AU$500,3,)=0,0,(VLOOKUP($D191,$C$5:$AU$500,23,)/VLOOKUP($D191,$C$5:$AU$500,3,))*$E191)</f>
        <v>0</v>
      </c>
      <c r="Z191" s="107">
        <f>IF(VLOOKUP($D191,$C$5:$AU$500,3,)=0,0,(VLOOKUP($D191,$C$5:$AU$500,24,)/VLOOKUP($D191,$C$5:$AU$500,3,))*$E191)</f>
        <v>0</v>
      </c>
      <c r="AA191" s="107">
        <f>IF(VLOOKUP($D191,$C$5:$AU$500,3,)=0,0,(VLOOKUP($D191,$C$5:$AU$500,25,)/VLOOKUP($D191,$C$5:$AU$500,3,))*$E191)</f>
        <v>0</v>
      </c>
      <c r="AB191" s="107">
        <f>IF(VLOOKUP($D191,$C$5:$AU$500,3,)=0,0,(VLOOKUP($D191,$C$5:$AU$500,26,)/VLOOKUP($D191,$C$5:$AU$500,3,))*$E191)</f>
        <v>0</v>
      </c>
      <c r="AC191" s="107">
        <f>IF(VLOOKUP($D191,$C$5:$AU$500,3,)=0,0,(VLOOKUP($D191,$C$5:$AU$500,27,)/VLOOKUP($D191,$C$5:$AU$500,3,))*$E191)</f>
        <v>0</v>
      </c>
      <c r="AD191" s="107">
        <f>IF(VLOOKUP($D191,$C$5:$AU$500,3,)=0,0,(VLOOKUP($D191,$C$5:$AU$500,28,)/VLOOKUP($D191,$C$5:$AU$500,3,))*$E191)</f>
        <v>0</v>
      </c>
      <c r="AE191" s="107">
        <f>IF(VLOOKUP($D191,$C$5:$AU$500,3,)=0,0,(VLOOKUP($D191,$C$5:$AU$500,29,)/VLOOKUP($D191,$C$5:$AU$500,3,))*$E191)</f>
        <v>0</v>
      </c>
      <c r="AF191" s="107">
        <f>IF(VLOOKUP($D191,$C$5:$AU$500,3,)=0,0,(VLOOKUP($D191,$C$5:$AU$500,30,)/VLOOKUP($D191,$C$5:$AU$500,3,))*$E191)</f>
        <v>0</v>
      </c>
      <c r="AG191" s="91">
        <f>SUM(F191:AF191)</f>
        <v>621.07962862140482</v>
      </c>
      <c r="AH191" s="28" t="str">
        <f>IF(ABS(E191-AG191)&lt;0.01,"ok","err")</f>
        <v>ok</v>
      </c>
      <c r="AK191" s="41"/>
      <c r="AL191" s="211"/>
    </row>
    <row r="192" spans="1:38" x14ac:dyDescent="0.25">
      <c r="E192" s="23"/>
      <c r="AK192" s="41"/>
    </row>
    <row r="193" spans="1:38" x14ac:dyDescent="0.25">
      <c r="A193" s="14" t="s">
        <v>0</v>
      </c>
      <c r="C193" s="14" t="s">
        <v>284</v>
      </c>
      <c r="E193" s="42">
        <f>E163+E166+E169+E174+E179+E182+E185+E188+E191</f>
        <v>6312358.9900000002</v>
      </c>
      <c r="F193" s="42">
        <f t="shared" ref="F193:R193" si="66">F163+F166+F169+F174+F179+F182+F185+F188+F191</f>
        <v>4533355.5963723147</v>
      </c>
      <c r="G193" s="42">
        <f t="shared" si="66"/>
        <v>850461.49696656549</v>
      </c>
      <c r="H193" s="42">
        <f t="shared" si="66"/>
        <v>149836.37454261558</v>
      </c>
      <c r="I193" s="42">
        <f t="shared" si="66"/>
        <v>618036.95048687886</v>
      </c>
      <c r="J193" s="42">
        <f t="shared" si="66"/>
        <v>0</v>
      </c>
      <c r="K193" s="42">
        <f t="shared" si="66"/>
        <v>48668.730177844256</v>
      </c>
      <c r="L193" s="42">
        <f t="shared" si="66"/>
        <v>111999.84145378156</v>
      </c>
      <c r="M193" s="42">
        <f t="shared" si="66"/>
        <v>0</v>
      </c>
      <c r="N193" s="42">
        <f t="shared" si="66"/>
        <v>0</v>
      </c>
      <c r="O193" s="42">
        <f t="shared" si="66"/>
        <v>0</v>
      </c>
      <c r="P193" s="42">
        <f t="shared" si="66"/>
        <v>0</v>
      </c>
      <c r="Q193" s="42">
        <f t="shared" si="66"/>
        <v>0</v>
      </c>
      <c r="R193" s="42">
        <f t="shared" si="66"/>
        <v>0</v>
      </c>
      <c r="S193" s="107">
        <f t="shared" ref="S193:AF193" si="67">S163+S169+S174+S179+S182+S185+S188+S191</f>
        <v>0</v>
      </c>
      <c r="T193" s="107">
        <f t="shared" si="67"/>
        <v>0</v>
      </c>
      <c r="U193" s="107">
        <f t="shared" si="67"/>
        <v>0</v>
      </c>
      <c r="V193" s="107">
        <f t="shared" si="67"/>
        <v>0</v>
      </c>
      <c r="W193" s="107">
        <f t="shared" si="67"/>
        <v>0</v>
      </c>
      <c r="X193" s="107">
        <f t="shared" si="67"/>
        <v>0</v>
      </c>
      <c r="Y193" s="107">
        <f t="shared" si="67"/>
        <v>0</v>
      </c>
      <c r="Z193" s="107">
        <f t="shared" si="67"/>
        <v>0</v>
      </c>
      <c r="AA193" s="107">
        <f t="shared" si="67"/>
        <v>0</v>
      </c>
      <c r="AB193" s="107">
        <f t="shared" si="67"/>
        <v>0</v>
      </c>
      <c r="AC193" s="107">
        <f t="shared" si="67"/>
        <v>0</v>
      </c>
      <c r="AD193" s="107">
        <f t="shared" si="67"/>
        <v>0</v>
      </c>
      <c r="AE193" s="107">
        <f t="shared" si="67"/>
        <v>0</v>
      </c>
      <c r="AF193" s="107">
        <f t="shared" si="67"/>
        <v>0</v>
      </c>
      <c r="AG193" s="91">
        <f>SUM(F193:AF193)</f>
        <v>6312358.9900000002</v>
      </c>
      <c r="AH193" s="28" t="str">
        <f>IF(ABS(E193-AG193)&lt;0.01,"ok","err")</f>
        <v>ok</v>
      </c>
      <c r="AK193" s="41"/>
      <c r="AL193" s="211"/>
    </row>
    <row r="194" spans="1:38" x14ac:dyDescent="0.25">
      <c r="E194" s="200">
        <f>E193/$E193</f>
        <v>1</v>
      </c>
      <c r="F194" s="200">
        <f>F193/$E193</f>
        <v>0.71817138466839869</v>
      </c>
      <c r="G194" s="200">
        <f t="shared" ref="G194" si="68">G193/$E193</f>
        <v>0.1347295833956626</v>
      </c>
      <c r="H194" s="200">
        <f t="shared" ref="H194" si="69">H193/$E193</f>
        <v>2.3736985615042717E-2</v>
      </c>
      <c r="I194" s="200">
        <f t="shared" ref="I194" si="70">I193/$E193</f>
        <v>9.7909030754741472E-2</v>
      </c>
      <c r="J194" s="200">
        <f t="shared" ref="J194" si="71">J193/$E193</f>
        <v>0</v>
      </c>
      <c r="K194" s="200">
        <f t="shared" ref="K194" si="72">K193/$E193</f>
        <v>7.7100700791803752E-3</v>
      </c>
      <c r="L194" s="200">
        <f t="shared" ref="L194" si="73">L193/$E193</f>
        <v>1.7742945486974204E-2</v>
      </c>
      <c r="M194" s="48">
        <f t="shared" ref="M194" si="74">M193/$E193</f>
        <v>0</v>
      </c>
    </row>
    <row r="196" spans="1:38" x14ac:dyDescent="0.25">
      <c r="A196" s="26" t="s">
        <v>184</v>
      </c>
    </row>
    <row r="198" spans="1:38" x14ac:dyDescent="0.25">
      <c r="A198" s="13" t="s">
        <v>893</v>
      </c>
    </row>
    <row r="199" spans="1:38" x14ac:dyDescent="0.25">
      <c r="A199" s="94" t="s">
        <v>208</v>
      </c>
      <c r="C199" s="14" t="s">
        <v>285</v>
      </c>
      <c r="D199" s="14" t="s">
        <v>657</v>
      </c>
      <c r="E199" s="42">
        <f>'Func &amp; Classif'!H312</f>
        <v>0</v>
      </c>
      <c r="F199" s="67">
        <f>IF(VLOOKUP($D199,$C$5:$AU$500,3,)=0,0,(VLOOKUP($D199,$C$5:$AU$500,4,)/VLOOKUP($D199,$C$5:$AU$500,3,))*$E199)</f>
        <v>0</v>
      </c>
      <c r="G199" s="67">
        <f>IF(VLOOKUP($D199,$C$5:$AU$500,3,)=0,0,(VLOOKUP($D199,$C$5:$AU$500,5,)/VLOOKUP($D199,$C$5:$AU$500,3,))*$E199)</f>
        <v>0</v>
      </c>
      <c r="H199" s="42">
        <f>IF(VLOOKUP($D199,$C$5:$AU$500,3,)=0,0,(VLOOKUP($D199,$C$5:$AU$500,6,)/VLOOKUP($D199,$C$5:$AU$500,3,))*$E199)</f>
        <v>0</v>
      </c>
      <c r="I199" s="42">
        <f>IF(VLOOKUP($D199,$C$5:$AU$500,3,)=0,0,(VLOOKUP($D199,$C$5:$AU$500,7,)/VLOOKUP($D199,$C$5:$AU$500,3,))*$E199)</f>
        <v>0</v>
      </c>
      <c r="J199" s="42">
        <f>IF(VLOOKUP($D199,$C$5:$AU$500,3,)=0,0,(VLOOKUP($D199,$C$5:$AU$500,8,)/VLOOKUP($D199,$C$5:$AU$500,3,))*$E199)</f>
        <v>0</v>
      </c>
      <c r="K199" s="42">
        <f>IF(VLOOKUP($D199,$C$5:$AU$500,3,)=0,0,(VLOOKUP($D199,$C$5:$AU$500,9,)/VLOOKUP($D199,$C$5:$AU$500,3,))*$E199)</f>
        <v>0</v>
      </c>
      <c r="L199" s="67">
        <f>IF(VLOOKUP($D199,$C$5:$AU$500,3,)=0,0,(VLOOKUP($D199,$C$5:$AU$500,10,)/VLOOKUP($D199,$C$5:$AU$500,3,))*$E199)</f>
        <v>0</v>
      </c>
      <c r="M199" s="42">
        <f>IF(VLOOKUP($D199,$C$5:$AU$500,3,)=0,0,(VLOOKUP($D199,$C$5:$AU$500,11,)/VLOOKUP($D199,$C$5:$AU$500,3,))*$E199)</f>
        <v>0</v>
      </c>
      <c r="N199" s="42">
        <f>IF(VLOOKUP($D199,$C$5:$AU$500,3,)=0,0,(VLOOKUP($D199,$C$5:$AU$500,12,)/VLOOKUP($D199,$C$5:$AU$500,3,))*$E199)</f>
        <v>0</v>
      </c>
      <c r="O199" s="42">
        <f>IF(VLOOKUP($D199,$C$5:$AU$500,3,)=0,0,(VLOOKUP($D199,$C$5:$AU$500,13,)/VLOOKUP($D199,$C$5:$AU$500,3,))*$E199)</f>
        <v>0</v>
      </c>
      <c r="P199" s="42">
        <f>IF(VLOOKUP($D199,$C$5:$AU$500,3,)=0,0,(VLOOKUP($D199,$C$5:$AU$500,14,)/VLOOKUP($D199,$C$5:$AU$500,3,))*$E199)</f>
        <v>0</v>
      </c>
      <c r="Q199" s="42">
        <f>IF(VLOOKUP($D199,$C$5:$AU$500,3,)=0,0,(VLOOKUP($D199,$C$5:$AU$500,15,)/VLOOKUP($D199,$C$5:$AU$500,3,))*$E199)</f>
        <v>0</v>
      </c>
      <c r="R199" s="42">
        <f>IF(VLOOKUP($D199,$C$5:$AU$500,3,)=0,0,(VLOOKUP($D199,$C$5:$AU$500,16,)/VLOOKUP($D199,$C$5:$AU$500,3,))*$E199)</f>
        <v>0</v>
      </c>
      <c r="S199" s="107">
        <f>IF(VLOOKUP($D199,$C$5:$AU$500,3,)=0,0,(VLOOKUP($D199,$C$5:$AU$500,17,)/VLOOKUP($D199,$C$5:$AU$500,3,))*$E199)</f>
        <v>0</v>
      </c>
      <c r="T199" s="107">
        <f>IF(VLOOKUP($D199,$C$5:$AU$500,3,)=0,0,(VLOOKUP($D199,$C$5:$AU$500,18,)/VLOOKUP($D199,$C$5:$AU$500,3,))*$E199)</f>
        <v>0</v>
      </c>
      <c r="U199" s="107">
        <f>IF(VLOOKUP($D199,$C$5:$AU$500,3,)=0,0,(VLOOKUP($D199,$C$5:$AU$500,19,)/VLOOKUP($D199,$C$5:$AU$500,3,))*$E199)</f>
        <v>0</v>
      </c>
      <c r="V199" s="107">
        <f>IF(VLOOKUP($D199,$C$5:$AU$500,3,)=0,0,(VLOOKUP($D199,$C$5:$AU$500,20,)/VLOOKUP($D199,$C$5:$AU$500,3,))*$E199)</f>
        <v>0</v>
      </c>
      <c r="W199" s="107">
        <f>IF(VLOOKUP($D199,$C$5:$AU$500,3,)=0,0,(VLOOKUP($D199,$C$5:$AU$500,21,)/VLOOKUP($D199,$C$5:$AU$500,3,))*$E199)</f>
        <v>0</v>
      </c>
      <c r="X199" s="107">
        <f>IF(VLOOKUP($D199,$C$5:$AU$500,3,)=0,0,(VLOOKUP($D199,$C$5:$AU$500,22,)/VLOOKUP($D199,$C$5:$AU$500,3,))*$E199)</f>
        <v>0</v>
      </c>
      <c r="Y199" s="107">
        <f>IF(VLOOKUP($D199,$C$5:$AU$500,3,)=0,0,(VLOOKUP($D199,$C$5:$AU$500,23,)/VLOOKUP($D199,$C$5:$AU$500,3,))*$E199)</f>
        <v>0</v>
      </c>
      <c r="Z199" s="107">
        <f>IF(VLOOKUP($D199,$C$5:$AU$500,3,)=0,0,(VLOOKUP($D199,$C$5:$AU$500,24,)/VLOOKUP($D199,$C$5:$AU$500,3,))*$E199)</f>
        <v>0</v>
      </c>
      <c r="AA199" s="107">
        <f>IF(VLOOKUP($D199,$C$5:$AU$500,3,)=0,0,(VLOOKUP($D199,$C$5:$AU$500,25,)/VLOOKUP($D199,$C$5:$AU$500,3,))*$E199)</f>
        <v>0</v>
      </c>
      <c r="AB199" s="107">
        <f>IF(VLOOKUP($D199,$C$5:$AU$500,3,)=0,0,(VLOOKUP($D199,$C$5:$AU$500,26,)/VLOOKUP($D199,$C$5:$AU$500,3,))*$E199)</f>
        <v>0</v>
      </c>
      <c r="AC199" s="107">
        <f>IF(VLOOKUP($D199,$C$5:$AU$500,3,)=0,0,(VLOOKUP($D199,$C$5:$AU$500,27,)/VLOOKUP($D199,$C$5:$AU$500,3,))*$E199)</f>
        <v>0</v>
      </c>
      <c r="AD199" s="107">
        <f>IF(VLOOKUP($D199,$C$5:$AU$500,3,)=0,0,(VLOOKUP($D199,$C$5:$AU$500,28,)/VLOOKUP($D199,$C$5:$AU$500,3,))*$E199)</f>
        <v>0</v>
      </c>
      <c r="AE199" s="107">
        <f>IF(VLOOKUP($D199,$C$5:$AU$500,3,)=0,0,(VLOOKUP($D199,$C$5:$AU$500,29,)/VLOOKUP($D199,$C$5:$AU$500,3,))*$E199)</f>
        <v>0</v>
      </c>
      <c r="AF199" s="107">
        <f>IF(VLOOKUP($D199,$C$5:$AU$500,3,)=0,0,(VLOOKUP($D199,$C$5:$AU$500,30,)/VLOOKUP($D199,$C$5:$AU$500,3,))*$E199)</f>
        <v>0</v>
      </c>
      <c r="AG199" s="91">
        <f>SUM(F199:AF199)</f>
        <v>0</v>
      </c>
      <c r="AH199" s="28" t="str">
        <f>IF(ABS(E199-AG199)&lt;0.01,"ok","err")</f>
        <v>ok</v>
      </c>
    </row>
    <row r="200" spans="1:38" x14ac:dyDescent="0.25">
      <c r="A200" s="94" t="s">
        <v>211</v>
      </c>
      <c r="C200" s="14" t="s">
        <v>286</v>
      </c>
      <c r="D200" s="14" t="s">
        <v>666</v>
      </c>
      <c r="E200" s="23">
        <f>'Func &amp; Classif'!I312</f>
        <v>0</v>
      </c>
      <c r="F200" s="67">
        <f>IF(VLOOKUP($D200,$C$5:$AU$500,3,)=0,0,(VLOOKUP($D200,$C$5:$AU$500,4,)/VLOOKUP($D200,$C$5:$AU$500,3,))*$E200)</f>
        <v>0</v>
      </c>
      <c r="G200" s="67">
        <f>IF(VLOOKUP($D200,$C$5:$AU$500,3,)=0,0,(VLOOKUP($D200,$C$5:$AU$500,5,)/VLOOKUP($D200,$C$5:$AU$500,3,))*$E200)</f>
        <v>0</v>
      </c>
      <c r="H200" s="42">
        <f>IF(VLOOKUP($D200,$C$5:$AU$500,3,)=0,0,(VLOOKUP($D200,$C$5:$AU$500,6,)/VLOOKUP($D200,$C$5:$AU$500,3,))*$E200)</f>
        <v>0</v>
      </c>
      <c r="I200" s="42">
        <f>IF(VLOOKUP($D200,$C$5:$AU$500,3,)=0,0,(VLOOKUP($D200,$C$5:$AU$500,7,)/VLOOKUP($D200,$C$5:$AU$500,3,))*$E200)</f>
        <v>0</v>
      </c>
      <c r="J200" s="42">
        <f>IF(VLOOKUP($D200,$C$5:$AU$500,3,)=0,0,(VLOOKUP($D200,$C$5:$AU$500,8,)/VLOOKUP($D200,$C$5:$AU$500,3,))*$E200)</f>
        <v>0</v>
      </c>
      <c r="K200" s="42">
        <f>IF(VLOOKUP($D200,$C$5:$AU$500,3,)=0,0,(VLOOKUP($D200,$C$5:$AU$500,9,)/VLOOKUP($D200,$C$5:$AU$500,3,))*$E200)</f>
        <v>0</v>
      </c>
      <c r="L200" s="67">
        <f>IF(VLOOKUP($D200,$C$5:$AU$500,3,)=0,0,(VLOOKUP($D200,$C$5:$AU$500,10,)/VLOOKUP($D200,$C$5:$AU$500,3,))*$E200)</f>
        <v>0</v>
      </c>
      <c r="M200" s="42">
        <f>IF(VLOOKUP($D200,$C$5:$AU$500,3,)=0,0,(VLOOKUP($D200,$C$5:$AU$500,11,)/VLOOKUP($D200,$C$5:$AU$500,3,))*$E200)</f>
        <v>0</v>
      </c>
      <c r="N200" s="42">
        <f>IF(VLOOKUP($D200,$C$5:$AU$500,3,)=0,0,(VLOOKUP($D200,$C$5:$AU$500,12,)/VLOOKUP($D200,$C$5:$AU$500,3,))*$E200)</f>
        <v>0</v>
      </c>
      <c r="O200" s="42">
        <f>IF(VLOOKUP($D200,$C$5:$AU$500,3,)=0,0,(VLOOKUP($D200,$C$5:$AU$500,13,)/VLOOKUP($D200,$C$5:$AU$500,3,))*$E200)</f>
        <v>0</v>
      </c>
      <c r="P200" s="42">
        <f>IF(VLOOKUP($D200,$C$5:$AU$500,3,)=0,0,(VLOOKUP($D200,$C$5:$AU$500,14,)/VLOOKUP($D200,$C$5:$AU$500,3,))*$E200)</f>
        <v>0</v>
      </c>
      <c r="Q200" s="42">
        <f>IF(VLOOKUP($D200,$C$5:$AU$500,3,)=0,0,(VLOOKUP($D200,$C$5:$AU$500,15,)/VLOOKUP($D200,$C$5:$AU$500,3,))*$E200)</f>
        <v>0</v>
      </c>
      <c r="R200" s="42">
        <f>IF(VLOOKUP($D200,$C$5:$AU$500,3,)=0,0,(VLOOKUP($D200,$C$5:$AU$500,16,)/VLOOKUP($D200,$C$5:$AU$500,3,))*$E200)</f>
        <v>0</v>
      </c>
      <c r="S200" s="107">
        <f>IF(VLOOKUP($D200,$C$5:$AU$500,3,)=0,0,(VLOOKUP($D200,$C$5:$AU$500,17,)/VLOOKUP($D200,$C$5:$AU$500,3,))*$E200)</f>
        <v>0</v>
      </c>
      <c r="T200" s="107">
        <f>IF(VLOOKUP($D200,$C$5:$AU$500,3,)=0,0,(VLOOKUP($D200,$C$5:$AU$500,18,)/VLOOKUP($D200,$C$5:$AU$500,3,))*$E200)</f>
        <v>0</v>
      </c>
      <c r="U200" s="107">
        <f>IF(VLOOKUP($D200,$C$5:$AU$500,3,)=0,0,(VLOOKUP($D200,$C$5:$AU$500,19,)/VLOOKUP($D200,$C$5:$AU$500,3,))*$E200)</f>
        <v>0</v>
      </c>
      <c r="V200" s="107">
        <f>IF(VLOOKUP($D200,$C$5:$AU$500,3,)=0,0,(VLOOKUP($D200,$C$5:$AU$500,20,)/VLOOKUP($D200,$C$5:$AU$500,3,))*$E200)</f>
        <v>0</v>
      </c>
      <c r="W200" s="107">
        <f>IF(VLOOKUP($D200,$C$5:$AU$500,3,)=0,0,(VLOOKUP($D200,$C$5:$AU$500,21,)/VLOOKUP($D200,$C$5:$AU$500,3,))*$E200)</f>
        <v>0</v>
      </c>
      <c r="X200" s="107">
        <f>IF(VLOOKUP($D200,$C$5:$AU$500,3,)=0,0,(VLOOKUP($D200,$C$5:$AU$500,22,)/VLOOKUP($D200,$C$5:$AU$500,3,))*$E200)</f>
        <v>0</v>
      </c>
      <c r="Y200" s="107">
        <f>IF(VLOOKUP($D200,$C$5:$AU$500,3,)=0,0,(VLOOKUP($D200,$C$5:$AU$500,23,)/VLOOKUP($D200,$C$5:$AU$500,3,))*$E200)</f>
        <v>0</v>
      </c>
      <c r="Z200" s="107">
        <f>IF(VLOOKUP($D200,$C$5:$AU$500,3,)=0,0,(VLOOKUP($D200,$C$5:$AU$500,24,)/VLOOKUP($D200,$C$5:$AU$500,3,))*$E200)</f>
        <v>0</v>
      </c>
      <c r="AA200" s="107">
        <f>IF(VLOOKUP($D200,$C$5:$AU$500,3,)=0,0,(VLOOKUP($D200,$C$5:$AU$500,25,)/VLOOKUP($D200,$C$5:$AU$500,3,))*$E200)</f>
        <v>0</v>
      </c>
      <c r="AB200" s="107">
        <f>IF(VLOOKUP($D200,$C$5:$AU$500,3,)=0,0,(VLOOKUP($D200,$C$5:$AU$500,26,)/VLOOKUP($D200,$C$5:$AU$500,3,))*$E200)</f>
        <v>0</v>
      </c>
      <c r="AC200" s="107">
        <f>IF(VLOOKUP($D200,$C$5:$AU$500,3,)=0,0,(VLOOKUP($D200,$C$5:$AU$500,27,)/VLOOKUP($D200,$C$5:$AU$500,3,))*$E200)</f>
        <v>0</v>
      </c>
      <c r="AD200" s="107">
        <f>IF(VLOOKUP($D200,$C$5:$AU$500,3,)=0,0,(VLOOKUP($D200,$C$5:$AU$500,28,)/VLOOKUP($D200,$C$5:$AU$500,3,))*$E200)</f>
        <v>0</v>
      </c>
      <c r="AE200" s="107">
        <f>IF(VLOOKUP($D200,$C$5:$AU$500,3,)=0,0,(VLOOKUP($D200,$C$5:$AU$500,29,)/VLOOKUP($D200,$C$5:$AU$500,3,))*$E200)</f>
        <v>0</v>
      </c>
      <c r="AF200" s="107">
        <f>IF(VLOOKUP($D200,$C$5:$AU$500,3,)=0,0,(VLOOKUP($D200,$C$5:$AU$500,30,)/VLOOKUP($D200,$C$5:$AU$500,3,))*$E200)</f>
        <v>0</v>
      </c>
      <c r="AG200" s="91">
        <f>SUM(F200:AF200)</f>
        <v>0</v>
      </c>
      <c r="AH200" s="28" t="str">
        <f>IF(ABS(E200-AG200)&lt;0.01,"ok","err")</f>
        <v>ok</v>
      </c>
    </row>
    <row r="201" spans="1:38" x14ac:dyDescent="0.25">
      <c r="A201" s="14" t="s">
        <v>214</v>
      </c>
      <c r="C201" s="14" t="s">
        <v>287</v>
      </c>
      <c r="E201" s="23">
        <f t="shared" ref="E201:T201" si="75">E199+E200</f>
        <v>0</v>
      </c>
      <c r="F201" s="67">
        <f t="shared" si="75"/>
        <v>0</v>
      </c>
      <c r="G201" s="67">
        <f t="shared" si="75"/>
        <v>0</v>
      </c>
      <c r="H201" s="42">
        <f t="shared" si="75"/>
        <v>0</v>
      </c>
      <c r="I201" s="42">
        <f t="shared" si="75"/>
        <v>0</v>
      </c>
      <c r="J201" s="42">
        <f t="shared" si="75"/>
        <v>0</v>
      </c>
      <c r="K201" s="42">
        <f t="shared" si="75"/>
        <v>0</v>
      </c>
      <c r="L201" s="67">
        <f t="shared" si="75"/>
        <v>0</v>
      </c>
      <c r="M201" s="42">
        <f t="shared" si="75"/>
        <v>0</v>
      </c>
      <c r="N201" s="42">
        <f t="shared" si="75"/>
        <v>0</v>
      </c>
      <c r="O201" s="42">
        <f t="shared" si="75"/>
        <v>0</v>
      </c>
      <c r="P201" s="42">
        <f t="shared" si="75"/>
        <v>0</v>
      </c>
      <c r="Q201" s="42">
        <f t="shared" si="75"/>
        <v>0</v>
      </c>
      <c r="R201" s="42">
        <f t="shared" si="75"/>
        <v>0</v>
      </c>
      <c r="S201" s="107">
        <f t="shared" si="75"/>
        <v>0</v>
      </c>
      <c r="T201" s="107">
        <f t="shared" si="75"/>
        <v>0</v>
      </c>
      <c r="U201" s="107">
        <f t="shared" ref="U201:AF201" si="76">U199+U200</f>
        <v>0</v>
      </c>
      <c r="V201" s="107">
        <f t="shared" si="76"/>
        <v>0</v>
      </c>
      <c r="W201" s="107">
        <f t="shared" si="76"/>
        <v>0</v>
      </c>
      <c r="X201" s="107">
        <f t="shared" si="76"/>
        <v>0</v>
      </c>
      <c r="Y201" s="107">
        <f t="shared" si="76"/>
        <v>0</v>
      </c>
      <c r="Z201" s="107">
        <f t="shared" si="76"/>
        <v>0</v>
      </c>
      <c r="AA201" s="107">
        <f t="shared" si="76"/>
        <v>0</v>
      </c>
      <c r="AB201" s="107">
        <f t="shared" si="76"/>
        <v>0</v>
      </c>
      <c r="AC201" s="107">
        <f t="shared" si="76"/>
        <v>0</v>
      </c>
      <c r="AD201" s="107">
        <f t="shared" si="76"/>
        <v>0</v>
      </c>
      <c r="AE201" s="107">
        <f t="shared" si="76"/>
        <v>0</v>
      </c>
      <c r="AF201" s="107">
        <f t="shared" si="76"/>
        <v>0</v>
      </c>
      <c r="AG201" s="91">
        <f>SUM(F201:AF201)</f>
        <v>0</v>
      </c>
      <c r="AH201" s="28" t="str">
        <f>IF(ABS(E201-AG201)&lt;0.01,"ok","err")</f>
        <v>ok</v>
      </c>
    </row>
    <row r="202" spans="1:38" x14ac:dyDescent="0.25">
      <c r="E202" s="23"/>
      <c r="F202" s="50"/>
    </row>
    <row r="203" spans="1:38" x14ac:dyDescent="0.25">
      <c r="A203" s="13" t="s">
        <v>349</v>
      </c>
      <c r="E203" s="23"/>
      <c r="F203" s="50"/>
    </row>
    <row r="204" spans="1:38" x14ac:dyDescent="0.25">
      <c r="A204" s="94" t="s">
        <v>208</v>
      </c>
      <c r="C204" s="14" t="s">
        <v>887</v>
      </c>
      <c r="D204" s="14" t="s">
        <v>600</v>
      </c>
      <c r="E204" s="42">
        <f>'Func &amp; Classif'!K312</f>
        <v>0</v>
      </c>
      <c r="F204" s="67">
        <f>IF(VLOOKUP($D204,$C$5:$AU$500,3,)=0,0,(VLOOKUP($D204,$C$5:$AU$500,4,)/VLOOKUP($D204,$C$5:$AU$500,3,))*$E204)</f>
        <v>0</v>
      </c>
      <c r="G204" s="67">
        <f>IF(VLOOKUP($D204,$C$5:$AU$500,3,)=0,0,(VLOOKUP($D204,$C$5:$AU$500,5,)/VLOOKUP($D204,$C$5:$AU$500,3,))*$E204)</f>
        <v>0</v>
      </c>
      <c r="H204" s="42">
        <f>IF(VLOOKUP($D204,$C$5:$AU$500,3,)=0,0,(VLOOKUP($D204,$C$5:$AU$500,6,)/VLOOKUP($D204,$C$5:$AU$500,3,))*$E204)</f>
        <v>0</v>
      </c>
      <c r="I204" s="42">
        <f>IF(VLOOKUP($D204,$C$5:$AU$500,3,)=0,0,(VLOOKUP($D204,$C$5:$AU$500,7,)/VLOOKUP($D204,$C$5:$AU$500,3,))*$E204)</f>
        <v>0</v>
      </c>
      <c r="J204" s="42">
        <f>IF(VLOOKUP($D204,$C$5:$AU$500,3,)=0,0,(VLOOKUP($D204,$C$5:$AU$500,8,)/VLOOKUP($D204,$C$5:$AU$500,3,))*$E204)</f>
        <v>0</v>
      </c>
      <c r="K204" s="42">
        <f>IF(VLOOKUP($D204,$C$5:$AU$500,3,)=0,0,(VLOOKUP($D204,$C$5:$AU$500,9,)/VLOOKUP($D204,$C$5:$AU$500,3,))*$E204)</f>
        <v>0</v>
      </c>
      <c r="L204" s="67">
        <f>IF(VLOOKUP($D204,$C$5:$AU$500,3,)=0,0,(VLOOKUP($D204,$C$5:$AU$500,10,)/VLOOKUP($D204,$C$5:$AU$500,3,))*$E204)</f>
        <v>0</v>
      </c>
      <c r="M204" s="42">
        <f>IF(VLOOKUP($D204,$C$5:$AU$500,3,)=0,0,(VLOOKUP($D204,$C$5:$AU$500,11,)/VLOOKUP($D204,$C$5:$AU$500,3,))*$E204)</f>
        <v>0</v>
      </c>
      <c r="N204" s="42">
        <f>IF(VLOOKUP($D204,$C$5:$AU$500,3,)=0,0,(VLOOKUP($D204,$C$5:$AU$500,12,)/VLOOKUP($D204,$C$5:$AU$500,3,))*$E204)</f>
        <v>0</v>
      </c>
      <c r="O204" s="42">
        <f>IF(VLOOKUP($D204,$C$5:$AU$500,3,)=0,0,(VLOOKUP($D204,$C$5:$AU$500,13,)/VLOOKUP($D204,$C$5:$AU$500,3,))*$E204)</f>
        <v>0</v>
      </c>
      <c r="P204" s="42">
        <f>IF(VLOOKUP($D204,$C$5:$AU$500,3,)=0,0,(VLOOKUP($D204,$C$5:$AU$500,14,)/VLOOKUP($D204,$C$5:$AU$500,3,))*$E204)</f>
        <v>0</v>
      </c>
      <c r="Q204" s="42">
        <f>IF(VLOOKUP($D204,$C$5:$AU$500,3,)=0,0,(VLOOKUP($D204,$C$5:$AU$500,15,)/VLOOKUP($D204,$C$5:$AU$500,3,))*$E204)</f>
        <v>0</v>
      </c>
      <c r="R204" s="42">
        <f>IF(VLOOKUP($D204,$C$5:$AU$500,3,)=0,0,(VLOOKUP($D204,$C$5:$AU$500,16,)/VLOOKUP($D204,$C$5:$AU$500,3,))*$E204)</f>
        <v>0</v>
      </c>
      <c r="S204" s="107">
        <f>IF(VLOOKUP($D204,$C$5:$AU$500,3,)=0,0,(VLOOKUP($D204,$C$5:$AU$500,17,)/VLOOKUP($D204,$C$5:$AU$500,3,))*$E204)</f>
        <v>0</v>
      </c>
      <c r="T204" s="107">
        <f>IF(VLOOKUP($D204,$C$5:$AU$500,3,)=0,0,(VLOOKUP($D204,$C$5:$AU$500,18,)/VLOOKUP($D204,$C$5:$AU$500,3,))*$E204)</f>
        <v>0</v>
      </c>
      <c r="U204" s="107">
        <f>IF(VLOOKUP($D204,$C$5:$AU$500,3,)=0,0,(VLOOKUP($D204,$C$5:$AU$500,19,)/VLOOKUP($D204,$C$5:$AU$500,3,))*$E204)</f>
        <v>0</v>
      </c>
      <c r="V204" s="107">
        <f>IF(VLOOKUP($D204,$C$5:$AU$500,3,)=0,0,(VLOOKUP($D204,$C$5:$AU$500,20,)/VLOOKUP($D204,$C$5:$AU$500,3,))*$E204)</f>
        <v>0</v>
      </c>
      <c r="W204" s="107">
        <f>IF(VLOOKUP($D204,$C$5:$AU$500,3,)=0,0,(VLOOKUP($D204,$C$5:$AU$500,21,)/VLOOKUP($D204,$C$5:$AU$500,3,))*$E204)</f>
        <v>0</v>
      </c>
      <c r="X204" s="107">
        <f>IF(VLOOKUP($D204,$C$5:$AU$500,3,)=0,0,(VLOOKUP($D204,$C$5:$AU$500,22,)/VLOOKUP($D204,$C$5:$AU$500,3,))*$E204)</f>
        <v>0</v>
      </c>
      <c r="Y204" s="107">
        <f>IF(VLOOKUP($D204,$C$5:$AU$500,3,)=0,0,(VLOOKUP($D204,$C$5:$AU$500,23,)/VLOOKUP($D204,$C$5:$AU$500,3,))*$E204)</f>
        <v>0</v>
      </c>
      <c r="Z204" s="107">
        <f>IF(VLOOKUP($D204,$C$5:$AU$500,3,)=0,0,(VLOOKUP($D204,$C$5:$AU$500,24,)/VLOOKUP($D204,$C$5:$AU$500,3,))*$E204)</f>
        <v>0</v>
      </c>
      <c r="AA204" s="107">
        <f>IF(VLOOKUP($D204,$C$5:$AU$500,3,)=0,0,(VLOOKUP($D204,$C$5:$AU$500,25,)/VLOOKUP($D204,$C$5:$AU$500,3,))*$E204)</f>
        <v>0</v>
      </c>
      <c r="AB204" s="107">
        <f>IF(VLOOKUP($D204,$C$5:$AU$500,3,)=0,0,(VLOOKUP($D204,$C$5:$AU$500,26,)/VLOOKUP($D204,$C$5:$AU$500,3,))*$E204)</f>
        <v>0</v>
      </c>
      <c r="AC204" s="107">
        <f>IF(VLOOKUP($D204,$C$5:$AU$500,3,)=0,0,(VLOOKUP($D204,$C$5:$AU$500,27,)/VLOOKUP($D204,$C$5:$AU$500,3,))*$E204)</f>
        <v>0</v>
      </c>
      <c r="AD204" s="107">
        <f>IF(VLOOKUP($D204,$C$5:$AU$500,3,)=0,0,(VLOOKUP($D204,$C$5:$AU$500,28,)/VLOOKUP($D204,$C$5:$AU$500,3,))*$E204)</f>
        <v>0</v>
      </c>
      <c r="AE204" s="107">
        <f>IF(VLOOKUP($D204,$C$5:$AU$500,3,)=0,0,(VLOOKUP($D204,$C$5:$AU$500,29,)/VLOOKUP($D204,$C$5:$AU$500,3,))*$E204)</f>
        <v>0</v>
      </c>
      <c r="AF204" s="107">
        <f>IF(VLOOKUP($D204,$C$5:$AU$500,3,)=0,0,(VLOOKUP($D204,$C$5:$AU$500,30,)/VLOOKUP($D204,$C$5:$AU$500,3,))*$E204)</f>
        <v>0</v>
      </c>
      <c r="AG204" s="91">
        <f>SUM(F204:AF204)</f>
        <v>0</v>
      </c>
      <c r="AH204" s="28" t="str">
        <f>IF(ABS(E204-AG204)&lt;0.01,"ok","err")</f>
        <v>ok</v>
      </c>
    </row>
    <row r="205" spans="1:38" x14ac:dyDescent="0.25">
      <c r="E205" s="23"/>
    </row>
    <row r="206" spans="1:38" x14ac:dyDescent="0.25">
      <c r="A206" s="13" t="s">
        <v>1</v>
      </c>
      <c r="E206" s="23"/>
      <c r="F206" s="50"/>
    </row>
    <row r="207" spans="1:38" x14ac:dyDescent="0.25">
      <c r="A207" s="94" t="s">
        <v>208</v>
      </c>
      <c r="C207" s="14" t="s">
        <v>288</v>
      </c>
      <c r="D207" s="14" t="s">
        <v>616</v>
      </c>
      <c r="E207" s="42">
        <f>'Func &amp; Classif'!M312</f>
        <v>958557.1134289141</v>
      </c>
      <c r="F207" s="67">
        <f>IF(VLOOKUP($D207,$C$5:$AU$500,3,)=0,0,(VLOOKUP($D207,$C$5:$AU$500,4,)/VLOOKUP($D207,$C$5:$AU$500,3,))*$E207)</f>
        <v>603102.55370479496</v>
      </c>
      <c r="G207" s="67">
        <f>IF(VLOOKUP($D207,$C$5:$AU$500,3,)=0,0,(VLOOKUP($D207,$C$5:$AU$500,5,)/VLOOKUP($D207,$C$5:$AU$500,3,))*$E207)</f>
        <v>59006.446368339995</v>
      </c>
      <c r="H207" s="42">
        <f>IF(VLOOKUP($D207,$C$5:$AU$500,3,)=0,0,(VLOOKUP($D207,$C$5:$AU$500,6,)/VLOOKUP($D207,$C$5:$AU$500,3,))*$E207)</f>
        <v>16779.576575202649</v>
      </c>
      <c r="I207" s="42">
        <f>IF(VLOOKUP($D207,$C$5:$AU$500,3,)=0,0,(VLOOKUP($D207,$C$5:$AU$500,7,)/VLOOKUP($D207,$C$5:$AU$500,3,))*$E207)</f>
        <v>242630.576326457</v>
      </c>
      <c r="J207" s="42">
        <f>IF(VLOOKUP($D207,$C$5:$AU$500,3,)=0,0,(VLOOKUP($D207,$C$5:$AU$500,8,)/VLOOKUP($D207,$C$5:$AU$500,3,))*$E207)</f>
        <v>0</v>
      </c>
      <c r="K207" s="42">
        <f>IF(VLOOKUP($D207,$C$5:$AU$500,3,)=0,0,(VLOOKUP($D207,$C$5:$AU$500,9,)/VLOOKUP($D207,$C$5:$AU$500,3,))*$E207)</f>
        <v>30612.606112407575</v>
      </c>
      <c r="L207" s="67">
        <f>IF(VLOOKUP($D207,$C$5:$AU$500,3,)=0,0,(VLOOKUP($D207,$C$5:$AU$500,10,)/VLOOKUP($D207,$C$5:$AU$500,3,))*$E207)</f>
        <v>6425.3543417119336</v>
      </c>
      <c r="M207" s="42">
        <f>IF(VLOOKUP($D207,$C$5:$AU$500,3,)=0,0,(VLOOKUP($D207,$C$5:$AU$500,11,)/VLOOKUP($D207,$C$5:$AU$500,3,))*$E207)</f>
        <v>0</v>
      </c>
      <c r="N207" s="42">
        <f>IF(VLOOKUP($D207,$C$5:$AU$500,3,)=0,0,(VLOOKUP($D207,$C$5:$AU$500,12,)/VLOOKUP($D207,$C$5:$AU$500,3,))*$E207)</f>
        <v>0</v>
      </c>
      <c r="O207" s="42">
        <f>IF(VLOOKUP($D207,$C$5:$AU$500,3,)=0,0,(VLOOKUP($D207,$C$5:$AU$500,13,)/VLOOKUP($D207,$C$5:$AU$500,3,))*$E207)</f>
        <v>0</v>
      </c>
      <c r="P207" s="42">
        <f>IF(VLOOKUP($D207,$C$5:$AU$500,3,)=0,0,(VLOOKUP($D207,$C$5:$AU$500,14,)/VLOOKUP($D207,$C$5:$AU$500,3,))*$E207)</f>
        <v>0</v>
      </c>
      <c r="Q207" s="42">
        <f>IF(VLOOKUP($D207,$C$5:$AU$500,3,)=0,0,(VLOOKUP($D207,$C$5:$AU$500,15,)/VLOOKUP($D207,$C$5:$AU$500,3,))*$E207)</f>
        <v>0</v>
      </c>
      <c r="R207" s="42">
        <f>IF(VLOOKUP($D207,$C$5:$AU$500,3,)=0,0,(VLOOKUP($D207,$C$5:$AU$500,16,)/VLOOKUP($D207,$C$5:$AU$500,3,))*$E207)</f>
        <v>0</v>
      </c>
      <c r="S207" s="107">
        <f>IF(VLOOKUP($D207,$C$5:$AU$500,3,)=0,0,(VLOOKUP($D207,$C$5:$AU$500,17,)/VLOOKUP($D207,$C$5:$AU$500,3,))*$E207)</f>
        <v>0</v>
      </c>
      <c r="T207" s="107">
        <f>IF(VLOOKUP($D207,$C$5:$AU$500,3,)=0,0,(VLOOKUP($D207,$C$5:$AU$500,18,)/VLOOKUP($D207,$C$5:$AU$500,3,))*$E207)</f>
        <v>0</v>
      </c>
      <c r="U207" s="107">
        <f>IF(VLOOKUP($D207,$C$5:$AU$500,3,)=0,0,(VLOOKUP($D207,$C$5:$AU$500,19,)/VLOOKUP($D207,$C$5:$AU$500,3,))*$E207)</f>
        <v>0</v>
      </c>
      <c r="V207" s="107">
        <f>IF(VLOOKUP($D207,$C$5:$AU$500,3,)=0,0,(VLOOKUP($D207,$C$5:$AU$500,20,)/VLOOKUP($D207,$C$5:$AU$500,3,))*$E207)</f>
        <v>0</v>
      </c>
      <c r="W207" s="107">
        <f>IF(VLOOKUP($D207,$C$5:$AU$500,3,)=0,0,(VLOOKUP($D207,$C$5:$AU$500,21,)/VLOOKUP($D207,$C$5:$AU$500,3,))*$E207)</f>
        <v>0</v>
      </c>
      <c r="X207" s="107">
        <f>IF(VLOOKUP($D207,$C$5:$AU$500,3,)=0,0,(VLOOKUP($D207,$C$5:$AU$500,22,)/VLOOKUP($D207,$C$5:$AU$500,3,))*$E207)</f>
        <v>0</v>
      </c>
      <c r="Y207" s="107">
        <f>IF(VLOOKUP($D207,$C$5:$AU$500,3,)=0,0,(VLOOKUP($D207,$C$5:$AU$500,23,)/VLOOKUP($D207,$C$5:$AU$500,3,))*$E207)</f>
        <v>0</v>
      </c>
      <c r="Z207" s="107">
        <f>IF(VLOOKUP($D207,$C$5:$AU$500,3,)=0,0,(VLOOKUP($D207,$C$5:$AU$500,24,)/VLOOKUP($D207,$C$5:$AU$500,3,))*$E207)</f>
        <v>0</v>
      </c>
      <c r="AA207" s="107">
        <f>IF(VLOOKUP($D207,$C$5:$AU$500,3,)=0,0,(VLOOKUP($D207,$C$5:$AU$500,25,)/VLOOKUP($D207,$C$5:$AU$500,3,))*$E207)</f>
        <v>0</v>
      </c>
      <c r="AB207" s="107">
        <f>IF(VLOOKUP($D207,$C$5:$AU$500,3,)=0,0,(VLOOKUP($D207,$C$5:$AU$500,26,)/VLOOKUP($D207,$C$5:$AU$500,3,))*$E207)</f>
        <v>0</v>
      </c>
      <c r="AC207" s="107">
        <f>IF(VLOOKUP($D207,$C$5:$AU$500,3,)=0,0,(VLOOKUP($D207,$C$5:$AU$500,27,)/VLOOKUP($D207,$C$5:$AU$500,3,))*$E207)</f>
        <v>0</v>
      </c>
      <c r="AD207" s="107">
        <f>IF(VLOOKUP($D207,$C$5:$AU$500,3,)=0,0,(VLOOKUP($D207,$C$5:$AU$500,28,)/VLOOKUP($D207,$C$5:$AU$500,3,))*$E207)</f>
        <v>0</v>
      </c>
      <c r="AE207" s="107">
        <f>IF(VLOOKUP($D207,$C$5:$AU$500,3,)=0,0,(VLOOKUP($D207,$C$5:$AU$500,29,)/VLOOKUP($D207,$C$5:$AU$500,3,))*$E207)</f>
        <v>0</v>
      </c>
      <c r="AF207" s="107">
        <f>IF(VLOOKUP($D207,$C$5:$AU$500,3,)=0,0,(VLOOKUP($D207,$C$5:$AU$500,30,)/VLOOKUP($D207,$C$5:$AU$500,3,))*$E207)</f>
        <v>0</v>
      </c>
      <c r="AG207" s="91">
        <f>SUM(F207:AF207)</f>
        <v>958557.11342891399</v>
      </c>
      <c r="AH207" s="28" t="str">
        <f>IF(ABS(E207-AG207)&lt;0.01,"ok","err")</f>
        <v>ok</v>
      </c>
    </row>
    <row r="208" spans="1:38" x14ac:dyDescent="0.25">
      <c r="E208" s="23"/>
    </row>
    <row r="209" spans="1:41" x14ac:dyDescent="0.25">
      <c r="A209" s="13" t="s">
        <v>2</v>
      </c>
      <c r="E209" s="23"/>
    </row>
    <row r="210" spans="1:41" x14ac:dyDescent="0.25">
      <c r="A210" s="94" t="s">
        <v>208</v>
      </c>
      <c r="C210" s="14" t="s">
        <v>289</v>
      </c>
      <c r="D210" s="14" t="s">
        <v>608</v>
      </c>
      <c r="E210" s="42">
        <f>'Func &amp; Classif'!O312</f>
        <v>1929772.4035469345</v>
      </c>
      <c r="F210" s="67">
        <f>IF(VLOOKUP($D210,$C$5:$AU$500,3,)=0,0,(VLOOKUP($D210,$C$5:$AU$500,4,)/VLOOKUP($D210,$C$5:$AU$500,3,))*$E210)</f>
        <v>1212900.3279575368</v>
      </c>
      <c r="G210" s="67">
        <f>IF(VLOOKUP($D210,$C$5:$AU$500,3,)=0,0,(VLOOKUP($D210,$C$5:$AU$500,5,)/VLOOKUP($D210,$C$5:$AU$500,3,))*$E210)</f>
        <v>31182.08778586382</v>
      </c>
      <c r="H210" s="42">
        <f>IF(VLOOKUP($D210,$C$5:$AU$500,3,)=0,0,(VLOOKUP($D210,$C$5:$AU$500,6,)/VLOOKUP($D210,$C$5:$AU$500,3,))*$E210)</f>
        <v>49905.889613996391</v>
      </c>
      <c r="I210" s="42">
        <f>IF(VLOOKUP($D210,$C$5:$AU$500,3,)=0,0,(VLOOKUP($D210,$C$5:$AU$500,7,)/VLOOKUP($D210,$C$5:$AU$500,3,))*$E210)</f>
        <v>564786.44795327121</v>
      </c>
      <c r="J210" s="42">
        <f>IF(VLOOKUP($D210,$C$5:$AU$500,3,)=0,0,(VLOOKUP($D210,$C$5:$AU$500,8,)/VLOOKUP($D210,$C$5:$AU$500,3,))*$E210)</f>
        <v>0</v>
      </c>
      <c r="K210" s="42">
        <f>IF(VLOOKUP($D210,$C$5:$AU$500,3,)=0,0,(VLOOKUP($D210,$C$5:$AU$500,9,)/VLOOKUP($D210,$C$5:$AU$500,3,))*$E210)</f>
        <v>62513.825592182351</v>
      </c>
      <c r="L210" s="67">
        <f>IF(VLOOKUP($D210,$C$5:$AU$500,3,)=0,0,(VLOOKUP($D210,$C$5:$AU$500,10,)/VLOOKUP($D210,$C$5:$AU$500,3,))*$E210)</f>
        <v>8483.8246440838884</v>
      </c>
      <c r="M210" s="42">
        <f>IF(VLOOKUP($D210,$C$5:$AU$500,3,)=0,0,(VLOOKUP($D210,$C$5:$AU$500,11,)/VLOOKUP($D210,$C$5:$AU$500,3,))*$E210)</f>
        <v>0</v>
      </c>
      <c r="N210" s="42">
        <f>IF(VLOOKUP($D210,$C$5:$AU$500,3,)=0,0,(VLOOKUP($D210,$C$5:$AU$500,12,)/VLOOKUP($D210,$C$5:$AU$500,3,))*$E210)</f>
        <v>0</v>
      </c>
      <c r="O210" s="42">
        <f>IF(VLOOKUP($D210,$C$5:$AU$500,3,)=0,0,(VLOOKUP($D210,$C$5:$AU$500,13,)/VLOOKUP($D210,$C$5:$AU$500,3,))*$E210)</f>
        <v>0</v>
      </c>
      <c r="P210" s="42">
        <f>IF(VLOOKUP($D210,$C$5:$AU$500,3,)=0,0,(VLOOKUP($D210,$C$5:$AU$500,14,)/VLOOKUP($D210,$C$5:$AU$500,3,))*$E210)</f>
        <v>0</v>
      </c>
      <c r="Q210" s="42">
        <f>IF(VLOOKUP($D210,$C$5:$AU$500,3,)=0,0,(VLOOKUP($D210,$C$5:$AU$500,15,)/VLOOKUP($D210,$C$5:$AU$500,3,))*$E210)</f>
        <v>0</v>
      </c>
      <c r="R210" s="42">
        <f>IF(VLOOKUP($D210,$C$5:$AU$500,3,)=0,0,(VLOOKUP($D210,$C$5:$AU$500,16,)/VLOOKUP($D210,$C$5:$AU$500,3,))*$E210)</f>
        <v>0</v>
      </c>
      <c r="S210" s="107">
        <f>IF(VLOOKUP($D210,$C$5:$AU$500,3,)=0,0,(VLOOKUP($D210,$C$5:$AU$500,17,)/VLOOKUP($D210,$C$5:$AU$500,3,))*$E210)</f>
        <v>0</v>
      </c>
      <c r="T210" s="107">
        <f>IF(VLOOKUP($D210,$C$5:$AU$500,3,)=0,0,(VLOOKUP($D210,$C$5:$AU$500,18,)/VLOOKUP($D210,$C$5:$AU$500,3,))*$E210)</f>
        <v>0</v>
      </c>
      <c r="U210" s="107">
        <f>IF(VLOOKUP($D210,$C$5:$AU$500,3,)=0,0,(VLOOKUP($D210,$C$5:$AU$500,19,)/VLOOKUP($D210,$C$5:$AU$500,3,))*$E210)</f>
        <v>0</v>
      </c>
      <c r="V210" s="107">
        <f>IF(VLOOKUP($D210,$C$5:$AU$500,3,)=0,0,(VLOOKUP($D210,$C$5:$AU$500,20,)/VLOOKUP($D210,$C$5:$AU$500,3,))*$E210)</f>
        <v>0</v>
      </c>
      <c r="W210" s="107">
        <f>IF(VLOOKUP($D210,$C$5:$AU$500,3,)=0,0,(VLOOKUP($D210,$C$5:$AU$500,21,)/VLOOKUP($D210,$C$5:$AU$500,3,))*$E210)</f>
        <v>0</v>
      </c>
      <c r="X210" s="107">
        <f>IF(VLOOKUP($D210,$C$5:$AU$500,3,)=0,0,(VLOOKUP($D210,$C$5:$AU$500,22,)/VLOOKUP($D210,$C$5:$AU$500,3,))*$E210)</f>
        <v>0</v>
      </c>
      <c r="Y210" s="107">
        <f>IF(VLOOKUP($D210,$C$5:$AU$500,3,)=0,0,(VLOOKUP($D210,$C$5:$AU$500,23,)/VLOOKUP($D210,$C$5:$AU$500,3,))*$E210)</f>
        <v>0</v>
      </c>
      <c r="Z210" s="107">
        <f>IF(VLOOKUP($D210,$C$5:$AU$500,3,)=0,0,(VLOOKUP($D210,$C$5:$AU$500,24,)/VLOOKUP($D210,$C$5:$AU$500,3,))*$E210)</f>
        <v>0</v>
      </c>
      <c r="AA210" s="107">
        <f>IF(VLOOKUP($D210,$C$5:$AU$500,3,)=0,0,(VLOOKUP($D210,$C$5:$AU$500,25,)/VLOOKUP($D210,$C$5:$AU$500,3,))*$E210)</f>
        <v>0</v>
      </c>
      <c r="AB210" s="107">
        <f>IF(VLOOKUP($D210,$C$5:$AU$500,3,)=0,0,(VLOOKUP($D210,$C$5:$AU$500,26,)/VLOOKUP($D210,$C$5:$AU$500,3,))*$E210)</f>
        <v>0</v>
      </c>
      <c r="AC210" s="107">
        <f>IF(VLOOKUP($D210,$C$5:$AU$500,3,)=0,0,(VLOOKUP($D210,$C$5:$AU$500,27,)/VLOOKUP($D210,$C$5:$AU$500,3,))*$E210)</f>
        <v>0</v>
      </c>
      <c r="AD210" s="107">
        <f>IF(VLOOKUP($D210,$C$5:$AU$500,3,)=0,0,(VLOOKUP($D210,$C$5:$AU$500,28,)/VLOOKUP($D210,$C$5:$AU$500,3,))*$E210)</f>
        <v>0</v>
      </c>
      <c r="AE210" s="107">
        <f>IF(VLOOKUP($D210,$C$5:$AU$500,3,)=0,0,(VLOOKUP($D210,$C$5:$AU$500,29,)/VLOOKUP($D210,$C$5:$AU$500,3,))*$E210)</f>
        <v>0</v>
      </c>
      <c r="AF210" s="107">
        <f>IF(VLOOKUP($D210,$C$5:$AU$500,3,)=0,0,(VLOOKUP($D210,$C$5:$AU$500,30,)/VLOOKUP($D210,$C$5:$AU$500,3,))*$E210)</f>
        <v>0</v>
      </c>
      <c r="AG210" s="91">
        <f>SUM(F210:AF210)</f>
        <v>1929772.4035469345</v>
      </c>
      <c r="AH210" s="28" t="str">
        <f>IF(ABS(E210-AG210)&lt;0.01,"ok","err")</f>
        <v>ok</v>
      </c>
    </row>
    <row r="211" spans="1:41" x14ac:dyDescent="0.25">
      <c r="A211" s="94" t="s">
        <v>220</v>
      </c>
      <c r="C211" s="14" t="s">
        <v>290</v>
      </c>
      <c r="D211" s="14" t="s">
        <v>222</v>
      </c>
      <c r="E211" s="23">
        <f>'Func &amp; Classif'!P312</f>
        <v>3384692.9379019756</v>
      </c>
      <c r="F211" s="67">
        <f>IF(VLOOKUP($D211,$C$5:$AU$500,3,)=0,0,(VLOOKUP($D211,$C$5:$AU$500,4,)/VLOOKUP($D211,$C$5:$AU$500,3,))*$E211)</f>
        <v>2709396.7660630979</v>
      </c>
      <c r="G211" s="67">
        <f>IF(VLOOKUP($D211,$C$5:$AU$500,3,)=0,0,(VLOOKUP($D211,$C$5:$AU$500,5,)/VLOOKUP($D211,$C$5:$AU$500,3,))*$E211)</f>
        <v>535166.07093282917</v>
      </c>
      <c r="H211" s="42">
        <f>IF(VLOOKUP($D211,$C$5:$AU$500,3,)=0,0,(VLOOKUP($D211,$C$5:$AU$500,6,)/VLOOKUP($D211,$C$5:$AU$500,3,))*$E211)</f>
        <v>56858.518047155558</v>
      </c>
      <c r="I211" s="42">
        <f>IF(VLOOKUP($D211,$C$5:$AU$500,3,)=0,0,(VLOOKUP($D211,$C$5:$AU$500,7,)/VLOOKUP($D211,$C$5:$AU$500,3,))*$E211)</f>
        <v>71404.576744452483</v>
      </c>
      <c r="J211" s="42">
        <f>IF(VLOOKUP($D211,$C$5:$AU$500,3,)=0,0,(VLOOKUP($D211,$C$5:$AU$500,8,)/VLOOKUP($D211,$C$5:$AU$500,3,))*$E211)</f>
        <v>0</v>
      </c>
      <c r="K211" s="42">
        <f>IF(VLOOKUP($D211,$C$5:$AU$500,3,)=0,0,(VLOOKUP($D211,$C$5:$AU$500,9,)/VLOOKUP($D211,$C$5:$AU$500,3,))*$E211)</f>
        <v>110.4763951693437</v>
      </c>
      <c r="L211" s="67">
        <f>IF(VLOOKUP($D211,$C$5:$AU$500,3,)=0,0,(VLOOKUP($D211,$C$5:$AU$500,10,)/VLOOKUP($D211,$C$5:$AU$500,3,))*$E211)</f>
        <v>11756.529719270991</v>
      </c>
      <c r="M211" s="42">
        <f>IF(VLOOKUP($D211,$C$5:$AU$500,3,)=0,0,(VLOOKUP($D211,$C$5:$AU$500,11,)/VLOOKUP($D211,$C$5:$AU$500,3,))*$E211)</f>
        <v>0</v>
      </c>
      <c r="N211" s="42">
        <f>IF(VLOOKUP($D211,$C$5:$AU$500,3,)=0,0,(VLOOKUP($D211,$C$5:$AU$500,12,)/VLOOKUP($D211,$C$5:$AU$500,3,))*$E211)</f>
        <v>0</v>
      </c>
      <c r="O211" s="42">
        <f>IF(VLOOKUP($D211,$C$5:$AU$500,3,)=0,0,(VLOOKUP($D211,$C$5:$AU$500,13,)/VLOOKUP($D211,$C$5:$AU$500,3,))*$E211)</f>
        <v>0</v>
      </c>
      <c r="P211" s="42">
        <f>IF(VLOOKUP($D211,$C$5:$AU$500,3,)=0,0,(VLOOKUP($D211,$C$5:$AU$500,14,)/VLOOKUP($D211,$C$5:$AU$500,3,))*$E211)</f>
        <v>0</v>
      </c>
      <c r="Q211" s="42">
        <f>IF(VLOOKUP($D211,$C$5:$AU$500,3,)=0,0,(VLOOKUP($D211,$C$5:$AU$500,15,)/VLOOKUP($D211,$C$5:$AU$500,3,))*$E211)</f>
        <v>0</v>
      </c>
      <c r="R211" s="42">
        <f>IF(VLOOKUP($D211,$C$5:$AU$500,3,)=0,0,(VLOOKUP($D211,$C$5:$AU$500,16,)/VLOOKUP($D211,$C$5:$AU$500,3,))*$E211)</f>
        <v>0</v>
      </c>
      <c r="S211" s="107">
        <f>IF(VLOOKUP($D211,$C$5:$AU$500,3,)=0,0,(VLOOKUP($D211,$C$5:$AU$500,17,)/VLOOKUP($D211,$C$5:$AU$500,3,))*$E211)</f>
        <v>0</v>
      </c>
      <c r="T211" s="107">
        <f>IF(VLOOKUP($D211,$C$5:$AU$500,3,)=0,0,(VLOOKUP($D211,$C$5:$AU$500,18,)/VLOOKUP($D211,$C$5:$AU$500,3,))*$E211)</f>
        <v>0</v>
      </c>
      <c r="U211" s="107">
        <f>IF(VLOOKUP($D211,$C$5:$AU$500,3,)=0,0,(VLOOKUP($D211,$C$5:$AU$500,19,)/VLOOKUP($D211,$C$5:$AU$500,3,))*$E211)</f>
        <v>0</v>
      </c>
      <c r="V211" s="107">
        <f>IF(VLOOKUP($D211,$C$5:$AU$500,3,)=0,0,(VLOOKUP($D211,$C$5:$AU$500,20,)/VLOOKUP($D211,$C$5:$AU$500,3,))*$E211)</f>
        <v>0</v>
      </c>
      <c r="W211" s="107">
        <f>IF(VLOOKUP($D211,$C$5:$AU$500,3,)=0,0,(VLOOKUP($D211,$C$5:$AU$500,21,)/VLOOKUP($D211,$C$5:$AU$500,3,))*$E211)</f>
        <v>0</v>
      </c>
      <c r="X211" s="107">
        <f>IF(VLOOKUP($D211,$C$5:$AU$500,3,)=0,0,(VLOOKUP($D211,$C$5:$AU$500,22,)/VLOOKUP($D211,$C$5:$AU$500,3,))*$E211)</f>
        <v>0</v>
      </c>
      <c r="Y211" s="107">
        <f>IF(VLOOKUP($D211,$C$5:$AU$500,3,)=0,0,(VLOOKUP($D211,$C$5:$AU$500,23,)/VLOOKUP($D211,$C$5:$AU$500,3,))*$E211)</f>
        <v>0</v>
      </c>
      <c r="Z211" s="107">
        <f>IF(VLOOKUP($D211,$C$5:$AU$500,3,)=0,0,(VLOOKUP($D211,$C$5:$AU$500,24,)/VLOOKUP($D211,$C$5:$AU$500,3,))*$E211)</f>
        <v>0</v>
      </c>
      <c r="AA211" s="107">
        <f>IF(VLOOKUP($D211,$C$5:$AU$500,3,)=0,0,(VLOOKUP($D211,$C$5:$AU$500,25,)/VLOOKUP($D211,$C$5:$AU$500,3,))*$E211)</f>
        <v>0</v>
      </c>
      <c r="AB211" s="107">
        <f>IF(VLOOKUP($D211,$C$5:$AU$500,3,)=0,0,(VLOOKUP($D211,$C$5:$AU$500,26,)/VLOOKUP($D211,$C$5:$AU$500,3,))*$E211)</f>
        <v>0</v>
      </c>
      <c r="AC211" s="107">
        <f>IF(VLOOKUP($D211,$C$5:$AU$500,3,)=0,0,(VLOOKUP($D211,$C$5:$AU$500,27,)/VLOOKUP($D211,$C$5:$AU$500,3,))*$E211)</f>
        <v>0</v>
      </c>
      <c r="AD211" s="107">
        <f>IF(VLOOKUP($D211,$C$5:$AU$500,3,)=0,0,(VLOOKUP($D211,$C$5:$AU$500,28,)/VLOOKUP($D211,$C$5:$AU$500,3,))*$E211)</f>
        <v>0</v>
      </c>
      <c r="AE211" s="107">
        <f>IF(VLOOKUP($D211,$C$5:$AU$500,3,)=0,0,(VLOOKUP($D211,$C$5:$AU$500,29,)/VLOOKUP($D211,$C$5:$AU$500,3,))*$E211)</f>
        <v>0</v>
      </c>
      <c r="AF211" s="107">
        <f>IF(VLOOKUP($D211,$C$5:$AU$500,3,)=0,0,(VLOOKUP($D211,$C$5:$AU$500,30,)/VLOOKUP($D211,$C$5:$AU$500,3,))*$E211)</f>
        <v>0</v>
      </c>
      <c r="AG211" s="91">
        <f>SUM(F211:AF211)</f>
        <v>3384692.9379019751</v>
      </c>
      <c r="AH211" s="28" t="str">
        <f>IF(ABS(E211-AG211)&lt;0.01,"ok","err")</f>
        <v>ok</v>
      </c>
      <c r="AK211" s="41"/>
      <c r="AL211" s="211"/>
      <c r="AM211" s="24"/>
      <c r="AO211" s="211"/>
    </row>
    <row r="212" spans="1:41" x14ac:dyDescent="0.25">
      <c r="A212" s="14" t="s">
        <v>223</v>
      </c>
      <c r="E212" s="42">
        <f t="shared" ref="E212:T212" si="77">E210+E211</f>
        <v>5314465.3414489105</v>
      </c>
      <c r="F212" s="67">
        <f t="shared" si="77"/>
        <v>3922297.0940206349</v>
      </c>
      <c r="G212" s="67">
        <f t="shared" si="77"/>
        <v>566348.15871869295</v>
      </c>
      <c r="H212" s="42">
        <f t="shared" si="77"/>
        <v>106764.40766115196</v>
      </c>
      <c r="I212" s="42">
        <f t="shared" si="77"/>
        <v>636191.02469772368</v>
      </c>
      <c r="J212" s="42">
        <f t="shared" si="77"/>
        <v>0</v>
      </c>
      <c r="K212" s="42">
        <f t="shared" si="77"/>
        <v>62624.301987351697</v>
      </c>
      <c r="L212" s="67">
        <f t="shared" si="77"/>
        <v>20240.35436335488</v>
      </c>
      <c r="M212" s="42">
        <f t="shared" si="77"/>
        <v>0</v>
      </c>
      <c r="N212" s="42">
        <f t="shared" si="77"/>
        <v>0</v>
      </c>
      <c r="O212" s="42">
        <f t="shared" si="77"/>
        <v>0</v>
      </c>
      <c r="P212" s="42">
        <f t="shared" si="77"/>
        <v>0</v>
      </c>
      <c r="Q212" s="42">
        <f t="shared" si="77"/>
        <v>0</v>
      </c>
      <c r="R212" s="42">
        <f t="shared" si="77"/>
        <v>0</v>
      </c>
      <c r="S212" s="107">
        <f t="shared" si="77"/>
        <v>0</v>
      </c>
      <c r="T212" s="107">
        <f t="shared" si="77"/>
        <v>0</v>
      </c>
      <c r="U212" s="107">
        <f t="shared" ref="U212:AF212" si="78">U210+U211</f>
        <v>0</v>
      </c>
      <c r="V212" s="107">
        <f t="shared" si="78"/>
        <v>0</v>
      </c>
      <c r="W212" s="107">
        <f t="shared" si="78"/>
        <v>0</v>
      </c>
      <c r="X212" s="107">
        <f t="shared" si="78"/>
        <v>0</v>
      </c>
      <c r="Y212" s="107">
        <f t="shared" si="78"/>
        <v>0</v>
      </c>
      <c r="Z212" s="107">
        <f t="shared" si="78"/>
        <v>0</v>
      </c>
      <c r="AA212" s="107">
        <f t="shared" si="78"/>
        <v>0</v>
      </c>
      <c r="AB212" s="107">
        <f t="shared" si="78"/>
        <v>0</v>
      </c>
      <c r="AC212" s="107">
        <f t="shared" si="78"/>
        <v>0</v>
      </c>
      <c r="AD212" s="107">
        <f t="shared" si="78"/>
        <v>0</v>
      </c>
      <c r="AE212" s="107">
        <f t="shared" si="78"/>
        <v>0</v>
      </c>
      <c r="AF212" s="107">
        <f t="shared" si="78"/>
        <v>0</v>
      </c>
      <c r="AG212" s="91">
        <f>SUM(F212:AF212)</f>
        <v>5314465.3414489105</v>
      </c>
      <c r="AH212" s="28" t="str">
        <f>IF(ABS(E212-AG212)&lt;0.01,"ok","err")</f>
        <v>ok</v>
      </c>
      <c r="AK212" s="41"/>
    </row>
    <row r="213" spans="1:41" x14ac:dyDescent="0.25">
      <c r="E213" s="23"/>
      <c r="AK213" s="41"/>
    </row>
    <row r="214" spans="1:41" x14ac:dyDescent="0.25">
      <c r="A214" s="13" t="s">
        <v>3</v>
      </c>
      <c r="E214" s="23"/>
      <c r="AK214" s="41"/>
    </row>
    <row r="215" spans="1:41" x14ac:dyDescent="0.25">
      <c r="A215" s="94" t="s">
        <v>208</v>
      </c>
      <c r="C215" s="14" t="s">
        <v>291</v>
      </c>
      <c r="D215" s="14" t="s">
        <v>701</v>
      </c>
      <c r="E215" s="42">
        <f>'Func &amp; Classif'!R312</f>
        <v>0</v>
      </c>
      <c r="F215" s="67">
        <f>IF(VLOOKUP($D215,$C$5:$AU$500,3,)=0,0,(VLOOKUP($D215,$C$5:$AU$500,4,)/VLOOKUP($D215,$C$5:$AU$500,3,))*$E215)</f>
        <v>0</v>
      </c>
      <c r="G215" s="67">
        <f>IF(VLOOKUP($D215,$C$5:$AU$500,3,)=0,0,(VLOOKUP($D215,$C$5:$AU$500,5,)/VLOOKUP($D215,$C$5:$AU$500,3,))*$E215)</f>
        <v>0</v>
      </c>
      <c r="H215" s="42">
        <f>IF(VLOOKUP($D215,$C$5:$AU$500,3,)=0,0,(VLOOKUP($D215,$C$5:$AU$500,6,)/VLOOKUP($D215,$C$5:$AU$500,3,))*$E215)</f>
        <v>0</v>
      </c>
      <c r="I215" s="42">
        <f>IF(VLOOKUP($D215,$C$5:$AU$500,3,)=0,0,(VLOOKUP($D215,$C$5:$AU$500,7,)/VLOOKUP($D215,$C$5:$AU$500,3,))*$E215)</f>
        <v>0</v>
      </c>
      <c r="J215" s="42">
        <f>IF(VLOOKUP($D215,$C$5:$AU$500,3,)=0,0,(VLOOKUP($D215,$C$5:$AU$500,8,)/VLOOKUP($D215,$C$5:$AU$500,3,))*$E215)</f>
        <v>0</v>
      </c>
      <c r="K215" s="42">
        <f>IF(VLOOKUP($D215,$C$5:$AU$500,3,)=0,0,(VLOOKUP($D215,$C$5:$AU$500,9,)/VLOOKUP($D215,$C$5:$AU$500,3,))*$E215)</f>
        <v>0</v>
      </c>
      <c r="L215" s="67">
        <f>IF(VLOOKUP($D215,$C$5:$AU$500,3,)=0,0,(VLOOKUP($D215,$C$5:$AU$500,10,)/VLOOKUP($D215,$C$5:$AU$500,3,))*$E215)</f>
        <v>0</v>
      </c>
      <c r="M215" s="42">
        <f>IF(VLOOKUP($D215,$C$5:$AU$500,3,)=0,0,(VLOOKUP($D215,$C$5:$AU$500,11,)/VLOOKUP($D215,$C$5:$AU$500,3,))*$E215)</f>
        <v>0</v>
      </c>
      <c r="N215" s="42">
        <f>IF(VLOOKUP($D215,$C$5:$AU$500,3,)=0,0,(VLOOKUP($D215,$C$5:$AU$500,12,)/VLOOKUP($D215,$C$5:$AU$500,3,))*$E215)</f>
        <v>0</v>
      </c>
      <c r="O215" s="42">
        <f>IF(VLOOKUP($D215,$C$5:$AU$500,3,)=0,0,(VLOOKUP($D215,$C$5:$AU$500,13,)/VLOOKUP($D215,$C$5:$AU$500,3,))*$E215)</f>
        <v>0</v>
      </c>
      <c r="P215" s="42">
        <f>IF(VLOOKUP($D215,$C$5:$AU$500,3,)=0,0,(VLOOKUP($D215,$C$5:$AU$500,14,)/VLOOKUP($D215,$C$5:$AU$500,3,))*$E215)</f>
        <v>0</v>
      </c>
      <c r="Q215" s="42">
        <f>IF(VLOOKUP($D215,$C$5:$AU$500,3,)=0,0,(VLOOKUP($D215,$C$5:$AU$500,15,)/VLOOKUP($D215,$C$5:$AU$500,3,))*$E215)</f>
        <v>0</v>
      </c>
      <c r="R215" s="42">
        <f>IF(VLOOKUP($D215,$C$5:$AU$500,3,)=0,0,(VLOOKUP($D215,$C$5:$AU$500,16,)/VLOOKUP($D215,$C$5:$AU$500,3,))*$E215)</f>
        <v>0</v>
      </c>
      <c r="S215" s="107">
        <f>IF(VLOOKUP($D215,$C$5:$AU$500,3,)=0,0,(VLOOKUP($D215,$C$5:$AU$500,17,)/VLOOKUP($D215,$C$5:$AU$500,3,))*$E215)</f>
        <v>0</v>
      </c>
      <c r="T215" s="107">
        <f>IF(VLOOKUP($D215,$C$5:$AU$500,3,)=0,0,(VLOOKUP($D215,$C$5:$AU$500,18,)/VLOOKUP($D215,$C$5:$AU$500,3,))*$E215)</f>
        <v>0</v>
      </c>
      <c r="U215" s="107">
        <f>IF(VLOOKUP($D215,$C$5:$AU$500,3,)=0,0,(VLOOKUP($D215,$C$5:$AU$500,19,)/VLOOKUP($D215,$C$5:$AU$500,3,))*$E215)</f>
        <v>0</v>
      </c>
      <c r="V215" s="107">
        <f>IF(VLOOKUP($D215,$C$5:$AU$500,3,)=0,0,(VLOOKUP($D215,$C$5:$AU$500,20,)/VLOOKUP($D215,$C$5:$AU$500,3,))*$E215)</f>
        <v>0</v>
      </c>
      <c r="W215" s="107">
        <f>IF(VLOOKUP($D215,$C$5:$AU$500,3,)=0,0,(VLOOKUP($D215,$C$5:$AU$500,21,)/VLOOKUP($D215,$C$5:$AU$500,3,))*$E215)</f>
        <v>0</v>
      </c>
      <c r="X215" s="107">
        <f>IF(VLOOKUP($D215,$C$5:$AU$500,3,)=0,0,(VLOOKUP($D215,$C$5:$AU$500,22,)/VLOOKUP($D215,$C$5:$AU$500,3,))*$E215)</f>
        <v>0</v>
      </c>
      <c r="Y215" s="107">
        <f>IF(VLOOKUP($D215,$C$5:$AU$500,3,)=0,0,(VLOOKUP($D215,$C$5:$AU$500,23,)/VLOOKUP($D215,$C$5:$AU$500,3,))*$E215)</f>
        <v>0</v>
      </c>
      <c r="Z215" s="107">
        <f>IF(VLOOKUP($D215,$C$5:$AU$500,3,)=0,0,(VLOOKUP($D215,$C$5:$AU$500,24,)/VLOOKUP($D215,$C$5:$AU$500,3,))*$E215)</f>
        <v>0</v>
      </c>
      <c r="AA215" s="107">
        <f>IF(VLOOKUP($D215,$C$5:$AU$500,3,)=0,0,(VLOOKUP($D215,$C$5:$AU$500,25,)/VLOOKUP($D215,$C$5:$AU$500,3,))*$E215)</f>
        <v>0</v>
      </c>
      <c r="AB215" s="107">
        <f>IF(VLOOKUP($D215,$C$5:$AU$500,3,)=0,0,(VLOOKUP($D215,$C$5:$AU$500,26,)/VLOOKUP($D215,$C$5:$AU$500,3,))*$E215)</f>
        <v>0</v>
      </c>
      <c r="AC215" s="107">
        <f>IF(VLOOKUP($D215,$C$5:$AU$500,3,)=0,0,(VLOOKUP($D215,$C$5:$AU$500,27,)/VLOOKUP($D215,$C$5:$AU$500,3,))*$E215)</f>
        <v>0</v>
      </c>
      <c r="AD215" s="107">
        <f>IF(VLOOKUP($D215,$C$5:$AU$500,3,)=0,0,(VLOOKUP($D215,$C$5:$AU$500,28,)/VLOOKUP($D215,$C$5:$AU$500,3,))*$E215)</f>
        <v>0</v>
      </c>
      <c r="AE215" s="107">
        <f>IF(VLOOKUP($D215,$C$5:$AU$500,3,)=0,0,(VLOOKUP($D215,$C$5:$AU$500,29,)/VLOOKUP($D215,$C$5:$AU$500,3,))*$E215)</f>
        <v>0</v>
      </c>
      <c r="AF215" s="107">
        <f>IF(VLOOKUP($D215,$C$5:$AU$500,3,)=0,0,(VLOOKUP($D215,$C$5:$AU$500,30,)/VLOOKUP($D215,$C$5:$AU$500,3,))*$E215)</f>
        <v>0</v>
      </c>
      <c r="AG215" s="91">
        <f>SUM(F215:AF215)</f>
        <v>0</v>
      </c>
      <c r="AH215" s="28" t="str">
        <f>IF(ABS(E215-AG215)&lt;0.01,"ok","err")</f>
        <v>ok</v>
      </c>
      <c r="AK215" s="41"/>
    </row>
    <row r="216" spans="1:41" x14ac:dyDescent="0.25">
      <c r="A216" s="94" t="s">
        <v>220</v>
      </c>
      <c r="C216" s="14" t="s">
        <v>292</v>
      </c>
      <c r="D216" s="14" t="s">
        <v>701</v>
      </c>
      <c r="E216" s="23">
        <f>'Func &amp; Classif'!S312</f>
        <v>496839.978160389</v>
      </c>
      <c r="F216" s="67">
        <f>IF(VLOOKUP($D216,$C$5:$AU$500,3,)=0,0,(VLOOKUP($D216,$C$5:$AU$500,4,)/VLOOKUP($D216,$C$5:$AU$500,3,))*$E216)</f>
        <v>259368.09790299216</v>
      </c>
      <c r="G216" s="67">
        <f>IF(VLOOKUP($D216,$C$5:$AU$500,3,)=0,0,(VLOOKUP($D216,$C$5:$AU$500,5,)/VLOOKUP($D216,$C$5:$AU$500,3,))*$E216)</f>
        <v>112708.11892931625</v>
      </c>
      <c r="H216" s="42">
        <f>IF(VLOOKUP($D216,$C$5:$AU$500,3,)=0,0,(VLOOKUP($D216,$C$5:$AU$500,6,)/VLOOKUP($D216,$C$5:$AU$500,3,))*$E216)</f>
        <v>30045.439615291456</v>
      </c>
      <c r="I216" s="42">
        <f>IF(VLOOKUP($D216,$C$5:$AU$500,3,)=0,0,(VLOOKUP($D216,$C$5:$AU$500,7,)/VLOOKUP($D216,$C$5:$AU$500,3,))*$E216)</f>
        <v>71089.152622836584</v>
      </c>
      <c r="J216" s="42">
        <f>IF(VLOOKUP($D216,$C$5:$AU$500,3,)=0,0,(VLOOKUP($D216,$C$5:$AU$500,8,)/VLOOKUP($D216,$C$5:$AU$500,3,))*$E216)</f>
        <v>0</v>
      </c>
      <c r="K216" s="42">
        <f>IF(VLOOKUP($D216,$C$5:$AU$500,3,)=0,0,(VLOOKUP($D216,$C$5:$AU$500,9,)/VLOOKUP($D216,$C$5:$AU$500,3,))*$E216)</f>
        <v>219.97674870398114</v>
      </c>
      <c r="L216" s="67">
        <f>IF(VLOOKUP($D216,$C$5:$AU$500,3,)=0,0,(VLOOKUP($D216,$C$5:$AU$500,10,)/VLOOKUP($D216,$C$5:$AU$500,3,))*$E216)</f>
        <v>23409.192341248661</v>
      </c>
      <c r="M216" s="42">
        <f>IF(VLOOKUP($D216,$C$5:$AU$500,3,)=0,0,(VLOOKUP($D216,$C$5:$AU$500,11,)/VLOOKUP($D216,$C$5:$AU$500,3,))*$E216)</f>
        <v>0</v>
      </c>
      <c r="N216" s="42">
        <f>IF(VLOOKUP($D216,$C$5:$AU$500,3,)=0,0,(VLOOKUP($D216,$C$5:$AU$500,12,)/VLOOKUP($D216,$C$5:$AU$500,3,))*$E216)</f>
        <v>0</v>
      </c>
      <c r="O216" s="42">
        <f>IF(VLOOKUP($D216,$C$5:$AU$500,3,)=0,0,(VLOOKUP($D216,$C$5:$AU$500,13,)/VLOOKUP($D216,$C$5:$AU$500,3,))*$E216)</f>
        <v>0</v>
      </c>
      <c r="P216" s="42">
        <f>IF(VLOOKUP($D216,$C$5:$AU$500,3,)=0,0,(VLOOKUP($D216,$C$5:$AU$500,14,)/VLOOKUP($D216,$C$5:$AU$500,3,))*$E216)</f>
        <v>0</v>
      </c>
      <c r="Q216" s="42">
        <f>IF(VLOOKUP($D216,$C$5:$AU$500,3,)=0,0,(VLOOKUP($D216,$C$5:$AU$500,15,)/VLOOKUP($D216,$C$5:$AU$500,3,))*$E216)</f>
        <v>0</v>
      </c>
      <c r="R216" s="42">
        <f>IF(VLOOKUP($D216,$C$5:$AU$500,3,)=0,0,(VLOOKUP($D216,$C$5:$AU$500,16,)/VLOOKUP($D216,$C$5:$AU$500,3,))*$E216)</f>
        <v>0</v>
      </c>
      <c r="S216" s="107">
        <f>IF(VLOOKUP($D216,$C$5:$AU$500,3,)=0,0,(VLOOKUP($D216,$C$5:$AU$500,17,)/VLOOKUP($D216,$C$5:$AU$500,3,))*$E216)</f>
        <v>0</v>
      </c>
      <c r="T216" s="107">
        <f>IF(VLOOKUP($D216,$C$5:$AU$500,3,)=0,0,(VLOOKUP($D216,$C$5:$AU$500,18,)/VLOOKUP($D216,$C$5:$AU$500,3,))*$E216)</f>
        <v>0</v>
      </c>
      <c r="U216" s="107">
        <f>IF(VLOOKUP($D216,$C$5:$AU$500,3,)=0,0,(VLOOKUP($D216,$C$5:$AU$500,19,)/VLOOKUP($D216,$C$5:$AU$500,3,))*$E216)</f>
        <v>0</v>
      </c>
      <c r="V216" s="107">
        <f>IF(VLOOKUP($D216,$C$5:$AU$500,3,)=0,0,(VLOOKUP($D216,$C$5:$AU$500,20,)/VLOOKUP($D216,$C$5:$AU$500,3,))*$E216)</f>
        <v>0</v>
      </c>
      <c r="W216" s="107">
        <f>IF(VLOOKUP($D216,$C$5:$AU$500,3,)=0,0,(VLOOKUP($D216,$C$5:$AU$500,21,)/VLOOKUP($D216,$C$5:$AU$500,3,))*$E216)</f>
        <v>0</v>
      </c>
      <c r="X216" s="107">
        <f>IF(VLOOKUP($D216,$C$5:$AU$500,3,)=0,0,(VLOOKUP($D216,$C$5:$AU$500,22,)/VLOOKUP($D216,$C$5:$AU$500,3,))*$E216)</f>
        <v>0</v>
      </c>
      <c r="Y216" s="107">
        <f>IF(VLOOKUP($D216,$C$5:$AU$500,3,)=0,0,(VLOOKUP($D216,$C$5:$AU$500,23,)/VLOOKUP($D216,$C$5:$AU$500,3,))*$E216)</f>
        <v>0</v>
      </c>
      <c r="Z216" s="107">
        <f>IF(VLOOKUP($D216,$C$5:$AU$500,3,)=0,0,(VLOOKUP($D216,$C$5:$AU$500,24,)/VLOOKUP($D216,$C$5:$AU$500,3,))*$E216)</f>
        <v>0</v>
      </c>
      <c r="AA216" s="107">
        <f>IF(VLOOKUP($D216,$C$5:$AU$500,3,)=0,0,(VLOOKUP($D216,$C$5:$AU$500,25,)/VLOOKUP($D216,$C$5:$AU$500,3,))*$E216)</f>
        <v>0</v>
      </c>
      <c r="AB216" s="107">
        <f>IF(VLOOKUP($D216,$C$5:$AU$500,3,)=0,0,(VLOOKUP($D216,$C$5:$AU$500,26,)/VLOOKUP($D216,$C$5:$AU$500,3,))*$E216)</f>
        <v>0</v>
      </c>
      <c r="AC216" s="107">
        <f>IF(VLOOKUP($D216,$C$5:$AU$500,3,)=0,0,(VLOOKUP($D216,$C$5:$AU$500,27,)/VLOOKUP($D216,$C$5:$AU$500,3,))*$E216)</f>
        <v>0</v>
      </c>
      <c r="AD216" s="107">
        <f>IF(VLOOKUP($D216,$C$5:$AU$500,3,)=0,0,(VLOOKUP($D216,$C$5:$AU$500,28,)/VLOOKUP($D216,$C$5:$AU$500,3,))*$E216)</f>
        <v>0</v>
      </c>
      <c r="AE216" s="107">
        <f>IF(VLOOKUP($D216,$C$5:$AU$500,3,)=0,0,(VLOOKUP($D216,$C$5:$AU$500,29,)/VLOOKUP($D216,$C$5:$AU$500,3,))*$E216)</f>
        <v>0</v>
      </c>
      <c r="AF216" s="107">
        <f>IF(VLOOKUP($D216,$C$5:$AU$500,3,)=0,0,(VLOOKUP($D216,$C$5:$AU$500,30,)/VLOOKUP($D216,$C$5:$AU$500,3,))*$E216)</f>
        <v>0</v>
      </c>
      <c r="AG216" s="91">
        <f>SUM(F216:AF216)</f>
        <v>496839.97816038912</v>
      </c>
      <c r="AH216" s="28" t="str">
        <f>IF(ABS(E216-AG216)&lt;0.01,"ok","err")</f>
        <v>ok</v>
      </c>
      <c r="AK216" s="41"/>
      <c r="AL216" s="211"/>
      <c r="AM216" s="24"/>
      <c r="AO216" s="211"/>
    </row>
    <row r="217" spans="1:41" x14ac:dyDescent="0.25">
      <c r="A217" s="14" t="s">
        <v>227</v>
      </c>
      <c r="E217" s="42">
        <f t="shared" ref="E217:T217" si="79">E215+E216</f>
        <v>496839.978160389</v>
      </c>
      <c r="F217" s="67">
        <f t="shared" si="79"/>
        <v>259368.09790299216</v>
      </c>
      <c r="G217" s="67">
        <f t="shared" si="79"/>
        <v>112708.11892931625</v>
      </c>
      <c r="H217" s="42">
        <f t="shared" si="79"/>
        <v>30045.439615291456</v>
      </c>
      <c r="I217" s="42">
        <f t="shared" si="79"/>
        <v>71089.152622836584</v>
      </c>
      <c r="J217" s="42">
        <f t="shared" si="79"/>
        <v>0</v>
      </c>
      <c r="K217" s="42">
        <f t="shared" si="79"/>
        <v>219.97674870398114</v>
      </c>
      <c r="L217" s="67">
        <f t="shared" si="79"/>
        <v>23409.192341248661</v>
      </c>
      <c r="M217" s="42">
        <f t="shared" si="79"/>
        <v>0</v>
      </c>
      <c r="N217" s="42">
        <f t="shared" si="79"/>
        <v>0</v>
      </c>
      <c r="O217" s="42">
        <f t="shared" si="79"/>
        <v>0</v>
      </c>
      <c r="P217" s="42">
        <f t="shared" si="79"/>
        <v>0</v>
      </c>
      <c r="Q217" s="42">
        <f t="shared" si="79"/>
        <v>0</v>
      </c>
      <c r="R217" s="42">
        <f t="shared" si="79"/>
        <v>0</v>
      </c>
      <c r="S217" s="107">
        <f t="shared" si="79"/>
        <v>0</v>
      </c>
      <c r="T217" s="107">
        <f t="shared" si="79"/>
        <v>0</v>
      </c>
      <c r="U217" s="107">
        <f t="shared" ref="U217:AF217" si="80">U215+U216</f>
        <v>0</v>
      </c>
      <c r="V217" s="107">
        <f t="shared" si="80"/>
        <v>0</v>
      </c>
      <c r="W217" s="107">
        <f t="shared" si="80"/>
        <v>0</v>
      </c>
      <c r="X217" s="107">
        <f t="shared" si="80"/>
        <v>0</v>
      </c>
      <c r="Y217" s="107">
        <f t="shared" si="80"/>
        <v>0</v>
      </c>
      <c r="Z217" s="107">
        <f t="shared" si="80"/>
        <v>0</v>
      </c>
      <c r="AA217" s="107">
        <f t="shared" si="80"/>
        <v>0</v>
      </c>
      <c r="AB217" s="107">
        <f t="shared" si="80"/>
        <v>0</v>
      </c>
      <c r="AC217" s="107">
        <f t="shared" si="80"/>
        <v>0</v>
      </c>
      <c r="AD217" s="107">
        <f t="shared" si="80"/>
        <v>0</v>
      </c>
      <c r="AE217" s="107">
        <f t="shared" si="80"/>
        <v>0</v>
      </c>
      <c r="AF217" s="107">
        <f t="shared" si="80"/>
        <v>0</v>
      </c>
      <c r="AG217" s="91">
        <f>SUM(F217:AF217)</f>
        <v>496839.97816038912</v>
      </c>
      <c r="AH217" s="28" t="str">
        <f>IF(ABS(E217-AG217)&lt;0.01,"ok","err")</f>
        <v>ok</v>
      </c>
      <c r="AK217" s="41"/>
    </row>
    <row r="218" spans="1:41" x14ac:dyDescent="0.25">
      <c r="E218" s="23"/>
      <c r="AK218" s="41"/>
    </row>
    <row r="219" spans="1:41" x14ac:dyDescent="0.25">
      <c r="A219" s="13" t="s">
        <v>4</v>
      </c>
      <c r="E219" s="23"/>
      <c r="AK219" s="41"/>
    </row>
    <row r="220" spans="1:41" x14ac:dyDescent="0.25">
      <c r="A220" s="94" t="s">
        <v>220</v>
      </c>
      <c r="C220" s="14" t="s">
        <v>293</v>
      </c>
      <c r="D220" s="14" t="s">
        <v>229</v>
      </c>
      <c r="E220" s="42">
        <f>'Func &amp; Classif'!U312</f>
        <v>374750.07497954922</v>
      </c>
      <c r="F220" s="67">
        <f>IF(VLOOKUP($D220,$C$5:$AU$500,3,)=0,0,(VLOOKUP($D220,$C$5:$AU$500,4,)/VLOOKUP($D220,$C$5:$AU$500,3,))*$E220)</f>
        <v>195632.83634368089</v>
      </c>
      <c r="G220" s="67">
        <f>IF(VLOOKUP($D220,$C$5:$AU$500,3,)=0,0,(VLOOKUP($D220,$C$5:$AU$500,5,)/VLOOKUP($D220,$C$5:$AU$500,3,))*$E220)</f>
        <v>85012.031793323637</v>
      </c>
      <c r="H220" s="42">
        <f>IF(VLOOKUP($D220,$C$5:$AU$500,3,)=0,0,(VLOOKUP($D220,$C$5:$AU$500,6,)/VLOOKUP($D220,$C$5:$AU$500,3,))*$E220)</f>
        <v>22662.288148215823</v>
      </c>
      <c r="I220" s="42">
        <f>IF(VLOOKUP($D220,$C$5:$AU$500,3,)=0,0,(VLOOKUP($D220,$C$5:$AU$500,7,)/VLOOKUP($D220,$C$5:$AU$500,3,))*$E220)</f>
        <v>53620.212637237768</v>
      </c>
      <c r="J220" s="42">
        <f>IF(VLOOKUP($D220,$C$5:$AU$500,3,)=0,0,(VLOOKUP($D220,$C$5:$AU$500,8,)/VLOOKUP($D220,$C$5:$AU$500,3,))*$E220)</f>
        <v>0</v>
      </c>
      <c r="K220" s="42">
        <f>IF(VLOOKUP($D220,$C$5:$AU$500,3,)=0,0,(VLOOKUP($D220,$C$5:$AU$500,9,)/VLOOKUP($D220,$C$5:$AU$500,3,))*$E220)</f>
        <v>165.92123559743504</v>
      </c>
      <c r="L220" s="67">
        <f>IF(VLOOKUP($D220,$C$5:$AU$500,3,)=0,0,(VLOOKUP($D220,$C$5:$AU$500,10,)/VLOOKUP($D220,$C$5:$AU$500,3,))*$E220)</f>
        <v>17656.784821493715</v>
      </c>
      <c r="M220" s="42">
        <f>IF(VLOOKUP($D220,$C$5:$AU$500,3,)=0,0,(VLOOKUP($D220,$C$5:$AU$500,11,)/VLOOKUP($D220,$C$5:$AU$500,3,))*$E220)</f>
        <v>0</v>
      </c>
      <c r="N220" s="42">
        <f>IF(VLOOKUP($D220,$C$5:$AU$500,3,)=0,0,(VLOOKUP($D220,$C$5:$AU$500,12,)/VLOOKUP($D220,$C$5:$AU$500,3,))*$E220)</f>
        <v>0</v>
      </c>
      <c r="O220" s="42">
        <f>IF(VLOOKUP($D220,$C$5:$AU$500,3,)=0,0,(VLOOKUP($D220,$C$5:$AU$500,13,)/VLOOKUP($D220,$C$5:$AU$500,3,))*$E220)</f>
        <v>0</v>
      </c>
      <c r="P220" s="42">
        <f>IF(VLOOKUP($D220,$C$5:$AU$500,3,)=0,0,(VLOOKUP($D220,$C$5:$AU$500,14,)/VLOOKUP($D220,$C$5:$AU$500,3,))*$E220)</f>
        <v>0</v>
      </c>
      <c r="Q220" s="42">
        <f>IF(VLOOKUP($D220,$C$5:$AU$500,3,)=0,0,(VLOOKUP($D220,$C$5:$AU$500,15,)/VLOOKUP($D220,$C$5:$AU$500,3,))*$E220)</f>
        <v>0</v>
      </c>
      <c r="R220" s="42">
        <f>IF(VLOOKUP($D220,$C$5:$AU$500,3,)=0,0,(VLOOKUP($D220,$C$5:$AU$500,16,)/VLOOKUP($D220,$C$5:$AU$500,3,))*$E220)</f>
        <v>0</v>
      </c>
      <c r="S220" s="107">
        <f>IF(VLOOKUP($D220,$C$5:$AU$500,3,)=0,0,(VLOOKUP($D220,$C$5:$AU$500,17,)/VLOOKUP($D220,$C$5:$AU$500,3,))*$E220)</f>
        <v>0</v>
      </c>
      <c r="T220" s="107">
        <f>IF(VLOOKUP($D220,$C$5:$AU$500,3,)=0,0,(VLOOKUP($D220,$C$5:$AU$500,18,)/VLOOKUP($D220,$C$5:$AU$500,3,))*$E220)</f>
        <v>0</v>
      </c>
      <c r="U220" s="107">
        <f>IF(VLOOKUP($D220,$C$5:$AU$500,3,)=0,0,(VLOOKUP($D220,$C$5:$AU$500,19,)/VLOOKUP($D220,$C$5:$AU$500,3,))*$E220)</f>
        <v>0</v>
      </c>
      <c r="V220" s="107">
        <f>IF(VLOOKUP($D220,$C$5:$AU$500,3,)=0,0,(VLOOKUP($D220,$C$5:$AU$500,20,)/VLOOKUP($D220,$C$5:$AU$500,3,))*$E220)</f>
        <v>0</v>
      </c>
      <c r="W220" s="107">
        <f>IF(VLOOKUP($D220,$C$5:$AU$500,3,)=0,0,(VLOOKUP($D220,$C$5:$AU$500,21,)/VLOOKUP($D220,$C$5:$AU$500,3,))*$E220)</f>
        <v>0</v>
      </c>
      <c r="X220" s="107">
        <f>IF(VLOOKUP($D220,$C$5:$AU$500,3,)=0,0,(VLOOKUP($D220,$C$5:$AU$500,22,)/VLOOKUP($D220,$C$5:$AU$500,3,))*$E220)</f>
        <v>0</v>
      </c>
      <c r="Y220" s="107">
        <f>IF(VLOOKUP($D220,$C$5:$AU$500,3,)=0,0,(VLOOKUP($D220,$C$5:$AU$500,23,)/VLOOKUP($D220,$C$5:$AU$500,3,))*$E220)</f>
        <v>0</v>
      </c>
      <c r="Z220" s="107">
        <f>IF(VLOOKUP($D220,$C$5:$AU$500,3,)=0,0,(VLOOKUP($D220,$C$5:$AU$500,24,)/VLOOKUP($D220,$C$5:$AU$500,3,))*$E220)</f>
        <v>0</v>
      </c>
      <c r="AA220" s="107">
        <f>IF(VLOOKUP($D220,$C$5:$AU$500,3,)=0,0,(VLOOKUP($D220,$C$5:$AU$500,25,)/VLOOKUP($D220,$C$5:$AU$500,3,))*$E220)</f>
        <v>0</v>
      </c>
      <c r="AB220" s="107">
        <f>IF(VLOOKUP($D220,$C$5:$AU$500,3,)=0,0,(VLOOKUP($D220,$C$5:$AU$500,26,)/VLOOKUP($D220,$C$5:$AU$500,3,))*$E220)</f>
        <v>0</v>
      </c>
      <c r="AC220" s="107">
        <f>IF(VLOOKUP($D220,$C$5:$AU$500,3,)=0,0,(VLOOKUP($D220,$C$5:$AU$500,27,)/VLOOKUP($D220,$C$5:$AU$500,3,))*$E220)</f>
        <v>0</v>
      </c>
      <c r="AD220" s="107">
        <f>IF(VLOOKUP($D220,$C$5:$AU$500,3,)=0,0,(VLOOKUP($D220,$C$5:$AU$500,28,)/VLOOKUP($D220,$C$5:$AU$500,3,))*$E220)</f>
        <v>0</v>
      </c>
      <c r="AE220" s="107">
        <f>IF(VLOOKUP($D220,$C$5:$AU$500,3,)=0,0,(VLOOKUP($D220,$C$5:$AU$500,29,)/VLOOKUP($D220,$C$5:$AU$500,3,))*$E220)</f>
        <v>0</v>
      </c>
      <c r="AF220" s="107">
        <f>IF(VLOOKUP($D220,$C$5:$AU$500,3,)=0,0,(VLOOKUP($D220,$C$5:$AU$500,30,)/VLOOKUP($D220,$C$5:$AU$500,3,))*$E220)</f>
        <v>0</v>
      </c>
      <c r="AG220" s="91">
        <f>SUM(F220:AF220)</f>
        <v>374750.07497954933</v>
      </c>
      <c r="AH220" s="28" t="str">
        <f>IF(ABS(E220-AG220)&lt;0.01,"ok","err")</f>
        <v>ok</v>
      </c>
      <c r="AK220" s="41"/>
      <c r="AL220" s="211"/>
      <c r="AM220" s="24"/>
      <c r="AO220" s="211"/>
    </row>
    <row r="221" spans="1:41" x14ac:dyDescent="0.25">
      <c r="E221" s="23"/>
      <c r="AK221" s="41"/>
    </row>
    <row r="222" spans="1:41" x14ac:dyDescent="0.25">
      <c r="A222" s="13" t="s">
        <v>5</v>
      </c>
      <c r="E222" s="23"/>
      <c r="AK222" s="41"/>
    </row>
    <row r="223" spans="1:41" x14ac:dyDescent="0.25">
      <c r="A223" s="94" t="s">
        <v>220</v>
      </c>
      <c r="C223" s="14" t="s">
        <v>294</v>
      </c>
      <c r="D223" s="14" t="s">
        <v>231</v>
      </c>
      <c r="E223" s="42">
        <f>'Func &amp; Classif'!W312</f>
        <v>181787.40198223793</v>
      </c>
      <c r="F223" s="67">
        <f>IF(VLOOKUP($D223,$C$5:$AU$500,3,)=0,0,(VLOOKUP($D223,$C$5:$AU$500,4,)/VLOOKUP($D223,$C$5:$AU$500,3,))*$E223)</f>
        <v>0</v>
      </c>
      <c r="G223" s="67">
        <f>IF(VLOOKUP($D223,$C$5:$AU$500,3,)=0,0,(VLOOKUP($D223,$C$5:$AU$500,5,)/VLOOKUP($D223,$C$5:$AU$500,3,))*$E223)</f>
        <v>0</v>
      </c>
      <c r="H223" s="42">
        <f>IF(VLOOKUP($D223,$C$5:$AU$500,3,)=0,0,(VLOOKUP($D223,$C$5:$AU$500,6,)/VLOOKUP($D223,$C$5:$AU$500,3,))*$E223)</f>
        <v>0</v>
      </c>
      <c r="I223" s="42">
        <f>IF(VLOOKUP($D223,$C$5:$AU$500,3,)=0,0,(VLOOKUP($D223,$C$5:$AU$500,7,)/VLOOKUP($D223,$C$5:$AU$500,3,))*$E223)</f>
        <v>0</v>
      </c>
      <c r="J223" s="42">
        <f>IF(VLOOKUP($D223,$C$5:$AU$500,3,)=0,0,(VLOOKUP($D223,$C$5:$AU$500,8,)/VLOOKUP($D223,$C$5:$AU$500,3,))*$E223)</f>
        <v>0</v>
      </c>
      <c r="K223" s="42">
        <f>IF(VLOOKUP($D223,$C$5:$AU$500,3,)=0,0,(VLOOKUP($D223,$C$5:$AU$500,9,)/VLOOKUP($D223,$C$5:$AU$500,3,))*$E223)</f>
        <v>0</v>
      </c>
      <c r="L223" s="67">
        <f>IF(VLOOKUP($D223,$C$5:$AU$500,3,)=0,0,(VLOOKUP($D223,$C$5:$AU$500,10,)/VLOOKUP($D223,$C$5:$AU$500,3,))*$E223)</f>
        <v>181787.40198223793</v>
      </c>
      <c r="M223" s="42">
        <f>IF(VLOOKUP($D223,$C$5:$AU$500,3,)=0,0,(VLOOKUP($D223,$C$5:$AU$500,11,)/VLOOKUP($D223,$C$5:$AU$500,3,))*$E223)</f>
        <v>0</v>
      </c>
      <c r="N223" s="42">
        <f>IF(VLOOKUP($D223,$C$5:$AU$500,3,)=0,0,(VLOOKUP($D223,$C$5:$AU$500,12,)/VLOOKUP($D223,$C$5:$AU$500,3,))*$E223)</f>
        <v>0</v>
      </c>
      <c r="O223" s="42">
        <f>IF(VLOOKUP($D223,$C$5:$AU$500,3,)=0,0,(VLOOKUP($D223,$C$5:$AU$500,13,)/VLOOKUP($D223,$C$5:$AU$500,3,))*$E223)</f>
        <v>0</v>
      </c>
      <c r="P223" s="42">
        <f>IF(VLOOKUP($D223,$C$5:$AU$500,3,)=0,0,(VLOOKUP($D223,$C$5:$AU$500,14,)/VLOOKUP($D223,$C$5:$AU$500,3,))*$E223)</f>
        <v>0</v>
      </c>
      <c r="Q223" s="42">
        <f>IF(VLOOKUP($D223,$C$5:$AU$500,3,)=0,0,(VLOOKUP($D223,$C$5:$AU$500,15,)/VLOOKUP($D223,$C$5:$AU$500,3,))*$E223)</f>
        <v>0</v>
      </c>
      <c r="R223" s="42">
        <f>IF(VLOOKUP($D223,$C$5:$AU$500,3,)=0,0,(VLOOKUP($D223,$C$5:$AU$500,16,)/VLOOKUP($D223,$C$5:$AU$500,3,))*$E223)</f>
        <v>0</v>
      </c>
      <c r="S223" s="107">
        <f>IF(VLOOKUP($D223,$C$5:$AU$500,3,)=0,0,(VLOOKUP($D223,$C$5:$AU$500,17,)/VLOOKUP($D223,$C$5:$AU$500,3,))*$E223)</f>
        <v>0</v>
      </c>
      <c r="T223" s="107">
        <f>IF(VLOOKUP($D223,$C$5:$AU$500,3,)=0,0,(VLOOKUP($D223,$C$5:$AU$500,18,)/VLOOKUP($D223,$C$5:$AU$500,3,))*$E223)</f>
        <v>0</v>
      </c>
      <c r="U223" s="107">
        <f>IF(VLOOKUP($D223,$C$5:$AU$500,3,)=0,0,(VLOOKUP($D223,$C$5:$AU$500,19,)/VLOOKUP($D223,$C$5:$AU$500,3,))*$E223)</f>
        <v>0</v>
      </c>
      <c r="V223" s="107">
        <f>IF(VLOOKUP($D223,$C$5:$AU$500,3,)=0,0,(VLOOKUP($D223,$C$5:$AU$500,20,)/VLOOKUP($D223,$C$5:$AU$500,3,))*$E223)</f>
        <v>0</v>
      </c>
      <c r="W223" s="107">
        <f>IF(VLOOKUP($D223,$C$5:$AU$500,3,)=0,0,(VLOOKUP($D223,$C$5:$AU$500,21,)/VLOOKUP($D223,$C$5:$AU$500,3,))*$E223)</f>
        <v>0</v>
      </c>
      <c r="X223" s="107">
        <f>IF(VLOOKUP($D223,$C$5:$AU$500,3,)=0,0,(VLOOKUP($D223,$C$5:$AU$500,22,)/VLOOKUP($D223,$C$5:$AU$500,3,))*$E223)</f>
        <v>0</v>
      </c>
      <c r="Y223" s="107">
        <f>IF(VLOOKUP($D223,$C$5:$AU$500,3,)=0,0,(VLOOKUP($D223,$C$5:$AU$500,23,)/VLOOKUP($D223,$C$5:$AU$500,3,))*$E223)</f>
        <v>0</v>
      </c>
      <c r="Z223" s="107">
        <f>IF(VLOOKUP($D223,$C$5:$AU$500,3,)=0,0,(VLOOKUP($D223,$C$5:$AU$500,24,)/VLOOKUP($D223,$C$5:$AU$500,3,))*$E223)</f>
        <v>0</v>
      </c>
      <c r="AA223" s="107">
        <f>IF(VLOOKUP($D223,$C$5:$AU$500,3,)=0,0,(VLOOKUP($D223,$C$5:$AU$500,25,)/VLOOKUP($D223,$C$5:$AU$500,3,))*$E223)</f>
        <v>0</v>
      </c>
      <c r="AB223" s="107">
        <f>IF(VLOOKUP($D223,$C$5:$AU$500,3,)=0,0,(VLOOKUP($D223,$C$5:$AU$500,26,)/VLOOKUP($D223,$C$5:$AU$500,3,))*$E223)</f>
        <v>0</v>
      </c>
      <c r="AC223" s="107">
        <f>IF(VLOOKUP($D223,$C$5:$AU$500,3,)=0,0,(VLOOKUP($D223,$C$5:$AU$500,27,)/VLOOKUP($D223,$C$5:$AU$500,3,))*$E223)</f>
        <v>0</v>
      </c>
      <c r="AD223" s="107">
        <f>IF(VLOOKUP($D223,$C$5:$AU$500,3,)=0,0,(VLOOKUP($D223,$C$5:$AU$500,28,)/VLOOKUP($D223,$C$5:$AU$500,3,))*$E223)</f>
        <v>0</v>
      </c>
      <c r="AE223" s="107">
        <f>IF(VLOOKUP($D223,$C$5:$AU$500,3,)=0,0,(VLOOKUP($D223,$C$5:$AU$500,29,)/VLOOKUP($D223,$C$5:$AU$500,3,))*$E223)</f>
        <v>0</v>
      </c>
      <c r="AF223" s="107">
        <f>IF(VLOOKUP($D223,$C$5:$AU$500,3,)=0,0,(VLOOKUP($D223,$C$5:$AU$500,30,)/VLOOKUP($D223,$C$5:$AU$500,3,))*$E223)</f>
        <v>0</v>
      </c>
      <c r="AG223" s="91">
        <f>SUM(F223:AF223)</f>
        <v>181787.40198223793</v>
      </c>
      <c r="AH223" s="28" t="str">
        <f>IF(ABS(E223-AG223)&lt;0.01,"ok","err")</f>
        <v>ok</v>
      </c>
      <c r="AK223" s="41"/>
      <c r="AL223" s="211"/>
      <c r="AM223" s="24"/>
      <c r="AO223" s="211"/>
    </row>
    <row r="224" spans="1:41" x14ac:dyDescent="0.25">
      <c r="E224" s="23"/>
      <c r="AK224" s="41"/>
    </row>
    <row r="225" spans="1:41" x14ac:dyDescent="0.25">
      <c r="A225" s="13" t="s">
        <v>545</v>
      </c>
      <c r="E225" s="23"/>
      <c r="AK225" s="41"/>
    </row>
    <row r="226" spans="1:41" x14ac:dyDescent="0.25">
      <c r="A226" s="94" t="s">
        <v>220</v>
      </c>
      <c r="C226" s="14" t="s">
        <v>295</v>
      </c>
      <c r="D226" s="14" t="s">
        <v>233</v>
      </c>
      <c r="E226" s="42">
        <f>'Func &amp; Classif'!Y312</f>
        <v>0</v>
      </c>
      <c r="F226" s="67">
        <f>IF(VLOOKUP($D226,$C$5:$AU$500,3,)=0,0,(VLOOKUP($D226,$C$5:$AU$500,4,)/VLOOKUP($D226,$C$5:$AU$500,3,))*$E226)</f>
        <v>0</v>
      </c>
      <c r="G226" s="67">
        <f>IF(VLOOKUP($D226,$C$5:$AU$500,3,)=0,0,(VLOOKUP($D226,$C$5:$AU$500,5,)/VLOOKUP($D226,$C$5:$AU$500,3,))*$E226)</f>
        <v>0</v>
      </c>
      <c r="H226" s="42">
        <f>IF(VLOOKUP($D226,$C$5:$AU$500,3,)=0,0,(VLOOKUP($D226,$C$5:$AU$500,6,)/VLOOKUP($D226,$C$5:$AU$500,3,))*$E226)</f>
        <v>0</v>
      </c>
      <c r="I226" s="42">
        <f>IF(VLOOKUP($D226,$C$5:$AU$500,3,)=0,0,(VLOOKUP($D226,$C$5:$AU$500,7,)/VLOOKUP($D226,$C$5:$AU$500,3,))*$E226)</f>
        <v>0</v>
      </c>
      <c r="J226" s="42">
        <f>IF(VLOOKUP($D226,$C$5:$AU$500,3,)=0,0,(VLOOKUP($D226,$C$5:$AU$500,8,)/VLOOKUP($D226,$C$5:$AU$500,3,))*$E226)</f>
        <v>0</v>
      </c>
      <c r="K226" s="42">
        <f>IF(VLOOKUP($D226,$C$5:$AU$500,3,)=0,0,(VLOOKUP($D226,$C$5:$AU$500,9,)/VLOOKUP($D226,$C$5:$AU$500,3,))*$E226)</f>
        <v>0</v>
      </c>
      <c r="L226" s="67">
        <f>IF(VLOOKUP($D226,$C$5:$AU$500,3,)=0,0,(VLOOKUP($D226,$C$5:$AU$500,10,)/VLOOKUP($D226,$C$5:$AU$500,3,))*$E226)</f>
        <v>0</v>
      </c>
      <c r="M226" s="42">
        <f>IF(VLOOKUP($D226,$C$5:$AU$500,3,)=0,0,(VLOOKUP($D226,$C$5:$AU$500,11,)/VLOOKUP($D226,$C$5:$AU$500,3,))*$E226)</f>
        <v>0</v>
      </c>
      <c r="N226" s="42">
        <f>IF(VLOOKUP($D226,$C$5:$AU$500,3,)=0,0,(VLOOKUP($D226,$C$5:$AU$500,12,)/VLOOKUP($D226,$C$5:$AU$500,3,))*$E226)</f>
        <v>0</v>
      </c>
      <c r="O226" s="42">
        <f>IF(VLOOKUP($D226,$C$5:$AU$500,3,)=0,0,(VLOOKUP($D226,$C$5:$AU$500,13,)/VLOOKUP($D226,$C$5:$AU$500,3,))*$E226)</f>
        <v>0</v>
      </c>
      <c r="P226" s="42">
        <f>IF(VLOOKUP($D226,$C$5:$AU$500,3,)=0,0,(VLOOKUP($D226,$C$5:$AU$500,14,)/VLOOKUP($D226,$C$5:$AU$500,3,))*$E226)</f>
        <v>0</v>
      </c>
      <c r="Q226" s="42">
        <f>IF(VLOOKUP($D226,$C$5:$AU$500,3,)=0,0,(VLOOKUP($D226,$C$5:$AU$500,15,)/VLOOKUP($D226,$C$5:$AU$500,3,))*$E226)</f>
        <v>0</v>
      </c>
      <c r="R226" s="42">
        <f>IF(VLOOKUP($D226,$C$5:$AU$500,3,)=0,0,(VLOOKUP($D226,$C$5:$AU$500,16,)/VLOOKUP($D226,$C$5:$AU$500,3,))*$E226)</f>
        <v>0</v>
      </c>
      <c r="S226" s="107">
        <f>IF(VLOOKUP($D226,$C$5:$AU$500,3,)=0,0,(VLOOKUP($D226,$C$5:$AU$500,17,)/VLOOKUP($D226,$C$5:$AU$500,3,))*$E226)</f>
        <v>0</v>
      </c>
      <c r="T226" s="107">
        <f>IF(VLOOKUP($D226,$C$5:$AU$500,3,)=0,0,(VLOOKUP($D226,$C$5:$AU$500,18,)/VLOOKUP($D226,$C$5:$AU$500,3,))*$E226)</f>
        <v>0</v>
      </c>
      <c r="U226" s="107">
        <f>IF(VLOOKUP($D226,$C$5:$AU$500,3,)=0,0,(VLOOKUP($D226,$C$5:$AU$500,19,)/VLOOKUP($D226,$C$5:$AU$500,3,))*$E226)</f>
        <v>0</v>
      </c>
      <c r="V226" s="107">
        <f>IF(VLOOKUP($D226,$C$5:$AU$500,3,)=0,0,(VLOOKUP($D226,$C$5:$AU$500,20,)/VLOOKUP($D226,$C$5:$AU$500,3,))*$E226)</f>
        <v>0</v>
      </c>
      <c r="W226" s="107">
        <f>IF(VLOOKUP($D226,$C$5:$AU$500,3,)=0,0,(VLOOKUP($D226,$C$5:$AU$500,21,)/VLOOKUP($D226,$C$5:$AU$500,3,))*$E226)</f>
        <v>0</v>
      </c>
      <c r="X226" s="107">
        <f>IF(VLOOKUP($D226,$C$5:$AU$500,3,)=0,0,(VLOOKUP($D226,$C$5:$AU$500,22,)/VLOOKUP($D226,$C$5:$AU$500,3,))*$E226)</f>
        <v>0</v>
      </c>
      <c r="Y226" s="107">
        <f>IF(VLOOKUP($D226,$C$5:$AU$500,3,)=0,0,(VLOOKUP($D226,$C$5:$AU$500,23,)/VLOOKUP($D226,$C$5:$AU$500,3,))*$E226)</f>
        <v>0</v>
      </c>
      <c r="Z226" s="107">
        <f>IF(VLOOKUP($D226,$C$5:$AU$500,3,)=0,0,(VLOOKUP($D226,$C$5:$AU$500,24,)/VLOOKUP($D226,$C$5:$AU$500,3,))*$E226)</f>
        <v>0</v>
      </c>
      <c r="AA226" s="107">
        <f>IF(VLOOKUP($D226,$C$5:$AU$500,3,)=0,0,(VLOOKUP($D226,$C$5:$AU$500,25,)/VLOOKUP($D226,$C$5:$AU$500,3,))*$E226)</f>
        <v>0</v>
      </c>
      <c r="AB226" s="107">
        <f>IF(VLOOKUP($D226,$C$5:$AU$500,3,)=0,0,(VLOOKUP($D226,$C$5:$AU$500,26,)/VLOOKUP($D226,$C$5:$AU$500,3,))*$E226)</f>
        <v>0</v>
      </c>
      <c r="AC226" s="107">
        <f>IF(VLOOKUP($D226,$C$5:$AU$500,3,)=0,0,(VLOOKUP($D226,$C$5:$AU$500,27,)/VLOOKUP($D226,$C$5:$AU$500,3,))*$E226)</f>
        <v>0</v>
      </c>
      <c r="AD226" s="107">
        <f>IF(VLOOKUP($D226,$C$5:$AU$500,3,)=0,0,(VLOOKUP($D226,$C$5:$AU$500,28,)/VLOOKUP($D226,$C$5:$AU$500,3,))*$E226)</f>
        <v>0</v>
      </c>
      <c r="AE226" s="107">
        <f>IF(VLOOKUP($D226,$C$5:$AU$500,3,)=0,0,(VLOOKUP($D226,$C$5:$AU$500,29,)/VLOOKUP($D226,$C$5:$AU$500,3,))*$E226)</f>
        <v>0</v>
      </c>
      <c r="AF226" s="107">
        <f>IF(VLOOKUP($D226,$C$5:$AU$500,3,)=0,0,(VLOOKUP($D226,$C$5:$AU$500,30,)/VLOOKUP($D226,$C$5:$AU$500,3,))*$E226)</f>
        <v>0</v>
      </c>
      <c r="AG226" s="91">
        <f>SUM(F226:AF226)</f>
        <v>0</v>
      </c>
      <c r="AH226" s="28" t="str">
        <f>IF(ABS(E226-AG226)&lt;0.01,"ok","err")</f>
        <v>ok</v>
      </c>
      <c r="AK226" s="41"/>
      <c r="AL226" s="211"/>
      <c r="AM226" s="24"/>
      <c r="AO226" s="211"/>
    </row>
    <row r="227" spans="1:41" x14ac:dyDescent="0.25">
      <c r="E227" s="23"/>
      <c r="AK227" s="41"/>
    </row>
    <row r="228" spans="1:41" x14ac:dyDescent="0.25">
      <c r="A228" s="13" t="s">
        <v>470</v>
      </c>
      <c r="E228" s="23"/>
      <c r="AK228" s="41"/>
    </row>
    <row r="229" spans="1:41" x14ac:dyDescent="0.25">
      <c r="A229" s="94" t="s">
        <v>220</v>
      </c>
      <c r="C229" s="14" t="s">
        <v>292</v>
      </c>
      <c r="D229" s="14" t="s">
        <v>234</v>
      </c>
      <c r="E229" s="42">
        <f>'Func &amp; Classif'!AA312</f>
        <v>0</v>
      </c>
      <c r="F229" s="67">
        <f>IF(VLOOKUP($D229,$C$5:$AU$500,3,)=0,0,(VLOOKUP($D229,$C$5:$AU$500,4,)/VLOOKUP($D229,$C$5:$AU$500,3,))*$E229)</f>
        <v>0</v>
      </c>
      <c r="G229" s="67">
        <f>IF(VLOOKUP($D229,$C$5:$AU$500,3,)=0,0,(VLOOKUP($D229,$C$5:$AU$500,5,)/VLOOKUP($D229,$C$5:$AU$500,3,))*$E229)</f>
        <v>0</v>
      </c>
      <c r="H229" s="42">
        <f>IF(VLOOKUP($D229,$C$5:$AU$500,3,)=0,0,(VLOOKUP($D229,$C$5:$AU$500,6,)/VLOOKUP($D229,$C$5:$AU$500,3,))*$E229)</f>
        <v>0</v>
      </c>
      <c r="I229" s="42">
        <f>IF(VLOOKUP($D229,$C$5:$AU$500,3,)=0,0,(VLOOKUP($D229,$C$5:$AU$500,7,)/VLOOKUP($D229,$C$5:$AU$500,3,))*$E229)</f>
        <v>0</v>
      </c>
      <c r="J229" s="42">
        <f>IF(VLOOKUP($D229,$C$5:$AU$500,3,)=0,0,(VLOOKUP($D229,$C$5:$AU$500,8,)/VLOOKUP($D229,$C$5:$AU$500,3,))*$E229)</f>
        <v>0</v>
      </c>
      <c r="K229" s="42">
        <f>IF(VLOOKUP($D229,$C$5:$AU$500,3,)=0,0,(VLOOKUP($D229,$C$5:$AU$500,9,)/VLOOKUP($D229,$C$5:$AU$500,3,))*$E229)</f>
        <v>0</v>
      </c>
      <c r="L229" s="67">
        <f>IF(VLOOKUP($D229,$C$5:$AU$500,3,)=0,0,(VLOOKUP($D229,$C$5:$AU$500,10,)/VLOOKUP($D229,$C$5:$AU$500,3,))*$E229)</f>
        <v>0</v>
      </c>
      <c r="M229" s="42">
        <f>IF(VLOOKUP($D229,$C$5:$AU$500,3,)=0,0,(VLOOKUP($D229,$C$5:$AU$500,11,)/VLOOKUP($D229,$C$5:$AU$500,3,))*$E229)</f>
        <v>0</v>
      </c>
      <c r="N229" s="42">
        <f>IF(VLOOKUP($D229,$C$5:$AU$500,3,)=0,0,(VLOOKUP($D229,$C$5:$AU$500,12,)/VLOOKUP($D229,$C$5:$AU$500,3,))*$E229)</f>
        <v>0</v>
      </c>
      <c r="O229" s="42">
        <f>IF(VLOOKUP($D229,$C$5:$AU$500,3,)=0,0,(VLOOKUP($D229,$C$5:$AU$500,13,)/VLOOKUP($D229,$C$5:$AU$500,3,))*$E229)</f>
        <v>0</v>
      </c>
      <c r="P229" s="42">
        <f>IF(VLOOKUP($D229,$C$5:$AU$500,3,)=0,0,(VLOOKUP($D229,$C$5:$AU$500,14,)/VLOOKUP($D229,$C$5:$AU$500,3,))*$E229)</f>
        <v>0</v>
      </c>
      <c r="Q229" s="42">
        <f>IF(VLOOKUP($D229,$C$5:$AU$500,3,)=0,0,(VLOOKUP($D229,$C$5:$AU$500,15,)/VLOOKUP($D229,$C$5:$AU$500,3,))*$E229)</f>
        <v>0</v>
      </c>
      <c r="R229" s="42">
        <f>IF(VLOOKUP($D229,$C$5:$AU$500,3,)=0,0,(VLOOKUP($D229,$C$5:$AU$500,16,)/VLOOKUP($D229,$C$5:$AU$500,3,))*$E229)</f>
        <v>0</v>
      </c>
      <c r="S229" s="107">
        <f>IF(VLOOKUP($D229,$C$5:$AU$500,3,)=0,0,(VLOOKUP($D229,$C$5:$AU$500,17,)/VLOOKUP($D229,$C$5:$AU$500,3,))*$E229)</f>
        <v>0</v>
      </c>
      <c r="T229" s="107">
        <f>IF(VLOOKUP($D229,$C$5:$AU$500,3,)=0,0,(VLOOKUP($D229,$C$5:$AU$500,18,)/VLOOKUP($D229,$C$5:$AU$500,3,))*$E229)</f>
        <v>0</v>
      </c>
      <c r="U229" s="107">
        <f>IF(VLOOKUP($D229,$C$5:$AU$500,3,)=0,0,(VLOOKUP($D229,$C$5:$AU$500,19,)/VLOOKUP($D229,$C$5:$AU$500,3,))*$E229)</f>
        <v>0</v>
      </c>
      <c r="V229" s="107">
        <f>IF(VLOOKUP($D229,$C$5:$AU$500,3,)=0,0,(VLOOKUP($D229,$C$5:$AU$500,20,)/VLOOKUP($D229,$C$5:$AU$500,3,))*$E229)</f>
        <v>0</v>
      </c>
      <c r="W229" s="107">
        <f>IF(VLOOKUP($D229,$C$5:$AU$500,3,)=0,0,(VLOOKUP($D229,$C$5:$AU$500,21,)/VLOOKUP($D229,$C$5:$AU$500,3,))*$E229)</f>
        <v>0</v>
      </c>
      <c r="X229" s="107">
        <f>IF(VLOOKUP($D229,$C$5:$AU$500,3,)=0,0,(VLOOKUP($D229,$C$5:$AU$500,22,)/VLOOKUP($D229,$C$5:$AU$500,3,))*$E229)</f>
        <v>0</v>
      </c>
      <c r="Y229" s="107">
        <f>IF(VLOOKUP($D229,$C$5:$AU$500,3,)=0,0,(VLOOKUP($D229,$C$5:$AU$500,23,)/VLOOKUP($D229,$C$5:$AU$500,3,))*$E229)</f>
        <v>0</v>
      </c>
      <c r="Z229" s="107">
        <f>IF(VLOOKUP($D229,$C$5:$AU$500,3,)=0,0,(VLOOKUP($D229,$C$5:$AU$500,24,)/VLOOKUP($D229,$C$5:$AU$500,3,))*$E229)</f>
        <v>0</v>
      </c>
      <c r="AA229" s="107">
        <f>IF(VLOOKUP($D229,$C$5:$AU$500,3,)=0,0,(VLOOKUP($D229,$C$5:$AU$500,25,)/VLOOKUP($D229,$C$5:$AU$500,3,))*$E229)</f>
        <v>0</v>
      </c>
      <c r="AB229" s="107">
        <f>IF(VLOOKUP($D229,$C$5:$AU$500,3,)=0,0,(VLOOKUP($D229,$C$5:$AU$500,26,)/VLOOKUP($D229,$C$5:$AU$500,3,))*$E229)</f>
        <v>0</v>
      </c>
      <c r="AC229" s="107">
        <f>IF(VLOOKUP($D229,$C$5:$AU$500,3,)=0,0,(VLOOKUP($D229,$C$5:$AU$500,27,)/VLOOKUP($D229,$C$5:$AU$500,3,))*$E229)</f>
        <v>0</v>
      </c>
      <c r="AD229" s="107">
        <f>IF(VLOOKUP($D229,$C$5:$AU$500,3,)=0,0,(VLOOKUP($D229,$C$5:$AU$500,28,)/VLOOKUP($D229,$C$5:$AU$500,3,))*$E229)</f>
        <v>0</v>
      </c>
      <c r="AE229" s="107">
        <f>IF(VLOOKUP($D229,$C$5:$AU$500,3,)=0,0,(VLOOKUP($D229,$C$5:$AU$500,29,)/VLOOKUP($D229,$C$5:$AU$500,3,))*$E229)</f>
        <v>0</v>
      </c>
      <c r="AF229" s="107">
        <f>IF(VLOOKUP($D229,$C$5:$AU$500,3,)=0,0,(VLOOKUP($D229,$C$5:$AU$500,30,)/VLOOKUP($D229,$C$5:$AU$500,3,))*$E229)</f>
        <v>0</v>
      </c>
      <c r="AG229" s="91">
        <f>SUM(F229:AF229)</f>
        <v>0</v>
      </c>
      <c r="AH229" s="28" t="str">
        <f>IF(ABS(E229-AG229)&lt;0.01,"ok","err")</f>
        <v>ok</v>
      </c>
      <c r="AK229" s="41"/>
      <c r="AL229" s="211"/>
      <c r="AM229" s="24"/>
      <c r="AO229" s="211"/>
    </row>
    <row r="230" spans="1:41" x14ac:dyDescent="0.25">
      <c r="E230" s="23"/>
      <c r="AK230" s="41"/>
    </row>
    <row r="231" spans="1:41" x14ac:dyDescent="0.25">
      <c r="A231" s="14" t="s">
        <v>0</v>
      </c>
      <c r="C231" s="14" t="s">
        <v>296</v>
      </c>
      <c r="E231" s="42">
        <f>E201+E204+E207+E212+E217+E220+E223+E226+E229</f>
        <v>7326399.9100000001</v>
      </c>
      <c r="F231" s="42">
        <f t="shared" ref="F231:R231" si="81">F201+F204+F207+F212+F217+F220+F223+F226+F229</f>
        <v>4980400.5819721017</v>
      </c>
      <c r="G231" s="42">
        <f t="shared" si="81"/>
        <v>823074.75580967288</v>
      </c>
      <c r="H231" s="42">
        <f t="shared" si="81"/>
        <v>176251.7119998619</v>
      </c>
      <c r="I231" s="42">
        <f t="shared" si="81"/>
        <v>1003530.966284255</v>
      </c>
      <c r="J231" s="42">
        <f t="shared" si="81"/>
        <v>0</v>
      </c>
      <c r="K231" s="42">
        <f t="shared" si="81"/>
        <v>93622.806084060678</v>
      </c>
      <c r="L231" s="42">
        <f t="shared" si="81"/>
        <v>249519.0878500471</v>
      </c>
      <c r="M231" s="42">
        <f t="shared" si="81"/>
        <v>0</v>
      </c>
      <c r="N231" s="42">
        <f t="shared" si="81"/>
        <v>0</v>
      </c>
      <c r="O231" s="42">
        <f t="shared" si="81"/>
        <v>0</v>
      </c>
      <c r="P231" s="42">
        <f t="shared" si="81"/>
        <v>0</v>
      </c>
      <c r="Q231" s="42">
        <f t="shared" si="81"/>
        <v>0</v>
      </c>
      <c r="R231" s="42">
        <f t="shared" si="81"/>
        <v>0</v>
      </c>
      <c r="S231" s="107">
        <f t="shared" ref="S231:AF231" si="82">S201+S207+S212+S217+S220+S223+S226+S229</f>
        <v>0</v>
      </c>
      <c r="T231" s="107">
        <f t="shared" si="82"/>
        <v>0</v>
      </c>
      <c r="U231" s="107">
        <f t="shared" si="82"/>
        <v>0</v>
      </c>
      <c r="V231" s="107">
        <f t="shared" si="82"/>
        <v>0</v>
      </c>
      <c r="W231" s="107">
        <f t="shared" si="82"/>
        <v>0</v>
      </c>
      <c r="X231" s="107">
        <f t="shared" si="82"/>
        <v>0</v>
      </c>
      <c r="Y231" s="107">
        <f t="shared" si="82"/>
        <v>0</v>
      </c>
      <c r="Z231" s="107">
        <f t="shared" si="82"/>
        <v>0</v>
      </c>
      <c r="AA231" s="107">
        <f t="shared" si="82"/>
        <v>0</v>
      </c>
      <c r="AB231" s="107">
        <f t="shared" si="82"/>
        <v>0</v>
      </c>
      <c r="AC231" s="107">
        <f t="shared" si="82"/>
        <v>0</v>
      </c>
      <c r="AD231" s="107">
        <f t="shared" si="82"/>
        <v>0</v>
      </c>
      <c r="AE231" s="107">
        <f t="shared" si="82"/>
        <v>0</v>
      </c>
      <c r="AF231" s="107">
        <f t="shared" si="82"/>
        <v>0</v>
      </c>
      <c r="AG231" s="91">
        <f>SUM(F231:AF231)</f>
        <v>7326399.9100000001</v>
      </c>
      <c r="AH231" s="28" t="str">
        <f>IF(ABS(E231-AG231)&lt;0.01,"ok","err")</f>
        <v>ok</v>
      </c>
      <c r="AK231" s="41"/>
    </row>
    <row r="232" spans="1:41" x14ac:dyDescent="0.25">
      <c r="E232" s="200">
        <f>E231/$E231</f>
        <v>1</v>
      </c>
      <c r="F232" s="200">
        <f>F231/$E231</f>
        <v>0.67978825114012942</v>
      </c>
      <c r="G232" s="200">
        <f t="shared" ref="G232" si="83">G231/$E231</f>
        <v>0.11234368392670403</v>
      </c>
      <c r="H232" s="200">
        <f t="shared" ref="H232" si="84">H231/$E231</f>
        <v>2.4057069524595728E-2</v>
      </c>
      <c r="I232" s="200">
        <f t="shared" ref="I232" si="85">I231/$E231</f>
        <v>0.13697463674000496</v>
      </c>
      <c r="J232" s="200">
        <f t="shared" ref="J232" si="86">J231/$E231</f>
        <v>0</v>
      </c>
      <c r="K232" s="200">
        <f t="shared" ref="K232" si="87">K231/$E231</f>
        <v>1.2778828242268402E-2</v>
      </c>
      <c r="L232" s="200">
        <f t="shared" ref="L232" si="88">L231/$E231</f>
        <v>3.405753042629734E-2</v>
      </c>
      <c r="M232" s="48">
        <f t="shared" ref="M232" si="89">M231/$E231</f>
        <v>0</v>
      </c>
      <c r="AK232" s="41"/>
      <c r="AL232" s="211"/>
      <c r="AM232" s="24"/>
      <c r="AO232" s="211"/>
    </row>
    <row r="234" spans="1:41" x14ac:dyDescent="0.25">
      <c r="A234" s="26" t="s">
        <v>187</v>
      </c>
    </row>
    <row r="236" spans="1:41" x14ac:dyDescent="0.25">
      <c r="A236" s="13" t="s">
        <v>893</v>
      </c>
    </row>
    <row r="237" spans="1:41" x14ac:dyDescent="0.25">
      <c r="A237" s="94" t="s">
        <v>208</v>
      </c>
      <c r="C237" s="14" t="s">
        <v>297</v>
      </c>
      <c r="D237" s="14" t="s">
        <v>657</v>
      </c>
      <c r="E237" s="42">
        <f>'Func &amp; Classif'!H314</f>
        <v>0</v>
      </c>
      <c r="F237" s="67">
        <f>IF(VLOOKUP($D237,$C$5:$AU$500,3,)=0,0,(VLOOKUP($D237,$C$5:$AU$500,4,)/VLOOKUP($D237,$C$5:$AU$500,3,))*$E237)</f>
        <v>0</v>
      </c>
      <c r="G237" s="67">
        <f>IF(VLOOKUP($D237,$C$5:$AU$500,3,)=0,0,(VLOOKUP($D237,$C$5:$AU$500,5,)/VLOOKUP($D237,$C$5:$AU$500,3,))*$E237)</f>
        <v>0</v>
      </c>
      <c r="H237" s="42">
        <f>IF(VLOOKUP($D237,$C$5:$AU$500,3,)=0,0,(VLOOKUP($D237,$C$5:$AU$500,6,)/VLOOKUP($D237,$C$5:$AU$500,3,))*$E237)</f>
        <v>0</v>
      </c>
      <c r="I237" s="42">
        <f>IF(VLOOKUP($D237,$C$5:$AU$500,3,)=0,0,(VLOOKUP($D237,$C$5:$AU$500,7,)/VLOOKUP($D237,$C$5:$AU$500,3,))*$E237)</f>
        <v>0</v>
      </c>
      <c r="J237" s="42">
        <f>IF(VLOOKUP($D237,$C$5:$AU$500,3,)=0,0,(VLOOKUP($D237,$C$5:$AU$500,8,)/VLOOKUP($D237,$C$5:$AU$500,3,))*$E237)</f>
        <v>0</v>
      </c>
      <c r="K237" s="42">
        <f>IF(VLOOKUP($D237,$C$5:$AU$500,3,)=0,0,(VLOOKUP($D237,$C$5:$AU$500,9,)/VLOOKUP($D237,$C$5:$AU$500,3,))*$E237)</f>
        <v>0</v>
      </c>
      <c r="L237" s="67">
        <f>IF(VLOOKUP($D237,$C$5:$AU$500,3,)=0,0,(VLOOKUP($D237,$C$5:$AU$500,10,)/VLOOKUP($D237,$C$5:$AU$500,3,))*$E237)</f>
        <v>0</v>
      </c>
      <c r="M237" s="42">
        <f>IF(VLOOKUP($D237,$C$5:$AU$500,3,)=0,0,(VLOOKUP($D237,$C$5:$AU$500,11,)/VLOOKUP($D237,$C$5:$AU$500,3,))*$E237)</f>
        <v>0</v>
      </c>
      <c r="N237" s="42">
        <f>IF(VLOOKUP($D237,$C$5:$AU$500,3,)=0,0,(VLOOKUP($D237,$C$5:$AU$500,12,)/VLOOKUP($D237,$C$5:$AU$500,3,))*$E237)</f>
        <v>0</v>
      </c>
      <c r="O237" s="42">
        <f>IF(VLOOKUP($D237,$C$5:$AU$500,3,)=0,0,(VLOOKUP($D237,$C$5:$AU$500,13,)/VLOOKUP($D237,$C$5:$AU$500,3,))*$E237)</f>
        <v>0</v>
      </c>
      <c r="P237" s="42">
        <f>IF(VLOOKUP($D237,$C$5:$AU$500,3,)=0,0,(VLOOKUP($D237,$C$5:$AU$500,14,)/VLOOKUP($D237,$C$5:$AU$500,3,))*$E237)</f>
        <v>0</v>
      </c>
      <c r="Q237" s="42">
        <f>IF(VLOOKUP($D237,$C$5:$AU$500,3,)=0,0,(VLOOKUP($D237,$C$5:$AU$500,15,)/VLOOKUP($D237,$C$5:$AU$500,3,))*$E237)</f>
        <v>0</v>
      </c>
      <c r="R237" s="42">
        <f>IF(VLOOKUP($D237,$C$5:$AU$500,3,)=0,0,(VLOOKUP($D237,$C$5:$AU$500,16,)/VLOOKUP($D237,$C$5:$AU$500,3,))*$E237)</f>
        <v>0</v>
      </c>
      <c r="S237" s="107">
        <f>IF(VLOOKUP($D237,$C$5:$AU$500,3,)=0,0,(VLOOKUP($D237,$C$5:$AU$500,17,)/VLOOKUP($D237,$C$5:$AU$500,3,))*$E237)</f>
        <v>0</v>
      </c>
      <c r="T237" s="107">
        <f>IF(VLOOKUP($D237,$C$5:$AU$500,3,)=0,0,(VLOOKUP($D237,$C$5:$AU$500,18,)/VLOOKUP($D237,$C$5:$AU$500,3,))*$E237)</f>
        <v>0</v>
      </c>
      <c r="U237" s="107">
        <f>IF(VLOOKUP($D237,$C$5:$AU$500,3,)=0,0,(VLOOKUP($D237,$C$5:$AU$500,19,)/VLOOKUP($D237,$C$5:$AU$500,3,))*$E237)</f>
        <v>0</v>
      </c>
      <c r="V237" s="107">
        <f>IF(VLOOKUP($D237,$C$5:$AU$500,3,)=0,0,(VLOOKUP($D237,$C$5:$AU$500,20,)/VLOOKUP($D237,$C$5:$AU$500,3,))*$E237)</f>
        <v>0</v>
      </c>
      <c r="W237" s="107">
        <f>IF(VLOOKUP($D237,$C$5:$AU$500,3,)=0,0,(VLOOKUP($D237,$C$5:$AU$500,21,)/VLOOKUP($D237,$C$5:$AU$500,3,))*$E237)</f>
        <v>0</v>
      </c>
      <c r="X237" s="107">
        <f>IF(VLOOKUP($D237,$C$5:$AU$500,3,)=0,0,(VLOOKUP($D237,$C$5:$AU$500,22,)/VLOOKUP($D237,$C$5:$AU$500,3,))*$E237)</f>
        <v>0</v>
      </c>
      <c r="Y237" s="107">
        <f>IF(VLOOKUP($D237,$C$5:$AU$500,3,)=0,0,(VLOOKUP($D237,$C$5:$AU$500,23,)/VLOOKUP($D237,$C$5:$AU$500,3,))*$E237)</f>
        <v>0</v>
      </c>
      <c r="Z237" s="107">
        <f>IF(VLOOKUP($D237,$C$5:$AU$500,3,)=0,0,(VLOOKUP($D237,$C$5:$AU$500,24,)/VLOOKUP($D237,$C$5:$AU$500,3,))*$E237)</f>
        <v>0</v>
      </c>
      <c r="AA237" s="107">
        <f>IF(VLOOKUP($D237,$C$5:$AU$500,3,)=0,0,(VLOOKUP($D237,$C$5:$AU$500,25,)/VLOOKUP($D237,$C$5:$AU$500,3,))*$E237)</f>
        <v>0</v>
      </c>
      <c r="AB237" s="107">
        <f>IF(VLOOKUP($D237,$C$5:$AU$500,3,)=0,0,(VLOOKUP($D237,$C$5:$AU$500,26,)/VLOOKUP($D237,$C$5:$AU$500,3,))*$E237)</f>
        <v>0</v>
      </c>
      <c r="AC237" s="107">
        <f>IF(VLOOKUP($D237,$C$5:$AU$500,3,)=0,0,(VLOOKUP($D237,$C$5:$AU$500,27,)/VLOOKUP($D237,$C$5:$AU$500,3,))*$E237)</f>
        <v>0</v>
      </c>
      <c r="AD237" s="107">
        <f>IF(VLOOKUP($D237,$C$5:$AU$500,3,)=0,0,(VLOOKUP($D237,$C$5:$AU$500,28,)/VLOOKUP($D237,$C$5:$AU$500,3,))*$E237)</f>
        <v>0</v>
      </c>
      <c r="AE237" s="107">
        <f>IF(VLOOKUP($D237,$C$5:$AU$500,3,)=0,0,(VLOOKUP($D237,$C$5:$AU$500,29,)/VLOOKUP($D237,$C$5:$AU$500,3,))*$E237)</f>
        <v>0</v>
      </c>
      <c r="AF237" s="107">
        <f>IF(VLOOKUP($D237,$C$5:$AU$500,3,)=0,0,(VLOOKUP($D237,$C$5:$AU$500,30,)/VLOOKUP($D237,$C$5:$AU$500,3,))*$E237)</f>
        <v>0</v>
      </c>
      <c r="AG237" s="91">
        <f>SUM(F237:AF237)</f>
        <v>0</v>
      </c>
      <c r="AH237" s="28" t="str">
        <f>IF(ABS(E237-AG237)&lt;0.01,"ok","err")</f>
        <v>ok</v>
      </c>
    </row>
    <row r="238" spans="1:41" x14ac:dyDescent="0.25">
      <c r="A238" s="94" t="s">
        <v>211</v>
      </c>
      <c r="C238" s="14" t="s">
        <v>298</v>
      </c>
      <c r="D238" s="14" t="s">
        <v>666</v>
      </c>
      <c r="E238" s="23">
        <f>'Func &amp; Classif'!I314</f>
        <v>0</v>
      </c>
      <c r="F238" s="67">
        <f>IF(VLOOKUP($D238,$C$5:$AU$500,3,)=0,0,(VLOOKUP($D238,$C$5:$AU$500,4,)/VLOOKUP($D238,$C$5:$AU$500,3,))*$E238)</f>
        <v>0</v>
      </c>
      <c r="G238" s="67">
        <f>IF(VLOOKUP($D238,$C$5:$AU$500,3,)=0,0,(VLOOKUP($D238,$C$5:$AU$500,5,)/VLOOKUP($D238,$C$5:$AU$500,3,))*$E238)</f>
        <v>0</v>
      </c>
      <c r="H238" s="42">
        <f>IF(VLOOKUP($D238,$C$5:$AU$500,3,)=0,0,(VLOOKUP($D238,$C$5:$AU$500,6,)/VLOOKUP($D238,$C$5:$AU$500,3,))*$E238)</f>
        <v>0</v>
      </c>
      <c r="I238" s="42">
        <f>IF(VLOOKUP($D238,$C$5:$AU$500,3,)=0,0,(VLOOKUP($D238,$C$5:$AU$500,7,)/VLOOKUP($D238,$C$5:$AU$500,3,))*$E238)</f>
        <v>0</v>
      </c>
      <c r="J238" s="42">
        <f>IF(VLOOKUP($D238,$C$5:$AU$500,3,)=0,0,(VLOOKUP($D238,$C$5:$AU$500,8,)/VLOOKUP($D238,$C$5:$AU$500,3,))*$E238)</f>
        <v>0</v>
      </c>
      <c r="K238" s="42">
        <f>IF(VLOOKUP($D238,$C$5:$AU$500,3,)=0,0,(VLOOKUP($D238,$C$5:$AU$500,9,)/VLOOKUP($D238,$C$5:$AU$500,3,))*$E238)</f>
        <v>0</v>
      </c>
      <c r="L238" s="67">
        <f>IF(VLOOKUP($D238,$C$5:$AU$500,3,)=0,0,(VLOOKUP($D238,$C$5:$AU$500,10,)/VLOOKUP($D238,$C$5:$AU$500,3,))*$E238)</f>
        <v>0</v>
      </c>
      <c r="M238" s="42">
        <f>IF(VLOOKUP($D238,$C$5:$AU$500,3,)=0,0,(VLOOKUP($D238,$C$5:$AU$500,11,)/VLOOKUP($D238,$C$5:$AU$500,3,))*$E238)</f>
        <v>0</v>
      </c>
      <c r="N238" s="42">
        <f>IF(VLOOKUP($D238,$C$5:$AU$500,3,)=0,0,(VLOOKUP($D238,$C$5:$AU$500,12,)/VLOOKUP($D238,$C$5:$AU$500,3,))*$E238)</f>
        <v>0</v>
      </c>
      <c r="O238" s="42">
        <f>IF(VLOOKUP($D238,$C$5:$AU$500,3,)=0,0,(VLOOKUP($D238,$C$5:$AU$500,13,)/VLOOKUP($D238,$C$5:$AU$500,3,))*$E238)</f>
        <v>0</v>
      </c>
      <c r="P238" s="42">
        <f>IF(VLOOKUP($D238,$C$5:$AU$500,3,)=0,0,(VLOOKUP($D238,$C$5:$AU$500,14,)/VLOOKUP($D238,$C$5:$AU$500,3,))*$E238)</f>
        <v>0</v>
      </c>
      <c r="Q238" s="42">
        <f>IF(VLOOKUP($D238,$C$5:$AU$500,3,)=0,0,(VLOOKUP($D238,$C$5:$AU$500,15,)/VLOOKUP($D238,$C$5:$AU$500,3,))*$E238)</f>
        <v>0</v>
      </c>
      <c r="R238" s="42">
        <f>IF(VLOOKUP($D238,$C$5:$AU$500,3,)=0,0,(VLOOKUP($D238,$C$5:$AU$500,16,)/VLOOKUP($D238,$C$5:$AU$500,3,))*$E238)</f>
        <v>0</v>
      </c>
      <c r="S238" s="107">
        <f>IF(VLOOKUP($D238,$C$5:$AU$500,3,)=0,0,(VLOOKUP($D238,$C$5:$AU$500,17,)/VLOOKUP($D238,$C$5:$AU$500,3,))*$E238)</f>
        <v>0</v>
      </c>
      <c r="T238" s="107">
        <f>IF(VLOOKUP($D238,$C$5:$AU$500,3,)=0,0,(VLOOKUP($D238,$C$5:$AU$500,18,)/VLOOKUP($D238,$C$5:$AU$500,3,))*$E238)</f>
        <v>0</v>
      </c>
      <c r="U238" s="107">
        <f>IF(VLOOKUP($D238,$C$5:$AU$500,3,)=0,0,(VLOOKUP($D238,$C$5:$AU$500,19,)/VLOOKUP($D238,$C$5:$AU$500,3,))*$E238)</f>
        <v>0</v>
      </c>
      <c r="V238" s="107">
        <f>IF(VLOOKUP($D238,$C$5:$AU$500,3,)=0,0,(VLOOKUP($D238,$C$5:$AU$500,20,)/VLOOKUP($D238,$C$5:$AU$500,3,))*$E238)</f>
        <v>0</v>
      </c>
      <c r="W238" s="107">
        <f>IF(VLOOKUP($D238,$C$5:$AU$500,3,)=0,0,(VLOOKUP($D238,$C$5:$AU$500,21,)/VLOOKUP($D238,$C$5:$AU$500,3,))*$E238)</f>
        <v>0</v>
      </c>
      <c r="X238" s="107">
        <f>IF(VLOOKUP($D238,$C$5:$AU$500,3,)=0,0,(VLOOKUP($D238,$C$5:$AU$500,22,)/VLOOKUP($D238,$C$5:$AU$500,3,))*$E238)</f>
        <v>0</v>
      </c>
      <c r="Y238" s="107">
        <f>IF(VLOOKUP($D238,$C$5:$AU$500,3,)=0,0,(VLOOKUP($D238,$C$5:$AU$500,23,)/VLOOKUP($D238,$C$5:$AU$500,3,))*$E238)</f>
        <v>0</v>
      </c>
      <c r="Z238" s="107">
        <f>IF(VLOOKUP($D238,$C$5:$AU$500,3,)=0,0,(VLOOKUP($D238,$C$5:$AU$500,24,)/VLOOKUP($D238,$C$5:$AU$500,3,))*$E238)</f>
        <v>0</v>
      </c>
      <c r="AA238" s="107">
        <f>IF(VLOOKUP($D238,$C$5:$AU$500,3,)=0,0,(VLOOKUP($D238,$C$5:$AU$500,25,)/VLOOKUP($D238,$C$5:$AU$500,3,))*$E238)</f>
        <v>0</v>
      </c>
      <c r="AB238" s="107">
        <f>IF(VLOOKUP($D238,$C$5:$AU$500,3,)=0,0,(VLOOKUP($D238,$C$5:$AU$500,26,)/VLOOKUP($D238,$C$5:$AU$500,3,))*$E238)</f>
        <v>0</v>
      </c>
      <c r="AC238" s="107">
        <f>IF(VLOOKUP($D238,$C$5:$AU$500,3,)=0,0,(VLOOKUP($D238,$C$5:$AU$500,27,)/VLOOKUP($D238,$C$5:$AU$500,3,))*$E238)</f>
        <v>0</v>
      </c>
      <c r="AD238" s="107">
        <f>IF(VLOOKUP($D238,$C$5:$AU$500,3,)=0,0,(VLOOKUP($D238,$C$5:$AU$500,28,)/VLOOKUP($D238,$C$5:$AU$500,3,))*$E238)</f>
        <v>0</v>
      </c>
      <c r="AE238" s="107">
        <f>IF(VLOOKUP($D238,$C$5:$AU$500,3,)=0,0,(VLOOKUP($D238,$C$5:$AU$500,29,)/VLOOKUP($D238,$C$5:$AU$500,3,))*$E238)</f>
        <v>0</v>
      </c>
      <c r="AF238" s="107">
        <f>IF(VLOOKUP($D238,$C$5:$AU$500,3,)=0,0,(VLOOKUP($D238,$C$5:$AU$500,30,)/VLOOKUP($D238,$C$5:$AU$500,3,))*$E238)</f>
        <v>0</v>
      </c>
      <c r="AG238" s="91">
        <f>SUM(F238:AF238)</f>
        <v>0</v>
      </c>
      <c r="AH238" s="28" t="str">
        <f>IF(ABS(E238-AG238)&lt;0.01,"ok","err")</f>
        <v>ok</v>
      </c>
    </row>
    <row r="239" spans="1:41" x14ac:dyDescent="0.25">
      <c r="A239" s="14" t="s">
        <v>214</v>
      </c>
      <c r="C239" s="14" t="s">
        <v>299</v>
      </c>
      <c r="E239" s="23">
        <f t="shared" ref="E239:T239" si="90">E237+E238</f>
        <v>0</v>
      </c>
      <c r="F239" s="67">
        <f t="shared" si="90"/>
        <v>0</v>
      </c>
      <c r="G239" s="67">
        <f t="shared" si="90"/>
        <v>0</v>
      </c>
      <c r="H239" s="42">
        <f t="shared" si="90"/>
        <v>0</v>
      </c>
      <c r="I239" s="42">
        <f t="shared" si="90"/>
        <v>0</v>
      </c>
      <c r="J239" s="42">
        <f t="shared" si="90"/>
        <v>0</v>
      </c>
      <c r="K239" s="42">
        <f t="shared" si="90"/>
        <v>0</v>
      </c>
      <c r="L239" s="67">
        <f t="shared" si="90"/>
        <v>0</v>
      </c>
      <c r="M239" s="42">
        <f t="shared" si="90"/>
        <v>0</v>
      </c>
      <c r="N239" s="42">
        <f t="shared" si="90"/>
        <v>0</v>
      </c>
      <c r="O239" s="42">
        <f t="shared" si="90"/>
        <v>0</v>
      </c>
      <c r="P239" s="42">
        <f t="shared" si="90"/>
        <v>0</v>
      </c>
      <c r="Q239" s="42">
        <f t="shared" si="90"/>
        <v>0</v>
      </c>
      <c r="R239" s="42">
        <f t="shared" si="90"/>
        <v>0</v>
      </c>
      <c r="S239" s="107">
        <f t="shared" si="90"/>
        <v>0</v>
      </c>
      <c r="T239" s="107">
        <f t="shared" si="90"/>
        <v>0</v>
      </c>
      <c r="U239" s="107">
        <f t="shared" ref="U239:AF239" si="91">U237+U238</f>
        <v>0</v>
      </c>
      <c r="V239" s="107">
        <f t="shared" si="91"/>
        <v>0</v>
      </c>
      <c r="W239" s="107">
        <f t="shared" si="91"/>
        <v>0</v>
      </c>
      <c r="X239" s="107">
        <f t="shared" si="91"/>
        <v>0</v>
      </c>
      <c r="Y239" s="107">
        <f t="shared" si="91"/>
        <v>0</v>
      </c>
      <c r="Z239" s="107">
        <f t="shared" si="91"/>
        <v>0</v>
      </c>
      <c r="AA239" s="107">
        <f t="shared" si="91"/>
        <v>0</v>
      </c>
      <c r="AB239" s="107">
        <f t="shared" si="91"/>
        <v>0</v>
      </c>
      <c r="AC239" s="107">
        <f t="shared" si="91"/>
        <v>0</v>
      </c>
      <c r="AD239" s="107">
        <f t="shared" si="91"/>
        <v>0</v>
      </c>
      <c r="AE239" s="107">
        <f t="shared" si="91"/>
        <v>0</v>
      </c>
      <c r="AF239" s="107">
        <f t="shared" si="91"/>
        <v>0</v>
      </c>
      <c r="AG239" s="91">
        <f>SUM(F239:AF239)</f>
        <v>0</v>
      </c>
      <c r="AH239" s="28" t="str">
        <f>IF(ABS(E239-AG239)&lt;0.01,"ok","err")</f>
        <v>ok</v>
      </c>
    </row>
    <row r="240" spans="1:41" x14ac:dyDescent="0.25">
      <c r="E240" s="23"/>
      <c r="F240" s="50"/>
    </row>
    <row r="241" spans="1:37" x14ac:dyDescent="0.25">
      <c r="A241" s="13" t="s">
        <v>349</v>
      </c>
      <c r="E241" s="23"/>
      <c r="F241" s="50"/>
    </row>
    <row r="242" spans="1:37" x14ac:dyDescent="0.25">
      <c r="A242" s="94" t="s">
        <v>208</v>
      </c>
      <c r="C242" s="14" t="s">
        <v>888</v>
      </c>
      <c r="D242" s="14" t="s">
        <v>625</v>
      </c>
      <c r="E242" s="42">
        <f>'Func &amp; Classif'!K314</f>
        <v>0</v>
      </c>
      <c r="F242" s="67">
        <f>IF(VLOOKUP($D242,$C$5:$AU$500,3,)=0,0,(VLOOKUP($D242,$C$5:$AU$500,4,)/VLOOKUP($D242,$C$5:$AU$500,3,))*$E242)</f>
        <v>0</v>
      </c>
      <c r="G242" s="67">
        <f>IF(VLOOKUP($D242,$C$5:$AU$500,3,)=0,0,(VLOOKUP($D242,$C$5:$AU$500,5,)/VLOOKUP($D242,$C$5:$AU$500,3,))*$E242)</f>
        <v>0</v>
      </c>
      <c r="H242" s="42">
        <f>IF(VLOOKUP($D242,$C$5:$AU$500,3,)=0,0,(VLOOKUP($D242,$C$5:$AU$500,6,)/VLOOKUP($D242,$C$5:$AU$500,3,))*$E242)</f>
        <v>0</v>
      </c>
      <c r="I242" s="42">
        <f>IF(VLOOKUP($D242,$C$5:$AU$500,3,)=0,0,(VLOOKUP($D242,$C$5:$AU$500,7,)/VLOOKUP($D242,$C$5:$AU$500,3,))*$E242)</f>
        <v>0</v>
      </c>
      <c r="J242" s="42">
        <f>IF(VLOOKUP($D242,$C$5:$AU$500,3,)=0,0,(VLOOKUP($D242,$C$5:$AU$500,8,)/VLOOKUP($D242,$C$5:$AU$500,3,))*$E242)</f>
        <v>0</v>
      </c>
      <c r="K242" s="42">
        <f>IF(VLOOKUP($D242,$C$5:$AU$500,3,)=0,0,(VLOOKUP($D242,$C$5:$AU$500,9,)/VLOOKUP($D242,$C$5:$AU$500,3,))*$E242)</f>
        <v>0</v>
      </c>
      <c r="L242" s="67">
        <f>IF(VLOOKUP($D242,$C$5:$AU$500,3,)=0,0,(VLOOKUP($D242,$C$5:$AU$500,10,)/VLOOKUP($D242,$C$5:$AU$500,3,))*$E242)</f>
        <v>0</v>
      </c>
      <c r="M242" s="42">
        <f>IF(VLOOKUP($D242,$C$5:$AU$500,3,)=0,0,(VLOOKUP($D242,$C$5:$AU$500,11,)/VLOOKUP($D242,$C$5:$AU$500,3,))*$E242)</f>
        <v>0</v>
      </c>
      <c r="N242" s="42">
        <f>IF(VLOOKUP($D242,$C$5:$AU$500,3,)=0,0,(VLOOKUP($D242,$C$5:$AU$500,12,)/VLOOKUP($D242,$C$5:$AU$500,3,))*$E242)</f>
        <v>0</v>
      </c>
      <c r="O242" s="42">
        <f>IF(VLOOKUP($D242,$C$5:$AU$500,3,)=0,0,(VLOOKUP($D242,$C$5:$AU$500,13,)/VLOOKUP($D242,$C$5:$AU$500,3,))*$E242)</f>
        <v>0</v>
      </c>
      <c r="P242" s="42">
        <f>IF(VLOOKUP($D242,$C$5:$AU$500,3,)=0,0,(VLOOKUP($D242,$C$5:$AU$500,14,)/VLOOKUP($D242,$C$5:$AU$500,3,))*$E242)</f>
        <v>0</v>
      </c>
      <c r="Q242" s="42">
        <f>IF(VLOOKUP($D242,$C$5:$AU$500,3,)=0,0,(VLOOKUP($D242,$C$5:$AU$500,15,)/VLOOKUP($D242,$C$5:$AU$500,3,))*$E242)</f>
        <v>0</v>
      </c>
      <c r="R242" s="42">
        <f>IF(VLOOKUP($D242,$C$5:$AU$500,3,)=0,0,(VLOOKUP($D242,$C$5:$AU$500,16,)/VLOOKUP($D242,$C$5:$AU$500,3,))*$E242)</f>
        <v>0</v>
      </c>
      <c r="S242" s="107">
        <f>IF(VLOOKUP($D242,$C$5:$AU$500,3,)=0,0,(VLOOKUP($D242,$C$5:$AU$500,17,)/VLOOKUP($D242,$C$5:$AU$500,3,))*$E242)</f>
        <v>0</v>
      </c>
      <c r="T242" s="107">
        <f>IF(VLOOKUP($D242,$C$5:$AU$500,3,)=0,0,(VLOOKUP($D242,$C$5:$AU$500,18,)/VLOOKUP($D242,$C$5:$AU$500,3,))*$E242)</f>
        <v>0</v>
      </c>
      <c r="U242" s="107">
        <f>IF(VLOOKUP($D242,$C$5:$AU$500,3,)=0,0,(VLOOKUP($D242,$C$5:$AU$500,19,)/VLOOKUP($D242,$C$5:$AU$500,3,))*$E242)</f>
        <v>0</v>
      </c>
      <c r="V242" s="107">
        <f>IF(VLOOKUP($D242,$C$5:$AU$500,3,)=0,0,(VLOOKUP($D242,$C$5:$AU$500,20,)/VLOOKUP($D242,$C$5:$AU$500,3,))*$E242)</f>
        <v>0</v>
      </c>
      <c r="W242" s="107">
        <f>IF(VLOOKUP($D242,$C$5:$AU$500,3,)=0,0,(VLOOKUP($D242,$C$5:$AU$500,21,)/VLOOKUP($D242,$C$5:$AU$500,3,))*$E242)</f>
        <v>0</v>
      </c>
      <c r="X242" s="107">
        <f>IF(VLOOKUP($D242,$C$5:$AU$500,3,)=0,0,(VLOOKUP($D242,$C$5:$AU$500,22,)/VLOOKUP($D242,$C$5:$AU$500,3,))*$E242)</f>
        <v>0</v>
      </c>
      <c r="Y242" s="107">
        <f>IF(VLOOKUP($D242,$C$5:$AU$500,3,)=0,0,(VLOOKUP($D242,$C$5:$AU$500,23,)/VLOOKUP($D242,$C$5:$AU$500,3,))*$E242)</f>
        <v>0</v>
      </c>
      <c r="Z242" s="107">
        <f>IF(VLOOKUP($D242,$C$5:$AU$500,3,)=0,0,(VLOOKUP($D242,$C$5:$AU$500,24,)/VLOOKUP($D242,$C$5:$AU$500,3,))*$E242)</f>
        <v>0</v>
      </c>
      <c r="AA242" s="107">
        <f>IF(VLOOKUP($D242,$C$5:$AU$500,3,)=0,0,(VLOOKUP($D242,$C$5:$AU$500,25,)/VLOOKUP($D242,$C$5:$AU$500,3,))*$E242)</f>
        <v>0</v>
      </c>
      <c r="AB242" s="107">
        <f>IF(VLOOKUP($D242,$C$5:$AU$500,3,)=0,0,(VLOOKUP($D242,$C$5:$AU$500,26,)/VLOOKUP($D242,$C$5:$AU$500,3,))*$E242)</f>
        <v>0</v>
      </c>
      <c r="AC242" s="107">
        <f>IF(VLOOKUP($D242,$C$5:$AU$500,3,)=0,0,(VLOOKUP($D242,$C$5:$AU$500,27,)/VLOOKUP($D242,$C$5:$AU$500,3,))*$E242)</f>
        <v>0</v>
      </c>
      <c r="AD242" s="107">
        <f>IF(VLOOKUP($D242,$C$5:$AU$500,3,)=0,0,(VLOOKUP($D242,$C$5:$AU$500,28,)/VLOOKUP($D242,$C$5:$AU$500,3,))*$E242)</f>
        <v>0</v>
      </c>
      <c r="AE242" s="107">
        <f>IF(VLOOKUP($D242,$C$5:$AU$500,3,)=0,0,(VLOOKUP($D242,$C$5:$AU$500,29,)/VLOOKUP($D242,$C$5:$AU$500,3,))*$E242)</f>
        <v>0</v>
      </c>
      <c r="AF242" s="107">
        <f>IF(VLOOKUP($D242,$C$5:$AU$500,3,)=0,0,(VLOOKUP($D242,$C$5:$AU$500,30,)/VLOOKUP($D242,$C$5:$AU$500,3,))*$E242)</f>
        <v>0</v>
      </c>
      <c r="AG242" s="91">
        <f>SUM(F242:AF242)</f>
        <v>0</v>
      </c>
      <c r="AH242" s="28" t="str">
        <f>IF(ABS(E242-AG242)&lt;0.01,"ok","err")</f>
        <v>ok</v>
      </c>
    </row>
    <row r="243" spans="1:37" x14ac:dyDescent="0.25">
      <c r="E243" s="23"/>
    </row>
    <row r="244" spans="1:37" x14ac:dyDescent="0.25">
      <c r="A244" s="13" t="s">
        <v>1</v>
      </c>
      <c r="E244" s="23"/>
      <c r="F244" s="50"/>
    </row>
    <row r="245" spans="1:37" x14ac:dyDescent="0.25">
      <c r="A245" s="94" t="s">
        <v>208</v>
      </c>
      <c r="C245" s="14" t="s">
        <v>300</v>
      </c>
      <c r="D245" s="14" t="s">
        <v>632</v>
      </c>
      <c r="E245" s="42">
        <f>'Func &amp; Classif'!M314</f>
        <v>0</v>
      </c>
      <c r="F245" s="67">
        <f>IF(VLOOKUP($D245,$C$5:$AU$500,3,)=0,0,(VLOOKUP($D245,$C$5:$AU$500,4,)/VLOOKUP($D245,$C$5:$AU$500,3,))*$E245)</f>
        <v>0</v>
      </c>
      <c r="G245" s="67">
        <f>IF(VLOOKUP($D245,$C$5:$AU$500,3,)=0,0,(VLOOKUP($D245,$C$5:$AU$500,5,)/VLOOKUP($D245,$C$5:$AU$500,3,))*$E245)</f>
        <v>0</v>
      </c>
      <c r="H245" s="42">
        <f>IF(VLOOKUP($D245,$C$5:$AU$500,3,)=0,0,(VLOOKUP($D245,$C$5:$AU$500,6,)/VLOOKUP($D245,$C$5:$AU$500,3,))*$E245)</f>
        <v>0</v>
      </c>
      <c r="I245" s="42">
        <f>IF(VLOOKUP($D245,$C$5:$AU$500,3,)=0,0,(VLOOKUP($D245,$C$5:$AU$500,7,)/VLOOKUP($D245,$C$5:$AU$500,3,))*$E245)</f>
        <v>0</v>
      </c>
      <c r="J245" s="42">
        <f>IF(VLOOKUP($D245,$C$5:$AU$500,3,)=0,0,(VLOOKUP($D245,$C$5:$AU$500,8,)/VLOOKUP($D245,$C$5:$AU$500,3,))*$E245)</f>
        <v>0</v>
      </c>
      <c r="K245" s="42">
        <f>IF(VLOOKUP($D245,$C$5:$AU$500,3,)=0,0,(VLOOKUP($D245,$C$5:$AU$500,9,)/VLOOKUP($D245,$C$5:$AU$500,3,))*$E245)</f>
        <v>0</v>
      </c>
      <c r="L245" s="67">
        <f>IF(VLOOKUP($D245,$C$5:$AU$500,3,)=0,0,(VLOOKUP($D245,$C$5:$AU$500,10,)/VLOOKUP($D245,$C$5:$AU$500,3,))*$E245)</f>
        <v>0</v>
      </c>
      <c r="M245" s="42">
        <f>IF(VLOOKUP($D245,$C$5:$AU$500,3,)=0,0,(VLOOKUP($D245,$C$5:$AU$500,11,)/VLOOKUP($D245,$C$5:$AU$500,3,))*$E245)</f>
        <v>0</v>
      </c>
      <c r="N245" s="42">
        <f>IF(VLOOKUP($D245,$C$5:$AU$500,3,)=0,0,(VLOOKUP($D245,$C$5:$AU$500,12,)/VLOOKUP($D245,$C$5:$AU$500,3,))*$E245)</f>
        <v>0</v>
      </c>
      <c r="O245" s="42">
        <f>IF(VLOOKUP($D245,$C$5:$AU$500,3,)=0,0,(VLOOKUP($D245,$C$5:$AU$500,13,)/VLOOKUP($D245,$C$5:$AU$500,3,))*$E245)</f>
        <v>0</v>
      </c>
      <c r="P245" s="42">
        <f>IF(VLOOKUP($D245,$C$5:$AU$500,3,)=0,0,(VLOOKUP($D245,$C$5:$AU$500,14,)/VLOOKUP($D245,$C$5:$AU$500,3,))*$E245)</f>
        <v>0</v>
      </c>
      <c r="Q245" s="42">
        <f>IF(VLOOKUP($D245,$C$5:$AU$500,3,)=0,0,(VLOOKUP($D245,$C$5:$AU$500,15,)/VLOOKUP($D245,$C$5:$AU$500,3,))*$E245)</f>
        <v>0</v>
      </c>
      <c r="R245" s="42">
        <f>IF(VLOOKUP($D245,$C$5:$AU$500,3,)=0,0,(VLOOKUP($D245,$C$5:$AU$500,16,)/VLOOKUP($D245,$C$5:$AU$500,3,))*$E245)</f>
        <v>0</v>
      </c>
      <c r="S245" s="107">
        <f>IF(VLOOKUP($D245,$C$5:$AU$500,3,)=0,0,(VLOOKUP($D245,$C$5:$AU$500,17,)/VLOOKUP($D245,$C$5:$AU$500,3,))*$E245)</f>
        <v>0</v>
      </c>
      <c r="T245" s="107">
        <f>IF(VLOOKUP($D245,$C$5:$AU$500,3,)=0,0,(VLOOKUP($D245,$C$5:$AU$500,18,)/VLOOKUP($D245,$C$5:$AU$500,3,))*$E245)</f>
        <v>0</v>
      </c>
      <c r="U245" s="107">
        <f>IF(VLOOKUP($D245,$C$5:$AU$500,3,)=0,0,(VLOOKUP($D245,$C$5:$AU$500,19,)/VLOOKUP($D245,$C$5:$AU$500,3,))*$E245)</f>
        <v>0</v>
      </c>
      <c r="V245" s="107">
        <f>IF(VLOOKUP($D245,$C$5:$AU$500,3,)=0,0,(VLOOKUP($D245,$C$5:$AU$500,20,)/VLOOKUP($D245,$C$5:$AU$500,3,))*$E245)</f>
        <v>0</v>
      </c>
      <c r="W245" s="107">
        <f>IF(VLOOKUP($D245,$C$5:$AU$500,3,)=0,0,(VLOOKUP($D245,$C$5:$AU$500,21,)/VLOOKUP($D245,$C$5:$AU$500,3,))*$E245)</f>
        <v>0</v>
      </c>
      <c r="X245" s="107">
        <f>IF(VLOOKUP($D245,$C$5:$AU$500,3,)=0,0,(VLOOKUP($D245,$C$5:$AU$500,22,)/VLOOKUP($D245,$C$5:$AU$500,3,))*$E245)</f>
        <v>0</v>
      </c>
      <c r="Y245" s="107">
        <f>IF(VLOOKUP($D245,$C$5:$AU$500,3,)=0,0,(VLOOKUP($D245,$C$5:$AU$500,23,)/VLOOKUP($D245,$C$5:$AU$500,3,))*$E245)</f>
        <v>0</v>
      </c>
      <c r="Z245" s="107">
        <f>IF(VLOOKUP($D245,$C$5:$AU$500,3,)=0,0,(VLOOKUP($D245,$C$5:$AU$500,24,)/VLOOKUP($D245,$C$5:$AU$500,3,))*$E245)</f>
        <v>0</v>
      </c>
      <c r="AA245" s="107">
        <f>IF(VLOOKUP($D245,$C$5:$AU$500,3,)=0,0,(VLOOKUP($D245,$C$5:$AU$500,25,)/VLOOKUP($D245,$C$5:$AU$500,3,))*$E245)</f>
        <v>0</v>
      </c>
      <c r="AB245" s="107">
        <f>IF(VLOOKUP($D245,$C$5:$AU$500,3,)=0,0,(VLOOKUP($D245,$C$5:$AU$500,26,)/VLOOKUP($D245,$C$5:$AU$500,3,))*$E245)</f>
        <v>0</v>
      </c>
      <c r="AC245" s="107">
        <f>IF(VLOOKUP($D245,$C$5:$AU$500,3,)=0,0,(VLOOKUP($D245,$C$5:$AU$500,27,)/VLOOKUP($D245,$C$5:$AU$500,3,))*$E245)</f>
        <v>0</v>
      </c>
      <c r="AD245" s="107">
        <f>IF(VLOOKUP($D245,$C$5:$AU$500,3,)=0,0,(VLOOKUP($D245,$C$5:$AU$500,28,)/VLOOKUP($D245,$C$5:$AU$500,3,))*$E245)</f>
        <v>0</v>
      </c>
      <c r="AE245" s="107">
        <f>IF(VLOOKUP($D245,$C$5:$AU$500,3,)=0,0,(VLOOKUP($D245,$C$5:$AU$500,29,)/VLOOKUP($D245,$C$5:$AU$500,3,))*$E245)</f>
        <v>0</v>
      </c>
      <c r="AF245" s="107">
        <f>IF(VLOOKUP($D245,$C$5:$AU$500,3,)=0,0,(VLOOKUP($D245,$C$5:$AU$500,30,)/VLOOKUP($D245,$C$5:$AU$500,3,))*$E245)</f>
        <v>0</v>
      </c>
      <c r="AG245" s="91">
        <f>SUM(F245:AF245)</f>
        <v>0</v>
      </c>
      <c r="AH245" s="28" t="str">
        <f>IF(ABS(E245-AG245)&lt;0.01,"ok","err")</f>
        <v>ok</v>
      </c>
    </row>
    <row r="246" spans="1:37" x14ac:dyDescent="0.25">
      <c r="E246" s="23"/>
    </row>
    <row r="247" spans="1:37" x14ac:dyDescent="0.25">
      <c r="A247" s="13" t="s">
        <v>2</v>
      </c>
      <c r="E247" s="23"/>
    </row>
    <row r="248" spans="1:37" x14ac:dyDescent="0.25">
      <c r="A248" s="94" t="s">
        <v>208</v>
      </c>
      <c r="C248" s="14" t="s">
        <v>301</v>
      </c>
      <c r="D248" s="14" t="s">
        <v>629</v>
      </c>
      <c r="E248" s="42">
        <f>'Func &amp; Classif'!O314</f>
        <v>0</v>
      </c>
      <c r="F248" s="67">
        <f>IF(VLOOKUP($D248,$C$5:$AU$500,3,)=0,0,(VLOOKUP($D248,$C$5:$AU$500,4,)/VLOOKUP($D248,$C$5:$AU$500,3,))*$E248)</f>
        <v>0</v>
      </c>
      <c r="G248" s="67">
        <f>IF(VLOOKUP($D248,$C$5:$AU$500,3,)=0,0,(VLOOKUP($D248,$C$5:$AU$500,5,)/VLOOKUP($D248,$C$5:$AU$500,3,))*$E248)</f>
        <v>0</v>
      </c>
      <c r="H248" s="42">
        <f>IF(VLOOKUP($D248,$C$5:$AU$500,3,)=0,0,(VLOOKUP($D248,$C$5:$AU$500,6,)/VLOOKUP($D248,$C$5:$AU$500,3,))*$E248)</f>
        <v>0</v>
      </c>
      <c r="I248" s="42">
        <f>IF(VLOOKUP($D248,$C$5:$AU$500,3,)=0,0,(VLOOKUP($D248,$C$5:$AU$500,7,)/VLOOKUP($D248,$C$5:$AU$500,3,))*$E248)</f>
        <v>0</v>
      </c>
      <c r="J248" s="42">
        <f>IF(VLOOKUP($D248,$C$5:$AU$500,3,)=0,0,(VLOOKUP($D248,$C$5:$AU$500,8,)/VLOOKUP($D248,$C$5:$AU$500,3,))*$E248)</f>
        <v>0</v>
      </c>
      <c r="K248" s="42">
        <f>IF(VLOOKUP($D248,$C$5:$AU$500,3,)=0,0,(VLOOKUP($D248,$C$5:$AU$500,9,)/VLOOKUP($D248,$C$5:$AU$500,3,))*$E248)</f>
        <v>0</v>
      </c>
      <c r="L248" s="67">
        <f>IF(VLOOKUP($D248,$C$5:$AU$500,3,)=0,0,(VLOOKUP($D248,$C$5:$AU$500,10,)/VLOOKUP($D248,$C$5:$AU$500,3,))*$E248)</f>
        <v>0</v>
      </c>
      <c r="M248" s="42">
        <f>IF(VLOOKUP($D248,$C$5:$AU$500,3,)=0,0,(VLOOKUP($D248,$C$5:$AU$500,11,)/VLOOKUP($D248,$C$5:$AU$500,3,))*$E248)</f>
        <v>0</v>
      </c>
      <c r="N248" s="42">
        <f>IF(VLOOKUP($D248,$C$5:$AU$500,3,)=0,0,(VLOOKUP($D248,$C$5:$AU$500,12,)/VLOOKUP($D248,$C$5:$AU$500,3,))*$E248)</f>
        <v>0</v>
      </c>
      <c r="O248" s="42">
        <f>IF(VLOOKUP($D248,$C$5:$AU$500,3,)=0,0,(VLOOKUP($D248,$C$5:$AU$500,13,)/VLOOKUP($D248,$C$5:$AU$500,3,))*$E248)</f>
        <v>0</v>
      </c>
      <c r="P248" s="42">
        <f>IF(VLOOKUP($D248,$C$5:$AU$500,3,)=0,0,(VLOOKUP($D248,$C$5:$AU$500,14,)/VLOOKUP($D248,$C$5:$AU$500,3,))*$E248)</f>
        <v>0</v>
      </c>
      <c r="Q248" s="42">
        <f>IF(VLOOKUP($D248,$C$5:$AU$500,3,)=0,0,(VLOOKUP($D248,$C$5:$AU$500,15,)/VLOOKUP($D248,$C$5:$AU$500,3,))*$E248)</f>
        <v>0</v>
      </c>
      <c r="R248" s="42">
        <f>IF(VLOOKUP($D248,$C$5:$AU$500,3,)=0,0,(VLOOKUP($D248,$C$5:$AU$500,16,)/VLOOKUP($D248,$C$5:$AU$500,3,))*$E248)</f>
        <v>0</v>
      </c>
      <c r="S248" s="107">
        <f>IF(VLOOKUP($D248,$C$5:$AU$500,3,)=0,0,(VLOOKUP($D248,$C$5:$AU$500,17,)/VLOOKUP($D248,$C$5:$AU$500,3,))*$E248)</f>
        <v>0</v>
      </c>
      <c r="T248" s="107">
        <f>IF(VLOOKUP($D248,$C$5:$AU$500,3,)=0,0,(VLOOKUP($D248,$C$5:$AU$500,18,)/VLOOKUP($D248,$C$5:$AU$500,3,))*$E248)</f>
        <v>0</v>
      </c>
      <c r="U248" s="107">
        <f>IF(VLOOKUP($D248,$C$5:$AU$500,3,)=0,0,(VLOOKUP($D248,$C$5:$AU$500,19,)/VLOOKUP($D248,$C$5:$AU$500,3,))*$E248)</f>
        <v>0</v>
      </c>
      <c r="V248" s="107">
        <f>IF(VLOOKUP($D248,$C$5:$AU$500,3,)=0,0,(VLOOKUP($D248,$C$5:$AU$500,20,)/VLOOKUP($D248,$C$5:$AU$500,3,))*$E248)</f>
        <v>0</v>
      </c>
      <c r="W248" s="107">
        <f>IF(VLOOKUP($D248,$C$5:$AU$500,3,)=0,0,(VLOOKUP($D248,$C$5:$AU$500,21,)/VLOOKUP($D248,$C$5:$AU$500,3,))*$E248)</f>
        <v>0</v>
      </c>
      <c r="X248" s="107">
        <f>IF(VLOOKUP($D248,$C$5:$AU$500,3,)=0,0,(VLOOKUP($D248,$C$5:$AU$500,22,)/VLOOKUP($D248,$C$5:$AU$500,3,))*$E248)</f>
        <v>0</v>
      </c>
      <c r="Y248" s="107">
        <f>IF(VLOOKUP($D248,$C$5:$AU$500,3,)=0,0,(VLOOKUP($D248,$C$5:$AU$500,23,)/VLOOKUP($D248,$C$5:$AU$500,3,))*$E248)</f>
        <v>0</v>
      </c>
      <c r="Z248" s="107">
        <f>IF(VLOOKUP($D248,$C$5:$AU$500,3,)=0,0,(VLOOKUP($D248,$C$5:$AU$500,24,)/VLOOKUP($D248,$C$5:$AU$500,3,))*$E248)</f>
        <v>0</v>
      </c>
      <c r="AA248" s="107">
        <f>IF(VLOOKUP($D248,$C$5:$AU$500,3,)=0,0,(VLOOKUP($D248,$C$5:$AU$500,25,)/VLOOKUP($D248,$C$5:$AU$500,3,))*$E248)</f>
        <v>0</v>
      </c>
      <c r="AB248" s="107">
        <f>IF(VLOOKUP($D248,$C$5:$AU$500,3,)=0,0,(VLOOKUP($D248,$C$5:$AU$500,26,)/VLOOKUP($D248,$C$5:$AU$500,3,))*$E248)</f>
        <v>0</v>
      </c>
      <c r="AC248" s="107">
        <f>IF(VLOOKUP($D248,$C$5:$AU$500,3,)=0,0,(VLOOKUP($D248,$C$5:$AU$500,27,)/VLOOKUP($D248,$C$5:$AU$500,3,))*$E248)</f>
        <v>0</v>
      </c>
      <c r="AD248" s="107">
        <f>IF(VLOOKUP($D248,$C$5:$AU$500,3,)=0,0,(VLOOKUP($D248,$C$5:$AU$500,28,)/VLOOKUP($D248,$C$5:$AU$500,3,))*$E248)</f>
        <v>0</v>
      </c>
      <c r="AE248" s="107">
        <f>IF(VLOOKUP($D248,$C$5:$AU$500,3,)=0,0,(VLOOKUP($D248,$C$5:$AU$500,29,)/VLOOKUP($D248,$C$5:$AU$500,3,))*$E248)</f>
        <v>0</v>
      </c>
      <c r="AF248" s="107">
        <f>IF(VLOOKUP($D248,$C$5:$AU$500,3,)=0,0,(VLOOKUP($D248,$C$5:$AU$500,30,)/VLOOKUP($D248,$C$5:$AU$500,3,))*$E248)</f>
        <v>0</v>
      </c>
      <c r="AG248" s="91">
        <f>SUM(F248:AF248)</f>
        <v>0</v>
      </c>
      <c r="AH248" s="28" t="str">
        <f>IF(ABS(E248-AG248)&lt;0.01,"ok","err")</f>
        <v>ok</v>
      </c>
    </row>
    <row r="249" spans="1:37" x14ac:dyDescent="0.25">
      <c r="A249" s="94" t="s">
        <v>220</v>
      </c>
      <c r="C249" s="14" t="s">
        <v>302</v>
      </c>
      <c r="D249" s="14" t="s">
        <v>222</v>
      </c>
      <c r="E249" s="23">
        <f>'Func &amp; Classif'!P314</f>
        <v>0</v>
      </c>
      <c r="F249" s="67">
        <f>IF(VLOOKUP($D249,$C$5:$AU$500,3,)=0,0,(VLOOKUP($D249,$C$5:$AU$500,4,)/VLOOKUP($D249,$C$5:$AU$500,3,))*$E249)</f>
        <v>0</v>
      </c>
      <c r="G249" s="67">
        <f>IF(VLOOKUP($D249,$C$5:$AU$500,3,)=0,0,(VLOOKUP($D249,$C$5:$AU$500,5,)/VLOOKUP($D249,$C$5:$AU$500,3,))*$E249)</f>
        <v>0</v>
      </c>
      <c r="H249" s="42">
        <f>IF(VLOOKUP($D249,$C$5:$AU$500,3,)=0,0,(VLOOKUP($D249,$C$5:$AU$500,6,)/VLOOKUP($D249,$C$5:$AU$500,3,))*$E249)</f>
        <v>0</v>
      </c>
      <c r="I249" s="42">
        <f>IF(VLOOKUP($D249,$C$5:$AU$500,3,)=0,0,(VLOOKUP($D249,$C$5:$AU$500,7,)/VLOOKUP($D249,$C$5:$AU$500,3,))*$E249)</f>
        <v>0</v>
      </c>
      <c r="J249" s="42">
        <f>IF(VLOOKUP($D249,$C$5:$AU$500,3,)=0,0,(VLOOKUP($D249,$C$5:$AU$500,8,)/VLOOKUP($D249,$C$5:$AU$500,3,))*$E249)</f>
        <v>0</v>
      </c>
      <c r="K249" s="42">
        <f>IF(VLOOKUP($D249,$C$5:$AU$500,3,)=0,0,(VLOOKUP($D249,$C$5:$AU$500,9,)/VLOOKUP($D249,$C$5:$AU$500,3,))*$E249)</f>
        <v>0</v>
      </c>
      <c r="L249" s="67">
        <f>IF(VLOOKUP($D249,$C$5:$AU$500,3,)=0,0,(VLOOKUP($D249,$C$5:$AU$500,10,)/VLOOKUP($D249,$C$5:$AU$500,3,))*$E249)</f>
        <v>0</v>
      </c>
      <c r="M249" s="42">
        <f>IF(VLOOKUP($D249,$C$5:$AU$500,3,)=0,0,(VLOOKUP($D249,$C$5:$AU$500,11,)/VLOOKUP($D249,$C$5:$AU$500,3,))*$E249)</f>
        <v>0</v>
      </c>
      <c r="N249" s="42">
        <f>IF(VLOOKUP($D249,$C$5:$AU$500,3,)=0,0,(VLOOKUP($D249,$C$5:$AU$500,12,)/VLOOKUP($D249,$C$5:$AU$500,3,))*$E249)</f>
        <v>0</v>
      </c>
      <c r="O249" s="42">
        <f>IF(VLOOKUP($D249,$C$5:$AU$500,3,)=0,0,(VLOOKUP($D249,$C$5:$AU$500,13,)/VLOOKUP($D249,$C$5:$AU$500,3,))*$E249)</f>
        <v>0</v>
      </c>
      <c r="P249" s="42">
        <f>IF(VLOOKUP($D249,$C$5:$AU$500,3,)=0,0,(VLOOKUP($D249,$C$5:$AU$500,14,)/VLOOKUP($D249,$C$5:$AU$500,3,))*$E249)</f>
        <v>0</v>
      </c>
      <c r="Q249" s="42">
        <f>IF(VLOOKUP($D249,$C$5:$AU$500,3,)=0,0,(VLOOKUP($D249,$C$5:$AU$500,15,)/VLOOKUP($D249,$C$5:$AU$500,3,))*$E249)</f>
        <v>0</v>
      </c>
      <c r="R249" s="42">
        <f>IF(VLOOKUP($D249,$C$5:$AU$500,3,)=0,0,(VLOOKUP($D249,$C$5:$AU$500,16,)/VLOOKUP($D249,$C$5:$AU$500,3,))*$E249)</f>
        <v>0</v>
      </c>
      <c r="S249" s="107">
        <f>IF(VLOOKUP($D249,$C$5:$AU$500,3,)=0,0,(VLOOKUP($D249,$C$5:$AU$500,17,)/VLOOKUP($D249,$C$5:$AU$500,3,))*$E249)</f>
        <v>0</v>
      </c>
      <c r="T249" s="107">
        <f>IF(VLOOKUP($D249,$C$5:$AU$500,3,)=0,0,(VLOOKUP($D249,$C$5:$AU$500,18,)/VLOOKUP($D249,$C$5:$AU$500,3,))*$E249)</f>
        <v>0</v>
      </c>
      <c r="U249" s="107">
        <f>IF(VLOOKUP($D249,$C$5:$AU$500,3,)=0,0,(VLOOKUP($D249,$C$5:$AU$500,19,)/VLOOKUP($D249,$C$5:$AU$500,3,))*$E249)</f>
        <v>0</v>
      </c>
      <c r="V249" s="107">
        <f>IF(VLOOKUP($D249,$C$5:$AU$500,3,)=0,0,(VLOOKUP($D249,$C$5:$AU$500,20,)/VLOOKUP($D249,$C$5:$AU$500,3,))*$E249)</f>
        <v>0</v>
      </c>
      <c r="W249" s="107">
        <f>IF(VLOOKUP($D249,$C$5:$AU$500,3,)=0,0,(VLOOKUP($D249,$C$5:$AU$500,21,)/VLOOKUP($D249,$C$5:$AU$500,3,))*$E249)</f>
        <v>0</v>
      </c>
      <c r="X249" s="107">
        <f>IF(VLOOKUP($D249,$C$5:$AU$500,3,)=0,0,(VLOOKUP($D249,$C$5:$AU$500,22,)/VLOOKUP($D249,$C$5:$AU$500,3,))*$E249)</f>
        <v>0</v>
      </c>
      <c r="Y249" s="107">
        <f>IF(VLOOKUP($D249,$C$5:$AU$500,3,)=0,0,(VLOOKUP($D249,$C$5:$AU$500,23,)/VLOOKUP($D249,$C$5:$AU$500,3,))*$E249)</f>
        <v>0</v>
      </c>
      <c r="Z249" s="107">
        <f>IF(VLOOKUP($D249,$C$5:$AU$500,3,)=0,0,(VLOOKUP($D249,$C$5:$AU$500,24,)/VLOOKUP($D249,$C$5:$AU$500,3,))*$E249)</f>
        <v>0</v>
      </c>
      <c r="AA249" s="107">
        <f>IF(VLOOKUP($D249,$C$5:$AU$500,3,)=0,0,(VLOOKUP($D249,$C$5:$AU$500,25,)/VLOOKUP($D249,$C$5:$AU$500,3,))*$E249)</f>
        <v>0</v>
      </c>
      <c r="AB249" s="107">
        <f>IF(VLOOKUP($D249,$C$5:$AU$500,3,)=0,0,(VLOOKUP($D249,$C$5:$AU$500,26,)/VLOOKUP($D249,$C$5:$AU$500,3,))*$E249)</f>
        <v>0</v>
      </c>
      <c r="AC249" s="107">
        <f>IF(VLOOKUP($D249,$C$5:$AU$500,3,)=0,0,(VLOOKUP($D249,$C$5:$AU$500,27,)/VLOOKUP($D249,$C$5:$AU$500,3,))*$E249)</f>
        <v>0</v>
      </c>
      <c r="AD249" s="107">
        <f>IF(VLOOKUP($D249,$C$5:$AU$500,3,)=0,0,(VLOOKUP($D249,$C$5:$AU$500,28,)/VLOOKUP($D249,$C$5:$AU$500,3,))*$E249)</f>
        <v>0</v>
      </c>
      <c r="AE249" s="107">
        <f>IF(VLOOKUP($D249,$C$5:$AU$500,3,)=0,0,(VLOOKUP($D249,$C$5:$AU$500,29,)/VLOOKUP($D249,$C$5:$AU$500,3,))*$E249)</f>
        <v>0</v>
      </c>
      <c r="AF249" s="107">
        <f>IF(VLOOKUP($D249,$C$5:$AU$500,3,)=0,0,(VLOOKUP($D249,$C$5:$AU$500,30,)/VLOOKUP($D249,$C$5:$AU$500,3,))*$E249)</f>
        <v>0</v>
      </c>
      <c r="AG249" s="91">
        <f>SUM(F249:AF249)</f>
        <v>0</v>
      </c>
      <c r="AH249" s="28" t="str">
        <f>IF(ABS(E249-AG249)&lt;0.01,"ok","err")</f>
        <v>ok</v>
      </c>
      <c r="AK249" s="41"/>
    </row>
    <row r="250" spans="1:37" x14ac:dyDescent="0.25">
      <c r="A250" s="14" t="s">
        <v>223</v>
      </c>
      <c r="E250" s="42">
        <f t="shared" ref="E250:T250" si="92">E248+E249</f>
        <v>0</v>
      </c>
      <c r="F250" s="67">
        <f t="shared" si="92"/>
        <v>0</v>
      </c>
      <c r="G250" s="67">
        <f t="shared" si="92"/>
        <v>0</v>
      </c>
      <c r="H250" s="42">
        <f t="shared" si="92"/>
        <v>0</v>
      </c>
      <c r="I250" s="42">
        <f t="shared" si="92"/>
        <v>0</v>
      </c>
      <c r="J250" s="42">
        <f t="shared" si="92"/>
        <v>0</v>
      </c>
      <c r="K250" s="42">
        <f t="shared" si="92"/>
        <v>0</v>
      </c>
      <c r="L250" s="67">
        <f t="shared" si="92"/>
        <v>0</v>
      </c>
      <c r="M250" s="42">
        <f t="shared" si="92"/>
        <v>0</v>
      </c>
      <c r="N250" s="42">
        <f t="shared" si="92"/>
        <v>0</v>
      </c>
      <c r="O250" s="42">
        <f t="shared" si="92"/>
        <v>0</v>
      </c>
      <c r="P250" s="42">
        <f t="shared" si="92"/>
        <v>0</v>
      </c>
      <c r="Q250" s="42">
        <f t="shared" si="92"/>
        <v>0</v>
      </c>
      <c r="R250" s="42">
        <f t="shared" si="92"/>
        <v>0</v>
      </c>
      <c r="S250" s="107">
        <f t="shared" si="92"/>
        <v>0</v>
      </c>
      <c r="T250" s="107">
        <f t="shared" si="92"/>
        <v>0</v>
      </c>
      <c r="U250" s="107">
        <f t="shared" ref="U250:AF250" si="93">U248+U249</f>
        <v>0</v>
      </c>
      <c r="V250" s="107">
        <f t="shared" si="93"/>
        <v>0</v>
      </c>
      <c r="W250" s="107">
        <f t="shared" si="93"/>
        <v>0</v>
      </c>
      <c r="X250" s="107">
        <f t="shared" si="93"/>
        <v>0</v>
      </c>
      <c r="Y250" s="107">
        <f t="shared" si="93"/>
        <v>0</v>
      </c>
      <c r="Z250" s="107">
        <f t="shared" si="93"/>
        <v>0</v>
      </c>
      <c r="AA250" s="107">
        <f t="shared" si="93"/>
        <v>0</v>
      </c>
      <c r="AB250" s="107">
        <f t="shared" si="93"/>
        <v>0</v>
      </c>
      <c r="AC250" s="107">
        <f t="shared" si="93"/>
        <v>0</v>
      </c>
      <c r="AD250" s="107">
        <f t="shared" si="93"/>
        <v>0</v>
      </c>
      <c r="AE250" s="107">
        <f t="shared" si="93"/>
        <v>0</v>
      </c>
      <c r="AF250" s="107">
        <f t="shared" si="93"/>
        <v>0</v>
      </c>
      <c r="AG250" s="91">
        <f>SUM(F250:AF250)</f>
        <v>0</v>
      </c>
      <c r="AH250" s="28" t="str">
        <f>IF(ABS(E250-AG250)&lt;0.01,"ok","err")</f>
        <v>ok</v>
      </c>
      <c r="AK250" s="41"/>
    </row>
    <row r="251" spans="1:37" x14ac:dyDescent="0.25">
      <c r="E251" s="23"/>
      <c r="AK251" s="41"/>
    </row>
    <row r="252" spans="1:37" x14ac:dyDescent="0.25">
      <c r="A252" s="13" t="s">
        <v>3</v>
      </c>
      <c r="E252" s="23"/>
      <c r="AK252" s="41"/>
    </row>
    <row r="253" spans="1:37" x14ac:dyDescent="0.25">
      <c r="A253" s="94" t="s">
        <v>208</v>
      </c>
      <c r="C253" s="14" t="s">
        <v>303</v>
      </c>
      <c r="D253" s="14" t="s">
        <v>701</v>
      </c>
      <c r="E253" s="42">
        <f>'Func &amp; Classif'!R314</f>
        <v>0</v>
      </c>
      <c r="F253" s="67">
        <f>IF(VLOOKUP($D253,$C$5:$AU$500,3,)=0,0,(VLOOKUP($D253,$C$5:$AU$500,4,)/VLOOKUP($D253,$C$5:$AU$500,3,))*$E253)</f>
        <v>0</v>
      </c>
      <c r="G253" s="67">
        <f>IF(VLOOKUP($D253,$C$5:$AU$500,3,)=0,0,(VLOOKUP($D253,$C$5:$AU$500,5,)/VLOOKUP($D253,$C$5:$AU$500,3,))*$E253)</f>
        <v>0</v>
      </c>
      <c r="H253" s="42">
        <f>IF(VLOOKUP($D253,$C$5:$AU$500,3,)=0,0,(VLOOKUP($D253,$C$5:$AU$500,6,)/VLOOKUP($D253,$C$5:$AU$500,3,))*$E253)</f>
        <v>0</v>
      </c>
      <c r="I253" s="42">
        <f>IF(VLOOKUP($D253,$C$5:$AU$500,3,)=0,0,(VLOOKUP($D253,$C$5:$AU$500,7,)/VLOOKUP($D253,$C$5:$AU$500,3,))*$E253)</f>
        <v>0</v>
      </c>
      <c r="J253" s="42">
        <f>IF(VLOOKUP($D253,$C$5:$AU$500,3,)=0,0,(VLOOKUP($D253,$C$5:$AU$500,8,)/VLOOKUP($D253,$C$5:$AU$500,3,))*$E253)</f>
        <v>0</v>
      </c>
      <c r="K253" s="42">
        <f>IF(VLOOKUP($D253,$C$5:$AU$500,3,)=0,0,(VLOOKUP($D253,$C$5:$AU$500,9,)/VLOOKUP($D253,$C$5:$AU$500,3,))*$E253)</f>
        <v>0</v>
      </c>
      <c r="L253" s="67">
        <f>IF(VLOOKUP($D253,$C$5:$AU$500,3,)=0,0,(VLOOKUP($D253,$C$5:$AU$500,10,)/VLOOKUP($D253,$C$5:$AU$500,3,))*$E253)</f>
        <v>0</v>
      </c>
      <c r="M253" s="42">
        <f>IF(VLOOKUP($D253,$C$5:$AU$500,3,)=0,0,(VLOOKUP($D253,$C$5:$AU$500,11,)/VLOOKUP($D253,$C$5:$AU$500,3,))*$E253)</f>
        <v>0</v>
      </c>
      <c r="N253" s="42">
        <f>IF(VLOOKUP($D253,$C$5:$AU$500,3,)=0,0,(VLOOKUP($D253,$C$5:$AU$500,12,)/VLOOKUP($D253,$C$5:$AU$500,3,))*$E253)</f>
        <v>0</v>
      </c>
      <c r="O253" s="42">
        <f>IF(VLOOKUP($D253,$C$5:$AU$500,3,)=0,0,(VLOOKUP($D253,$C$5:$AU$500,13,)/VLOOKUP($D253,$C$5:$AU$500,3,))*$E253)</f>
        <v>0</v>
      </c>
      <c r="P253" s="42">
        <f>IF(VLOOKUP($D253,$C$5:$AU$500,3,)=0,0,(VLOOKUP($D253,$C$5:$AU$500,14,)/VLOOKUP($D253,$C$5:$AU$500,3,))*$E253)</f>
        <v>0</v>
      </c>
      <c r="Q253" s="42">
        <f>IF(VLOOKUP($D253,$C$5:$AU$500,3,)=0,0,(VLOOKUP($D253,$C$5:$AU$500,15,)/VLOOKUP($D253,$C$5:$AU$500,3,))*$E253)</f>
        <v>0</v>
      </c>
      <c r="R253" s="42">
        <f>IF(VLOOKUP($D253,$C$5:$AU$500,3,)=0,0,(VLOOKUP($D253,$C$5:$AU$500,16,)/VLOOKUP($D253,$C$5:$AU$500,3,))*$E253)</f>
        <v>0</v>
      </c>
      <c r="S253" s="107">
        <f>IF(VLOOKUP($D253,$C$5:$AU$500,3,)=0,0,(VLOOKUP($D253,$C$5:$AU$500,17,)/VLOOKUP($D253,$C$5:$AU$500,3,))*$E253)</f>
        <v>0</v>
      </c>
      <c r="T253" s="107">
        <f>IF(VLOOKUP($D253,$C$5:$AU$500,3,)=0,0,(VLOOKUP($D253,$C$5:$AU$500,18,)/VLOOKUP($D253,$C$5:$AU$500,3,))*$E253)</f>
        <v>0</v>
      </c>
      <c r="U253" s="107">
        <f>IF(VLOOKUP($D253,$C$5:$AU$500,3,)=0,0,(VLOOKUP($D253,$C$5:$AU$500,19,)/VLOOKUP($D253,$C$5:$AU$500,3,))*$E253)</f>
        <v>0</v>
      </c>
      <c r="V253" s="107">
        <f>IF(VLOOKUP($D253,$C$5:$AU$500,3,)=0,0,(VLOOKUP($D253,$C$5:$AU$500,20,)/VLOOKUP($D253,$C$5:$AU$500,3,))*$E253)</f>
        <v>0</v>
      </c>
      <c r="W253" s="107">
        <f>IF(VLOOKUP($D253,$C$5:$AU$500,3,)=0,0,(VLOOKUP($D253,$C$5:$AU$500,21,)/VLOOKUP($D253,$C$5:$AU$500,3,))*$E253)</f>
        <v>0</v>
      </c>
      <c r="X253" s="107">
        <f>IF(VLOOKUP($D253,$C$5:$AU$500,3,)=0,0,(VLOOKUP($D253,$C$5:$AU$500,22,)/VLOOKUP($D253,$C$5:$AU$500,3,))*$E253)</f>
        <v>0</v>
      </c>
      <c r="Y253" s="107">
        <f>IF(VLOOKUP($D253,$C$5:$AU$500,3,)=0,0,(VLOOKUP($D253,$C$5:$AU$500,23,)/VLOOKUP($D253,$C$5:$AU$500,3,))*$E253)</f>
        <v>0</v>
      </c>
      <c r="Z253" s="107">
        <f>IF(VLOOKUP($D253,$C$5:$AU$500,3,)=0,0,(VLOOKUP($D253,$C$5:$AU$500,24,)/VLOOKUP($D253,$C$5:$AU$500,3,))*$E253)</f>
        <v>0</v>
      </c>
      <c r="AA253" s="107">
        <f>IF(VLOOKUP($D253,$C$5:$AU$500,3,)=0,0,(VLOOKUP($D253,$C$5:$AU$500,25,)/VLOOKUP($D253,$C$5:$AU$500,3,))*$E253)</f>
        <v>0</v>
      </c>
      <c r="AB253" s="107">
        <f>IF(VLOOKUP($D253,$C$5:$AU$500,3,)=0,0,(VLOOKUP($D253,$C$5:$AU$500,26,)/VLOOKUP($D253,$C$5:$AU$500,3,))*$E253)</f>
        <v>0</v>
      </c>
      <c r="AC253" s="107">
        <f>IF(VLOOKUP($D253,$C$5:$AU$500,3,)=0,0,(VLOOKUP($D253,$C$5:$AU$500,27,)/VLOOKUP($D253,$C$5:$AU$500,3,))*$E253)</f>
        <v>0</v>
      </c>
      <c r="AD253" s="107">
        <f>IF(VLOOKUP($D253,$C$5:$AU$500,3,)=0,0,(VLOOKUP($D253,$C$5:$AU$500,28,)/VLOOKUP($D253,$C$5:$AU$500,3,))*$E253)</f>
        <v>0</v>
      </c>
      <c r="AE253" s="107">
        <f>IF(VLOOKUP($D253,$C$5:$AU$500,3,)=0,0,(VLOOKUP($D253,$C$5:$AU$500,29,)/VLOOKUP($D253,$C$5:$AU$500,3,))*$E253)</f>
        <v>0</v>
      </c>
      <c r="AF253" s="107">
        <f>IF(VLOOKUP($D253,$C$5:$AU$500,3,)=0,0,(VLOOKUP($D253,$C$5:$AU$500,30,)/VLOOKUP($D253,$C$5:$AU$500,3,))*$E253)</f>
        <v>0</v>
      </c>
      <c r="AG253" s="91">
        <f>SUM(F253:AF253)</f>
        <v>0</v>
      </c>
      <c r="AH253" s="28" t="str">
        <f>IF(ABS(E253-AG253)&lt;0.01,"ok","err")</f>
        <v>ok</v>
      </c>
      <c r="AK253" s="41"/>
    </row>
    <row r="254" spans="1:37" x14ac:dyDescent="0.25">
      <c r="A254" s="94" t="s">
        <v>220</v>
      </c>
      <c r="C254" s="14" t="s">
        <v>304</v>
      </c>
      <c r="D254" s="14" t="s">
        <v>701</v>
      </c>
      <c r="E254" s="23">
        <f>'Func &amp; Classif'!S314</f>
        <v>0</v>
      </c>
      <c r="F254" s="67">
        <f>IF(VLOOKUP($D254,$C$5:$AU$500,3,)=0,0,(VLOOKUP($D254,$C$5:$AU$500,4,)/VLOOKUP($D254,$C$5:$AU$500,3,))*$E254)</f>
        <v>0</v>
      </c>
      <c r="G254" s="67">
        <f>IF(VLOOKUP($D254,$C$5:$AU$500,3,)=0,0,(VLOOKUP($D254,$C$5:$AU$500,5,)/VLOOKUP($D254,$C$5:$AU$500,3,))*$E254)</f>
        <v>0</v>
      </c>
      <c r="H254" s="42">
        <f>IF(VLOOKUP($D254,$C$5:$AU$500,3,)=0,0,(VLOOKUP($D254,$C$5:$AU$500,6,)/VLOOKUP($D254,$C$5:$AU$500,3,))*$E254)</f>
        <v>0</v>
      </c>
      <c r="I254" s="42">
        <f>IF(VLOOKUP($D254,$C$5:$AU$500,3,)=0,0,(VLOOKUP($D254,$C$5:$AU$500,7,)/VLOOKUP($D254,$C$5:$AU$500,3,))*$E254)</f>
        <v>0</v>
      </c>
      <c r="J254" s="42">
        <f>IF(VLOOKUP($D254,$C$5:$AU$500,3,)=0,0,(VLOOKUP($D254,$C$5:$AU$500,8,)/VLOOKUP($D254,$C$5:$AU$500,3,))*$E254)</f>
        <v>0</v>
      </c>
      <c r="K254" s="42">
        <f>IF(VLOOKUP($D254,$C$5:$AU$500,3,)=0,0,(VLOOKUP($D254,$C$5:$AU$500,9,)/VLOOKUP($D254,$C$5:$AU$500,3,))*$E254)</f>
        <v>0</v>
      </c>
      <c r="L254" s="67">
        <f>IF(VLOOKUP($D254,$C$5:$AU$500,3,)=0,0,(VLOOKUP($D254,$C$5:$AU$500,10,)/VLOOKUP($D254,$C$5:$AU$500,3,))*$E254)</f>
        <v>0</v>
      </c>
      <c r="M254" s="42">
        <f>IF(VLOOKUP($D254,$C$5:$AU$500,3,)=0,0,(VLOOKUP($D254,$C$5:$AU$500,11,)/VLOOKUP($D254,$C$5:$AU$500,3,))*$E254)</f>
        <v>0</v>
      </c>
      <c r="N254" s="42">
        <f>IF(VLOOKUP($D254,$C$5:$AU$500,3,)=0,0,(VLOOKUP($D254,$C$5:$AU$500,12,)/VLOOKUP($D254,$C$5:$AU$500,3,))*$E254)</f>
        <v>0</v>
      </c>
      <c r="O254" s="42">
        <f>IF(VLOOKUP($D254,$C$5:$AU$500,3,)=0,0,(VLOOKUP($D254,$C$5:$AU$500,13,)/VLOOKUP($D254,$C$5:$AU$500,3,))*$E254)</f>
        <v>0</v>
      </c>
      <c r="P254" s="42">
        <f>IF(VLOOKUP($D254,$C$5:$AU$500,3,)=0,0,(VLOOKUP($D254,$C$5:$AU$500,14,)/VLOOKUP($D254,$C$5:$AU$500,3,))*$E254)</f>
        <v>0</v>
      </c>
      <c r="Q254" s="42">
        <f>IF(VLOOKUP($D254,$C$5:$AU$500,3,)=0,0,(VLOOKUP($D254,$C$5:$AU$500,15,)/VLOOKUP($D254,$C$5:$AU$500,3,))*$E254)</f>
        <v>0</v>
      </c>
      <c r="R254" s="42">
        <f>IF(VLOOKUP($D254,$C$5:$AU$500,3,)=0,0,(VLOOKUP($D254,$C$5:$AU$500,16,)/VLOOKUP($D254,$C$5:$AU$500,3,))*$E254)</f>
        <v>0</v>
      </c>
      <c r="S254" s="107">
        <f>IF(VLOOKUP($D254,$C$5:$AU$500,3,)=0,0,(VLOOKUP($D254,$C$5:$AU$500,17,)/VLOOKUP($D254,$C$5:$AU$500,3,))*$E254)</f>
        <v>0</v>
      </c>
      <c r="T254" s="107">
        <f>IF(VLOOKUP($D254,$C$5:$AU$500,3,)=0,0,(VLOOKUP($D254,$C$5:$AU$500,18,)/VLOOKUP($D254,$C$5:$AU$500,3,))*$E254)</f>
        <v>0</v>
      </c>
      <c r="U254" s="107">
        <f>IF(VLOOKUP($D254,$C$5:$AU$500,3,)=0,0,(VLOOKUP($D254,$C$5:$AU$500,19,)/VLOOKUP($D254,$C$5:$AU$500,3,))*$E254)</f>
        <v>0</v>
      </c>
      <c r="V254" s="107">
        <f>IF(VLOOKUP($D254,$C$5:$AU$500,3,)=0,0,(VLOOKUP($D254,$C$5:$AU$500,20,)/VLOOKUP($D254,$C$5:$AU$500,3,))*$E254)</f>
        <v>0</v>
      </c>
      <c r="W254" s="107">
        <f>IF(VLOOKUP($D254,$C$5:$AU$500,3,)=0,0,(VLOOKUP($D254,$C$5:$AU$500,21,)/VLOOKUP($D254,$C$5:$AU$500,3,))*$E254)</f>
        <v>0</v>
      </c>
      <c r="X254" s="107">
        <f>IF(VLOOKUP($D254,$C$5:$AU$500,3,)=0,0,(VLOOKUP($D254,$C$5:$AU$500,22,)/VLOOKUP($D254,$C$5:$AU$500,3,))*$E254)</f>
        <v>0</v>
      </c>
      <c r="Y254" s="107">
        <f>IF(VLOOKUP($D254,$C$5:$AU$500,3,)=0,0,(VLOOKUP($D254,$C$5:$AU$500,23,)/VLOOKUP($D254,$C$5:$AU$500,3,))*$E254)</f>
        <v>0</v>
      </c>
      <c r="Z254" s="107">
        <f>IF(VLOOKUP($D254,$C$5:$AU$500,3,)=0,0,(VLOOKUP($D254,$C$5:$AU$500,24,)/VLOOKUP($D254,$C$5:$AU$500,3,))*$E254)</f>
        <v>0</v>
      </c>
      <c r="AA254" s="107">
        <f>IF(VLOOKUP($D254,$C$5:$AU$500,3,)=0,0,(VLOOKUP($D254,$C$5:$AU$500,25,)/VLOOKUP($D254,$C$5:$AU$500,3,))*$E254)</f>
        <v>0</v>
      </c>
      <c r="AB254" s="107">
        <f>IF(VLOOKUP($D254,$C$5:$AU$500,3,)=0,0,(VLOOKUP($D254,$C$5:$AU$500,26,)/VLOOKUP($D254,$C$5:$AU$500,3,))*$E254)</f>
        <v>0</v>
      </c>
      <c r="AC254" s="107">
        <f>IF(VLOOKUP($D254,$C$5:$AU$500,3,)=0,0,(VLOOKUP($D254,$C$5:$AU$500,27,)/VLOOKUP($D254,$C$5:$AU$500,3,))*$E254)</f>
        <v>0</v>
      </c>
      <c r="AD254" s="107">
        <f>IF(VLOOKUP($D254,$C$5:$AU$500,3,)=0,0,(VLOOKUP($D254,$C$5:$AU$500,28,)/VLOOKUP($D254,$C$5:$AU$500,3,))*$E254)</f>
        <v>0</v>
      </c>
      <c r="AE254" s="107">
        <f>IF(VLOOKUP($D254,$C$5:$AU$500,3,)=0,0,(VLOOKUP($D254,$C$5:$AU$500,29,)/VLOOKUP($D254,$C$5:$AU$500,3,))*$E254)</f>
        <v>0</v>
      </c>
      <c r="AF254" s="107">
        <f>IF(VLOOKUP($D254,$C$5:$AU$500,3,)=0,0,(VLOOKUP($D254,$C$5:$AU$500,30,)/VLOOKUP($D254,$C$5:$AU$500,3,))*$E254)</f>
        <v>0</v>
      </c>
      <c r="AG254" s="91">
        <f>SUM(F254:AF254)</f>
        <v>0</v>
      </c>
      <c r="AH254" s="28" t="str">
        <f>IF(ABS(E254-AG254)&lt;0.01,"ok","err")</f>
        <v>ok</v>
      </c>
      <c r="AK254" s="41"/>
    </row>
    <row r="255" spans="1:37" x14ac:dyDescent="0.25">
      <c r="A255" s="14" t="s">
        <v>227</v>
      </c>
      <c r="E255" s="42">
        <f t="shared" ref="E255:T255" si="94">E253+E254</f>
        <v>0</v>
      </c>
      <c r="F255" s="67">
        <f t="shared" si="94"/>
        <v>0</v>
      </c>
      <c r="G255" s="67">
        <f t="shared" si="94"/>
        <v>0</v>
      </c>
      <c r="H255" s="42">
        <f t="shared" si="94"/>
        <v>0</v>
      </c>
      <c r="I255" s="42">
        <f t="shared" si="94"/>
        <v>0</v>
      </c>
      <c r="J255" s="42">
        <f t="shared" si="94"/>
        <v>0</v>
      </c>
      <c r="K255" s="42">
        <f t="shared" si="94"/>
        <v>0</v>
      </c>
      <c r="L255" s="67">
        <f t="shared" si="94"/>
        <v>0</v>
      </c>
      <c r="M255" s="42">
        <f t="shared" si="94"/>
        <v>0</v>
      </c>
      <c r="N255" s="42">
        <f t="shared" si="94"/>
        <v>0</v>
      </c>
      <c r="O255" s="42">
        <f t="shared" si="94"/>
        <v>0</v>
      </c>
      <c r="P255" s="42">
        <f t="shared" si="94"/>
        <v>0</v>
      </c>
      <c r="Q255" s="42">
        <f t="shared" si="94"/>
        <v>0</v>
      </c>
      <c r="R255" s="42">
        <f t="shared" si="94"/>
        <v>0</v>
      </c>
      <c r="S255" s="107">
        <f t="shared" si="94"/>
        <v>0</v>
      </c>
      <c r="T255" s="107">
        <f t="shared" si="94"/>
        <v>0</v>
      </c>
      <c r="U255" s="107">
        <f t="shared" ref="U255:AF255" si="95">U253+U254</f>
        <v>0</v>
      </c>
      <c r="V255" s="107">
        <f t="shared" si="95"/>
        <v>0</v>
      </c>
      <c r="W255" s="107">
        <f t="shared" si="95"/>
        <v>0</v>
      </c>
      <c r="X255" s="107">
        <f t="shared" si="95"/>
        <v>0</v>
      </c>
      <c r="Y255" s="107">
        <f t="shared" si="95"/>
        <v>0</v>
      </c>
      <c r="Z255" s="107">
        <f t="shared" si="95"/>
        <v>0</v>
      </c>
      <c r="AA255" s="107">
        <f t="shared" si="95"/>
        <v>0</v>
      </c>
      <c r="AB255" s="107">
        <f t="shared" si="95"/>
        <v>0</v>
      </c>
      <c r="AC255" s="107">
        <f t="shared" si="95"/>
        <v>0</v>
      </c>
      <c r="AD255" s="107">
        <f t="shared" si="95"/>
        <v>0</v>
      </c>
      <c r="AE255" s="107">
        <f t="shared" si="95"/>
        <v>0</v>
      </c>
      <c r="AF255" s="107">
        <f t="shared" si="95"/>
        <v>0</v>
      </c>
      <c r="AG255" s="91">
        <f>SUM(F255:AF255)</f>
        <v>0</v>
      </c>
      <c r="AH255" s="28" t="str">
        <f>IF(ABS(E255-AG255)&lt;0.01,"ok","err")</f>
        <v>ok</v>
      </c>
      <c r="AK255" s="41"/>
    </row>
    <row r="256" spans="1:37" x14ac:dyDescent="0.25">
      <c r="E256" s="23"/>
      <c r="AK256" s="41"/>
    </row>
    <row r="257" spans="1:37" x14ac:dyDescent="0.25">
      <c r="A257" s="13" t="s">
        <v>4</v>
      </c>
      <c r="E257" s="23"/>
      <c r="AK257" s="41"/>
    </row>
    <row r="258" spans="1:37" x14ac:dyDescent="0.25">
      <c r="A258" s="94" t="s">
        <v>220</v>
      </c>
      <c r="C258" s="14" t="s">
        <v>305</v>
      </c>
      <c r="D258" s="14" t="s">
        <v>229</v>
      </c>
      <c r="E258" s="42">
        <f>'Func &amp; Classif'!U314</f>
        <v>0</v>
      </c>
      <c r="F258" s="67">
        <f>IF(VLOOKUP($D258,$C$5:$AU$500,3,)=0,0,(VLOOKUP($D258,$C$5:$AU$500,4,)/VLOOKUP($D258,$C$5:$AU$500,3,))*$E258)</f>
        <v>0</v>
      </c>
      <c r="G258" s="67">
        <f>IF(VLOOKUP($D258,$C$5:$AU$500,3,)=0,0,(VLOOKUP($D258,$C$5:$AU$500,5,)/VLOOKUP($D258,$C$5:$AU$500,3,))*$E258)</f>
        <v>0</v>
      </c>
      <c r="H258" s="42">
        <f>IF(VLOOKUP($D258,$C$5:$AU$500,3,)=0,0,(VLOOKUP($D258,$C$5:$AU$500,6,)/VLOOKUP($D258,$C$5:$AU$500,3,))*$E258)</f>
        <v>0</v>
      </c>
      <c r="I258" s="42">
        <f>IF(VLOOKUP($D258,$C$5:$AU$500,3,)=0,0,(VLOOKUP($D258,$C$5:$AU$500,7,)/VLOOKUP($D258,$C$5:$AU$500,3,))*$E258)</f>
        <v>0</v>
      </c>
      <c r="J258" s="42">
        <f>IF(VLOOKUP($D258,$C$5:$AU$500,3,)=0,0,(VLOOKUP($D258,$C$5:$AU$500,8,)/VLOOKUP($D258,$C$5:$AU$500,3,))*$E258)</f>
        <v>0</v>
      </c>
      <c r="K258" s="42">
        <f>IF(VLOOKUP($D258,$C$5:$AU$500,3,)=0,0,(VLOOKUP($D258,$C$5:$AU$500,9,)/VLOOKUP($D258,$C$5:$AU$500,3,))*$E258)</f>
        <v>0</v>
      </c>
      <c r="L258" s="67">
        <f>IF(VLOOKUP($D258,$C$5:$AU$500,3,)=0,0,(VLOOKUP($D258,$C$5:$AU$500,10,)/VLOOKUP($D258,$C$5:$AU$500,3,))*$E258)</f>
        <v>0</v>
      </c>
      <c r="M258" s="42">
        <f>IF(VLOOKUP($D258,$C$5:$AU$500,3,)=0,0,(VLOOKUP($D258,$C$5:$AU$500,11,)/VLOOKUP($D258,$C$5:$AU$500,3,))*$E258)</f>
        <v>0</v>
      </c>
      <c r="N258" s="42">
        <f>IF(VLOOKUP($D258,$C$5:$AU$500,3,)=0,0,(VLOOKUP($D258,$C$5:$AU$500,12,)/VLOOKUP($D258,$C$5:$AU$500,3,))*$E258)</f>
        <v>0</v>
      </c>
      <c r="O258" s="42">
        <f>IF(VLOOKUP($D258,$C$5:$AU$500,3,)=0,0,(VLOOKUP($D258,$C$5:$AU$500,13,)/VLOOKUP($D258,$C$5:$AU$500,3,))*$E258)</f>
        <v>0</v>
      </c>
      <c r="P258" s="42">
        <f>IF(VLOOKUP($D258,$C$5:$AU$500,3,)=0,0,(VLOOKUP($D258,$C$5:$AU$500,14,)/VLOOKUP($D258,$C$5:$AU$500,3,))*$E258)</f>
        <v>0</v>
      </c>
      <c r="Q258" s="42">
        <f>IF(VLOOKUP($D258,$C$5:$AU$500,3,)=0,0,(VLOOKUP($D258,$C$5:$AU$500,15,)/VLOOKUP($D258,$C$5:$AU$500,3,))*$E258)</f>
        <v>0</v>
      </c>
      <c r="R258" s="42">
        <f>IF(VLOOKUP($D258,$C$5:$AU$500,3,)=0,0,(VLOOKUP($D258,$C$5:$AU$500,16,)/VLOOKUP($D258,$C$5:$AU$500,3,))*$E258)</f>
        <v>0</v>
      </c>
      <c r="S258" s="107">
        <f>IF(VLOOKUP($D258,$C$5:$AU$500,3,)=0,0,(VLOOKUP($D258,$C$5:$AU$500,17,)/VLOOKUP($D258,$C$5:$AU$500,3,))*$E258)</f>
        <v>0</v>
      </c>
      <c r="T258" s="107">
        <f>IF(VLOOKUP($D258,$C$5:$AU$500,3,)=0,0,(VLOOKUP($D258,$C$5:$AU$500,18,)/VLOOKUP($D258,$C$5:$AU$500,3,))*$E258)</f>
        <v>0</v>
      </c>
      <c r="U258" s="107">
        <f>IF(VLOOKUP($D258,$C$5:$AU$500,3,)=0,0,(VLOOKUP($D258,$C$5:$AU$500,19,)/VLOOKUP($D258,$C$5:$AU$500,3,))*$E258)</f>
        <v>0</v>
      </c>
      <c r="V258" s="107">
        <f>IF(VLOOKUP($D258,$C$5:$AU$500,3,)=0,0,(VLOOKUP($D258,$C$5:$AU$500,20,)/VLOOKUP($D258,$C$5:$AU$500,3,))*$E258)</f>
        <v>0</v>
      </c>
      <c r="W258" s="107">
        <f>IF(VLOOKUP($D258,$C$5:$AU$500,3,)=0,0,(VLOOKUP($D258,$C$5:$AU$500,21,)/VLOOKUP($D258,$C$5:$AU$500,3,))*$E258)</f>
        <v>0</v>
      </c>
      <c r="X258" s="107">
        <f>IF(VLOOKUP($D258,$C$5:$AU$500,3,)=0,0,(VLOOKUP($D258,$C$5:$AU$500,22,)/VLOOKUP($D258,$C$5:$AU$500,3,))*$E258)</f>
        <v>0</v>
      </c>
      <c r="Y258" s="107">
        <f>IF(VLOOKUP($D258,$C$5:$AU$500,3,)=0,0,(VLOOKUP($D258,$C$5:$AU$500,23,)/VLOOKUP($D258,$C$5:$AU$500,3,))*$E258)</f>
        <v>0</v>
      </c>
      <c r="Z258" s="107">
        <f>IF(VLOOKUP($D258,$C$5:$AU$500,3,)=0,0,(VLOOKUP($D258,$C$5:$AU$500,24,)/VLOOKUP($D258,$C$5:$AU$500,3,))*$E258)</f>
        <v>0</v>
      </c>
      <c r="AA258" s="107">
        <f>IF(VLOOKUP($D258,$C$5:$AU$500,3,)=0,0,(VLOOKUP($D258,$C$5:$AU$500,25,)/VLOOKUP($D258,$C$5:$AU$500,3,))*$E258)</f>
        <v>0</v>
      </c>
      <c r="AB258" s="107">
        <f>IF(VLOOKUP($D258,$C$5:$AU$500,3,)=0,0,(VLOOKUP($D258,$C$5:$AU$500,26,)/VLOOKUP($D258,$C$5:$AU$500,3,))*$E258)</f>
        <v>0</v>
      </c>
      <c r="AC258" s="107">
        <f>IF(VLOOKUP($D258,$C$5:$AU$500,3,)=0,0,(VLOOKUP($D258,$C$5:$AU$500,27,)/VLOOKUP($D258,$C$5:$AU$500,3,))*$E258)</f>
        <v>0</v>
      </c>
      <c r="AD258" s="107">
        <f>IF(VLOOKUP($D258,$C$5:$AU$500,3,)=0,0,(VLOOKUP($D258,$C$5:$AU$500,28,)/VLOOKUP($D258,$C$5:$AU$500,3,))*$E258)</f>
        <v>0</v>
      </c>
      <c r="AE258" s="107">
        <f>IF(VLOOKUP($D258,$C$5:$AU$500,3,)=0,0,(VLOOKUP($D258,$C$5:$AU$500,29,)/VLOOKUP($D258,$C$5:$AU$500,3,))*$E258)</f>
        <v>0</v>
      </c>
      <c r="AF258" s="107">
        <f>IF(VLOOKUP($D258,$C$5:$AU$500,3,)=0,0,(VLOOKUP($D258,$C$5:$AU$500,30,)/VLOOKUP($D258,$C$5:$AU$500,3,))*$E258)</f>
        <v>0</v>
      </c>
      <c r="AG258" s="91">
        <f>SUM(F258:AF258)</f>
        <v>0</v>
      </c>
      <c r="AH258" s="28" t="str">
        <f>IF(ABS(E258-AG258)&lt;0.01,"ok","err")</f>
        <v>ok</v>
      </c>
      <c r="AK258" s="41"/>
    </row>
    <row r="259" spans="1:37" x14ac:dyDescent="0.25">
      <c r="E259" s="23"/>
      <c r="AK259" s="41"/>
    </row>
    <row r="260" spans="1:37" x14ac:dyDescent="0.25">
      <c r="A260" s="13" t="s">
        <v>5</v>
      </c>
      <c r="E260" s="23"/>
      <c r="AK260" s="41"/>
    </row>
    <row r="261" spans="1:37" x14ac:dyDescent="0.25">
      <c r="A261" s="94" t="s">
        <v>220</v>
      </c>
      <c r="C261" s="14" t="s">
        <v>306</v>
      </c>
      <c r="D261" s="14" t="s">
        <v>231</v>
      </c>
      <c r="E261" s="42">
        <f>'Func &amp; Classif'!W314</f>
        <v>0</v>
      </c>
      <c r="F261" s="67">
        <f>IF(VLOOKUP($D261,$C$5:$AU$500,3,)=0,0,(VLOOKUP($D261,$C$5:$AU$500,4,)/VLOOKUP($D261,$C$5:$AU$500,3,))*$E261)</f>
        <v>0</v>
      </c>
      <c r="G261" s="67">
        <f>IF(VLOOKUP($D261,$C$5:$AU$500,3,)=0,0,(VLOOKUP($D261,$C$5:$AU$500,5,)/VLOOKUP($D261,$C$5:$AU$500,3,))*$E261)</f>
        <v>0</v>
      </c>
      <c r="H261" s="42">
        <f>IF(VLOOKUP($D261,$C$5:$AU$500,3,)=0,0,(VLOOKUP($D261,$C$5:$AU$500,6,)/VLOOKUP($D261,$C$5:$AU$500,3,))*$E261)</f>
        <v>0</v>
      </c>
      <c r="I261" s="42">
        <f>IF(VLOOKUP($D261,$C$5:$AU$500,3,)=0,0,(VLOOKUP($D261,$C$5:$AU$500,7,)/VLOOKUP($D261,$C$5:$AU$500,3,))*$E261)</f>
        <v>0</v>
      </c>
      <c r="J261" s="42">
        <f>IF(VLOOKUP($D261,$C$5:$AU$500,3,)=0,0,(VLOOKUP($D261,$C$5:$AU$500,8,)/VLOOKUP($D261,$C$5:$AU$500,3,))*$E261)</f>
        <v>0</v>
      </c>
      <c r="K261" s="42">
        <f>IF(VLOOKUP($D261,$C$5:$AU$500,3,)=0,0,(VLOOKUP($D261,$C$5:$AU$500,9,)/VLOOKUP($D261,$C$5:$AU$500,3,))*$E261)</f>
        <v>0</v>
      </c>
      <c r="L261" s="67">
        <f>IF(VLOOKUP($D261,$C$5:$AU$500,3,)=0,0,(VLOOKUP($D261,$C$5:$AU$500,10,)/VLOOKUP($D261,$C$5:$AU$500,3,))*$E261)</f>
        <v>0</v>
      </c>
      <c r="M261" s="42">
        <f>IF(VLOOKUP($D261,$C$5:$AU$500,3,)=0,0,(VLOOKUP($D261,$C$5:$AU$500,11,)/VLOOKUP($D261,$C$5:$AU$500,3,))*$E261)</f>
        <v>0</v>
      </c>
      <c r="N261" s="42">
        <f>IF(VLOOKUP($D261,$C$5:$AU$500,3,)=0,0,(VLOOKUP($D261,$C$5:$AU$500,12,)/VLOOKUP($D261,$C$5:$AU$500,3,))*$E261)</f>
        <v>0</v>
      </c>
      <c r="O261" s="42">
        <f>IF(VLOOKUP($D261,$C$5:$AU$500,3,)=0,0,(VLOOKUP($D261,$C$5:$AU$500,13,)/VLOOKUP($D261,$C$5:$AU$500,3,))*$E261)</f>
        <v>0</v>
      </c>
      <c r="P261" s="42">
        <f>IF(VLOOKUP($D261,$C$5:$AU$500,3,)=0,0,(VLOOKUP($D261,$C$5:$AU$500,14,)/VLOOKUP($D261,$C$5:$AU$500,3,))*$E261)</f>
        <v>0</v>
      </c>
      <c r="Q261" s="42">
        <f>IF(VLOOKUP($D261,$C$5:$AU$500,3,)=0,0,(VLOOKUP($D261,$C$5:$AU$500,15,)/VLOOKUP($D261,$C$5:$AU$500,3,))*$E261)</f>
        <v>0</v>
      </c>
      <c r="R261" s="42">
        <f>IF(VLOOKUP($D261,$C$5:$AU$500,3,)=0,0,(VLOOKUP($D261,$C$5:$AU$500,16,)/VLOOKUP($D261,$C$5:$AU$500,3,))*$E261)</f>
        <v>0</v>
      </c>
      <c r="S261" s="107">
        <f>IF(VLOOKUP($D261,$C$5:$AU$500,3,)=0,0,(VLOOKUP($D261,$C$5:$AU$500,17,)/VLOOKUP($D261,$C$5:$AU$500,3,))*$E261)</f>
        <v>0</v>
      </c>
      <c r="T261" s="107">
        <f>IF(VLOOKUP($D261,$C$5:$AU$500,3,)=0,0,(VLOOKUP($D261,$C$5:$AU$500,18,)/VLOOKUP($D261,$C$5:$AU$500,3,))*$E261)</f>
        <v>0</v>
      </c>
      <c r="U261" s="107">
        <f>IF(VLOOKUP($D261,$C$5:$AU$500,3,)=0,0,(VLOOKUP($D261,$C$5:$AU$500,19,)/VLOOKUP($D261,$C$5:$AU$500,3,))*$E261)</f>
        <v>0</v>
      </c>
      <c r="V261" s="107">
        <f>IF(VLOOKUP($D261,$C$5:$AU$500,3,)=0,0,(VLOOKUP($D261,$C$5:$AU$500,20,)/VLOOKUP($D261,$C$5:$AU$500,3,))*$E261)</f>
        <v>0</v>
      </c>
      <c r="W261" s="107">
        <f>IF(VLOOKUP($D261,$C$5:$AU$500,3,)=0,0,(VLOOKUP($D261,$C$5:$AU$500,21,)/VLOOKUP($D261,$C$5:$AU$500,3,))*$E261)</f>
        <v>0</v>
      </c>
      <c r="X261" s="107">
        <f>IF(VLOOKUP($D261,$C$5:$AU$500,3,)=0,0,(VLOOKUP($D261,$C$5:$AU$500,22,)/VLOOKUP($D261,$C$5:$AU$500,3,))*$E261)</f>
        <v>0</v>
      </c>
      <c r="Y261" s="107">
        <f>IF(VLOOKUP($D261,$C$5:$AU$500,3,)=0,0,(VLOOKUP($D261,$C$5:$AU$500,23,)/VLOOKUP($D261,$C$5:$AU$500,3,))*$E261)</f>
        <v>0</v>
      </c>
      <c r="Z261" s="107">
        <f>IF(VLOOKUP($D261,$C$5:$AU$500,3,)=0,0,(VLOOKUP($D261,$C$5:$AU$500,24,)/VLOOKUP($D261,$C$5:$AU$500,3,))*$E261)</f>
        <v>0</v>
      </c>
      <c r="AA261" s="107">
        <f>IF(VLOOKUP($D261,$C$5:$AU$500,3,)=0,0,(VLOOKUP($D261,$C$5:$AU$500,25,)/VLOOKUP($D261,$C$5:$AU$500,3,))*$E261)</f>
        <v>0</v>
      </c>
      <c r="AB261" s="107">
        <f>IF(VLOOKUP($D261,$C$5:$AU$500,3,)=0,0,(VLOOKUP($D261,$C$5:$AU$500,26,)/VLOOKUP($D261,$C$5:$AU$500,3,))*$E261)</f>
        <v>0</v>
      </c>
      <c r="AC261" s="107">
        <f>IF(VLOOKUP($D261,$C$5:$AU$500,3,)=0,0,(VLOOKUP($D261,$C$5:$AU$500,27,)/VLOOKUP($D261,$C$5:$AU$500,3,))*$E261)</f>
        <v>0</v>
      </c>
      <c r="AD261" s="107">
        <f>IF(VLOOKUP($D261,$C$5:$AU$500,3,)=0,0,(VLOOKUP($D261,$C$5:$AU$500,28,)/VLOOKUP($D261,$C$5:$AU$500,3,))*$E261)</f>
        <v>0</v>
      </c>
      <c r="AE261" s="107">
        <f>IF(VLOOKUP($D261,$C$5:$AU$500,3,)=0,0,(VLOOKUP($D261,$C$5:$AU$500,29,)/VLOOKUP($D261,$C$5:$AU$500,3,))*$E261)</f>
        <v>0</v>
      </c>
      <c r="AF261" s="107">
        <f>IF(VLOOKUP($D261,$C$5:$AU$500,3,)=0,0,(VLOOKUP($D261,$C$5:$AU$500,30,)/VLOOKUP($D261,$C$5:$AU$500,3,))*$E261)</f>
        <v>0</v>
      </c>
      <c r="AG261" s="91">
        <f>SUM(F261:AF261)</f>
        <v>0</v>
      </c>
      <c r="AH261" s="28" t="str">
        <f>IF(ABS(E261-AG261)&lt;0.01,"ok","err")</f>
        <v>ok</v>
      </c>
      <c r="AK261" s="41"/>
    </row>
    <row r="262" spans="1:37" x14ac:dyDescent="0.25">
      <c r="E262" s="23"/>
      <c r="AK262" s="41"/>
    </row>
    <row r="263" spans="1:37" x14ac:dyDescent="0.25">
      <c r="A263" s="13" t="s">
        <v>545</v>
      </c>
      <c r="E263" s="23"/>
      <c r="AK263" s="41"/>
    </row>
    <row r="264" spans="1:37" x14ac:dyDescent="0.25">
      <c r="A264" s="94" t="s">
        <v>220</v>
      </c>
      <c r="C264" s="14" t="s">
        <v>307</v>
      </c>
      <c r="D264" s="14" t="s">
        <v>233</v>
      </c>
      <c r="E264" s="42">
        <f>'Func &amp; Classif'!Y314</f>
        <v>0</v>
      </c>
      <c r="F264" s="67">
        <f>IF(VLOOKUP($D264,$C$5:$AU$500,3,)=0,0,(VLOOKUP($D264,$C$5:$AU$500,4,)/VLOOKUP($D264,$C$5:$AU$500,3,))*$E264)</f>
        <v>0</v>
      </c>
      <c r="G264" s="67">
        <f>IF(VLOOKUP($D264,$C$5:$AU$500,3,)=0,0,(VLOOKUP($D264,$C$5:$AU$500,5,)/VLOOKUP($D264,$C$5:$AU$500,3,))*$E264)</f>
        <v>0</v>
      </c>
      <c r="H264" s="42">
        <f>IF(VLOOKUP($D264,$C$5:$AU$500,3,)=0,0,(VLOOKUP($D264,$C$5:$AU$500,6,)/VLOOKUP($D264,$C$5:$AU$500,3,))*$E264)</f>
        <v>0</v>
      </c>
      <c r="I264" s="42">
        <f>IF(VLOOKUP($D264,$C$5:$AU$500,3,)=0,0,(VLOOKUP($D264,$C$5:$AU$500,7,)/VLOOKUP($D264,$C$5:$AU$500,3,))*$E264)</f>
        <v>0</v>
      </c>
      <c r="J264" s="42">
        <f>IF(VLOOKUP($D264,$C$5:$AU$500,3,)=0,0,(VLOOKUP($D264,$C$5:$AU$500,8,)/VLOOKUP($D264,$C$5:$AU$500,3,))*$E264)</f>
        <v>0</v>
      </c>
      <c r="K264" s="42">
        <f>IF(VLOOKUP($D264,$C$5:$AU$500,3,)=0,0,(VLOOKUP($D264,$C$5:$AU$500,9,)/VLOOKUP($D264,$C$5:$AU$500,3,))*$E264)</f>
        <v>0</v>
      </c>
      <c r="L264" s="67">
        <f>IF(VLOOKUP($D264,$C$5:$AU$500,3,)=0,0,(VLOOKUP($D264,$C$5:$AU$500,10,)/VLOOKUP($D264,$C$5:$AU$500,3,))*$E264)</f>
        <v>0</v>
      </c>
      <c r="M264" s="42">
        <f>IF(VLOOKUP($D264,$C$5:$AU$500,3,)=0,0,(VLOOKUP($D264,$C$5:$AU$500,11,)/VLOOKUP($D264,$C$5:$AU$500,3,))*$E264)</f>
        <v>0</v>
      </c>
      <c r="N264" s="42">
        <f>IF(VLOOKUP($D264,$C$5:$AU$500,3,)=0,0,(VLOOKUP($D264,$C$5:$AU$500,12,)/VLOOKUP($D264,$C$5:$AU$500,3,))*$E264)</f>
        <v>0</v>
      </c>
      <c r="O264" s="42">
        <f>IF(VLOOKUP($D264,$C$5:$AU$500,3,)=0,0,(VLOOKUP($D264,$C$5:$AU$500,13,)/VLOOKUP($D264,$C$5:$AU$500,3,))*$E264)</f>
        <v>0</v>
      </c>
      <c r="P264" s="42">
        <f>IF(VLOOKUP($D264,$C$5:$AU$500,3,)=0,0,(VLOOKUP($D264,$C$5:$AU$500,14,)/VLOOKUP($D264,$C$5:$AU$500,3,))*$E264)</f>
        <v>0</v>
      </c>
      <c r="Q264" s="42">
        <f>IF(VLOOKUP($D264,$C$5:$AU$500,3,)=0,0,(VLOOKUP($D264,$C$5:$AU$500,15,)/VLOOKUP($D264,$C$5:$AU$500,3,))*$E264)</f>
        <v>0</v>
      </c>
      <c r="R264" s="42">
        <f>IF(VLOOKUP($D264,$C$5:$AU$500,3,)=0,0,(VLOOKUP($D264,$C$5:$AU$500,16,)/VLOOKUP($D264,$C$5:$AU$500,3,))*$E264)</f>
        <v>0</v>
      </c>
      <c r="S264" s="107">
        <f>IF(VLOOKUP($D264,$C$5:$AU$500,3,)=0,0,(VLOOKUP($D264,$C$5:$AU$500,17,)/VLOOKUP($D264,$C$5:$AU$500,3,))*$E264)</f>
        <v>0</v>
      </c>
      <c r="T264" s="107">
        <f>IF(VLOOKUP($D264,$C$5:$AU$500,3,)=0,0,(VLOOKUP($D264,$C$5:$AU$500,18,)/VLOOKUP($D264,$C$5:$AU$500,3,))*$E264)</f>
        <v>0</v>
      </c>
      <c r="U264" s="107">
        <f>IF(VLOOKUP($D264,$C$5:$AU$500,3,)=0,0,(VLOOKUP($D264,$C$5:$AU$500,19,)/VLOOKUP($D264,$C$5:$AU$500,3,))*$E264)</f>
        <v>0</v>
      </c>
      <c r="V264" s="107">
        <f>IF(VLOOKUP($D264,$C$5:$AU$500,3,)=0,0,(VLOOKUP($D264,$C$5:$AU$500,20,)/VLOOKUP($D264,$C$5:$AU$500,3,))*$E264)</f>
        <v>0</v>
      </c>
      <c r="W264" s="107">
        <f>IF(VLOOKUP($D264,$C$5:$AU$500,3,)=0,0,(VLOOKUP($D264,$C$5:$AU$500,21,)/VLOOKUP($D264,$C$5:$AU$500,3,))*$E264)</f>
        <v>0</v>
      </c>
      <c r="X264" s="107">
        <f>IF(VLOOKUP($D264,$C$5:$AU$500,3,)=0,0,(VLOOKUP($D264,$C$5:$AU$500,22,)/VLOOKUP($D264,$C$5:$AU$500,3,))*$E264)</f>
        <v>0</v>
      </c>
      <c r="Y264" s="107">
        <f>IF(VLOOKUP($D264,$C$5:$AU$500,3,)=0,0,(VLOOKUP($D264,$C$5:$AU$500,23,)/VLOOKUP($D264,$C$5:$AU$500,3,))*$E264)</f>
        <v>0</v>
      </c>
      <c r="Z264" s="107">
        <f>IF(VLOOKUP($D264,$C$5:$AU$500,3,)=0,0,(VLOOKUP($D264,$C$5:$AU$500,24,)/VLOOKUP($D264,$C$5:$AU$500,3,))*$E264)</f>
        <v>0</v>
      </c>
      <c r="AA264" s="107">
        <f>IF(VLOOKUP($D264,$C$5:$AU$500,3,)=0,0,(VLOOKUP($D264,$C$5:$AU$500,25,)/VLOOKUP($D264,$C$5:$AU$500,3,))*$E264)</f>
        <v>0</v>
      </c>
      <c r="AB264" s="107">
        <f>IF(VLOOKUP($D264,$C$5:$AU$500,3,)=0,0,(VLOOKUP($D264,$C$5:$AU$500,26,)/VLOOKUP($D264,$C$5:$AU$500,3,))*$E264)</f>
        <v>0</v>
      </c>
      <c r="AC264" s="107">
        <f>IF(VLOOKUP($D264,$C$5:$AU$500,3,)=0,0,(VLOOKUP($D264,$C$5:$AU$500,27,)/VLOOKUP($D264,$C$5:$AU$500,3,))*$E264)</f>
        <v>0</v>
      </c>
      <c r="AD264" s="107">
        <f>IF(VLOOKUP($D264,$C$5:$AU$500,3,)=0,0,(VLOOKUP($D264,$C$5:$AU$500,28,)/VLOOKUP($D264,$C$5:$AU$500,3,))*$E264)</f>
        <v>0</v>
      </c>
      <c r="AE264" s="107">
        <f>IF(VLOOKUP($D264,$C$5:$AU$500,3,)=0,0,(VLOOKUP($D264,$C$5:$AU$500,29,)/VLOOKUP($D264,$C$5:$AU$500,3,))*$E264)</f>
        <v>0</v>
      </c>
      <c r="AF264" s="107">
        <f>IF(VLOOKUP($D264,$C$5:$AU$500,3,)=0,0,(VLOOKUP($D264,$C$5:$AU$500,30,)/VLOOKUP($D264,$C$5:$AU$500,3,))*$E264)</f>
        <v>0</v>
      </c>
      <c r="AG264" s="91">
        <f>SUM(F264:AF264)</f>
        <v>0</v>
      </c>
      <c r="AH264" s="28" t="str">
        <f>IF(ABS(E264-AG264)&lt;0.01,"ok","err")</f>
        <v>ok</v>
      </c>
      <c r="AK264" s="41"/>
    </row>
    <row r="265" spans="1:37" x14ac:dyDescent="0.25">
      <c r="E265" s="23"/>
      <c r="AK265" s="41"/>
    </row>
    <row r="266" spans="1:37" x14ac:dyDescent="0.25">
      <c r="A266" s="13" t="s">
        <v>470</v>
      </c>
      <c r="E266" s="23"/>
      <c r="AK266" s="41"/>
    </row>
    <row r="267" spans="1:37" x14ac:dyDescent="0.25">
      <c r="A267" s="94" t="s">
        <v>220</v>
      </c>
      <c r="C267" s="14" t="s">
        <v>304</v>
      </c>
      <c r="D267" s="14" t="s">
        <v>234</v>
      </c>
      <c r="E267" s="42">
        <f>'Func &amp; Classif'!AA314</f>
        <v>0</v>
      </c>
      <c r="F267" s="67">
        <f>IF(VLOOKUP($D267,$C$5:$AU$500,3,)=0,0,(VLOOKUP($D267,$C$5:$AU$500,4,)/VLOOKUP($D267,$C$5:$AU$500,3,))*$E267)</f>
        <v>0</v>
      </c>
      <c r="G267" s="67">
        <f>IF(VLOOKUP($D267,$C$5:$AU$500,3,)=0,0,(VLOOKUP($D267,$C$5:$AU$500,5,)/VLOOKUP($D267,$C$5:$AU$500,3,))*$E267)</f>
        <v>0</v>
      </c>
      <c r="H267" s="42">
        <f>IF(VLOOKUP($D267,$C$5:$AU$500,3,)=0,0,(VLOOKUP($D267,$C$5:$AU$500,6,)/VLOOKUP($D267,$C$5:$AU$500,3,))*$E267)</f>
        <v>0</v>
      </c>
      <c r="I267" s="42">
        <f>IF(VLOOKUP($D267,$C$5:$AU$500,3,)=0,0,(VLOOKUP($D267,$C$5:$AU$500,7,)/VLOOKUP($D267,$C$5:$AU$500,3,))*$E267)</f>
        <v>0</v>
      </c>
      <c r="J267" s="42">
        <f>IF(VLOOKUP($D267,$C$5:$AU$500,3,)=0,0,(VLOOKUP($D267,$C$5:$AU$500,8,)/VLOOKUP($D267,$C$5:$AU$500,3,))*$E267)</f>
        <v>0</v>
      </c>
      <c r="K267" s="42">
        <f>IF(VLOOKUP($D267,$C$5:$AU$500,3,)=0,0,(VLOOKUP($D267,$C$5:$AU$500,9,)/VLOOKUP($D267,$C$5:$AU$500,3,))*$E267)</f>
        <v>0</v>
      </c>
      <c r="L267" s="67">
        <f>IF(VLOOKUP($D267,$C$5:$AU$500,3,)=0,0,(VLOOKUP($D267,$C$5:$AU$500,10,)/VLOOKUP($D267,$C$5:$AU$500,3,))*$E267)</f>
        <v>0</v>
      </c>
      <c r="M267" s="42">
        <f>IF(VLOOKUP($D267,$C$5:$AU$500,3,)=0,0,(VLOOKUP($D267,$C$5:$AU$500,11,)/VLOOKUP($D267,$C$5:$AU$500,3,))*$E267)</f>
        <v>0</v>
      </c>
      <c r="N267" s="42">
        <f>IF(VLOOKUP($D267,$C$5:$AU$500,3,)=0,0,(VLOOKUP($D267,$C$5:$AU$500,12,)/VLOOKUP($D267,$C$5:$AU$500,3,))*$E267)</f>
        <v>0</v>
      </c>
      <c r="O267" s="42">
        <f>IF(VLOOKUP($D267,$C$5:$AU$500,3,)=0,0,(VLOOKUP($D267,$C$5:$AU$500,13,)/VLOOKUP($D267,$C$5:$AU$500,3,))*$E267)</f>
        <v>0</v>
      </c>
      <c r="P267" s="42">
        <f>IF(VLOOKUP($D267,$C$5:$AU$500,3,)=0,0,(VLOOKUP($D267,$C$5:$AU$500,14,)/VLOOKUP($D267,$C$5:$AU$500,3,))*$E267)</f>
        <v>0</v>
      </c>
      <c r="Q267" s="42">
        <f>IF(VLOOKUP($D267,$C$5:$AU$500,3,)=0,0,(VLOOKUP($D267,$C$5:$AU$500,15,)/VLOOKUP($D267,$C$5:$AU$500,3,))*$E267)</f>
        <v>0</v>
      </c>
      <c r="R267" s="42">
        <f>IF(VLOOKUP($D267,$C$5:$AU$500,3,)=0,0,(VLOOKUP($D267,$C$5:$AU$500,16,)/VLOOKUP($D267,$C$5:$AU$500,3,))*$E267)</f>
        <v>0</v>
      </c>
      <c r="S267" s="107">
        <f>IF(VLOOKUP($D267,$C$5:$AU$500,3,)=0,0,(VLOOKUP($D267,$C$5:$AU$500,17,)/VLOOKUP($D267,$C$5:$AU$500,3,))*$E267)</f>
        <v>0</v>
      </c>
      <c r="T267" s="107">
        <f>IF(VLOOKUP($D267,$C$5:$AU$500,3,)=0,0,(VLOOKUP($D267,$C$5:$AU$500,18,)/VLOOKUP($D267,$C$5:$AU$500,3,))*$E267)</f>
        <v>0</v>
      </c>
      <c r="U267" s="107">
        <f>IF(VLOOKUP($D267,$C$5:$AU$500,3,)=0,0,(VLOOKUP($D267,$C$5:$AU$500,19,)/VLOOKUP($D267,$C$5:$AU$500,3,))*$E267)</f>
        <v>0</v>
      </c>
      <c r="V267" s="107">
        <f>IF(VLOOKUP($D267,$C$5:$AU$500,3,)=0,0,(VLOOKUP($D267,$C$5:$AU$500,20,)/VLOOKUP($D267,$C$5:$AU$500,3,))*$E267)</f>
        <v>0</v>
      </c>
      <c r="W267" s="107">
        <f>IF(VLOOKUP($D267,$C$5:$AU$500,3,)=0,0,(VLOOKUP($D267,$C$5:$AU$500,21,)/VLOOKUP($D267,$C$5:$AU$500,3,))*$E267)</f>
        <v>0</v>
      </c>
      <c r="X267" s="107">
        <f>IF(VLOOKUP($D267,$C$5:$AU$500,3,)=0,0,(VLOOKUP($D267,$C$5:$AU$500,22,)/VLOOKUP($D267,$C$5:$AU$500,3,))*$E267)</f>
        <v>0</v>
      </c>
      <c r="Y267" s="107">
        <f>IF(VLOOKUP($D267,$C$5:$AU$500,3,)=0,0,(VLOOKUP($D267,$C$5:$AU$500,23,)/VLOOKUP($D267,$C$5:$AU$500,3,))*$E267)</f>
        <v>0</v>
      </c>
      <c r="Z267" s="107">
        <f>IF(VLOOKUP($D267,$C$5:$AU$500,3,)=0,0,(VLOOKUP($D267,$C$5:$AU$500,24,)/VLOOKUP($D267,$C$5:$AU$500,3,))*$E267)</f>
        <v>0</v>
      </c>
      <c r="AA267" s="107">
        <f>IF(VLOOKUP($D267,$C$5:$AU$500,3,)=0,0,(VLOOKUP($D267,$C$5:$AU$500,25,)/VLOOKUP($D267,$C$5:$AU$500,3,))*$E267)</f>
        <v>0</v>
      </c>
      <c r="AB267" s="107">
        <f>IF(VLOOKUP($D267,$C$5:$AU$500,3,)=0,0,(VLOOKUP($D267,$C$5:$AU$500,26,)/VLOOKUP($D267,$C$5:$AU$500,3,))*$E267)</f>
        <v>0</v>
      </c>
      <c r="AC267" s="107">
        <f>IF(VLOOKUP($D267,$C$5:$AU$500,3,)=0,0,(VLOOKUP($D267,$C$5:$AU$500,27,)/VLOOKUP($D267,$C$5:$AU$500,3,))*$E267)</f>
        <v>0</v>
      </c>
      <c r="AD267" s="107">
        <f>IF(VLOOKUP($D267,$C$5:$AU$500,3,)=0,0,(VLOOKUP($D267,$C$5:$AU$500,28,)/VLOOKUP($D267,$C$5:$AU$500,3,))*$E267)</f>
        <v>0</v>
      </c>
      <c r="AE267" s="107">
        <f>IF(VLOOKUP($D267,$C$5:$AU$500,3,)=0,0,(VLOOKUP($D267,$C$5:$AU$500,29,)/VLOOKUP($D267,$C$5:$AU$500,3,))*$E267)</f>
        <v>0</v>
      </c>
      <c r="AF267" s="107">
        <f>IF(VLOOKUP($D267,$C$5:$AU$500,3,)=0,0,(VLOOKUP($D267,$C$5:$AU$500,30,)/VLOOKUP($D267,$C$5:$AU$500,3,))*$E267)</f>
        <v>0</v>
      </c>
      <c r="AG267" s="91">
        <f>SUM(F267:AF267)</f>
        <v>0</v>
      </c>
      <c r="AH267" s="28" t="str">
        <f>IF(ABS(E267-AG267)&lt;0.01,"ok","err")</f>
        <v>ok</v>
      </c>
      <c r="AK267" s="41"/>
    </row>
    <row r="268" spans="1:37" x14ac:dyDescent="0.25">
      <c r="E268" s="23"/>
      <c r="AK268" s="41"/>
    </row>
    <row r="269" spans="1:37" x14ac:dyDescent="0.25">
      <c r="A269" s="14" t="s">
        <v>0</v>
      </c>
      <c r="C269" s="14" t="s">
        <v>308</v>
      </c>
      <c r="E269" s="42">
        <f>E239+E242+E245+E250+E255+E258+E261+E264+E267</f>
        <v>0</v>
      </c>
      <c r="F269" s="42">
        <f t="shared" ref="F269:R269" si="96">F239+F242+F245+F250+F255+F258+F261+F264+F267</f>
        <v>0</v>
      </c>
      <c r="G269" s="42">
        <f t="shared" si="96"/>
        <v>0</v>
      </c>
      <c r="H269" s="42">
        <f t="shared" si="96"/>
        <v>0</v>
      </c>
      <c r="I269" s="42">
        <f t="shared" si="96"/>
        <v>0</v>
      </c>
      <c r="J269" s="42">
        <f t="shared" si="96"/>
        <v>0</v>
      </c>
      <c r="K269" s="42">
        <f t="shared" si="96"/>
        <v>0</v>
      </c>
      <c r="L269" s="42">
        <f t="shared" si="96"/>
        <v>0</v>
      </c>
      <c r="M269" s="42">
        <f t="shared" si="96"/>
        <v>0</v>
      </c>
      <c r="N269" s="42">
        <f t="shared" si="96"/>
        <v>0</v>
      </c>
      <c r="O269" s="42">
        <f t="shared" si="96"/>
        <v>0</v>
      </c>
      <c r="P269" s="42">
        <f t="shared" si="96"/>
        <v>0</v>
      </c>
      <c r="Q269" s="42">
        <f t="shared" si="96"/>
        <v>0</v>
      </c>
      <c r="R269" s="42">
        <f t="shared" si="96"/>
        <v>0</v>
      </c>
      <c r="S269" s="107">
        <f t="shared" ref="S269:AF269" si="97">S239+S245+S250+S255+S258+S261+S264+S267</f>
        <v>0</v>
      </c>
      <c r="T269" s="107">
        <f t="shared" si="97"/>
        <v>0</v>
      </c>
      <c r="U269" s="107">
        <f t="shared" si="97"/>
        <v>0</v>
      </c>
      <c r="V269" s="107">
        <f t="shared" si="97"/>
        <v>0</v>
      </c>
      <c r="W269" s="107">
        <f t="shared" si="97"/>
        <v>0</v>
      </c>
      <c r="X269" s="107">
        <f t="shared" si="97"/>
        <v>0</v>
      </c>
      <c r="Y269" s="107">
        <f t="shared" si="97"/>
        <v>0</v>
      </c>
      <c r="Z269" s="107">
        <f t="shared" si="97"/>
        <v>0</v>
      </c>
      <c r="AA269" s="107">
        <f t="shared" si="97"/>
        <v>0</v>
      </c>
      <c r="AB269" s="107">
        <f t="shared" si="97"/>
        <v>0</v>
      </c>
      <c r="AC269" s="107">
        <f t="shared" si="97"/>
        <v>0</v>
      </c>
      <c r="AD269" s="107">
        <f t="shared" si="97"/>
        <v>0</v>
      </c>
      <c r="AE269" s="107">
        <f t="shared" si="97"/>
        <v>0</v>
      </c>
      <c r="AF269" s="107">
        <f t="shared" si="97"/>
        <v>0</v>
      </c>
      <c r="AG269" s="91">
        <f>SUM(F269:AF269)</f>
        <v>0</v>
      </c>
      <c r="AH269" s="28" t="str">
        <f>IF(ABS(E269-AG269)&lt;0.01,"ok","err")</f>
        <v>ok</v>
      </c>
      <c r="AK269" s="41"/>
    </row>
    <row r="272" spans="1:37" x14ac:dyDescent="0.25">
      <c r="A272" s="26" t="s">
        <v>309</v>
      </c>
    </row>
    <row r="274" spans="1:41" x14ac:dyDescent="0.25">
      <c r="A274" s="13" t="s">
        <v>893</v>
      </c>
    </row>
    <row r="275" spans="1:41" x14ac:dyDescent="0.25">
      <c r="A275" s="94" t="s">
        <v>208</v>
      </c>
      <c r="C275" s="14" t="s">
        <v>310</v>
      </c>
      <c r="D275" s="14" t="s">
        <v>657</v>
      </c>
      <c r="E275" s="42">
        <f>'Func &amp; Classif'!H316</f>
        <v>0</v>
      </c>
      <c r="F275" s="67">
        <f>IF(VLOOKUP($D275,$C$5:$AU$500,3,)=0,0,(VLOOKUP($D275,$C$5:$AU$500,4,)/VLOOKUP($D275,$C$5:$AU$500,3,))*$E275)</f>
        <v>0</v>
      </c>
      <c r="G275" s="67">
        <f>IF(VLOOKUP($D275,$C$5:$AU$500,3,)=0,0,(VLOOKUP($D275,$C$5:$AU$500,5,)/VLOOKUP($D275,$C$5:$AU$500,3,))*$E275)</f>
        <v>0</v>
      </c>
      <c r="H275" s="42">
        <f>IF(VLOOKUP($D275,$C$5:$AU$500,3,)=0,0,(VLOOKUP($D275,$C$5:$AU$500,6,)/VLOOKUP($D275,$C$5:$AU$500,3,))*$E275)</f>
        <v>0</v>
      </c>
      <c r="I275" s="42">
        <f>IF(VLOOKUP($D275,$C$5:$AU$500,3,)=0,0,(VLOOKUP($D275,$C$5:$AU$500,7,)/VLOOKUP($D275,$C$5:$AU$500,3,))*$E275)</f>
        <v>0</v>
      </c>
      <c r="J275" s="42">
        <f>IF(VLOOKUP($D275,$C$5:$AU$500,3,)=0,0,(VLOOKUP($D275,$C$5:$AU$500,8,)/VLOOKUP($D275,$C$5:$AU$500,3,))*$E275)</f>
        <v>0</v>
      </c>
      <c r="K275" s="42">
        <f>IF(VLOOKUP($D275,$C$5:$AU$500,3,)=0,0,(VLOOKUP($D275,$C$5:$AU$500,9,)/VLOOKUP($D275,$C$5:$AU$500,3,))*$E275)</f>
        <v>0</v>
      </c>
      <c r="L275" s="67">
        <f>IF(VLOOKUP($D275,$C$5:$AU$500,3,)=0,0,(VLOOKUP($D275,$C$5:$AU$500,10,)/VLOOKUP($D275,$C$5:$AU$500,3,))*$E275)</f>
        <v>0</v>
      </c>
      <c r="M275" s="42">
        <f>IF(VLOOKUP($D275,$C$5:$AU$500,3,)=0,0,(VLOOKUP($D275,$C$5:$AU$500,11,)/VLOOKUP($D275,$C$5:$AU$500,3,))*$E275)</f>
        <v>0</v>
      </c>
      <c r="N275" s="42">
        <f>IF(VLOOKUP($D275,$C$5:$AU$500,3,)=0,0,(VLOOKUP($D275,$C$5:$AU$500,12,)/VLOOKUP($D275,$C$5:$AU$500,3,))*$E275)</f>
        <v>0</v>
      </c>
      <c r="O275" s="42">
        <f>IF(VLOOKUP($D275,$C$5:$AU$500,3,)=0,0,(VLOOKUP($D275,$C$5:$AU$500,13,)/VLOOKUP($D275,$C$5:$AU$500,3,))*$E275)</f>
        <v>0</v>
      </c>
      <c r="P275" s="42">
        <f>IF(VLOOKUP($D275,$C$5:$AU$500,3,)=0,0,(VLOOKUP($D275,$C$5:$AU$500,14,)/VLOOKUP($D275,$C$5:$AU$500,3,))*$E275)</f>
        <v>0</v>
      </c>
      <c r="Q275" s="42">
        <f>IF(VLOOKUP($D275,$C$5:$AU$500,3,)=0,0,(VLOOKUP($D275,$C$5:$AU$500,15,)/VLOOKUP($D275,$C$5:$AU$500,3,))*$E275)</f>
        <v>0</v>
      </c>
      <c r="R275" s="42">
        <f>IF(VLOOKUP($D275,$C$5:$AU$500,3,)=0,0,(VLOOKUP($D275,$C$5:$AU$500,16,)/VLOOKUP($D275,$C$5:$AU$500,3,))*$E275)</f>
        <v>0</v>
      </c>
      <c r="S275" s="107">
        <f>IF(VLOOKUP($D275,$C$5:$AU$500,3,)=0,0,(VLOOKUP($D275,$C$5:$AU$500,17,)/VLOOKUP($D275,$C$5:$AU$500,3,))*$E275)</f>
        <v>0</v>
      </c>
      <c r="T275" s="107">
        <f>IF(VLOOKUP($D275,$C$5:$AU$500,3,)=0,0,(VLOOKUP($D275,$C$5:$AU$500,18,)/VLOOKUP($D275,$C$5:$AU$500,3,))*$E275)</f>
        <v>0</v>
      </c>
      <c r="U275" s="107">
        <f>IF(VLOOKUP($D275,$C$5:$AU$500,3,)=0,0,(VLOOKUP($D275,$C$5:$AU$500,19,)/VLOOKUP($D275,$C$5:$AU$500,3,))*$E275)</f>
        <v>0</v>
      </c>
      <c r="V275" s="107">
        <f>IF(VLOOKUP($D275,$C$5:$AU$500,3,)=0,0,(VLOOKUP($D275,$C$5:$AU$500,20,)/VLOOKUP($D275,$C$5:$AU$500,3,))*$E275)</f>
        <v>0</v>
      </c>
      <c r="W275" s="107">
        <f>IF(VLOOKUP($D275,$C$5:$AU$500,3,)=0,0,(VLOOKUP($D275,$C$5:$AU$500,21,)/VLOOKUP($D275,$C$5:$AU$500,3,))*$E275)</f>
        <v>0</v>
      </c>
      <c r="X275" s="107">
        <f>IF(VLOOKUP($D275,$C$5:$AU$500,3,)=0,0,(VLOOKUP($D275,$C$5:$AU$500,22,)/VLOOKUP($D275,$C$5:$AU$500,3,))*$E275)</f>
        <v>0</v>
      </c>
      <c r="Y275" s="107">
        <f>IF(VLOOKUP($D275,$C$5:$AU$500,3,)=0,0,(VLOOKUP($D275,$C$5:$AU$500,23,)/VLOOKUP($D275,$C$5:$AU$500,3,))*$E275)</f>
        <v>0</v>
      </c>
      <c r="Z275" s="107">
        <f>IF(VLOOKUP($D275,$C$5:$AU$500,3,)=0,0,(VLOOKUP($D275,$C$5:$AU$500,24,)/VLOOKUP($D275,$C$5:$AU$500,3,))*$E275)</f>
        <v>0</v>
      </c>
      <c r="AA275" s="107">
        <f>IF(VLOOKUP($D275,$C$5:$AU$500,3,)=0,0,(VLOOKUP($D275,$C$5:$AU$500,25,)/VLOOKUP($D275,$C$5:$AU$500,3,))*$E275)</f>
        <v>0</v>
      </c>
      <c r="AB275" s="107">
        <f>IF(VLOOKUP($D275,$C$5:$AU$500,3,)=0,0,(VLOOKUP($D275,$C$5:$AU$500,26,)/VLOOKUP($D275,$C$5:$AU$500,3,))*$E275)</f>
        <v>0</v>
      </c>
      <c r="AC275" s="107">
        <f>IF(VLOOKUP($D275,$C$5:$AU$500,3,)=0,0,(VLOOKUP($D275,$C$5:$AU$500,27,)/VLOOKUP($D275,$C$5:$AU$500,3,))*$E275)</f>
        <v>0</v>
      </c>
      <c r="AD275" s="107">
        <f>IF(VLOOKUP($D275,$C$5:$AU$500,3,)=0,0,(VLOOKUP($D275,$C$5:$AU$500,28,)/VLOOKUP($D275,$C$5:$AU$500,3,))*$E275)</f>
        <v>0</v>
      </c>
      <c r="AE275" s="107">
        <f>IF(VLOOKUP($D275,$C$5:$AU$500,3,)=0,0,(VLOOKUP($D275,$C$5:$AU$500,29,)/VLOOKUP($D275,$C$5:$AU$500,3,))*$E275)</f>
        <v>0</v>
      </c>
      <c r="AF275" s="107">
        <f>IF(VLOOKUP($D275,$C$5:$AU$500,3,)=0,0,(VLOOKUP($D275,$C$5:$AU$500,30,)/VLOOKUP($D275,$C$5:$AU$500,3,))*$E275)</f>
        <v>0</v>
      </c>
      <c r="AG275" s="91">
        <f>SUM(F275:AF275)</f>
        <v>0</v>
      </c>
      <c r="AH275" s="28" t="str">
        <f>IF(ABS(E275-AG275)&lt;0.01,"ok","err")</f>
        <v>ok</v>
      </c>
    </row>
    <row r="276" spans="1:41" x14ac:dyDescent="0.25">
      <c r="A276" s="94" t="s">
        <v>211</v>
      </c>
      <c r="C276" s="14" t="s">
        <v>311</v>
      </c>
      <c r="D276" s="14" t="s">
        <v>666</v>
      </c>
      <c r="E276" s="23">
        <f>'Func &amp; Classif'!I316</f>
        <v>0</v>
      </c>
      <c r="F276" s="67">
        <f>IF(VLOOKUP($D276,$C$5:$AU$500,3,)=0,0,(VLOOKUP($D276,$C$5:$AU$500,4,)/VLOOKUP($D276,$C$5:$AU$500,3,))*$E276)</f>
        <v>0</v>
      </c>
      <c r="G276" s="67">
        <f>IF(VLOOKUP($D276,$C$5:$AU$500,3,)=0,0,(VLOOKUP($D276,$C$5:$AU$500,5,)/VLOOKUP($D276,$C$5:$AU$500,3,))*$E276)</f>
        <v>0</v>
      </c>
      <c r="H276" s="42">
        <f>IF(VLOOKUP($D276,$C$5:$AU$500,3,)=0,0,(VLOOKUP($D276,$C$5:$AU$500,6,)/VLOOKUP($D276,$C$5:$AU$500,3,))*$E276)</f>
        <v>0</v>
      </c>
      <c r="I276" s="42">
        <f>IF(VLOOKUP($D276,$C$5:$AU$500,3,)=0,0,(VLOOKUP($D276,$C$5:$AU$500,7,)/VLOOKUP($D276,$C$5:$AU$500,3,))*$E276)</f>
        <v>0</v>
      </c>
      <c r="J276" s="42">
        <f>IF(VLOOKUP($D276,$C$5:$AU$500,3,)=0,0,(VLOOKUP($D276,$C$5:$AU$500,8,)/VLOOKUP($D276,$C$5:$AU$500,3,))*$E276)</f>
        <v>0</v>
      </c>
      <c r="K276" s="42">
        <f>IF(VLOOKUP($D276,$C$5:$AU$500,3,)=0,0,(VLOOKUP($D276,$C$5:$AU$500,9,)/VLOOKUP($D276,$C$5:$AU$500,3,))*$E276)</f>
        <v>0</v>
      </c>
      <c r="L276" s="67">
        <f>IF(VLOOKUP($D276,$C$5:$AU$500,3,)=0,0,(VLOOKUP($D276,$C$5:$AU$500,10,)/VLOOKUP($D276,$C$5:$AU$500,3,))*$E276)</f>
        <v>0</v>
      </c>
      <c r="M276" s="42">
        <f>IF(VLOOKUP($D276,$C$5:$AU$500,3,)=0,0,(VLOOKUP($D276,$C$5:$AU$500,11,)/VLOOKUP($D276,$C$5:$AU$500,3,))*$E276)</f>
        <v>0</v>
      </c>
      <c r="N276" s="42">
        <f>IF(VLOOKUP($D276,$C$5:$AU$500,3,)=0,0,(VLOOKUP($D276,$C$5:$AU$500,12,)/VLOOKUP($D276,$C$5:$AU$500,3,))*$E276)</f>
        <v>0</v>
      </c>
      <c r="O276" s="42">
        <f>IF(VLOOKUP($D276,$C$5:$AU$500,3,)=0,0,(VLOOKUP($D276,$C$5:$AU$500,13,)/VLOOKUP($D276,$C$5:$AU$500,3,))*$E276)</f>
        <v>0</v>
      </c>
      <c r="P276" s="42">
        <f>IF(VLOOKUP($D276,$C$5:$AU$500,3,)=0,0,(VLOOKUP($D276,$C$5:$AU$500,14,)/VLOOKUP($D276,$C$5:$AU$500,3,))*$E276)</f>
        <v>0</v>
      </c>
      <c r="Q276" s="42">
        <f>IF(VLOOKUP($D276,$C$5:$AU$500,3,)=0,0,(VLOOKUP($D276,$C$5:$AU$500,15,)/VLOOKUP($D276,$C$5:$AU$500,3,))*$E276)</f>
        <v>0</v>
      </c>
      <c r="R276" s="42">
        <f>IF(VLOOKUP($D276,$C$5:$AU$500,3,)=0,0,(VLOOKUP($D276,$C$5:$AU$500,16,)/VLOOKUP($D276,$C$5:$AU$500,3,))*$E276)</f>
        <v>0</v>
      </c>
      <c r="S276" s="107">
        <f>IF(VLOOKUP($D276,$C$5:$AU$500,3,)=0,0,(VLOOKUP($D276,$C$5:$AU$500,17,)/VLOOKUP($D276,$C$5:$AU$500,3,))*$E276)</f>
        <v>0</v>
      </c>
      <c r="T276" s="107">
        <f>IF(VLOOKUP($D276,$C$5:$AU$500,3,)=0,0,(VLOOKUP($D276,$C$5:$AU$500,18,)/VLOOKUP($D276,$C$5:$AU$500,3,))*$E276)</f>
        <v>0</v>
      </c>
      <c r="U276" s="107">
        <f>IF(VLOOKUP($D276,$C$5:$AU$500,3,)=0,0,(VLOOKUP($D276,$C$5:$AU$500,19,)/VLOOKUP($D276,$C$5:$AU$500,3,))*$E276)</f>
        <v>0</v>
      </c>
      <c r="V276" s="107">
        <f>IF(VLOOKUP($D276,$C$5:$AU$500,3,)=0,0,(VLOOKUP($D276,$C$5:$AU$500,20,)/VLOOKUP($D276,$C$5:$AU$500,3,))*$E276)</f>
        <v>0</v>
      </c>
      <c r="W276" s="107">
        <f>IF(VLOOKUP($D276,$C$5:$AU$500,3,)=0,0,(VLOOKUP($D276,$C$5:$AU$500,21,)/VLOOKUP($D276,$C$5:$AU$500,3,))*$E276)</f>
        <v>0</v>
      </c>
      <c r="X276" s="107">
        <f>IF(VLOOKUP($D276,$C$5:$AU$500,3,)=0,0,(VLOOKUP($D276,$C$5:$AU$500,22,)/VLOOKUP($D276,$C$5:$AU$500,3,))*$E276)</f>
        <v>0</v>
      </c>
      <c r="Y276" s="107">
        <f>IF(VLOOKUP($D276,$C$5:$AU$500,3,)=0,0,(VLOOKUP($D276,$C$5:$AU$500,23,)/VLOOKUP($D276,$C$5:$AU$500,3,))*$E276)</f>
        <v>0</v>
      </c>
      <c r="Z276" s="107">
        <f>IF(VLOOKUP($D276,$C$5:$AU$500,3,)=0,0,(VLOOKUP($D276,$C$5:$AU$500,24,)/VLOOKUP($D276,$C$5:$AU$500,3,))*$E276)</f>
        <v>0</v>
      </c>
      <c r="AA276" s="107">
        <f>IF(VLOOKUP($D276,$C$5:$AU$500,3,)=0,0,(VLOOKUP($D276,$C$5:$AU$500,25,)/VLOOKUP($D276,$C$5:$AU$500,3,))*$E276)</f>
        <v>0</v>
      </c>
      <c r="AB276" s="107">
        <f>IF(VLOOKUP($D276,$C$5:$AU$500,3,)=0,0,(VLOOKUP($D276,$C$5:$AU$500,26,)/VLOOKUP($D276,$C$5:$AU$500,3,))*$E276)</f>
        <v>0</v>
      </c>
      <c r="AC276" s="107">
        <f>IF(VLOOKUP($D276,$C$5:$AU$500,3,)=0,0,(VLOOKUP($D276,$C$5:$AU$500,27,)/VLOOKUP($D276,$C$5:$AU$500,3,))*$E276)</f>
        <v>0</v>
      </c>
      <c r="AD276" s="107">
        <f>IF(VLOOKUP($D276,$C$5:$AU$500,3,)=0,0,(VLOOKUP($D276,$C$5:$AU$500,28,)/VLOOKUP($D276,$C$5:$AU$500,3,))*$E276)</f>
        <v>0</v>
      </c>
      <c r="AE276" s="107">
        <f>IF(VLOOKUP($D276,$C$5:$AU$500,3,)=0,0,(VLOOKUP($D276,$C$5:$AU$500,29,)/VLOOKUP($D276,$C$5:$AU$500,3,))*$E276)</f>
        <v>0</v>
      </c>
      <c r="AF276" s="107">
        <f>IF(VLOOKUP($D276,$C$5:$AU$500,3,)=0,0,(VLOOKUP($D276,$C$5:$AU$500,30,)/VLOOKUP($D276,$C$5:$AU$500,3,))*$E276)</f>
        <v>0</v>
      </c>
      <c r="AG276" s="91">
        <f>SUM(F276:AF276)</f>
        <v>0</v>
      </c>
      <c r="AH276" s="28" t="str">
        <f>IF(ABS(E276-AG276)&lt;0.01,"ok","err")</f>
        <v>ok</v>
      </c>
    </row>
    <row r="277" spans="1:41" x14ac:dyDescent="0.25">
      <c r="A277" s="14" t="s">
        <v>214</v>
      </c>
      <c r="C277" s="14" t="s">
        <v>312</v>
      </c>
      <c r="E277" s="23">
        <f t="shared" ref="E277:T277" si="98">E275+E276</f>
        <v>0</v>
      </c>
      <c r="F277" s="67">
        <f t="shared" si="98"/>
        <v>0</v>
      </c>
      <c r="G277" s="67">
        <f t="shared" si="98"/>
        <v>0</v>
      </c>
      <c r="H277" s="42">
        <f t="shared" si="98"/>
        <v>0</v>
      </c>
      <c r="I277" s="42">
        <f t="shared" si="98"/>
        <v>0</v>
      </c>
      <c r="J277" s="42">
        <f t="shared" si="98"/>
        <v>0</v>
      </c>
      <c r="K277" s="42">
        <f t="shared" si="98"/>
        <v>0</v>
      </c>
      <c r="L277" s="67">
        <f t="shared" si="98"/>
        <v>0</v>
      </c>
      <c r="M277" s="42">
        <f t="shared" si="98"/>
        <v>0</v>
      </c>
      <c r="N277" s="42">
        <f t="shared" si="98"/>
        <v>0</v>
      </c>
      <c r="O277" s="42">
        <f t="shared" si="98"/>
        <v>0</v>
      </c>
      <c r="P277" s="42">
        <f t="shared" si="98"/>
        <v>0</v>
      </c>
      <c r="Q277" s="42">
        <f t="shared" si="98"/>
        <v>0</v>
      </c>
      <c r="R277" s="42">
        <f t="shared" si="98"/>
        <v>0</v>
      </c>
      <c r="S277" s="107">
        <f t="shared" si="98"/>
        <v>0</v>
      </c>
      <c r="T277" s="107">
        <f t="shared" si="98"/>
        <v>0</v>
      </c>
      <c r="U277" s="107">
        <f t="shared" ref="U277:AF277" si="99">U275+U276</f>
        <v>0</v>
      </c>
      <c r="V277" s="107">
        <f t="shared" si="99"/>
        <v>0</v>
      </c>
      <c r="W277" s="107">
        <f t="shared" si="99"/>
        <v>0</v>
      </c>
      <c r="X277" s="107">
        <f t="shared" si="99"/>
        <v>0</v>
      </c>
      <c r="Y277" s="107">
        <f t="shared" si="99"/>
        <v>0</v>
      </c>
      <c r="Z277" s="107">
        <f t="shared" si="99"/>
        <v>0</v>
      </c>
      <c r="AA277" s="107">
        <f t="shared" si="99"/>
        <v>0</v>
      </c>
      <c r="AB277" s="107">
        <f t="shared" si="99"/>
        <v>0</v>
      </c>
      <c r="AC277" s="107">
        <f t="shared" si="99"/>
        <v>0</v>
      </c>
      <c r="AD277" s="107">
        <f t="shared" si="99"/>
        <v>0</v>
      </c>
      <c r="AE277" s="107">
        <f t="shared" si="99"/>
        <v>0</v>
      </c>
      <c r="AF277" s="107">
        <f t="shared" si="99"/>
        <v>0</v>
      </c>
      <c r="AG277" s="91">
        <f>SUM(F277:AF277)</f>
        <v>0</v>
      </c>
      <c r="AH277" s="28" t="str">
        <f>IF(ABS(E277-AG277)&lt;0.01,"ok","err")</f>
        <v>ok</v>
      </c>
    </row>
    <row r="278" spans="1:41" x14ac:dyDescent="0.25">
      <c r="E278" s="23"/>
      <c r="F278" s="50"/>
    </row>
    <row r="279" spans="1:41" x14ac:dyDescent="0.25">
      <c r="A279" s="13" t="s">
        <v>349</v>
      </c>
      <c r="E279" s="23"/>
      <c r="F279" s="50"/>
    </row>
    <row r="280" spans="1:41" x14ac:dyDescent="0.25">
      <c r="A280" s="94" t="s">
        <v>208</v>
      </c>
      <c r="C280" s="14" t="s">
        <v>889</v>
      </c>
      <c r="D280" s="14" t="s">
        <v>625</v>
      </c>
      <c r="E280" s="42">
        <f>'Func &amp; Classif'!K316</f>
        <v>0</v>
      </c>
      <c r="F280" s="67">
        <f>IF(VLOOKUP($D280,$C$5:$AU$500,3,)=0,0,(VLOOKUP($D280,$C$5:$AU$500,4,)/VLOOKUP($D280,$C$5:$AU$500,3,))*$E280)</f>
        <v>0</v>
      </c>
      <c r="G280" s="67">
        <f>IF(VLOOKUP($D280,$C$5:$AU$500,3,)=0,0,(VLOOKUP($D280,$C$5:$AU$500,5,)/VLOOKUP($D280,$C$5:$AU$500,3,))*$E280)</f>
        <v>0</v>
      </c>
      <c r="H280" s="42">
        <f>IF(VLOOKUP($D280,$C$5:$AU$500,3,)=0,0,(VLOOKUP($D280,$C$5:$AU$500,6,)/VLOOKUP($D280,$C$5:$AU$500,3,))*$E280)</f>
        <v>0</v>
      </c>
      <c r="I280" s="42">
        <f>IF(VLOOKUP($D280,$C$5:$AU$500,3,)=0,0,(VLOOKUP($D280,$C$5:$AU$500,7,)/VLOOKUP($D280,$C$5:$AU$500,3,))*$E280)</f>
        <v>0</v>
      </c>
      <c r="J280" s="42">
        <f>IF(VLOOKUP($D280,$C$5:$AU$500,3,)=0,0,(VLOOKUP($D280,$C$5:$AU$500,8,)/VLOOKUP($D280,$C$5:$AU$500,3,))*$E280)</f>
        <v>0</v>
      </c>
      <c r="K280" s="42">
        <f>IF(VLOOKUP($D280,$C$5:$AU$500,3,)=0,0,(VLOOKUP($D280,$C$5:$AU$500,9,)/VLOOKUP($D280,$C$5:$AU$500,3,))*$E280)</f>
        <v>0</v>
      </c>
      <c r="L280" s="67">
        <f>IF(VLOOKUP($D280,$C$5:$AU$500,3,)=0,0,(VLOOKUP($D280,$C$5:$AU$500,10,)/VLOOKUP($D280,$C$5:$AU$500,3,))*$E280)</f>
        <v>0</v>
      </c>
      <c r="M280" s="42">
        <f>IF(VLOOKUP($D280,$C$5:$AU$500,3,)=0,0,(VLOOKUP($D280,$C$5:$AU$500,11,)/VLOOKUP($D280,$C$5:$AU$500,3,))*$E280)</f>
        <v>0</v>
      </c>
      <c r="N280" s="42">
        <f>IF(VLOOKUP($D280,$C$5:$AU$500,3,)=0,0,(VLOOKUP($D280,$C$5:$AU$500,12,)/VLOOKUP($D280,$C$5:$AU$500,3,))*$E280)</f>
        <v>0</v>
      </c>
      <c r="O280" s="42">
        <f>IF(VLOOKUP($D280,$C$5:$AU$500,3,)=0,0,(VLOOKUP($D280,$C$5:$AU$500,13,)/VLOOKUP($D280,$C$5:$AU$500,3,))*$E280)</f>
        <v>0</v>
      </c>
      <c r="P280" s="42">
        <f>IF(VLOOKUP($D280,$C$5:$AU$500,3,)=0,0,(VLOOKUP($D280,$C$5:$AU$500,14,)/VLOOKUP($D280,$C$5:$AU$500,3,))*$E280)</f>
        <v>0</v>
      </c>
      <c r="Q280" s="42">
        <f>IF(VLOOKUP($D280,$C$5:$AU$500,3,)=0,0,(VLOOKUP($D280,$C$5:$AU$500,15,)/VLOOKUP($D280,$C$5:$AU$500,3,))*$E280)</f>
        <v>0</v>
      </c>
      <c r="R280" s="42">
        <f>IF(VLOOKUP($D280,$C$5:$AU$500,3,)=0,0,(VLOOKUP($D280,$C$5:$AU$500,16,)/VLOOKUP($D280,$C$5:$AU$500,3,))*$E280)</f>
        <v>0</v>
      </c>
      <c r="S280" s="107">
        <f>IF(VLOOKUP($D280,$C$5:$AU$500,3,)=0,0,(VLOOKUP($D280,$C$5:$AU$500,17,)/VLOOKUP($D280,$C$5:$AU$500,3,))*$E280)</f>
        <v>0</v>
      </c>
      <c r="T280" s="107">
        <f>IF(VLOOKUP($D280,$C$5:$AU$500,3,)=0,0,(VLOOKUP($D280,$C$5:$AU$500,18,)/VLOOKUP($D280,$C$5:$AU$500,3,))*$E280)</f>
        <v>0</v>
      </c>
      <c r="U280" s="107">
        <f>IF(VLOOKUP($D280,$C$5:$AU$500,3,)=0,0,(VLOOKUP($D280,$C$5:$AU$500,19,)/VLOOKUP($D280,$C$5:$AU$500,3,))*$E280)</f>
        <v>0</v>
      </c>
      <c r="V280" s="107">
        <f>IF(VLOOKUP($D280,$C$5:$AU$500,3,)=0,0,(VLOOKUP($D280,$C$5:$AU$500,20,)/VLOOKUP($D280,$C$5:$AU$500,3,))*$E280)</f>
        <v>0</v>
      </c>
      <c r="W280" s="107">
        <f>IF(VLOOKUP($D280,$C$5:$AU$500,3,)=0,0,(VLOOKUP($D280,$C$5:$AU$500,21,)/VLOOKUP($D280,$C$5:$AU$500,3,))*$E280)</f>
        <v>0</v>
      </c>
      <c r="X280" s="107">
        <f>IF(VLOOKUP($D280,$C$5:$AU$500,3,)=0,0,(VLOOKUP($D280,$C$5:$AU$500,22,)/VLOOKUP($D280,$C$5:$AU$500,3,))*$E280)</f>
        <v>0</v>
      </c>
      <c r="Y280" s="107">
        <f>IF(VLOOKUP($D280,$C$5:$AU$500,3,)=0,0,(VLOOKUP($D280,$C$5:$AU$500,23,)/VLOOKUP($D280,$C$5:$AU$500,3,))*$E280)</f>
        <v>0</v>
      </c>
      <c r="Z280" s="107">
        <f>IF(VLOOKUP($D280,$C$5:$AU$500,3,)=0,0,(VLOOKUP($D280,$C$5:$AU$500,24,)/VLOOKUP($D280,$C$5:$AU$500,3,))*$E280)</f>
        <v>0</v>
      </c>
      <c r="AA280" s="107">
        <f>IF(VLOOKUP($D280,$C$5:$AU$500,3,)=0,0,(VLOOKUP($D280,$C$5:$AU$500,25,)/VLOOKUP($D280,$C$5:$AU$500,3,))*$E280)</f>
        <v>0</v>
      </c>
      <c r="AB280" s="107">
        <f>IF(VLOOKUP($D280,$C$5:$AU$500,3,)=0,0,(VLOOKUP($D280,$C$5:$AU$500,26,)/VLOOKUP($D280,$C$5:$AU$500,3,))*$E280)</f>
        <v>0</v>
      </c>
      <c r="AC280" s="107">
        <f>IF(VLOOKUP($D280,$C$5:$AU$500,3,)=0,0,(VLOOKUP($D280,$C$5:$AU$500,27,)/VLOOKUP($D280,$C$5:$AU$500,3,))*$E280)</f>
        <v>0</v>
      </c>
      <c r="AD280" s="107">
        <f>IF(VLOOKUP($D280,$C$5:$AU$500,3,)=0,0,(VLOOKUP($D280,$C$5:$AU$500,28,)/VLOOKUP($D280,$C$5:$AU$500,3,))*$E280)</f>
        <v>0</v>
      </c>
      <c r="AE280" s="107">
        <f>IF(VLOOKUP($D280,$C$5:$AU$500,3,)=0,0,(VLOOKUP($D280,$C$5:$AU$500,29,)/VLOOKUP($D280,$C$5:$AU$500,3,))*$E280)</f>
        <v>0</v>
      </c>
      <c r="AF280" s="107">
        <f>IF(VLOOKUP($D280,$C$5:$AU$500,3,)=0,0,(VLOOKUP($D280,$C$5:$AU$500,30,)/VLOOKUP($D280,$C$5:$AU$500,3,))*$E280)</f>
        <v>0</v>
      </c>
      <c r="AG280" s="91">
        <f>SUM(F280:AF280)</f>
        <v>0</v>
      </c>
      <c r="AH280" s="28" t="str">
        <f>IF(ABS(E280-AG280)&lt;0.01,"ok","err")</f>
        <v>ok</v>
      </c>
    </row>
    <row r="281" spans="1:41" x14ac:dyDescent="0.25">
      <c r="E281" s="23"/>
    </row>
    <row r="282" spans="1:41" x14ac:dyDescent="0.25">
      <c r="A282" s="13" t="s">
        <v>1</v>
      </c>
      <c r="E282" s="23"/>
      <c r="F282" s="50"/>
    </row>
    <row r="283" spans="1:41" x14ac:dyDescent="0.25">
      <c r="A283" s="94" t="s">
        <v>208</v>
      </c>
      <c r="C283" s="14" t="s">
        <v>313</v>
      </c>
      <c r="D283" s="14" t="s">
        <v>632</v>
      </c>
      <c r="E283" s="42">
        <f>'Func &amp; Classif'!M316</f>
        <v>10841.367980965804</v>
      </c>
      <c r="F283" s="67">
        <f>IF(VLOOKUP($D283,$C$5:$AU$500,3,)=0,0,(VLOOKUP($D283,$C$5:$AU$500,4,)/VLOOKUP($D283,$C$5:$AU$500,3,))*$E283)</f>
        <v>6821.1446385127274</v>
      </c>
      <c r="G283" s="67">
        <f>IF(VLOOKUP($D283,$C$5:$AU$500,3,)=0,0,(VLOOKUP($D283,$C$5:$AU$500,5,)/VLOOKUP($D283,$C$5:$AU$500,3,))*$E283)</f>
        <v>667.36826566332468</v>
      </c>
      <c r="H283" s="42">
        <f>IF(VLOOKUP($D283,$C$5:$AU$500,3,)=0,0,(VLOOKUP($D283,$C$5:$AU$500,6,)/VLOOKUP($D283,$C$5:$AU$500,3,))*$E283)</f>
        <v>189.7785344952807</v>
      </c>
      <c r="I283" s="42">
        <f>IF(VLOOKUP($D283,$C$5:$AU$500,3,)=0,0,(VLOOKUP($D283,$C$5:$AU$500,7,)/VLOOKUP($D283,$C$5:$AU$500,3,))*$E283)</f>
        <v>2744.1738468555036</v>
      </c>
      <c r="J283" s="42">
        <f>IF(VLOOKUP($D283,$C$5:$AU$500,3,)=0,0,(VLOOKUP($D283,$C$5:$AU$500,8,)/VLOOKUP($D283,$C$5:$AU$500,3,))*$E283)</f>
        <v>0</v>
      </c>
      <c r="K283" s="42">
        <f>IF(VLOOKUP($D283,$C$5:$AU$500,3,)=0,0,(VLOOKUP($D283,$C$5:$AU$500,9,)/VLOOKUP($D283,$C$5:$AU$500,3,))*$E283)</f>
        <v>346.23135447169756</v>
      </c>
      <c r="L283" s="67">
        <f>IF(VLOOKUP($D283,$C$5:$AU$500,3,)=0,0,(VLOOKUP($D283,$C$5:$AU$500,10,)/VLOOKUP($D283,$C$5:$AU$500,3,))*$E283)</f>
        <v>72.67134096727068</v>
      </c>
      <c r="M283" s="42">
        <f>IF(VLOOKUP($D283,$C$5:$AU$500,3,)=0,0,(VLOOKUP($D283,$C$5:$AU$500,11,)/VLOOKUP($D283,$C$5:$AU$500,3,))*$E283)</f>
        <v>0</v>
      </c>
      <c r="N283" s="42">
        <f>IF(VLOOKUP($D283,$C$5:$AU$500,3,)=0,0,(VLOOKUP($D283,$C$5:$AU$500,12,)/VLOOKUP($D283,$C$5:$AU$500,3,))*$E283)</f>
        <v>0</v>
      </c>
      <c r="O283" s="42">
        <f>IF(VLOOKUP($D283,$C$5:$AU$500,3,)=0,0,(VLOOKUP($D283,$C$5:$AU$500,13,)/VLOOKUP($D283,$C$5:$AU$500,3,))*$E283)</f>
        <v>0</v>
      </c>
      <c r="P283" s="42">
        <f>IF(VLOOKUP($D283,$C$5:$AU$500,3,)=0,0,(VLOOKUP($D283,$C$5:$AU$500,14,)/VLOOKUP($D283,$C$5:$AU$500,3,))*$E283)</f>
        <v>0</v>
      </c>
      <c r="Q283" s="42">
        <f>IF(VLOOKUP($D283,$C$5:$AU$500,3,)=0,0,(VLOOKUP($D283,$C$5:$AU$500,15,)/VLOOKUP($D283,$C$5:$AU$500,3,))*$E283)</f>
        <v>0</v>
      </c>
      <c r="R283" s="42">
        <f>IF(VLOOKUP($D283,$C$5:$AU$500,3,)=0,0,(VLOOKUP($D283,$C$5:$AU$500,16,)/VLOOKUP($D283,$C$5:$AU$500,3,))*$E283)</f>
        <v>0</v>
      </c>
      <c r="S283" s="107">
        <f>IF(VLOOKUP($D283,$C$5:$AU$500,3,)=0,0,(VLOOKUP($D283,$C$5:$AU$500,17,)/VLOOKUP($D283,$C$5:$AU$500,3,))*$E283)</f>
        <v>0</v>
      </c>
      <c r="T283" s="107">
        <f>IF(VLOOKUP($D283,$C$5:$AU$500,3,)=0,0,(VLOOKUP($D283,$C$5:$AU$500,18,)/VLOOKUP($D283,$C$5:$AU$500,3,))*$E283)</f>
        <v>0</v>
      </c>
      <c r="U283" s="107">
        <f>IF(VLOOKUP($D283,$C$5:$AU$500,3,)=0,0,(VLOOKUP($D283,$C$5:$AU$500,19,)/VLOOKUP($D283,$C$5:$AU$500,3,))*$E283)</f>
        <v>0</v>
      </c>
      <c r="V283" s="107">
        <f>IF(VLOOKUP($D283,$C$5:$AU$500,3,)=0,0,(VLOOKUP($D283,$C$5:$AU$500,20,)/VLOOKUP($D283,$C$5:$AU$500,3,))*$E283)</f>
        <v>0</v>
      </c>
      <c r="W283" s="107">
        <f>IF(VLOOKUP($D283,$C$5:$AU$500,3,)=0,0,(VLOOKUP($D283,$C$5:$AU$500,21,)/VLOOKUP($D283,$C$5:$AU$500,3,))*$E283)</f>
        <v>0</v>
      </c>
      <c r="X283" s="107">
        <f>IF(VLOOKUP($D283,$C$5:$AU$500,3,)=0,0,(VLOOKUP($D283,$C$5:$AU$500,22,)/VLOOKUP($D283,$C$5:$AU$500,3,))*$E283)</f>
        <v>0</v>
      </c>
      <c r="Y283" s="107">
        <f>IF(VLOOKUP($D283,$C$5:$AU$500,3,)=0,0,(VLOOKUP($D283,$C$5:$AU$500,23,)/VLOOKUP($D283,$C$5:$AU$500,3,))*$E283)</f>
        <v>0</v>
      </c>
      <c r="Z283" s="107">
        <f>IF(VLOOKUP($D283,$C$5:$AU$500,3,)=0,0,(VLOOKUP($D283,$C$5:$AU$500,24,)/VLOOKUP($D283,$C$5:$AU$500,3,))*$E283)</f>
        <v>0</v>
      </c>
      <c r="AA283" s="107">
        <f>IF(VLOOKUP($D283,$C$5:$AU$500,3,)=0,0,(VLOOKUP($D283,$C$5:$AU$500,25,)/VLOOKUP($D283,$C$5:$AU$500,3,))*$E283)</f>
        <v>0</v>
      </c>
      <c r="AB283" s="107">
        <f>IF(VLOOKUP($D283,$C$5:$AU$500,3,)=0,0,(VLOOKUP($D283,$C$5:$AU$500,26,)/VLOOKUP($D283,$C$5:$AU$500,3,))*$E283)</f>
        <v>0</v>
      </c>
      <c r="AC283" s="107">
        <f>IF(VLOOKUP($D283,$C$5:$AU$500,3,)=0,0,(VLOOKUP($D283,$C$5:$AU$500,27,)/VLOOKUP($D283,$C$5:$AU$500,3,))*$E283)</f>
        <v>0</v>
      </c>
      <c r="AD283" s="107">
        <f>IF(VLOOKUP($D283,$C$5:$AU$500,3,)=0,0,(VLOOKUP($D283,$C$5:$AU$500,28,)/VLOOKUP($D283,$C$5:$AU$500,3,))*$E283)</f>
        <v>0</v>
      </c>
      <c r="AE283" s="107">
        <f>IF(VLOOKUP($D283,$C$5:$AU$500,3,)=0,0,(VLOOKUP($D283,$C$5:$AU$500,29,)/VLOOKUP($D283,$C$5:$AU$500,3,))*$E283)</f>
        <v>0</v>
      </c>
      <c r="AF283" s="107">
        <f>IF(VLOOKUP($D283,$C$5:$AU$500,3,)=0,0,(VLOOKUP($D283,$C$5:$AU$500,30,)/VLOOKUP($D283,$C$5:$AU$500,3,))*$E283)</f>
        <v>0</v>
      </c>
      <c r="AG283" s="91">
        <f>SUM(F283:AF283)</f>
        <v>10841.367980965804</v>
      </c>
      <c r="AH283" s="28" t="str">
        <f>IF(ABS(E283-AG283)&lt;0.01,"ok","err")</f>
        <v>ok</v>
      </c>
    </row>
    <row r="284" spans="1:41" x14ac:dyDescent="0.25">
      <c r="E284" s="23"/>
    </row>
    <row r="285" spans="1:41" x14ac:dyDescent="0.25">
      <c r="A285" s="13" t="s">
        <v>2</v>
      </c>
      <c r="E285" s="23"/>
    </row>
    <row r="286" spans="1:41" x14ac:dyDescent="0.25">
      <c r="A286" s="94" t="s">
        <v>208</v>
      </c>
      <c r="C286" s="14" t="s">
        <v>314</v>
      </c>
      <c r="D286" s="14" t="s">
        <v>629</v>
      </c>
      <c r="E286" s="42">
        <f>'Func &amp; Classif'!O316</f>
        <v>17285.933525126569</v>
      </c>
      <c r="F286" s="67">
        <f>IF(VLOOKUP($D286,$C$5:$AU$500,3,)=0,0,(VLOOKUP($D286,$C$5:$AU$500,4,)/VLOOKUP($D286,$C$5:$AU$500,3,))*$E286)</f>
        <v>10864.552940617421</v>
      </c>
      <c r="G286" s="67">
        <f>IF(VLOOKUP($D286,$C$5:$AU$500,3,)=0,0,(VLOOKUP($D286,$C$5:$AU$500,5,)/VLOOKUP($D286,$C$5:$AU$500,3,))*$E286)</f>
        <v>279.31350642718093</v>
      </c>
      <c r="H286" s="42">
        <f>IF(VLOOKUP($D286,$C$5:$AU$500,3,)=0,0,(VLOOKUP($D286,$C$5:$AU$500,6,)/VLOOKUP($D286,$C$5:$AU$500,3,))*$E286)</f>
        <v>447.03193433290534</v>
      </c>
      <c r="I286" s="42">
        <f>IF(VLOOKUP($D286,$C$5:$AU$500,3,)=0,0,(VLOOKUP($D286,$C$5:$AU$500,7,)/VLOOKUP($D286,$C$5:$AU$500,3,))*$E286)</f>
        <v>5059.0737940227555</v>
      </c>
      <c r="J286" s="42">
        <f>IF(VLOOKUP($D286,$C$5:$AU$500,3,)=0,0,(VLOOKUP($D286,$C$5:$AU$500,8,)/VLOOKUP($D286,$C$5:$AU$500,3,))*$E286)</f>
        <v>0</v>
      </c>
      <c r="K286" s="42">
        <f>IF(VLOOKUP($D286,$C$5:$AU$500,3,)=0,0,(VLOOKUP($D286,$C$5:$AU$500,9,)/VLOOKUP($D286,$C$5:$AU$500,3,))*$E286)</f>
        <v>559.96750269702898</v>
      </c>
      <c r="L286" s="67">
        <f>IF(VLOOKUP($D286,$C$5:$AU$500,3,)=0,0,(VLOOKUP($D286,$C$5:$AU$500,10,)/VLOOKUP($D286,$C$5:$AU$500,3,))*$E286)</f>
        <v>75.993847029276338</v>
      </c>
      <c r="M286" s="42">
        <f>IF(VLOOKUP($D286,$C$5:$AU$500,3,)=0,0,(VLOOKUP($D286,$C$5:$AU$500,11,)/VLOOKUP($D286,$C$5:$AU$500,3,))*$E286)</f>
        <v>0</v>
      </c>
      <c r="N286" s="42">
        <f>IF(VLOOKUP($D286,$C$5:$AU$500,3,)=0,0,(VLOOKUP($D286,$C$5:$AU$500,12,)/VLOOKUP($D286,$C$5:$AU$500,3,))*$E286)</f>
        <v>0</v>
      </c>
      <c r="O286" s="42">
        <f>IF(VLOOKUP($D286,$C$5:$AU$500,3,)=0,0,(VLOOKUP($D286,$C$5:$AU$500,13,)/VLOOKUP($D286,$C$5:$AU$500,3,))*$E286)</f>
        <v>0</v>
      </c>
      <c r="P286" s="42">
        <f>IF(VLOOKUP($D286,$C$5:$AU$500,3,)=0,0,(VLOOKUP($D286,$C$5:$AU$500,14,)/VLOOKUP($D286,$C$5:$AU$500,3,))*$E286)</f>
        <v>0</v>
      </c>
      <c r="Q286" s="42">
        <f>IF(VLOOKUP($D286,$C$5:$AU$500,3,)=0,0,(VLOOKUP($D286,$C$5:$AU$500,15,)/VLOOKUP($D286,$C$5:$AU$500,3,))*$E286)</f>
        <v>0</v>
      </c>
      <c r="R286" s="42">
        <f>IF(VLOOKUP($D286,$C$5:$AU$500,3,)=0,0,(VLOOKUP($D286,$C$5:$AU$500,16,)/VLOOKUP($D286,$C$5:$AU$500,3,))*$E286)</f>
        <v>0</v>
      </c>
      <c r="S286" s="107">
        <f>IF(VLOOKUP($D286,$C$5:$AU$500,3,)=0,0,(VLOOKUP($D286,$C$5:$AU$500,17,)/VLOOKUP($D286,$C$5:$AU$500,3,))*$E286)</f>
        <v>0</v>
      </c>
      <c r="T286" s="107">
        <f>IF(VLOOKUP($D286,$C$5:$AU$500,3,)=0,0,(VLOOKUP($D286,$C$5:$AU$500,18,)/VLOOKUP($D286,$C$5:$AU$500,3,))*$E286)</f>
        <v>0</v>
      </c>
      <c r="U286" s="107">
        <f>IF(VLOOKUP($D286,$C$5:$AU$500,3,)=0,0,(VLOOKUP($D286,$C$5:$AU$500,19,)/VLOOKUP($D286,$C$5:$AU$500,3,))*$E286)</f>
        <v>0</v>
      </c>
      <c r="V286" s="107">
        <f>IF(VLOOKUP($D286,$C$5:$AU$500,3,)=0,0,(VLOOKUP($D286,$C$5:$AU$500,20,)/VLOOKUP($D286,$C$5:$AU$500,3,))*$E286)</f>
        <v>0</v>
      </c>
      <c r="W286" s="107">
        <f>IF(VLOOKUP($D286,$C$5:$AU$500,3,)=0,0,(VLOOKUP($D286,$C$5:$AU$500,21,)/VLOOKUP($D286,$C$5:$AU$500,3,))*$E286)</f>
        <v>0</v>
      </c>
      <c r="X286" s="107">
        <f>IF(VLOOKUP($D286,$C$5:$AU$500,3,)=0,0,(VLOOKUP($D286,$C$5:$AU$500,22,)/VLOOKUP($D286,$C$5:$AU$500,3,))*$E286)</f>
        <v>0</v>
      </c>
      <c r="Y286" s="107">
        <f>IF(VLOOKUP($D286,$C$5:$AU$500,3,)=0,0,(VLOOKUP($D286,$C$5:$AU$500,23,)/VLOOKUP($D286,$C$5:$AU$500,3,))*$E286)</f>
        <v>0</v>
      </c>
      <c r="Z286" s="107">
        <f>IF(VLOOKUP($D286,$C$5:$AU$500,3,)=0,0,(VLOOKUP($D286,$C$5:$AU$500,24,)/VLOOKUP($D286,$C$5:$AU$500,3,))*$E286)</f>
        <v>0</v>
      </c>
      <c r="AA286" s="107">
        <f>IF(VLOOKUP($D286,$C$5:$AU$500,3,)=0,0,(VLOOKUP($D286,$C$5:$AU$500,25,)/VLOOKUP($D286,$C$5:$AU$500,3,))*$E286)</f>
        <v>0</v>
      </c>
      <c r="AB286" s="107">
        <f>IF(VLOOKUP($D286,$C$5:$AU$500,3,)=0,0,(VLOOKUP($D286,$C$5:$AU$500,26,)/VLOOKUP($D286,$C$5:$AU$500,3,))*$E286)</f>
        <v>0</v>
      </c>
      <c r="AC286" s="107">
        <f>IF(VLOOKUP($D286,$C$5:$AU$500,3,)=0,0,(VLOOKUP($D286,$C$5:$AU$500,27,)/VLOOKUP($D286,$C$5:$AU$500,3,))*$E286)</f>
        <v>0</v>
      </c>
      <c r="AD286" s="107">
        <f>IF(VLOOKUP($D286,$C$5:$AU$500,3,)=0,0,(VLOOKUP($D286,$C$5:$AU$500,28,)/VLOOKUP($D286,$C$5:$AU$500,3,))*$E286)</f>
        <v>0</v>
      </c>
      <c r="AE286" s="107">
        <f>IF(VLOOKUP($D286,$C$5:$AU$500,3,)=0,0,(VLOOKUP($D286,$C$5:$AU$500,29,)/VLOOKUP($D286,$C$5:$AU$500,3,))*$E286)</f>
        <v>0</v>
      </c>
      <c r="AF286" s="107">
        <f>IF(VLOOKUP($D286,$C$5:$AU$500,3,)=0,0,(VLOOKUP($D286,$C$5:$AU$500,30,)/VLOOKUP($D286,$C$5:$AU$500,3,))*$E286)</f>
        <v>0</v>
      </c>
      <c r="AG286" s="91">
        <f>SUM(F286:AF286)</f>
        <v>17285.933525126566</v>
      </c>
      <c r="AH286" s="28" t="str">
        <f>IF(ABS(E286-AG286)&lt;0.01,"ok","err")</f>
        <v>ok</v>
      </c>
    </row>
    <row r="287" spans="1:41" x14ac:dyDescent="0.25">
      <c r="A287" s="94" t="s">
        <v>220</v>
      </c>
      <c r="C287" s="14" t="s">
        <v>315</v>
      </c>
      <c r="D287" s="14" t="s">
        <v>222</v>
      </c>
      <c r="E287" s="23">
        <f>'Func &amp; Classif'!P316</f>
        <v>28902.904776806336</v>
      </c>
      <c r="F287" s="67">
        <f>IF(VLOOKUP($D287,$C$5:$AU$500,3,)=0,0,(VLOOKUP($D287,$C$5:$AU$500,4,)/VLOOKUP($D287,$C$5:$AU$500,3,))*$E287)</f>
        <v>23136.348900426216</v>
      </c>
      <c r="G287" s="67">
        <f>IF(VLOOKUP($D287,$C$5:$AU$500,3,)=0,0,(VLOOKUP($D287,$C$5:$AU$500,5,)/VLOOKUP($D287,$C$5:$AU$500,3,))*$E287)</f>
        <v>4569.9430559089351</v>
      </c>
      <c r="H287" s="42">
        <f>IF(VLOOKUP($D287,$C$5:$AU$500,3,)=0,0,(VLOOKUP($D287,$C$5:$AU$500,6,)/VLOOKUP($D287,$C$5:$AU$500,3,))*$E287)</f>
        <v>485.53188221733325</v>
      </c>
      <c r="I287" s="42">
        <f>IF(VLOOKUP($D287,$C$5:$AU$500,3,)=0,0,(VLOOKUP($D287,$C$5:$AU$500,7,)/VLOOKUP($D287,$C$5:$AU$500,3,))*$E287)</f>
        <v>609.74502566023909</v>
      </c>
      <c r="J287" s="42">
        <f>IF(VLOOKUP($D287,$C$5:$AU$500,3,)=0,0,(VLOOKUP($D287,$C$5:$AU$500,8,)/VLOOKUP($D287,$C$5:$AU$500,3,))*$E287)</f>
        <v>0</v>
      </c>
      <c r="K287" s="42">
        <f>IF(VLOOKUP($D287,$C$5:$AU$500,3,)=0,0,(VLOOKUP($D287,$C$5:$AU$500,9,)/VLOOKUP($D287,$C$5:$AU$500,3,))*$E287)</f>
        <v>0.94339096285751278</v>
      </c>
      <c r="L287" s="67">
        <f>IF(VLOOKUP($D287,$C$5:$AU$500,3,)=0,0,(VLOOKUP($D287,$C$5:$AU$500,10,)/VLOOKUP($D287,$C$5:$AU$500,3,))*$E287)</f>
        <v>100.39252163075365</v>
      </c>
      <c r="M287" s="42">
        <f>IF(VLOOKUP($D287,$C$5:$AU$500,3,)=0,0,(VLOOKUP($D287,$C$5:$AU$500,11,)/VLOOKUP($D287,$C$5:$AU$500,3,))*$E287)</f>
        <v>0</v>
      </c>
      <c r="N287" s="42">
        <f>IF(VLOOKUP($D287,$C$5:$AU$500,3,)=0,0,(VLOOKUP($D287,$C$5:$AU$500,12,)/VLOOKUP($D287,$C$5:$AU$500,3,))*$E287)</f>
        <v>0</v>
      </c>
      <c r="O287" s="42">
        <f>IF(VLOOKUP($D287,$C$5:$AU$500,3,)=0,0,(VLOOKUP($D287,$C$5:$AU$500,13,)/VLOOKUP($D287,$C$5:$AU$500,3,))*$E287)</f>
        <v>0</v>
      </c>
      <c r="P287" s="42">
        <f>IF(VLOOKUP($D287,$C$5:$AU$500,3,)=0,0,(VLOOKUP($D287,$C$5:$AU$500,14,)/VLOOKUP($D287,$C$5:$AU$500,3,))*$E287)</f>
        <v>0</v>
      </c>
      <c r="Q287" s="42">
        <f>IF(VLOOKUP($D287,$C$5:$AU$500,3,)=0,0,(VLOOKUP($D287,$C$5:$AU$500,15,)/VLOOKUP($D287,$C$5:$AU$500,3,))*$E287)</f>
        <v>0</v>
      </c>
      <c r="R287" s="42">
        <f>IF(VLOOKUP($D287,$C$5:$AU$500,3,)=0,0,(VLOOKUP($D287,$C$5:$AU$500,16,)/VLOOKUP($D287,$C$5:$AU$500,3,))*$E287)</f>
        <v>0</v>
      </c>
      <c r="S287" s="107">
        <f>IF(VLOOKUP($D287,$C$5:$AU$500,3,)=0,0,(VLOOKUP($D287,$C$5:$AU$500,17,)/VLOOKUP($D287,$C$5:$AU$500,3,))*$E287)</f>
        <v>0</v>
      </c>
      <c r="T287" s="107">
        <f>IF(VLOOKUP($D287,$C$5:$AU$500,3,)=0,0,(VLOOKUP($D287,$C$5:$AU$500,18,)/VLOOKUP($D287,$C$5:$AU$500,3,))*$E287)</f>
        <v>0</v>
      </c>
      <c r="U287" s="107">
        <f>IF(VLOOKUP($D287,$C$5:$AU$500,3,)=0,0,(VLOOKUP($D287,$C$5:$AU$500,19,)/VLOOKUP($D287,$C$5:$AU$500,3,))*$E287)</f>
        <v>0</v>
      </c>
      <c r="V287" s="107">
        <f>IF(VLOOKUP($D287,$C$5:$AU$500,3,)=0,0,(VLOOKUP($D287,$C$5:$AU$500,20,)/VLOOKUP($D287,$C$5:$AU$500,3,))*$E287)</f>
        <v>0</v>
      </c>
      <c r="W287" s="107">
        <f>IF(VLOOKUP($D287,$C$5:$AU$500,3,)=0,0,(VLOOKUP($D287,$C$5:$AU$500,21,)/VLOOKUP($D287,$C$5:$AU$500,3,))*$E287)</f>
        <v>0</v>
      </c>
      <c r="X287" s="107">
        <f>IF(VLOOKUP($D287,$C$5:$AU$500,3,)=0,0,(VLOOKUP($D287,$C$5:$AU$500,22,)/VLOOKUP($D287,$C$5:$AU$500,3,))*$E287)</f>
        <v>0</v>
      </c>
      <c r="Y287" s="107">
        <f>IF(VLOOKUP($D287,$C$5:$AU$500,3,)=0,0,(VLOOKUP($D287,$C$5:$AU$500,23,)/VLOOKUP($D287,$C$5:$AU$500,3,))*$E287)</f>
        <v>0</v>
      </c>
      <c r="Z287" s="107">
        <f>IF(VLOOKUP($D287,$C$5:$AU$500,3,)=0,0,(VLOOKUP($D287,$C$5:$AU$500,24,)/VLOOKUP($D287,$C$5:$AU$500,3,))*$E287)</f>
        <v>0</v>
      </c>
      <c r="AA287" s="107">
        <f>IF(VLOOKUP($D287,$C$5:$AU$500,3,)=0,0,(VLOOKUP($D287,$C$5:$AU$500,25,)/VLOOKUP($D287,$C$5:$AU$500,3,))*$E287)</f>
        <v>0</v>
      </c>
      <c r="AB287" s="107">
        <f>IF(VLOOKUP($D287,$C$5:$AU$500,3,)=0,0,(VLOOKUP($D287,$C$5:$AU$500,26,)/VLOOKUP($D287,$C$5:$AU$500,3,))*$E287)</f>
        <v>0</v>
      </c>
      <c r="AC287" s="107">
        <f>IF(VLOOKUP($D287,$C$5:$AU$500,3,)=0,0,(VLOOKUP($D287,$C$5:$AU$500,27,)/VLOOKUP($D287,$C$5:$AU$500,3,))*$E287)</f>
        <v>0</v>
      </c>
      <c r="AD287" s="107">
        <f>IF(VLOOKUP($D287,$C$5:$AU$500,3,)=0,0,(VLOOKUP($D287,$C$5:$AU$500,28,)/VLOOKUP($D287,$C$5:$AU$500,3,))*$E287)</f>
        <v>0</v>
      </c>
      <c r="AE287" s="107">
        <f>IF(VLOOKUP($D287,$C$5:$AU$500,3,)=0,0,(VLOOKUP($D287,$C$5:$AU$500,29,)/VLOOKUP($D287,$C$5:$AU$500,3,))*$E287)</f>
        <v>0</v>
      </c>
      <c r="AF287" s="107">
        <f>IF(VLOOKUP($D287,$C$5:$AU$500,3,)=0,0,(VLOOKUP($D287,$C$5:$AU$500,30,)/VLOOKUP($D287,$C$5:$AU$500,3,))*$E287)</f>
        <v>0</v>
      </c>
      <c r="AG287" s="91">
        <f>SUM(F287:AF287)</f>
        <v>28902.904776806332</v>
      </c>
      <c r="AH287" s="28" t="str">
        <f>IF(ABS(E287-AG287)&lt;0.01,"ok","err")</f>
        <v>ok</v>
      </c>
      <c r="AK287" s="41"/>
      <c r="AL287" s="211"/>
      <c r="AM287" s="24"/>
      <c r="AO287" s="211"/>
    </row>
    <row r="288" spans="1:41" x14ac:dyDescent="0.25">
      <c r="A288" s="14" t="s">
        <v>223</v>
      </c>
      <c r="E288" s="42">
        <f t="shared" ref="E288:T288" si="100">E286+E287</f>
        <v>46188.838301932905</v>
      </c>
      <c r="F288" s="67">
        <f t="shared" si="100"/>
        <v>34000.90184104364</v>
      </c>
      <c r="G288" s="67">
        <f t="shared" si="100"/>
        <v>4849.2565623361161</v>
      </c>
      <c r="H288" s="42">
        <f t="shared" si="100"/>
        <v>932.56381655023858</v>
      </c>
      <c r="I288" s="42">
        <f t="shared" si="100"/>
        <v>5668.8188196829942</v>
      </c>
      <c r="J288" s="42">
        <f t="shared" si="100"/>
        <v>0</v>
      </c>
      <c r="K288" s="42">
        <f t="shared" si="100"/>
        <v>560.91089365988648</v>
      </c>
      <c r="L288" s="67">
        <f t="shared" si="100"/>
        <v>176.38636866002997</v>
      </c>
      <c r="M288" s="42">
        <f t="shared" si="100"/>
        <v>0</v>
      </c>
      <c r="N288" s="42">
        <f t="shared" si="100"/>
        <v>0</v>
      </c>
      <c r="O288" s="42">
        <f t="shared" si="100"/>
        <v>0</v>
      </c>
      <c r="P288" s="42">
        <f t="shared" si="100"/>
        <v>0</v>
      </c>
      <c r="Q288" s="42">
        <f t="shared" si="100"/>
        <v>0</v>
      </c>
      <c r="R288" s="42">
        <f t="shared" si="100"/>
        <v>0</v>
      </c>
      <c r="S288" s="107">
        <f t="shared" si="100"/>
        <v>0</v>
      </c>
      <c r="T288" s="107">
        <f t="shared" si="100"/>
        <v>0</v>
      </c>
      <c r="U288" s="107">
        <f t="shared" ref="U288:AF288" si="101">U286+U287</f>
        <v>0</v>
      </c>
      <c r="V288" s="107">
        <f t="shared" si="101"/>
        <v>0</v>
      </c>
      <c r="W288" s="107">
        <f t="shared" si="101"/>
        <v>0</v>
      </c>
      <c r="X288" s="107">
        <f t="shared" si="101"/>
        <v>0</v>
      </c>
      <c r="Y288" s="107">
        <f t="shared" si="101"/>
        <v>0</v>
      </c>
      <c r="Z288" s="107">
        <f t="shared" si="101"/>
        <v>0</v>
      </c>
      <c r="AA288" s="107">
        <f t="shared" si="101"/>
        <v>0</v>
      </c>
      <c r="AB288" s="107">
        <f t="shared" si="101"/>
        <v>0</v>
      </c>
      <c r="AC288" s="107">
        <f t="shared" si="101"/>
        <v>0</v>
      </c>
      <c r="AD288" s="107">
        <f t="shared" si="101"/>
        <v>0</v>
      </c>
      <c r="AE288" s="107">
        <f t="shared" si="101"/>
        <v>0</v>
      </c>
      <c r="AF288" s="107">
        <f t="shared" si="101"/>
        <v>0</v>
      </c>
      <c r="AG288" s="91">
        <f>SUM(F288:AF288)</f>
        <v>46188.838301932905</v>
      </c>
      <c r="AH288" s="28" t="str">
        <f>IF(ABS(E288-AG288)&lt;0.01,"ok","err")</f>
        <v>ok</v>
      </c>
      <c r="AK288" s="41"/>
    </row>
    <row r="289" spans="1:41" x14ac:dyDescent="0.25">
      <c r="E289" s="23"/>
      <c r="AK289" s="41"/>
    </row>
    <row r="290" spans="1:41" x14ac:dyDescent="0.25">
      <c r="A290" s="13" t="s">
        <v>3</v>
      </c>
      <c r="E290" s="23"/>
      <c r="AK290" s="41"/>
    </row>
    <row r="291" spans="1:41" x14ac:dyDescent="0.25">
      <c r="A291" s="94" t="s">
        <v>208</v>
      </c>
      <c r="C291" s="14" t="s">
        <v>316</v>
      </c>
      <c r="D291" s="14" t="s">
        <v>701</v>
      </c>
      <c r="E291" s="42">
        <f>'Func &amp; Classif'!R316</f>
        <v>0</v>
      </c>
      <c r="F291" s="67">
        <f>IF(VLOOKUP($D291,$C$5:$AU$500,3,)=0,0,(VLOOKUP($D291,$C$5:$AU$500,4,)/VLOOKUP($D291,$C$5:$AU$500,3,))*$E291)</f>
        <v>0</v>
      </c>
      <c r="G291" s="67">
        <f>IF(VLOOKUP($D291,$C$5:$AU$500,3,)=0,0,(VLOOKUP($D291,$C$5:$AU$500,5,)/VLOOKUP($D291,$C$5:$AU$500,3,))*$E291)</f>
        <v>0</v>
      </c>
      <c r="H291" s="42">
        <f>IF(VLOOKUP($D291,$C$5:$AU$500,3,)=0,0,(VLOOKUP($D291,$C$5:$AU$500,6,)/VLOOKUP($D291,$C$5:$AU$500,3,))*$E291)</f>
        <v>0</v>
      </c>
      <c r="I291" s="42">
        <f>IF(VLOOKUP($D291,$C$5:$AU$500,3,)=0,0,(VLOOKUP($D291,$C$5:$AU$500,7,)/VLOOKUP($D291,$C$5:$AU$500,3,))*$E291)</f>
        <v>0</v>
      </c>
      <c r="J291" s="42">
        <f>IF(VLOOKUP($D291,$C$5:$AU$500,3,)=0,0,(VLOOKUP($D291,$C$5:$AU$500,8,)/VLOOKUP($D291,$C$5:$AU$500,3,))*$E291)</f>
        <v>0</v>
      </c>
      <c r="K291" s="42">
        <f>IF(VLOOKUP($D291,$C$5:$AU$500,3,)=0,0,(VLOOKUP($D291,$C$5:$AU$500,9,)/VLOOKUP($D291,$C$5:$AU$500,3,))*$E291)</f>
        <v>0</v>
      </c>
      <c r="L291" s="67">
        <f>IF(VLOOKUP($D291,$C$5:$AU$500,3,)=0,0,(VLOOKUP($D291,$C$5:$AU$500,10,)/VLOOKUP($D291,$C$5:$AU$500,3,))*$E291)</f>
        <v>0</v>
      </c>
      <c r="M291" s="42">
        <f>IF(VLOOKUP($D291,$C$5:$AU$500,3,)=0,0,(VLOOKUP($D291,$C$5:$AU$500,11,)/VLOOKUP($D291,$C$5:$AU$500,3,))*$E291)</f>
        <v>0</v>
      </c>
      <c r="N291" s="42">
        <f>IF(VLOOKUP($D291,$C$5:$AU$500,3,)=0,0,(VLOOKUP($D291,$C$5:$AU$500,12,)/VLOOKUP($D291,$C$5:$AU$500,3,))*$E291)</f>
        <v>0</v>
      </c>
      <c r="O291" s="42">
        <f>IF(VLOOKUP($D291,$C$5:$AU$500,3,)=0,0,(VLOOKUP($D291,$C$5:$AU$500,13,)/VLOOKUP($D291,$C$5:$AU$500,3,))*$E291)</f>
        <v>0</v>
      </c>
      <c r="P291" s="42">
        <f>IF(VLOOKUP($D291,$C$5:$AU$500,3,)=0,0,(VLOOKUP($D291,$C$5:$AU$500,14,)/VLOOKUP($D291,$C$5:$AU$500,3,))*$E291)</f>
        <v>0</v>
      </c>
      <c r="Q291" s="42">
        <f>IF(VLOOKUP($D291,$C$5:$AU$500,3,)=0,0,(VLOOKUP($D291,$C$5:$AU$500,15,)/VLOOKUP($D291,$C$5:$AU$500,3,))*$E291)</f>
        <v>0</v>
      </c>
      <c r="R291" s="42">
        <f>IF(VLOOKUP($D291,$C$5:$AU$500,3,)=0,0,(VLOOKUP($D291,$C$5:$AU$500,16,)/VLOOKUP($D291,$C$5:$AU$500,3,))*$E291)</f>
        <v>0</v>
      </c>
      <c r="S291" s="107">
        <f>IF(VLOOKUP($D291,$C$5:$AU$500,3,)=0,0,(VLOOKUP($D291,$C$5:$AU$500,17,)/VLOOKUP($D291,$C$5:$AU$500,3,))*$E291)</f>
        <v>0</v>
      </c>
      <c r="T291" s="107">
        <f>IF(VLOOKUP($D291,$C$5:$AU$500,3,)=0,0,(VLOOKUP($D291,$C$5:$AU$500,18,)/VLOOKUP($D291,$C$5:$AU$500,3,))*$E291)</f>
        <v>0</v>
      </c>
      <c r="U291" s="107">
        <f>IF(VLOOKUP($D291,$C$5:$AU$500,3,)=0,0,(VLOOKUP($D291,$C$5:$AU$500,19,)/VLOOKUP($D291,$C$5:$AU$500,3,))*$E291)</f>
        <v>0</v>
      </c>
      <c r="V291" s="107">
        <f>IF(VLOOKUP($D291,$C$5:$AU$500,3,)=0,0,(VLOOKUP($D291,$C$5:$AU$500,20,)/VLOOKUP($D291,$C$5:$AU$500,3,))*$E291)</f>
        <v>0</v>
      </c>
      <c r="W291" s="107">
        <f>IF(VLOOKUP($D291,$C$5:$AU$500,3,)=0,0,(VLOOKUP($D291,$C$5:$AU$500,21,)/VLOOKUP($D291,$C$5:$AU$500,3,))*$E291)</f>
        <v>0</v>
      </c>
      <c r="X291" s="107">
        <f>IF(VLOOKUP($D291,$C$5:$AU$500,3,)=0,0,(VLOOKUP($D291,$C$5:$AU$500,22,)/VLOOKUP($D291,$C$5:$AU$500,3,))*$E291)</f>
        <v>0</v>
      </c>
      <c r="Y291" s="107">
        <f>IF(VLOOKUP($D291,$C$5:$AU$500,3,)=0,0,(VLOOKUP($D291,$C$5:$AU$500,23,)/VLOOKUP($D291,$C$5:$AU$500,3,))*$E291)</f>
        <v>0</v>
      </c>
      <c r="Z291" s="107">
        <f>IF(VLOOKUP($D291,$C$5:$AU$500,3,)=0,0,(VLOOKUP($D291,$C$5:$AU$500,24,)/VLOOKUP($D291,$C$5:$AU$500,3,))*$E291)</f>
        <v>0</v>
      </c>
      <c r="AA291" s="107">
        <f>IF(VLOOKUP($D291,$C$5:$AU$500,3,)=0,0,(VLOOKUP($D291,$C$5:$AU$500,25,)/VLOOKUP($D291,$C$5:$AU$500,3,))*$E291)</f>
        <v>0</v>
      </c>
      <c r="AB291" s="107">
        <f>IF(VLOOKUP($D291,$C$5:$AU$500,3,)=0,0,(VLOOKUP($D291,$C$5:$AU$500,26,)/VLOOKUP($D291,$C$5:$AU$500,3,))*$E291)</f>
        <v>0</v>
      </c>
      <c r="AC291" s="107">
        <f>IF(VLOOKUP($D291,$C$5:$AU$500,3,)=0,0,(VLOOKUP($D291,$C$5:$AU$500,27,)/VLOOKUP($D291,$C$5:$AU$500,3,))*$E291)</f>
        <v>0</v>
      </c>
      <c r="AD291" s="107">
        <f>IF(VLOOKUP($D291,$C$5:$AU$500,3,)=0,0,(VLOOKUP($D291,$C$5:$AU$500,28,)/VLOOKUP($D291,$C$5:$AU$500,3,))*$E291)</f>
        <v>0</v>
      </c>
      <c r="AE291" s="107">
        <f>IF(VLOOKUP($D291,$C$5:$AU$500,3,)=0,0,(VLOOKUP($D291,$C$5:$AU$500,29,)/VLOOKUP($D291,$C$5:$AU$500,3,))*$E291)</f>
        <v>0</v>
      </c>
      <c r="AF291" s="107">
        <f>IF(VLOOKUP($D291,$C$5:$AU$500,3,)=0,0,(VLOOKUP($D291,$C$5:$AU$500,30,)/VLOOKUP($D291,$C$5:$AU$500,3,))*$E291)</f>
        <v>0</v>
      </c>
      <c r="AG291" s="91">
        <f>SUM(F291:AF291)</f>
        <v>0</v>
      </c>
      <c r="AH291" s="28" t="str">
        <f>IF(ABS(E291-AG291)&lt;0.01,"ok","err")</f>
        <v>ok</v>
      </c>
      <c r="AK291" s="41"/>
    </row>
    <row r="292" spans="1:41" x14ac:dyDescent="0.25">
      <c r="A292" s="94" t="s">
        <v>220</v>
      </c>
      <c r="C292" s="14" t="s">
        <v>317</v>
      </c>
      <c r="D292" s="14" t="s">
        <v>701</v>
      </c>
      <c r="E292" s="23">
        <f>'Func &amp; Classif'!S316</f>
        <v>4897.7603304283293</v>
      </c>
      <c r="F292" s="67">
        <f>IF(VLOOKUP($D292,$C$5:$AU$500,3,)=0,0,(VLOOKUP($D292,$C$5:$AU$500,4,)/VLOOKUP($D292,$C$5:$AU$500,3,))*$E292)</f>
        <v>2556.8046790265394</v>
      </c>
      <c r="G292" s="67">
        <f>IF(VLOOKUP($D292,$C$5:$AU$500,3,)=0,0,(VLOOKUP($D292,$C$5:$AU$500,5,)/VLOOKUP($D292,$C$5:$AU$500,3,))*$E292)</f>
        <v>1111.0566340758555</v>
      </c>
      <c r="H292" s="42">
        <f>IF(VLOOKUP($D292,$C$5:$AU$500,3,)=0,0,(VLOOKUP($D292,$C$5:$AU$500,6,)/VLOOKUP($D292,$C$5:$AU$500,3,))*$E292)</f>
        <v>296.18261155818237</v>
      </c>
      <c r="I292" s="42">
        <f>IF(VLOOKUP($D292,$C$5:$AU$500,3,)=0,0,(VLOOKUP($D292,$C$5:$AU$500,7,)/VLOOKUP($D292,$C$5:$AU$500,3,))*$E292)</f>
        <v>700.78425035172177</v>
      </c>
      <c r="J292" s="42">
        <f>IF(VLOOKUP($D292,$C$5:$AU$500,3,)=0,0,(VLOOKUP($D292,$C$5:$AU$500,8,)/VLOOKUP($D292,$C$5:$AU$500,3,))*$E292)</f>
        <v>0</v>
      </c>
      <c r="K292" s="42">
        <f>IF(VLOOKUP($D292,$C$5:$AU$500,3,)=0,0,(VLOOKUP($D292,$C$5:$AU$500,9,)/VLOOKUP($D292,$C$5:$AU$500,3,))*$E292)</f>
        <v>2.1684917494122384</v>
      </c>
      <c r="L292" s="67">
        <f>IF(VLOOKUP($D292,$C$5:$AU$500,3,)=0,0,(VLOOKUP($D292,$C$5:$AU$500,10,)/VLOOKUP($D292,$C$5:$AU$500,3,))*$E292)</f>
        <v>230.76366366661904</v>
      </c>
      <c r="M292" s="42">
        <f>IF(VLOOKUP($D292,$C$5:$AU$500,3,)=0,0,(VLOOKUP($D292,$C$5:$AU$500,11,)/VLOOKUP($D292,$C$5:$AU$500,3,))*$E292)</f>
        <v>0</v>
      </c>
      <c r="N292" s="42">
        <f>IF(VLOOKUP($D292,$C$5:$AU$500,3,)=0,0,(VLOOKUP($D292,$C$5:$AU$500,12,)/VLOOKUP($D292,$C$5:$AU$500,3,))*$E292)</f>
        <v>0</v>
      </c>
      <c r="O292" s="42">
        <f>IF(VLOOKUP($D292,$C$5:$AU$500,3,)=0,0,(VLOOKUP($D292,$C$5:$AU$500,13,)/VLOOKUP($D292,$C$5:$AU$500,3,))*$E292)</f>
        <v>0</v>
      </c>
      <c r="P292" s="42">
        <f>IF(VLOOKUP($D292,$C$5:$AU$500,3,)=0,0,(VLOOKUP($D292,$C$5:$AU$500,14,)/VLOOKUP($D292,$C$5:$AU$500,3,))*$E292)</f>
        <v>0</v>
      </c>
      <c r="Q292" s="42">
        <f>IF(VLOOKUP($D292,$C$5:$AU$500,3,)=0,0,(VLOOKUP($D292,$C$5:$AU$500,15,)/VLOOKUP($D292,$C$5:$AU$500,3,))*$E292)</f>
        <v>0</v>
      </c>
      <c r="R292" s="42">
        <f>IF(VLOOKUP($D292,$C$5:$AU$500,3,)=0,0,(VLOOKUP($D292,$C$5:$AU$500,16,)/VLOOKUP($D292,$C$5:$AU$500,3,))*$E292)</f>
        <v>0</v>
      </c>
      <c r="S292" s="107">
        <f>IF(VLOOKUP($D292,$C$5:$AU$500,3,)=0,0,(VLOOKUP($D292,$C$5:$AU$500,17,)/VLOOKUP($D292,$C$5:$AU$500,3,))*$E292)</f>
        <v>0</v>
      </c>
      <c r="T292" s="107">
        <f>IF(VLOOKUP($D292,$C$5:$AU$500,3,)=0,0,(VLOOKUP($D292,$C$5:$AU$500,18,)/VLOOKUP($D292,$C$5:$AU$500,3,))*$E292)</f>
        <v>0</v>
      </c>
      <c r="U292" s="107">
        <f>IF(VLOOKUP($D292,$C$5:$AU$500,3,)=0,0,(VLOOKUP($D292,$C$5:$AU$500,19,)/VLOOKUP($D292,$C$5:$AU$500,3,))*$E292)</f>
        <v>0</v>
      </c>
      <c r="V292" s="107">
        <f>IF(VLOOKUP($D292,$C$5:$AU$500,3,)=0,0,(VLOOKUP($D292,$C$5:$AU$500,20,)/VLOOKUP($D292,$C$5:$AU$500,3,))*$E292)</f>
        <v>0</v>
      </c>
      <c r="W292" s="107">
        <f>IF(VLOOKUP($D292,$C$5:$AU$500,3,)=0,0,(VLOOKUP($D292,$C$5:$AU$500,21,)/VLOOKUP($D292,$C$5:$AU$500,3,))*$E292)</f>
        <v>0</v>
      </c>
      <c r="X292" s="107">
        <f>IF(VLOOKUP($D292,$C$5:$AU$500,3,)=0,0,(VLOOKUP($D292,$C$5:$AU$500,22,)/VLOOKUP($D292,$C$5:$AU$500,3,))*$E292)</f>
        <v>0</v>
      </c>
      <c r="Y292" s="107">
        <f>IF(VLOOKUP($D292,$C$5:$AU$500,3,)=0,0,(VLOOKUP($D292,$C$5:$AU$500,23,)/VLOOKUP($D292,$C$5:$AU$500,3,))*$E292)</f>
        <v>0</v>
      </c>
      <c r="Z292" s="107">
        <f>IF(VLOOKUP($D292,$C$5:$AU$500,3,)=0,0,(VLOOKUP($D292,$C$5:$AU$500,24,)/VLOOKUP($D292,$C$5:$AU$500,3,))*$E292)</f>
        <v>0</v>
      </c>
      <c r="AA292" s="107">
        <f>IF(VLOOKUP($D292,$C$5:$AU$500,3,)=0,0,(VLOOKUP($D292,$C$5:$AU$500,25,)/VLOOKUP($D292,$C$5:$AU$500,3,))*$E292)</f>
        <v>0</v>
      </c>
      <c r="AB292" s="107">
        <f>IF(VLOOKUP($D292,$C$5:$AU$500,3,)=0,0,(VLOOKUP($D292,$C$5:$AU$500,26,)/VLOOKUP($D292,$C$5:$AU$500,3,))*$E292)</f>
        <v>0</v>
      </c>
      <c r="AC292" s="107">
        <f>IF(VLOOKUP($D292,$C$5:$AU$500,3,)=0,0,(VLOOKUP($D292,$C$5:$AU$500,27,)/VLOOKUP($D292,$C$5:$AU$500,3,))*$E292)</f>
        <v>0</v>
      </c>
      <c r="AD292" s="107">
        <f>IF(VLOOKUP($D292,$C$5:$AU$500,3,)=0,0,(VLOOKUP($D292,$C$5:$AU$500,28,)/VLOOKUP($D292,$C$5:$AU$500,3,))*$E292)</f>
        <v>0</v>
      </c>
      <c r="AE292" s="107">
        <f>IF(VLOOKUP($D292,$C$5:$AU$500,3,)=0,0,(VLOOKUP($D292,$C$5:$AU$500,29,)/VLOOKUP($D292,$C$5:$AU$500,3,))*$E292)</f>
        <v>0</v>
      </c>
      <c r="AF292" s="107">
        <f>IF(VLOOKUP($D292,$C$5:$AU$500,3,)=0,0,(VLOOKUP($D292,$C$5:$AU$500,30,)/VLOOKUP($D292,$C$5:$AU$500,3,))*$E292)</f>
        <v>0</v>
      </c>
      <c r="AG292" s="91">
        <f>SUM(F292:AF292)</f>
        <v>4897.7603304283302</v>
      </c>
      <c r="AH292" s="28" t="str">
        <f>IF(ABS(E292-AG292)&lt;0.01,"ok","err")</f>
        <v>ok</v>
      </c>
      <c r="AK292" s="41"/>
      <c r="AL292" s="211"/>
      <c r="AM292" s="24"/>
      <c r="AO292" s="211"/>
    </row>
    <row r="293" spans="1:41" x14ac:dyDescent="0.25">
      <c r="A293" s="14" t="s">
        <v>227</v>
      </c>
      <c r="E293" s="42">
        <f t="shared" ref="E293:T293" si="102">E291+E292</f>
        <v>4897.7603304283293</v>
      </c>
      <c r="F293" s="67">
        <f t="shared" si="102"/>
        <v>2556.8046790265394</v>
      </c>
      <c r="G293" s="67">
        <f t="shared" si="102"/>
        <v>1111.0566340758555</v>
      </c>
      <c r="H293" s="42">
        <f t="shared" si="102"/>
        <v>296.18261155818237</v>
      </c>
      <c r="I293" s="42">
        <f t="shared" si="102"/>
        <v>700.78425035172177</v>
      </c>
      <c r="J293" s="42">
        <f t="shared" si="102"/>
        <v>0</v>
      </c>
      <c r="K293" s="42">
        <f t="shared" si="102"/>
        <v>2.1684917494122384</v>
      </c>
      <c r="L293" s="67">
        <f t="shared" si="102"/>
        <v>230.76366366661904</v>
      </c>
      <c r="M293" s="42">
        <f t="shared" si="102"/>
        <v>0</v>
      </c>
      <c r="N293" s="42">
        <f t="shared" si="102"/>
        <v>0</v>
      </c>
      <c r="O293" s="42">
        <f t="shared" si="102"/>
        <v>0</v>
      </c>
      <c r="P293" s="42">
        <f t="shared" si="102"/>
        <v>0</v>
      </c>
      <c r="Q293" s="42">
        <f t="shared" si="102"/>
        <v>0</v>
      </c>
      <c r="R293" s="42">
        <f t="shared" si="102"/>
        <v>0</v>
      </c>
      <c r="S293" s="107">
        <f t="shared" si="102"/>
        <v>0</v>
      </c>
      <c r="T293" s="107">
        <f t="shared" si="102"/>
        <v>0</v>
      </c>
      <c r="U293" s="107">
        <f t="shared" ref="U293:AF293" si="103">U291+U292</f>
        <v>0</v>
      </c>
      <c r="V293" s="107">
        <f t="shared" si="103"/>
        <v>0</v>
      </c>
      <c r="W293" s="107">
        <f t="shared" si="103"/>
        <v>0</v>
      </c>
      <c r="X293" s="107">
        <f t="shared" si="103"/>
        <v>0</v>
      </c>
      <c r="Y293" s="107">
        <f t="shared" si="103"/>
        <v>0</v>
      </c>
      <c r="Z293" s="107">
        <f t="shared" si="103"/>
        <v>0</v>
      </c>
      <c r="AA293" s="107">
        <f t="shared" si="103"/>
        <v>0</v>
      </c>
      <c r="AB293" s="107">
        <f t="shared" si="103"/>
        <v>0</v>
      </c>
      <c r="AC293" s="107">
        <f t="shared" si="103"/>
        <v>0</v>
      </c>
      <c r="AD293" s="107">
        <f t="shared" si="103"/>
        <v>0</v>
      </c>
      <c r="AE293" s="107">
        <f t="shared" si="103"/>
        <v>0</v>
      </c>
      <c r="AF293" s="107">
        <f t="shared" si="103"/>
        <v>0</v>
      </c>
      <c r="AG293" s="91">
        <f>SUM(F293:AF293)</f>
        <v>4897.7603304283302</v>
      </c>
      <c r="AH293" s="28" t="str">
        <f>IF(ABS(E293-AG293)&lt;0.01,"ok","err")</f>
        <v>ok</v>
      </c>
      <c r="AK293" s="41"/>
    </row>
    <row r="294" spans="1:41" x14ac:dyDescent="0.25">
      <c r="E294" s="23"/>
      <c r="AK294" s="41"/>
    </row>
    <row r="295" spans="1:41" x14ac:dyDescent="0.25">
      <c r="A295" s="13" t="s">
        <v>4</v>
      </c>
      <c r="E295" s="23"/>
      <c r="AK295" s="41"/>
    </row>
    <row r="296" spans="1:41" x14ac:dyDescent="0.25">
      <c r="A296" s="94" t="s">
        <v>220</v>
      </c>
      <c r="C296" s="14" t="s">
        <v>318</v>
      </c>
      <c r="D296" s="14" t="s">
        <v>229</v>
      </c>
      <c r="E296" s="42">
        <f>'Func &amp; Classif'!U316</f>
        <v>4742.4146984580311</v>
      </c>
      <c r="F296" s="67">
        <f>IF(VLOOKUP($D296,$C$5:$AU$500,3,)=0,0,(VLOOKUP($D296,$C$5:$AU$500,4,)/VLOOKUP($D296,$C$5:$AU$500,3,))*$E296)</f>
        <v>2475.7087470307697</v>
      </c>
      <c r="G296" s="67">
        <f>IF(VLOOKUP($D296,$C$5:$AU$500,3,)=0,0,(VLOOKUP($D296,$C$5:$AU$500,5,)/VLOOKUP($D296,$C$5:$AU$500,3,))*$E296)</f>
        <v>1075.8164868797978</v>
      </c>
      <c r="H296" s="42">
        <f>IF(VLOOKUP($D296,$C$5:$AU$500,3,)=0,0,(VLOOKUP($D296,$C$5:$AU$500,6,)/VLOOKUP($D296,$C$5:$AU$500,3,))*$E296)</f>
        <v>286.78838402008324</v>
      </c>
      <c r="I296" s="42">
        <f>IF(VLOOKUP($D296,$C$5:$AU$500,3,)=0,0,(VLOOKUP($D296,$C$5:$AU$500,7,)/VLOOKUP($D296,$C$5:$AU$500,3,))*$E296)</f>
        <v>678.55699444265213</v>
      </c>
      <c r="J296" s="42">
        <f>IF(VLOOKUP($D296,$C$5:$AU$500,3,)=0,0,(VLOOKUP($D296,$C$5:$AU$500,8,)/VLOOKUP($D296,$C$5:$AU$500,3,))*$E296)</f>
        <v>0</v>
      </c>
      <c r="K296" s="42">
        <f>IF(VLOOKUP($D296,$C$5:$AU$500,3,)=0,0,(VLOOKUP($D296,$C$5:$AU$500,9,)/VLOOKUP($D296,$C$5:$AU$500,3,))*$E296)</f>
        <v>2.099712205598717</v>
      </c>
      <c r="L296" s="67">
        <f>IF(VLOOKUP($D296,$C$5:$AU$500,3,)=0,0,(VLOOKUP($D296,$C$5:$AU$500,10,)/VLOOKUP($D296,$C$5:$AU$500,3,))*$E296)</f>
        <v>223.44437387913015</v>
      </c>
      <c r="M296" s="42">
        <f>IF(VLOOKUP($D296,$C$5:$AU$500,3,)=0,0,(VLOOKUP($D296,$C$5:$AU$500,11,)/VLOOKUP($D296,$C$5:$AU$500,3,))*$E296)</f>
        <v>0</v>
      </c>
      <c r="N296" s="42">
        <f>IF(VLOOKUP($D296,$C$5:$AU$500,3,)=0,0,(VLOOKUP($D296,$C$5:$AU$500,12,)/VLOOKUP($D296,$C$5:$AU$500,3,))*$E296)</f>
        <v>0</v>
      </c>
      <c r="O296" s="42">
        <f>IF(VLOOKUP($D296,$C$5:$AU$500,3,)=0,0,(VLOOKUP($D296,$C$5:$AU$500,13,)/VLOOKUP($D296,$C$5:$AU$500,3,))*$E296)</f>
        <v>0</v>
      </c>
      <c r="P296" s="42">
        <f>IF(VLOOKUP($D296,$C$5:$AU$500,3,)=0,0,(VLOOKUP($D296,$C$5:$AU$500,14,)/VLOOKUP($D296,$C$5:$AU$500,3,))*$E296)</f>
        <v>0</v>
      </c>
      <c r="Q296" s="42">
        <f>IF(VLOOKUP($D296,$C$5:$AU$500,3,)=0,0,(VLOOKUP($D296,$C$5:$AU$500,15,)/VLOOKUP($D296,$C$5:$AU$500,3,))*$E296)</f>
        <v>0</v>
      </c>
      <c r="R296" s="42">
        <f>IF(VLOOKUP($D296,$C$5:$AU$500,3,)=0,0,(VLOOKUP($D296,$C$5:$AU$500,16,)/VLOOKUP($D296,$C$5:$AU$500,3,))*$E296)</f>
        <v>0</v>
      </c>
      <c r="S296" s="107">
        <f>IF(VLOOKUP($D296,$C$5:$AU$500,3,)=0,0,(VLOOKUP($D296,$C$5:$AU$500,17,)/VLOOKUP($D296,$C$5:$AU$500,3,))*$E296)</f>
        <v>0</v>
      </c>
      <c r="T296" s="107">
        <f>IF(VLOOKUP($D296,$C$5:$AU$500,3,)=0,0,(VLOOKUP($D296,$C$5:$AU$500,18,)/VLOOKUP($D296,$C$5:$AU$500,3,))*$E296)</f>
        <v>0</v>
      </c>
      <c r="U296" s="107">
        <f>IF(VLOOKUP($D296,$C$5:$AU$500,3,)=0,0,(VLOOKUP($D296,$C$5:$AU$500,19,)/VLOOKUP($D296,$C$5:$AU$500,3,))*$E296)</f>
        <v>0</v>
      </c>
      <c r="V296" s="107">
        <f>IF(VLOOKUP($D296,$C$5:$AU$500,3,)=0,0,(VLOOKUP($D296,$C$5:$AU$500,20,)/VLOOKUP($D296,$C$5:$AU$500,3,))*$E296)</f>
        <v>0</v>
      </c>
      <c r="W296" s="107">
        <f>IF(VLOOKUP($D296,$C$5:$AU$500,3,)=0,0,(VLOOKUP($D296,$C$5:$AU$500,21,)/VLOOKUP($D296,$C$5:$AU$500,3,))*$E296)</f>
        <v>0</v>
      </c>
      <c r="X296" s="107">
        <f>IF(VLOOKUP($D296,$C$5:$AU$500,3,)=0,0,(VLOOKUP($D296,$C$5:$AU$500,22,)/VLOOKUP($D296,$C$5:$AU$500,3,))*$E296)</f>
        <v>0</v>
      </c>
      <c r="Y296" s="107">
        <f>IF(VLOOKUP($D296,$C$5:$AU$500,3,)=0,0,(VLOOKUP($D296,$C$5:$AU$500,23,)/VLOOKUP($D296,$C$5:$AU$500,3,))*$E296)</f>
        <v>0</v>
      </c>
      <c r="Z296" s="107">
        <f>IF(VLOOKUP($D296,$C$5:$AU$500,3,)=0,0,(VLOOKUP($D296,$C$5:$AU$500,24,)/VLOOKUP($D296,$C$5:$AU$500,3,))*$E296)</f>
        <v>0</v>
      </c>
      <c r="AA296" s="107">
        <f>IF(VLOOKUP($D296,$C$5:$AU$500,3,)=0,0,(VLOOKUP($D296,$C$5:$AU$500,25,)/VLOOKUP($D296,$C$5:$AU$500,3,))*$E296)</f>
        <v>0</v>
      </c>
      <c r="AB296" s="107">
        <f>IF(VLOOKUP($D296,$C$5:$AU$500,3,)=0,0,(VLOOKUP($D296,$C$5:$AU$500,26,)/VLOOKUP($D296,$C$5:$AU$500,3,))*$E296)</f>
        <v>0</v>
      </c>
      <c r="AC296" s="107">
        <f>IF(VLOOKUP($D296,$C$5:$AU$500,3,)=0,0,(VLOOKUP($D296,$C$5:$AU$500,27,)/VLOOKUP($D296,$C$5:$AU$500,3,))*$E296)</f>
        <v>0</v>
      </c>
      <c r="AD296" s="107">
        <f>IF(VLOOKUP($D296,$C$5:$AU$500,3,)=0,0,(VLOOKUP($D296,$C$5:$AU$500,28,)/VLOOKUP($D296,$C$5:$AU$500,3,))*$E296)</f>
        <v>0</v>
      </c>
      <c r="AE296" s="107">
        <f>IF(VLOOKUP($D296,$C$5:$AU$500,3,)=0,0,(VLOOKUP($D296,$C$5:$AU$500,29,)/VLOOKUP($D296,$C$5:$AU$500,3,))*$E296)</f>
        <v>0</v>
      </c>
      <c r="AF296" s="107">
        <f>IF(VLOOKUP($D296,$C$5:$AU$500,3,)=0,0,(VLOOKUP($D296,$C$5:$AU$500,30,)/VLOOKUP($D296,$C$5:$AU$500,3,))*$E296)</f>
        <v>0</v>
      </c>
      <c r="AG296" s="91">
        <f>SUM(F296:AF296)</f>
        <v>4742.414698458032</v>
      </c>
      <c r="AH296" s="28" t="str">
        <f>IF(ABS(E296-AG296)&lt;0.01,"ok","err")</f>
        <v>ok</v>
      </c>
      <c r="AK296" s="41"/>
      <c r="AL296" s="211"/>
      <c r="AM296" s="24"/>
      <c r="AO296" s="211"/>
    </row>
    <row r="297" spans="1:41" x14ac:dyDescent="0.25">
      <c r="E297" s="23"/>
      <c r="AK297" s="41"/>
    </row>
    <row r="298" spans="1:41" x14ac:dyDescent="0.25">
      <c r="A298" s="13" t="s">
        <v>5</v>
      </c>
      <c r="E298" s="23"/>
      <c r="AK298" s="41"/>
    </row>
    <row r="299" spans="1:41" x14ac:dyDescent="0.25">
      <c r="A299" s="94" t="s">
        <v>220</v>
      </c>
      <c r="C299" s="14" t="s">
        <v>319</v>
      </c>
      <c r="D299" s="14" t="s">
        <v>231</v>
      </c>
      <c r="E299" s="42">
        <f>'Func &amp; Classif'!W316</f>
        <v>1185.6186882149425</v>
      </c>
      <c r="F299" s="67">
        <f>IF(VLOOKUP($D299,$C$5:$AU$500,3,)=0,0,(VLOOKUP($D299,$C$5:$AU$500,4,)/VLOOKUP($D299,$C$5:$AU$500,3,))*$E299)</f>
        <v>0</v>
      </c>
      <c r="G299" s="67">
        <f>IF(VLOOKUP($D299,$C$5:$AU$500,3,)=0,0,(VLOOKUP($D299,$C$5:$AU$500,5,)/VLOOKUP($D299,$C$5:$AU$500,3,))*$E299)</f>
        <v>0</v>
      </c>
      <c r="H299" s="42">
        <f>IF(VLOOKUP($D299,$C$5:$AU$500,3,)=0,0,(VLOOKUP($D299,$C$5:$AU$500,6,)/VLOOKUP($D299,$C$5:$AU$500,3,))*$E299)</f>
        <v>0</v>
      </c>
      <c r="I299" s="42">
        <f>IF(VLOOKUP($D299,$C$5:$AU$500,3,)=0,0,(VLOOKUP($D299,$C$5:$AU$500,7,)/VLOOKUP($D299,$C$5:$AU$500,3,))*$E299)</f>
        <v>0</v>
      </c>
      <c r="J299" s="42">
        <f>IF(VLOOKUP($D299,$C$5:$AU$500,3,)=0,0,(VLOOKUP($D299,$C$5:$AU$500,8,)/VLOOKUP($D299,$C$5:$AU$500,3,))*$E299)</f>
        <v>0</v>
      </c>
      <c r="K299" s="42">
        <f>IF(VLOOKUP($D299,$C$5:$AU$500,3,)=0,0,(VLOOKUP($D299,$C$5:$AU$500,9,)/VLOOKUP($D299,$C$5:$AU$500,3,))*$E299)</f>
        <v>0</v>
      </c>
      <c r="L299" s="67">
        <f>IF(VLOOKUP($D299,$C$5:$AU$500,3,)=0,0,(VLOOKUP($D299,$C$5:$AU$500,10,)/VLOOKUP($D299,$C$5:$AU$500,3,))*$E299)</f>
        <v>1185.6186882149425</v>
      </c>
      <c r="M299" s="42">
        <f>IF(VLOOKUP($D299,$C$5:$AU$500,3,)=0,0,(VLOOKUP($D299,$C$5:$AU$500,11,)/VLOOKUP($D299,$C$5:$AU$500,3,))*$E299)</f>
        <v>0</v>
      </c>
      <c r="N299" s="42">
        <f>IF(VLOOKUP($D299,$C$5:$AU$500,3,)=0,0,(VLOOKUP($D299,$C$5:$AU$500,12,)/VLOOKUP($D299,$C$5:$AU$500,3,))*$E299)</f>
        <v>0</v>
      </c>
      <c r="O299" s="42">
        <f>IF(VLOOKUP($D299,$C$5:$AU$500,3,)=0,0,(VLOOKUP($D299,$C$5:$AU$500,13,)/VLOOKUP($D299,$C$5:$AU$500,3,))*$E299)</f>
        <v>0</v>
      </c>
      <c r="P299" s="42">
        <f>IF(VLOOKUP($D299,$C$5:$AU$500,3,)=0,0,(VLOOKUP($D299,$C$5:$AU$500,14,)/VLOOKUP($D299,$C$5:$AU$500,3,))*$E299)</f>
        <v>0</v>
      </c>
      <c r="Q299" s="42">
        <f>IF(VLOOKUP($D299,$C$5:$AU$500,3,)=0,0,(VLOOKUP($D299,$C$5:$AU$500,15,)/VLOOKUP($D299,$C$5:$AU$500,3,))*$E299)</f>
        <v>0</v>
      </c>
      <c r="R299" s="42">
        <f>IF(VLOOKUP($D299,$C$5:$AU$500,3,)=0,0,(VLOOKUP($D299,$C$5:$AU$500,16,)/VLOOKUP($D299,$C$5:$AU$500,3,))*$E299)</f>
        <v>0</v>
      </c>
      <c r="S299" s="107">
        <f>IF(VLOOKUP($D299,$C$5:$AU$500,3,)=0,0,(VLOOKUP($D299,$C$5:$AU$500,17,)/VLOOKUP($D299,$C$5:$AU$500,3,))*$E299)</f>
        <v>0</v>
      </c>
      <c r="T299" s="107">
        <f>IF(VLOOKUP($D299,$C$5:$AU$500,3,)=0,0,(VLOOKUP($D299,$C$5:$AU$500,18,)/VLOOKUP($D299,$C$5:$AU$500,3,))*$E299)</f>
        <v>0</v>
      </c>
      <c r="U299" s="107">
        <f>IF(VLOOKUP($D299,$C$5:$AU$500,3,)=0,0,(VLOOKUP($D299,$C$5:$AU$500,19,)/VLOOKUP($D299,$C$5:$AU$500,3,))*$E299)</f>
        <v>0</v>
      </c>
      <c r="V299" s="107">
        <f>IF(VLOOKUP($D299,$C$5:$AU$500,3,)=0,0,(VLOOKUP($D299,$C$5:$AU$500,20,)/VLOOKUP($D299,$C$5:$AU$500,3,))*$E299)</f>
        <v>0</v>
      </c>
      <c r="W299" s="107">
        <f>IF(VLOOKUP($D299,$C$5:$AU$500,3,)=0,0,(VLOOKUP($D299,$C$5:$AU$500,21,)/VLOOKUP($D299,$C$5:$AU$500,3,))*$E299)</f>
        <v>0</v>
      </c>
      <c r="X299" s="107">
        <f>IF(VLOOKUP($D299,$C$5:$AU$500,3,)=0,0,(VLOOKUP($D299,$C$5:$AU$500,22,)/VLOOKUP($D299,$C$5:$AU$500,3,))*$E299)</f>
        <v>0</v>
      </c>
      <c r="Y299" s="107">
        <f>IF(VLOOKUP($D299,$C$5:$AU$500,3,)=0,0,(VLOOKUP($D299,$C$5:$AU$500,23,)/VLOOKUP($D299,$C$5:$AU$500,3,))*$E299)</f>
        <v>0</v>
      </c>
      <c r="Z299" s="107">
        <f>IF(VLOOKUP($D299,$C$5:$AU$500,3,)=0,0,(VLOOKUP($D299,$C$5:$AU$500,24,)/VLOOKUP($D299,$C$5:$AU$500,3,))*$E299)</f>
        <v>0</v>
      </c>
      <c r="AA299" s="107">
        <f>IF(VLOOKUP($D299,$C$5:$AU$500,3,)=0,0,(VLOOKUP($D299,$C$5:$AU$500,25,)/VLOOKUP($D299,$C$5:$AU$500,3,))*$E299)</f>
        <v>0</v>
      </c>
      <c r="AB299" s="107">
        <f>IF(VLOOKUP($D299,$C$5:$AU$500,3,)=0,0,(VLOOKUP($D299,$C$5:$AU$500,26,)/VLOOKUP($D299,$C$5:$AU$500,3,))*$E299)</f>
        <v>0</v>
      </c>
      <c r="AC299" s="107">
        <f>IF(VLOOKUP($D299,$C$5:$AU$500,3,)=0,0,(VLOOKUP($D299,$C$5:$AU$500,27,)/VLOOKUP($D299,$C$5:$AU$500,3,))*$E299)</f>
        <v>0</v>
      </c>
      <c r="AD299" s="107">
        <f>IF(VLOOKUP($D299,$C$5:$AU$500,3,)=0,0,(VLOOKUP($D299,$C$5:$AU$500,28,)/VLOOKUP($D299,$C$5:$AU$500,3,))*$E299)</f>
        <v>0</v>
      </c>
      <c r="AE299" s="107">
        <f>IF(VLOOKUP($D299,$C$5:$AU$500,3,)=0,0,(VLOOKUP($D299,$C$5:$AU$500,29,)/VLOOKUP($D299,$C$5:$AU$500,3,))*$E299)</f>
        <v>0</v>
      </c>
      <c r="AF299" s="107">
        <f>IF(VLOOKUP($D299,$C$5:$AU$500,3,)=0,0,(VLOOKUP($D299,$C$5:$AU$500,30,)/VLOOKUP($D299,$C$5:$AU$500,3,))*$E299)</f>
        <v>0</v>
      </c>
      <c r="AG299" s="91">
        <f>SUM(F299:AF299)</f>
        <v>1185.6186882149425</v>
      </c>
      <c r="AH299" s="28" t="str">
        <f>IF(ABS(E299-AG299)&lt;0.01,"ok","err")</f>
        <v>ok</v>
      </c>
      <c r="AK299" s="41"/>
      <c r="AL299" s="211"/>
      <c r="AM299" s="24"/>
      <c r="AO299" s="211"/>
    </row>
    <row r="300" spans="1:41" x14ac:dyDescent="0.25">
      <c r="E300" s="23"/>
      <c r="AK300" s="41"/>
    </row>
    <row r="301" spans="1:41" x14ac:dyDescent="0.25">
      <c r="A301" s="13" t="s">
        <v>545</v>
      </c>
      <c r="E301" s="23"/>
      <c r="AK301" s="41"/>
    </row>
    <row r="302" spans="1:41" x14ac:dyDescent="0.25">
      <c r="A302" s="94" t="s">
        <v>220</v>
      </c>
      <c r="C302" s="14" t="s">
        <v>320</v>
      </c>
      <c r="D302" s="14" t="s">
        <v>233</v>
      </c>
      <c r="E302" s="42">
        <f>'Func &amp; Classif'!Y316</f>
        <v>0</v>
      </c>
      <c r="F302" s="67">
        <f>IF(VLOOKUP($D302,$C$5:$AU$500,3,)=0,0,(VLOOKUP($D302,$C$5:$AU$500,4,)/VLOOKUP($D302,$C$5:$AU$500,3,))*$E302)</f>
        <v>0</v>
      </c>
      <c r="G302" s="67">
        <f>IF(VLOOKUP($D302,$C$5:$AU$500,3,)=0,0,(VLOOKUP($D302,$C$5:$AU$500,5,)/VLOOKUP($D302,$C$5:$AU$500,3,))*$E302)</f>
        <v>0</v>
      </c>
      <c r="H302" s="42">
        <f>IF(VLOOKUP($D302,$C$5:$AU$500,3,)=0,0,(VLOOKUP($D302,$C$5:$AU$500,6,)/VLOOKUP($D302,$C$5:$AU$500,3,))*$E302)</f>
        <v>0</v>
      </c>
      <c r="I302" s="42">
        <f>IF(VLOOKUP($D302,$C$5:$AU$500,3,)=0,0,(VLOOKUP($D302,$C$5:$AU$500,7,)/VLOOKUP($D302,$C$5:$AU$500,3,))*$E302)</f>
        <v>0</v>
      </c>
      <c r="J302" s="42">
        <f>IF(VLOOKUP($D302,$C$5:$AU$500,3,)=0,0,(VLOOKUP($D302,$C$5:$AU$500,8,)/VLOOKUP($D302,$C$5:$AU$500,3,))*$E302)</f>
        <v>0</v>
      </c>
      <c r="K302" s="42">
        <f>IF(VLOOKUP($D302,$C$5:$AU$500,3,)=0,0,(VLOOKUP($D302,$C$5:$AU$500,9,)/VLOOKUP($D302,$C$5:$AU$500,3,))*$E302)</f>
        <v>0</v>
      </c>
      <c r="L302" s="67">
        <f>IF(VLOOKUP($D302,$C$5:$AU$500,3,)=0,0,(VLOOKUP($D302,$C$5:$AU$500,10,)/VLOOKUP($D302,$C$5:$AU$500,3,))*$E302)</f>
        <v>0</v>
      </c>
      <c r="M302" s="42">
        <f>IF(VLOOKUP($D302,$C$5:$AU$500,3,)=0,0,(VLOOKUP($D302,$C$5:$AU$500,11,)/VLOOKUP($D302,$C$5:$AU$500,3,))*$E302)</f>
        <v>0</v>
      </c>
      <c r="N302" s="42">
        <f>IF(VLOOKUP($D302,$C$5:$AU$500,3,)=0,0,(VLOOKUP($D302,$C$5:$AU$500,12,)/VLOOKUP($D302,$C$5:$AU$500,3,))*$E302)</f>
        <v>0</v>
      </c>
      <c r="O302" s="42">
        <f>IF(VLOOKUP($D302,$C$5:$AU$500,3,)=0,0,(VLOOKUP($D302,$C$5:$AU$500,13,)/VLOOKUP($D302,$C$5:$AU$500,3,))*$E302)</f>
        <v>0</v>
      </c>
      <c r="P302" s="42">
        <f>IF(VLOOKUP($D302,$C$5:$AU$500,3,)=0,0,(VLOOKUP($D302,$C$5:$AU$500,14,)/VLOOKUP($D302,$C$5:$AU$500,3,))*$E302)</f>
        <v>0</v>
      </c>
      <c r="Q302" s="42">
        <f>IF(VLOOKUP($D302,$C$5:$AU$500,3,)=0,0,(VLOOKUP($D302,$C$5:$AU$500,15,)/VLOOKUP($D302,$C$5:$AU$500,3,))*$E302)</f>
        <v>0</v>
      </c>
      <c r="R302" s="42">
        <f>IF(VLOOKUP($D302,$C$5:$AU$500,3,)=0,0,(VLOOKUP($D302,$C$5:$AU$500,16,)/VLOOKUP($D302,$C$5:$AU$500,3,))*$E302)</f>
        <v>0</v>
      </c>
      <c r="S302" s="107">
        <f>IF(VLOOKUP($D302,$C$5:$AU$500,3,)=0,0,(VLOOKUP($D302,$C$5:$AU$500,17,)/VLOOKUP($D302,$C$5:$AU$500,3,))*$E302)</f>
        <v>0</v>
      </c>
      <c r="T302" s="107">
        <f>IF(VLOOKUP($D302,$C$5:$AU$500,3,)=0,0,(VLOOKUP($D302,$C$5:$AU$500,18,)/VLOOKUP($D302,$C$5:$AU$500,3,))*$E302)</f>
        <v>0</v>
      </c>
      <c r="U302" s="107">
        <f>IF(VLOOKUP($D302,$C$5:$AU$500,3,)=0,0,(VLOOKUP($D302,$C$5:$AU$500,19,)/VLOOKUP($D302,$C$5:$AU$500,3,))*$E302)</f>
        <v>0</v>
      </c>
      <c r="V302" s="107">
        <f>IF(VLOOKUP($D302,$C$5:$AU$500,3,)=0,0,(VLOOKUP($D302,$C$5:$AU$500,20,)/VLOOKUP($D302,$C$5:$AU$500,3,))*$E302)</f>
        <v>0</v>
      </c>
      <c r="W302" s="107">
        <f>IF(VLOOKUP($D302,$C$5:$AU$500,3,)=0,0,(VLOOKUP($D302,$C$5:$AU$500,21,)/VLOOKUP($D302,$C$5:$AU$500,3,))*$E302)</f>
        <v>0</v>
      </c>
      <c r="X302" s="107">
        <f>IF(VLOOKUP($D302,$C$5:$AU$500,3,)=0,0,(VLOOKUP($D302,$C$5:$AU$500,22,)/VLOOKUP($D302,$C$5:$AU$500,3,))*$E302)</f>
        <v>0</v>
      </c>
      <c r="Y302" s="107">
        <f>IF(VLOOKUP($D302,$C$5:$AU$500,3,)=0,0,(VLOOKUP($D302,$C$5:$AU$500,23,)/VLOOKUP($D302,$C$5:$AU$500,3,))*$E302)</f>
        <v>0</v>
      </c>
      <c r="Z302" s="107">
        <f>IF(VLOOKUP($D302,$C$5:$AU$500,3,)=0,0,(VLOOKUP($D302,$C$5:$AU$500,24,)/VLOOKUP($D302,$C$5:$AU$500,3,))*$E302)</f>
        <v>0</v>
      </c>
      <c r="AA302" s="107">
        <f>IF(VLOOKUP($D302,$C$5:$AU$500,3,)=0,0,(VLOOKUP($D302,$C$5:$AU$500,25,)/VLOOKUP($D302,$C$5:$AU$500,3,))*$E302)</f>
        <v>0</v>
      </c>
      <c r="AB302" s="107">
        <f>IF(VLOOKUP($D302,$C$5:$AU$500,3,)=0,0,(VLOOKUP($D302,$C$5:$AU$500,26,)/VLOOKUP($D302,$C$5:$AU$500,3,))*$E302)</f>
        <v>0</v>
      </c>
      <c r="AC302" s="107">
        <f>IF(VLOOKUP($D302,$C$5:$AU$500,3,)=0,0,(VLOOKUP($D302,$C$5:$AU$500,27,)/VLOOKUP($D302,$C$5:$AU$500,3,))*$E302)</f>
        <v>0</v>
      </c>
      <c r="AD302" s="107">
        <f>IF(VLOOKUP($D302,$C$5:$AU$500,3,)=0,0,(VLOOKUP($D302,$C$5:$AU$500,28,)/VLOOKUP($D302,$C$5:$AU$500,3,))*$E302)</f>
        <v>0</v>
      </c>
      <c r="AE302" s="107">
        <f>IF(VLOOKUP($D302,$C$5:$AU$500,3,)=0,0,(VLOOKUP($D302,$C$5:$AU$500,29,)/VLOOKUP($D302,$C$5:$AU$500,3,))*$E302)</f>
        <v>0</v>
      </c>
      <c r="AF302" s="107">
        <f>IF(VLOOKUP($D302,$C$5:$AU$500,3,)=0,0,(VLOOKUP($D302,$C$5:$AU$500,30,)/VLOOKUP($D302,$C$5:$AU$500,3,))*$E302)</f>
        <v>0</v>
      </c>
      <c r="AG302" s="91">
        <f>SUM(F302:AF302)</f>
        <v>0</v>
      </c>
      <c r="AH302" s="28" t="str">
        <f>IF(ABS(E302-AG302)&lt;0.01,"ok","err")</f>
        <v>ok</v>
      </c>
      <c r="AK302" s="41"/>
      <c r="AL302" s="211"/>
      <c r="AM302" s="24"/>
      <c r="AO302" s="211"/>
    </row>
    <row r="303" spans="1:41" x14ac:dyDescent="0.25">
      <c r="E303" s="23"/>
      <c r="AK303" s="41"/>
    </row>
    <row r="304" spans="1:41" x14ac:dyDescent="0.25">
      <c r="A304" s="13" t="s">
        <v>470</v>
      </c>
      <c r="E304" s="23"/>
      <c r="AK304" s="41"/>
    </row>
    <row r="305" spans="1:41" x14ac:dyDescent="0.25">
      <c r="A305" s="94" t="s">
        <v>220</v>
      </c>
      <c r="C305" s="14" t="s">
        <v>317</v>
      </c>
      <c r="D305" s="14" t="s">
        <v>234</v>
      </c>
      <c r="E305" s="42">
        <f>'Func &amp; Classif'!AA316</f>
        <v>0</v>
      </c>
      <c r="F305" s="67">
        <f>IF(VLOOKUP($D305,$C$5:$AU$500,3,)=0,0,(VLOOKUP($D305,$C$5:$AU$500,4,)/VLOOKUP($D305,$C$5:$AU$500,3,))*$E305)</f>
        <v>0</v>
      </c>
      <c r="G305" s="67">
        <f>IF(VLOOKUP($D305,$C$5:$AU$500,3,)=0,0,(VLOOKUP($D305,$C$5:$AU$500,5,)/VLOOKUP($D305,$C$5:$AU$500,3,))*$E305)</f>
        <v>0</v>
      </c>
      <c r="H305" s="42">
        <f>IF(VLOOKUP($D305,$C$5:$AU$500,3,)=0,0,(VLOOKUP($D305,$C$5:$AU$500,6,)/VLOOKUP($D305,$C$5:$AU$500,3,))*$E305)</f>
        <v>0</v>
      </c>
      <c r="I305" s="42">
        <f>IF(VLOOKUP($D305,$C$5:$AU$500,3,)=0,0,(VLOOKUP($D305,$C$5:$AU$500,7,)/VLOOKUP($D305,$C$5:$AU$500,3,))*$E305)</f>
        <v>0</v>
      </c>
      <c r="J305" s="42">
        <f>IF(VLOOKUP($D305,$C$5:$AU$500,3,)=0,0,(VLOOKUP($D305,$C$5:$AU$500,8,)/VLOOKUP($D305,$C$5:$AU$500,3,))*$E305)</f>
        <v>0</v>
      </c>
      <c r="K305" s="42">
        <f>IF(VLOOKUP($D305,$C$5:$AU$500,3,)=0,0,(VLOOKUP($D305,$C$5:$AU$500,9,)/VLOOKUP($D305,$C$5:$AU$500,3,))*$E305)</f>
        <v>0</v>
      </c>
      <c r="L305" s="67">
        <f>IF(VLOOKUP($D305,$C$5:$AU$500,3,)=0,0,(VLOOKUP($D305,$C$5:$AU$500,10,)/VLOOKUP($D305,$C$5:$AU$500,3,))*$E305)</f>
        <v>0</v>
      </c>
      <c r="M305" s="42">
        <f>IF(VLOOKUP($D305,$C$5:$AU$500,3,)=0,0,(VLOOKUP($D305,$C$5:$AU$500,11,)/VLOOKUP($D305,$C$5:$AU$500,3,))*$E305)</f>
        <v>0</v>
      </c>
      <c r="N305" s="42">
        <f>IF(VLOOKUP($D305,$C$5:$AU$500,3,)=0,0,(VLOOKUP($D305,$C$5:$AU$500,12,)/VLOOKUP($D305,$C$5:$AU$500,3,))*$E305)</f>
        <v>0</v>
      </c>
      <c r="O305" s="42">
        <f>IF(VLOOKUP($D305,$C$5:$AU$500,3,)=0,0,(VLOOKUP($D305,$C$5:$AU$500,13,)/VLOOKUP($D305,$C$5:$AU$500,3,))*$E305)</f>
        <v>0</v>
      </c>
      <c r="P305" s="42">
        <f>IF(VLOOKUP($D305,$C$5:$AU$500,3,)=0,0,(VLOOKUP($D305,$C$5:$AU$500,14,)/VLOOKUP($D305,$C$5:$AU$500,3,))*$E305)</f>
        <v>0</v>
      </c>
      <c r="Q305" s="42">
        <f>IF(VLOOKUP($D305,$C$5:$AU$500,3,)=0,0,(VLOOKUP($D305,$C$5:$AU$500,15,)/VLOOKUP($D305,$C$5:$AU$500,3,))*$E305)</f>
        <v>0</v>
      </c>
      <c r="R305" s="42">
        <f>IF(VLOOKUP($D305,$C$5:$AU$500,3,)=0,0,(VLOOKUP($D305,$C$5:$AU$500,16,)/VLOOKUP($D305,$C$5:$AU$500,3,))*$E305)</f>
        <v>0</v>
      </c>
      <c r="S305" s="107">
        <f>IF(VLOOKUP($D305,$C$5:$AU$500,3,)=0,0,(VLOOKUP($D305,$C$5:$AU$500,17,)/VLOOKUP($D305,$C$5:$AU$500,3,))*$E305)</f>
        <v>0</v>
      </c>
      <c r="T305" s="107">
        <f>IF(VLOOKUP($D305,$C$5:$AU$500,3,)=0,0,(VLOOKUP($D305,$C$5:$AU$500,18,)/VLOOKUP($D305,$C$5:$AU$500,3,))*$E305)</f>
        <v>0</v>
      </c>
      <c r="U305" s="107">
        <f>IF(VLOOKUP($D305,$C$5:$AU$500,3,)=0,0,(VLOOKUP($D305,$C$5:$AU$500,19,)/VLOOKUP($D305,$C$5:$AU$500,3,))*$E305)</f>
        <v>0</v>
      </c>
      <c r="V305" s="107">
        <f>IF(VLOOKUP($D305,$C$5:$AU$500,3,)=0,0,(VLOOKUP($D305,$C$5:$AU$500,20,)/VLOOKUP($D305,$C$5:$AU$500,3,))*$E305)</f>
        <v>0</v>
      </c>
      <c r="W305" s="107">
        <f>IF(VLOOKUP($D305,$C$5:$AU$500,3,)=0,0,(VLOOKUP($D305,$C$5:$AU$500,21,)/VLOOKUP($D305,$C$5:$AU$500,3,))*$E305)</f>
        <v>0</v>
      </c>
      <c r="X305" s="107">
        <f>IF(VLOOKUP($D305,$C$5:$AU$500,3,)=0,0,(VLOOKUP($D305,$C$5:$AU$500,22,)/VLOOKUP($D305,$C$5:$AU$500,3,))*$E305)</f>
        <v>0</v>
      </c>
      <c r="Y305" s="107">
        <f>IF(VLOOKUP($D305,$C$5:$AU$500,3,)=0,0,(VLOOKUP($D305,$C$5:$AU$500,23,)/VLOOKUP($D305,$C$5:$AU$500,3,))*$E305)</f>
        <v>0</v>
      </c>
      <c r="Z305" s="107">
        <f>IF(VLOOKUP($D305,$C$5:$AU$500,3,)=0,0,(VLOOKUP($D305,$C$5:$AU$500,24,)/VLOOKUP($D305,$C$5:$AU$500,3,))*$E305)</f>
        <v>0</v>
      </c>
      <c r="AA305" s="107">
        <f>IF(VLOOKUP($D305,$C$5:$AU$500,3,)=0,0,(VLOOKUP($D305,$C$5:$AU$500,25,)/VLOOKUP($D305,$C$5:$AU$500,3,))*$E305)</f>
        <v>0</v>
      </c>
      <c r="AB305" s="107">
        <f>IF(VLOOKUP($D305,$C$5:$AU$500,3,)=0,0,(VLOOKUP($D305,$C$5:$AU$500,26,)/VLOOKUP($D305,$C$5:$AU$500,3,))*$E305)</f>
        <v>0</v>
      </c>
      <c r="AC305" s="107">
        <f>IF(VLOOKUP($D305,$C$5:$AU$500,3,)=0,0,(VLOOKUP($D305,$C$5:$AU$500,27,)/VLOOKUP($D305,$C$5:$AU$500,3,))*$E305)</f>
        <v>0</v>
      </c>
      <c r="AD305" s="107">
        <f>IF(VLOOKUP($D305,$C$5:$AU$500,3,)=0,0,(VLOOKUP($D305,$C$5:$AU$500,28,)/VLOOKUP($D305,$C$5:$AU$500,3,))*$E305)</f>
        <v>0</v>
      </c>
      <c r="AE305" s="107">
        <f>IF(VLOOKUP($D305,$C$5:$AU$500,3,)=0,0,(VLOOKUP($D305,$C$5:$AU$500,29,)/VLOOKUP($D305,$C$5:$AU$500,3,))*$E305)</f>
        <v>0</v>
      </c>
      <c r="AF305" s="107">
        <f>IF(VLOOKUP($D305,$C$5:$AU$500,3,)=0,0,(VLOOKUP($D305,$C$5:$AU$500,30,)/VLOOKUP($D305,$C$5:$AU$500,3,))*$E305)</f>
        <v>0</v>
      </c>
      <c r="AG305" s="91">
        <f>SUM(F305:AF305)</f>
        <v>0</v>
      </c>
      <c r="AH305" s="28" t="str">
        <f>IF(ABS(E305-AG305)&lt;0.01,"ok","err")</f>
        <v>ok</v>
      </c>
      <c r="AK305" s="41"/>
      <c r="AL305" s="211"/>
      <c r="AM305" s="24"/>
      <c r="AO305" s="211"/>
    </row>
    <row r="306" spans="1:41" x14ac:dyDescent="0.25">
      <c r="E306" s="23"/>
      <c r="AK306" s="41"/>
    </row>
    <row r="307" spans="1:41" x14ac:dyDescent="0.25">
      <c r="A307" s="14" t="s">
        <v>0</v>
      </c>
      <c r="C307" s="14" t="s">
        <v>321</v>
      </c>
      <c r="E307" s="42">
        <f>E277+E280+E283+E288+E293+E296+E299+E302+E305</f>
        <v>67856.000000000015</v>
      </c>
      <c r="F307" s="42">
        <f t="shared" ref="F307:R307" si="104">F277+F280+F283+F288+F293+F296+F299+F302+F305</f>
        <v>45854.559905613671</v>
      </c>
      <c r="G307" s="42">
        <f t="shared" si="104"/>
        <v>7703.4979489550933</v>
      </c>
      <c r="H307" s="42">
        <f t="shared" si="104"/>
        <v>1705.3133466237848</v>
      </c>
      <c r="I307" s="42">
        <f t="shared" si="104"/>
        <v>9792.3339113328711</v>
      </c>
      <c r="J307" s="42">
        <f t="shared" si="104"/>
        <v>0</v>
      </c>
      <c r="K307" s="42">
        <f t="shared" si="104"/>
        <v>911.410452086595</v>
      </c>
      <c r="L307" s="42">
        <f t="shared" si="104"/>
        <v>1888.8844353879922</v>
      </c>
      <c r="M307" s="42">
        <f t="shared" si="104"/>
        <v>0</v>
      </c>
      <c r="N307" s="42">
        <f t="shared" si="104"/>
        <v>0</v>
      </c>
      <c r="O307" s="42">
        <f t="shared" si="104"/>
        <v>0</v>
      </c>
      <c r="P307" s="42">
        <f t="shared" si="104"/>
        <v>0</v>
      </c>
      <c r="Q307" s="42">
        <f t="shared" si="104"/>
        <v>0</v>
      </c>
      <c r="R307" s="42">
        <f t="shared" si="104"/>
        <v>0</v>
      </c>
      <c r="S307" s="107">
        <f t="shared" ref="S307:AF307" si="105">S277+S283+S288+S293+S296+S299+S302+S305</f>
        <v>0</v>
      </c>
      <c r="T307" s="107">
        <f t="shared" si="105"/>
        <v>0</v>
      </c>
      <c r="U307" s="107">
        <f t="shared" si="105"/>
        <v>0</v>
      </c>
      <c r="V307" s="107">
        <f t="shared" si="105"/>
        <v>0</v>
      </c>
      <c r="W307" s="107">
        <f t="shared" si="105"/>
        <v>0</v>
      </c>
      <c r="X307" s="107">
        <f t="shared" si="105"/>
        <v>0</v>
      </c>
      <c r="Y307" s="107">
        <f t="shared" si="105"/>
        <v>0</v>
      </c>
      <c r="Z307" s="107">
        <f t="shared" si="105"/>
        <v>0</v>
      </c>
      <c r="AA307" s="107">
        <f t="shared" si="105"/>
        <v>0</v>
      </c>
      <c r="AB307" s="107">
        <f t="shared" si="105"/>
        <v>0</v>
      </c>
      <c r="AC307" s="107">
        <f t="shared" si="105"/>
        <v>0</v>
      </c>
      <c r="AD307" s="107">
        <f t="shared" si="105"/>
        <v>0</v>
      </c>
      <c r="AE307" s="107">
        <f t="shared" si="105"/>
        <v>0</v>
      </c>
      <c r="AF307" s="107">
        <f t="shared" si="105"/>
        <v>0</v>
      </c>
      <c r="AG307" s="91">
        <f>SUM(F307:AF307)</f>
        <v>67856.000000000015</v>
      </c>
      <c r="AH307" s="28" t="str">
        <f>IF(ABS(E307-AG307)&lt;0.01,"ok","err")</f>
        <v>ok</v>
      </c>
      <c r="AK307" s="41"/>
      <c r="AL307" s="211"/>
      <c r="AM307" s="24"/>
      <c r="AO307" s="211"/>
    </row>
    <row r="308" spans="1:41" x14ac:dyDescent="0.25">
      <c r="E308" s="200">
        <f>E307/$E307</f>
        <v>1</v>
      </c>
      <c r="F308" s="200">
        <f>F307/$E307</f>
        <v>0.67576279040340814</v>
      </c>
      <c r="G308" s="200">
        <f t="shared" ref="G308" si="106">G307/$E307</f>
        <v>0.11352714496809554</v>
      </c>
      <c r="H308" s="200">
        <f t="shared" ref="H308" si="107">H307/$E307</f>
        <v>2.5131356794149146E-2</v>
      </c>
      <c r="I308" s="200">
        <f t="shared" ref="I308" si="108">I307/$E307</f>
        <v>0.1443105091861128</v>
      </c>
      <c r="J308" s="200">
        <f t="shared" ref="J308" si="109">J307/$E307</f>
        <v>0</v>
      </c>
      <c r="K308" s="200">
        <f t="shared" ref="K308" si="110">K307/$E307</f>
        <v>1.3431538140865874E-2</v>
      </c>
      <c r="L308" s="200">
        <f t="shared" ref="L308" si="111">L307/$E307</f>
        <v>2.7836660507368424E-2</v>
      </c>
      <c r="M308" s="48">
        <f t="shared" ref="M308" si="112">M307/$E307</f>
        <v>0</v>
      </c>
    </row>
    <row r="309" spans="1:41" x14ac:dyDescent="0.25">
      <c r="E309" s="42"/>
      <c r="F309" s="67"/>
      <c r="G309" s="67"/>
      <c r="H309" s="42"/>
      <c r="I309" s="42"/>
      <c r="J309" s="42"/>
      <c r="K309" s="42"/>
      <c r="L309" s="67"/>
      <c r="M309" s="42"/>
      <c r="N309" s="42"/>
      <c r="O309" s="42"/>
      <c r="P309" s="42"/>
      <c r="Q309" s="42"/>
      <c r="R309" s="42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91"/>
      <c r="AH309" s="28"/>
    </row>
    <row r="310" spans="1:41" x14ac:dyDescent="0.25">
      <c r="A310" s="26" t="s">
        <v>582</v>
      </c>
    </row>
    <row r="311" spans="1:41" x14ac:dyDescent="0.25">
      <c r="E311" s="91"/>
    </row>
    <row r="312" spans="1:41" x14ac:dyDescent="0.25">
      <c r="A312" s="13" t="s">
        <v>322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213"/>
      <c r="AL312" s="211"/>
      <c r="AM312" s="24"/>
      <c r="AN312" s="32"/>
      <c r="AO312" s="32"/>
    </row>
    <row r="313" spans="1:41" x14ac:dyDescent="0.25">
      <c r="A313" s="14" t="s">
        <v>763</v>
      </c>
      <c r="C313" s="14" t="s">
        <v>323</v>
      </c>
      <c r="D313" s="14" t="s">
        <v>561</v>
      </c>
      <c r="E313" s="67">
        <v>95173744.519999996</v>
      </c>
      <c r="F313" s="67">
        <f>IF(VLOOKUP($D313,$C$5:$AU$500,3,)=0,0,(VLOOKUP($D313,$C$5:$AU$500,4,)/VLOOKUP($D313,$C$5:$AU$500,3,))*$E313)</f>
        <v>51072587.210000001</v>
      </c>
      <c r="G313" s="67">
        <f>IF(VLOOKUP($D313,$C$5:$AU$500,3,)=0,0,(VLOOKUP($D313,$C$5:$AU$500,5,)/VLOOKUP($D313,$C$5:$AU$500,3,))*$E313)</f>
        <v>6279828.9400000004</v>
      </c>
      <c r="H313" s="42">
        <f>IF(VLOOKUP($D313,$C$5:$AU$500,3,)=0,0,(VLOOKUP($D313,$C$5:$AU$500,6,)/VLOOKUP($D313,$C$5:$AU$500,3,))*$E313)</f>
        <v>1628407.99</v>
      </c>
      <c r="I313" s="42">
        <f>IF(VLOOKUP($D313,$C$5:$AU$500,3,)=0,0,(VLOOKUP($D313,$C$5:$AU$500,7,)/VLOOKUP($D313,$C$5:$AU$500,3,))*$E313)</f>
        <v>19775587.860000003</v>
      </c>
      <c r="J313" s="42">
        <f>IF(VLOOKUP($D313,$C$5:$AU$500,3,)=0,0,(VLOOKUP($D313,$C$5:$AU$500,8,)/VLOOKUP($D313,$C$5:$AU$500,3,))*$E313)</f>
        <v>12887923.620000003</v>
      </c>
      <c r="K313" s="42">
        <f>IF(VLOOKUP($D313,$C$5:$AU$500,3,)=0,0,(VLOOKUP($D313,$C$5:$AU$500,9,)/VLOOKUP($D313,$C$5:$AU$500,3,))*$E313)</f>
        <v>2101023.02</v>
      </c>
      <c r="L313" s="67">
        <f>IF(VLOOKUP($D313,$C$5:$AU$500,3,)=0,0,(VLOOKUP($D313,$C$5:$AU$500,10,)/VLOOKUP($D313,$C$5:$AU$500,3,))*$E313)</f>
        <v>1428385.8800000001</v>
      </c>
      <c r="M313" s="42">
        <f>IF(VLOOKUP($D313,$C$5:$AU$500,3,)=0,0,(VLOOKUP($D313,$C$5:$AU$500,11,)/VLOOKUP($D313,$C$5:$AU$500,3,))*$E313)</f>
        <v>0</v>
      </c>
      <c r="N313" s="42">
        <f>IF(VLOOKUP($D313,$C$5:$AU$500,3,)=0,0,(VLOOKUP($D313,$C$5:$AU$500,12,)/VLOOKUP($D313,$C$5:$AU$500,3,))*$E313)</f>
        <v>0</v>
      </c>
      <c r="O313" s="42">
        <f>IF(VLOOKUP($D313,$C$5:$AU$500,3,)=0,0,(VLOOKUP($D313,$C$5:$AU$500,13,)/VLOOKUP($D313,$C$5:$AU$500,3,))*$E313)</f>
        <v>0</v>
      </c>
      <c r="P313" s="42">
        <f>IF(VLOOKUP($D313,$C$5:$AU$500,3,)=0,0,(VLOOKUP($D313,$C$5:$AU$500,14,)/VLOOKUP($D313,$C$5:$AU$500,3,))*$E313)</f>
        <v>0</v>
      </c>
      <c r="Q313" s="42">
        <f>IF(VLOOKUP($D313,$C$5:$AU$500,3,)=0,0,(VLOOKUP($D313,$C$5:$AU$500,15,)/VLOOKUP($D313,$C$5:$AU$500,3,))*$E313)</f>
        <v>0</v>
      </c>
      <c r="R313" s="42">
        <f>IF(VLOOKUP($D313,$C$5:$AU$500,3,)=0,0,(VLOOKUP($D313,$C$5:$AU$500,16,)/VLOOKUP($D313,$C$5:$AU$500,3,))*$E313)</f>
        <v>0</v>
      </c>
      <c r="S313" s="107">
        <f>IF(VLOOKUP($D313,$C$5:$AU$500,3,)=0,0,(VLOOKUP($D313,$C$5:$AU$500,17,)/VLOOKUP($D313,$C$5:$AU$500,3,))*$E313)</f>
        <v>0</v>
      </c>
      <c r="T313" s="107">
        <f>IF(VLOOKUP($D313,$C$5:$AU$500,3,)=0,0,(VLOOKUP($D313,$C$5:$AU$500,18,)/VLOOKUP($D313,$C$5:$AU$500,3,))*$E313)</f>
        <v>0</v>
      </c>
      <c r="U313" s="107">
        <f>IF(VLOOKUP($D313,$C$5:$AU$500,3,)=0,0,(VLOOKUP($D313,$C$5:$AU$500,19,)/VLOOKUP($D313,$C$5:$AU$500,3,))*$E313)</f>
        <v>0</v>
      </c>
      <c r="V313" s="107">
        <f>IF(VLOOKUP($D313,$C$5:$AU$500,3,)=0,0,(VLOOKUP($D313,$C$5:$AU$500,20,)/VLOOKUP($D313,$C$5:$AU$500,3,))*$E313)</f>
        <v>0</v>
      </c>
      <c r="W313" s="107">
        <f>IF(VLOOKUP($D313,$C$5:$AU$500,3,)=0,0,(VLOOKUP($D313,$C$5:$AU$500,21,)/VLOOKUP($D313,$C$5:$AU$500,3,))*$E313)</f>
        <v>0</v>
      </c>
      <c r="X313" s="107">
        <f>IF(VLOOKUP($D313,$C$5:$AU$500,3,)=0,0,(VLOOKUP($D313,$C$5:$AU$500,22,)/VLOOKUP($D313,$C$5:$AU$500,3,))*$E313)</f>
        <v>0</v>
      </c>
      <c r="Y313" s="107">
        <f>IF(VLOOKUP($D313,$C$5:$AU$500,3,)=0,0,(VLOOKUP($D313,$C$5:$AU$500,23,)/VLOOKUP($D313,$C$5:$AU$500,3,))*$E313)</f>
        <v>0</v>
      </c>
      <c r="Z313" s="107">
        <f>IF(VLOOKUP($D313,$C$5:$AU$500,3,)=0,0,(VLOOKUP($D313,$C$5:$AU$500,24,)/VLOOKUP($D313,$C$5:$AU$500,3,))*$E313)</f>
        <v>0</v>
      </c>
      <c r="AA313" s="107">
        <f>IF(VLOOKUP($D313,$C$5:$AU$500,3,)=0,0,(VLOOKUP($D313,$C$5:$AU$500,25,)/VLOOKUP($D313,$C$5:$AU$500,3,))*$E313)</f>
        <v>0</v>
      </c>
      <c r="AB313" s="107">
        <f>IF(VLOOKUP($D313,$C$5:$AU$500,3,)=0,0,(VLOOKUP($D313,$C$5:$AU$500,26,)/VLOOKUP($D313,$C$5:$AU$500,3,))*$E313)</f>
        <v>0</v>
      </c>
      <c r="AC313" s="107">
        <f>IF(VLOOKUP($D313,$C$5:$AU$500,3,)=0,0,(VLOOKUP($D313,$C$5:$AU$500,27,)/VLOOKUP($D313,$C$5:$AU$500,3,))*$E313)</f>
        <v>0</v>
      </c>
      <c r="AD313" s="107">
        <f>IF(VLOOKUP($D313,$C$5:$AU$500,3,)=0,0,(VLOOKUP($D313,$C$5:$AU$500,28,)/VLOOKUP($D313,$C$5:$AU$500,3,))*$E313)</f>
        <v>0</v>
      </c>
      <c r="AE313" s="107">
        <f>IF(VLOOKUP($D313,$C$5:$AU$500,3,)=0,0,(VLOOKUP($D313,$C$5:$AU$500,29,)/VLOOKUP($D313,$C$5:$AU$500,3,))*$E313)</f>
        <v>0</v>
      </c>
      <c r="AF313" s="107">
        <f>IF(VLOOKUP($D313,$C$5:$AU$500,3,)=0,0,(VLOOKUP($D313,$C$5:$AU$500,30,)/VLOOKUP($D313,$C$5:$AU$500,3,))*$E313)</f>
        <v>0</v>
      </c>
      <c r="AG313" s="91">
        <f t="shared" ref="AG313:AG314" si="113">SUM(F313:AF313)</f>
        <v>95173744.519999996</v>
      </c>
      <c r="AH313" s="28" t="str">
        <f t="shared" ref="AH313:AH314" si="114">IF(ABS(E313-AG313)&lt;0.01,"ok","err")</f>
        <v>ok</v>
      </c>
      <c r="AJ313" s="113"/>
      <c r="AK313" s="113"/>
      <c r="AL313" s="113"/>
      <c r="AM313" s="113"/>
      <c r="AN313" s="113"/>
      <c r="AO313" s="113"/>
    </row>
    <row r="314" spans="1:41" x14ac:dyDescent="0.25">
      <c r="A314" s="14" t="s">
        <v>764</v>
      </c>
      <c r="D314" s="14" t="s">
        <v>948</v>
      </c>
      <c r="E314" s="67">
        <v>1355251.58</v>
      </c>
      <c r="F314" s="67">
        <f>IF(VLOOKUP($D314,$C$5:$AU$500,3,)=0,0,(VLOOKUP($D314,$C$5:$AU$500,4,)/VLOOKUP($D314,$C$5:$AU$500,3,))*$E314)</f>
        <v>1206857.6907032416</v>
      </c>
      <c r="G314" s="67">
        <f>IF(VLOOKUP($D314,$C$5:$AU$500,3,)=0,0,(VLOOKUP($D314,$C$5:$AU$500,5,)/VLOOKUP($D314,$C$5:$AU$500,3,))*$E314)</f>
        <v>148393.88929675854</v>
      </c>
      <c r="H314" s="42">
        <f>IF(VLOOKUP($D314,$C$5:$AU$500,3,)=0,0,(VLOOKUP($D314,$C$5:$AU$500,6,)/VLOOKUP($D314,$C$5:$AU$500,3,))*$E314)</f>
        <v>0</v>
      </c>
      <c r="I314" s="42">
        <f>IF(VLOOKUP($D314,$C$5:$AU$500,3,)=0,0,(VLOOKUP($D314,$C$5:$AU$500,7,)/VLOOKUP($D314,$C$5:$AU$500,3,))*$E314)</f>
        <v>0</v>
      </c>
      <c r="J314" s="42">
        <f>IF(VLOOKUP($D314,$C$5:$AU$500,3,)=0,0,(VLOOKUP($D314,$C$5:$AU$500,8,)/VLOOKUP($D314,$C$5:$AU$500,3,))*$E314)</f>
        <v>0</v>
      </c>
      <c r="K314" s="42">
        <f>IF(VLOOKUP($D314,$C$5:$AU$500,3,)=0,0,(VLOOKUP($D314,$C$5:$AU$500,9,)/VLOOKUP($D314,$C$5:$AU$500,3,))*$E314)</f>
        <v>0</v>
      </c>
      <c r="L314" s="67">
        <f>IF(VLOOKUP($D314,$C$5:$AU$500,3,)=0,0,(VLOOKUP($D314,$C$5:$AU$500,10,)/VLOOKUP($D314,$C$5:$AU$500,3,))*$E314)</f>
        <v>0</v>
      </c>
      <c r="M314" s="42">
        <f>IF(VLOOKUP($D314,$C$5:$AU$500,3,)=0,0,(VLOOKUP($D314,$C$5:$AU$500,11,)/VLOOKUP($D314,$C$5:$AU$500,3,))*$E314)</f>
        <v>0</v>
      </c>
      <c r="N314" s="42">
        <f>IF(VLOOKUP($D314,$C$5:$AU$500,3,)=0,0,(VLOOKUP($D314,$C$5:$AU$500,12,)/VLOOKUP($D314,$C$5:$AU$500,3,))*$E314)</f>
        <v>0</v>
      </c>
      <c r="O314" s="42">
        <f>IF(VLOOKUP($D314,$C$5:$AU$500,3,)=0,0,(VLOOKUP($D314,$C$5:$AU$500,13,)/VLOOKUP($D314,$C$5:$AU$500,3,))*$E314)</f>
        <v>0</v>
      </c>
      <c r="P314" s="42">
        <f>IF(VLOOKUP($D314,$C$5:$AU$500,3,)=0,0,(VLOOKUP($D314,$C$5:$AU$500,14,)/VLOOKUP($D314,$C$5:$AU$500,3,))*$E314)</f>
        <v>0</v>
      </c>
      <c r="Q314" s="42">
        <f>IF(VLOOKUP($D314,$C$5:$AU$500,3,)=0,0,(VLOOKUP($D314,$C$5:$AU$500,15,)/VLOOKUP($D314,$C$5:$AU$500,3,))*$E314)</f>
        <v>0</v>
      </c>
      <c r="R314" s="42">
        <f>IF(VLOOKUP($D314,$C$5:$AU$500,3,)=0,0,(VLOOKUP($D314,$C$5:$AU$500,16,)/VLOOKUP($D314,$C$5:$AU$500,3,))*$E314)</f>
        <v>0</v>
      </c>
      <c r="S314" s="107">
        <f>IF(VLOOKUP($D314,$C$5:$AU$500,3,)=0,0,(VLOOKUP($D314,$C$5:$AU$500,17,)/VLOOKUP($D314,$C$5:$AU$500,3,))*$E314)</f>
        <v>0</v>
      </c>
      <c r="T314" s="107">
        <f>IF(VLOOKUP($D314,$C$5:$AU$500,3,)=0,0,(VLOOKUP($D314,$C$5:$AU$500,18,)/VLOOKUP($D314,$C$5:$AU$500,3,))*$E314)</f>
        <v>0</v>
      </c>
      <c r="U314" s="107">
        <f>IF(VLOOKUP($D314,$C$5:$AU$500,3,)=0,0,(VLOOKUP($D314,$C$5:$AU$500,19,)/VLOOKUP($D314,$C$5:$AU$500,3,))*$E314)</f>
        <v>0</v>
      </c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91">
        <f t="shared" si="113"/>
        <v>1355251.58</v>
      </c>
      <c r="AH314" s="28" t="str">
        <f t="shared" si="114"/>
        <v>ok</v>
      </c>
      <c r="AJ314" s="113"/>
      <c r="AK314" s="113"/>
      <c r="AL314" s="113"/>
      <c r="AM314" s="113"/>
      <c r="AN314" s="113"/>
      <c r="AO314" s="113"/>
    </row>
    <row r="315" spans="1:41" x14ac:dyDescent="0.25">
      <c r="AG315" s="91"/>
    </row>
    <row r="316" spans="1:41" x14ac:dyDescent="0.25">
      <c r="A316" s="14" t="s">
        <v>324</v>
      </c>
      <c r="C316" s="14" t="s">
        <v>325</v>
      </c>
      <c r="E316" s="91">
        <f t="shared" ref="E316:AF316" si="115">SUM(E313:E315)</f>
        <v>96528996.099999994</v>
      </c>
      <c r="F316" s="91">
        <f t="shared" si="115"/>
        <v>52279444.900703244</v>
      </c>
      <c r="G316" s="91">
        <f t="shared" si="115"/>
        <v>6428222.8292967593</v>
      </c>
      <c r="H316" s="91">
        <f t="shared" si="115"/>
        <v>1628407.99</v>
      </c>
      <c r="I316" s="91">
        <f t="shared" si="115"/>
        <v>19775587.860000003</v>
      </c>
      <c r="J316" s="91">
        <f t="shared" si="115"/>
        <v>12887923.620000003</v>
      </c>
      <c r="K316" s="91">
        <f t="shared" si="115"/>
        <v>2101023.02</v>
      </c>
      <c r="L316" s="91">
        <f t="shared" si="115"/>
        <v>1428385.8800000001</v>
      </c>
      <c r="M316" s="91">
        <f t="shared" si="115"/>
        <v>0</v>
      </c>
      <c r="N316" s="91">
        <f t="shared" si="115"/>
        <v>0</v>
      </c>
      <c r="O316" s="91">
        <f t="shared" si="115"/>
        <v>0</v>
      </c>
      <c r="P316" s="91">
        <f t="shared" si="115"/>
        <v>0</v>
      </c>
      <c r="Q316" s="91">
        <f t="shared" si="115"/>
        <v>0</v>
      </c>
      <c r="R316" s="91">
        <f t="shared" si="115"/>
        <v>0</v>
      </c>
      <c r="S316" s="114">
        <f t="shared" si="115"/>
        <v>0</v>
      </c>
      <c r="T316" s="114">
        <f t="shared" si="115"/>
        <v>0</v>
      </c>
      <c r="U316" s="114">
        <f t="shared" si="115"/>
        <v>0</v>
      </c>
      <c r="V316" s="114">
        <f t="shared" si="115"/>
        <v>0</v>
      </c>
      <c r="W316" s="114">
        <f t="shared" si="115"/>
        <v>0</v>
      </c>
      <c r="X316" s="114">
        <f t="shared" si="115"/>
        <v>0</v>
      </c>
      <c r="Y316" s="114">
        <f t="shared" si="115"/>
        <v>0</v>
      </c>
      <c r="Z316" s="114">
        <f t="shared" si="115"/>
        <v>0</v>
      </c>
      <c r="AA316" s="114">
        <f t="shared" si="115"/>
        <v>0</v>
      </c>
      <c r="AB316" s="114">
        <f t="shared" si="115"/>
        <v>0</v>
      </c>
      <c r="AC316" s="114">
        <f t="shared" si="115"/>
        <v>0</v>
      </c>
      <c r="AD316" s="114">
        <f t="shared" si="115"/>
        <v>0</v>
      </c>
      <c r="AE316" s="114">
        <f t="shared" si="115"/>
        <v>0</v>
      </c>
      <c r="AF316" s="114">
        <f t="shared" si="115"/>
        <v>0</v>
      </c>
      <c r="AG316" s="91">
        <f>SUM(F316:AF316)</f>
        <v>96528996.100000009</v>
      </c>
      <c r="AH316" s="28" t="str">
        <f>IF(ABS(E316-AG316)&lt;0.01,"ok","err")</f>
        <v>ok</v>
      </c>
    </row>
    <row r="318" spans="1:41" x14ac:dyDescent="0.25">
      <c r="A318" s="13" t="s">
        <v>326</v>
      </c>
      <c r="AJ318" s="32"/>
      <c r="AK318" s="112"/>
      <c r="AL318" s="32"/>
      <c r="AM318" s="32"/>
      <c r="AN318" s="32"/>
      <c r="AO318" s="32"/>
    </row>
    <row r="319" spans="1:41" x14ac:dyDescent="0.25">
      <c r="A319" s="94" t="s">
        <v>327</v>
      </c>
      <c r="E319" s="91">
        <f t="shared" ref="E319:AF319" si="116">E155</f>
        <v>87132925.350000009</v>
      </c>
      <c r="F319" s="91">
        <f t="shared" si="116"/>
        <v>46156798.461013772</v>
      </c>
      <c r="G319" s="91">
        <f t="shared" si="116"/>
        <v>5922452.4518673187</v>
      </c>
      <c r="H319" s="91">
        <f t="shared" si="116"/>
        <v>1503328.5041251797</v>
      </c>
      <c r="I319" s="91">
        <f t="shared" si="116"/>
        <v>18020518.069993239</v>
      </c>
      <c r="J319" s="91">
        <f t="shared" si="116"/>
        <v>12768580.189999999</v>
      </c>
      <c r="K319" s="91">
        <f t="shared" si="116"/>
        <v>1969161.4765679771</v>
      </c>
      <c r="L319" s="91">
        <f t="shared" si="116"/>
        <v>792086.19643254962</v>
      </c>
      <c r="M319" s="91">
        <f t="shared" si="116"/>
        <v>0</v>
      </c>
      <c r="N319" s="91">
        <f t="shared" si="116"/>
        <v>0</v>
      </c>
      <c r="O319" s="91">
        <f t="shared" si="116"/>
        <v>0</v>
      </c>
      <c r="P319" s="91">
        <f t="shared" si="116"/>
        <v>0</v>
      </c>
      <c r="Q319" s="91">
        <f t="shared" si="116"/>
        <v>0</v>
      </c>
      <c r="R319" s="91">
        <f t="shared" si="116"/>
        <v>0</v>
      </c>
      <c r="S319" s="114">
        <f t="shared" si="116"/>
        <v>0</v>
      </c>
      <c r="T319" s="114">
        <f t="shared" si="116"/>
        <v>0</v>
      </c>
      <c r="U319" s="114">
        <f t="shared" si="116"/>
        <v>0</v>
      </c>
      <c r="V319" s="114">
        <f t="shared" si="116"/>
        <v>0</v>
      </c>
      <c r="W319" s="114">
        <f t="shared" si="116"/>
        <v>0</v>
      </c>
      <c r="X319" s="114">
        <f t="shared" si="116"/>
        <v>0</v>
      </c>
      <c r="Y319" s="114">
        <f t="shared" si="116"/>
        <v>0</v>
      </c>
      <c r="Z319" s="114">
        <f t="shared" si="116"/>
        <v>0</v>
      </c>
      <c r="AA319" s="114">
        <f t="shared" si="116"/>
        <v>0</v>
      </c>
      <c r="AB319" s="114">
        <f t="shared" si="116"/>
        <v>0</v>
      </c>
      <c r="AC319" s="114">
        <f t="shared" si="116"/>
        <v>0</v>
      </c>
      <c r="AD319" s="114">
        <f t="shared" si="116"/>
        <v>0</v>
      </c>
      <c r="AE319" s="114">
        <f t="shared" si="116"/>
        <v>0</v>
      </c>
      <c r="AF319" s="114">
        <f t="shared" si="116"/>
        <v>0</v>
      </c>
      <c r="AG319" s="91">
        <f>SUM(F319:AF319)</f>
        <v>87132925.350000039</v>
      </c>
      <c r="AH319" s="28" t="str">
        <f>IF(ABS(E319-AG319)&lt;0.01,"ok","err")</f>
        <v>ok</v>
      </c>
      <c r="AI319" s="153">
        <f>M319/AG319</f>
        <v>0</v>
      </c>
      <c r="AJ319" s="113"/>
      <c r="AK319" s="113"/>
      <c r="AL319" s="113"/>
      <c r="AM319" s="113"/>
      <c r="AN319" s="113"/>
      <c r="AO319" s="113"/>
    </row>
    <row r="320" spans="1:41" x14ac:dyDescent="0.25">
      <c r="A320" s="94" t="s">
        <v>328</v>
      </c>
      <c r="E320" s="50">
        <f t="shared" ref="E320:AF320" si="117">E231</f>
        <v>7326399.9100000001</v>
      </c>
      <c r="F320" s="50">
        <f t="shared" si="117"/>
        <v>4980400.5819721017</v>
      </c>
      <c r="G320" s="50">
        <f t="shared" si="117"/>
        <v>823074.75580967288</v>
      </c>
      <c r="H320" s="23">
        <f t="shared" si="117"/>
        <v>176251.7119998619</v>
      </c>
      <c r="I320" s="23">
        <f t="shared" si="117"/>
        <v>1003530.966284255</v>
      </c>
      <c r="J320" s="23">
        <f t="shared" si="117"/>
        <v>0</v>
      </c>
      <c r="K320" s="23">
        <f t="shared" si="117"/>
        <v>93622.806084060678</v>
      </c>
      <c r="L320" s="50">
        <f t="shared" si="117"/>
        <v>249519.0878500471</v>
      </c>
      <c r="M320" s="23">
        <f t="shared" si="117"/>
        <v>0</v>
      </c>
      <c r="N320" s="23">
        <f t="shared" si="117"/>
        <v>0</v>
      </c>
      <c r="O320" s="23">
        <f t="shared" si="117"/>
        <v>0</v>
      </c>
      <c r="P320" s="23">
        <f t="shared" si="117"/>
        <v>0</v>
      </c>
      <c r="Q320" s="23">
        <f t="shared" si="117"/>
        <v>0</v>
      </c>
      <c r="R320" s="23">
        <f t="shared" si="117"/>
        <v>0</v>
      </c>
      <c r="S320" s="115">
        <f t="shared" si="117"/>
        <v>0</v>
      </c>
      <c r="T320" s="115">
        <f t="shared" si="117"/>
        <v>0</v>
      </c>
      <c r="U320" s="115">
        <f t="shared" si="117"/>
        <v>0</v>
      </c>
      <c r="V320" s="115">
        <f t="shared" si="117"/>
        <v>0</v>
      </c>
      <c r="W320" s="115">
        <f t="shared" si="117"/>
        <v>0</v>
      </c>
      <c r="X320" s="115">
        <f t="shared" si="117"/>
        <v>0</v>
      </c>
      <c r="Y320" s="115">
        <f t="shared" si="117"/>
        <v>0</v>
      </c>
      <c r="Z320" s="115">
        <f t="shared" si="117"/>
        <v>0</v>
      </c>
      <c r="AA320" s="115">
        <f t="shared" si="117"/>
        <v>0</v>
      </c>
      <c r="AB320" s="115">
        <f t="shared" si="117"/>
        <v>0</v>
      </c>
      <c r="AC320" s="115">
        <f t="shared" si="117"/>
        <v>0</v>
      </c>
      <c r="AD320" s="115">
        <f t="shared" si="117"/>
        <v>0</v>
      </c>
      <c r="AE320" s="115">
        <f t="shared" si="117"/>
        <v>0</v>
      </c>
      <c r="AF320" s="115">
        <f t="shared" si="117"/>
        <v>0</v>
      </c>
      <c r="AG320" s="91">
        <f>SUM(F320:AF320)</f>
        <v>7326399.9100000001</v>
      </c>
      <c r="AH320" s="28" t="str">
        <f>IF(ABS(E320-AG320)&lt;0.01,"ok","err")</f>
        <v>ok</v>
      </c>
      <c r="AI320" s="153">
        <f t="shared" ref="AI320:AI328" si="118">M320/AG320</f>
        <v>0</v>
      </c>
      <c r="AJ320" s="113"/>
      <c r="AK320" s="113"/>
      <c r="AL320" s="113"/>
      <c r="AM320" s="113"/>
      <c r="AN320" s="113"/>
      <c r="AO320" s="113"/>
    </row>
    <row r="321" spans="1:41" x14ac:dyDescent="0.25">
      <c r="A321" s="94" t="s">
        <v>329</v>
      </c>
      <c r="D321" s="14" t="s">
        <v>247</v>
      </c>
      <c r="E321" s="50">
        <f t="shared" ref="E321:AF321" si="119">E269</f>
        <v>0</v>
      </c>
      <c r="F321" s="50">
        <f t="shared" si="119"/>
        <v>0</v>
      </c>
      <c r="G321" s="50">
        <f t="shared" si="119"/>
        <v>0</v>
      </c>
      <c r="H321" s="23">
        <f t="shared" si="119"/>
        <v>0</v>
      </c>
      <c r="I321" s="23">
        <f t="shared" si="119"/>
        <v>0</v>
      </c>
      <c r="J321" s="23">
        <f t="shared" si="119"/>
        <v>0</v>
      </c>
      <c r="K321" s="23">
        <f t="shared" si="119"/>
        <v>0</v>
      </c>
      <c r="L321" s="50">
        <f t="shared" si="119"/>
        <v>0</v>
      </c>
      <c r="M321" s="23">
        <f t="shared" si="119"/>
        <v>0</v>
      </c>
      <c r="N321" s="23">
        <f t="shared" si="119"/>
        <v>0</v>
      </c>
      <c r="O321" s="23">
        <f t="shared" si="119"/>
        <v>0</v>
      </c>
      <c r="P321" s="23">
        <f t="shared" si="119"/>
        <v>0</v>
      </c>
      <c r="Q321" s="23">
        <f t="shared" si="119"/>
        <v>0</v>
      </c>
      <c r="R321" s="23">
        <f t="shared" si="119"/>
        <v>0</v>
      </c>
      <c r="S321" s="115">
        <f t="shared" si="119"/>
        <v>0</v>
      </c>
      <c r="T321" s="115">
        <f t="shared" si="119"/>
        <v>0</v>
      </c>
      <c r="U321" s="115">
        <f t="shared" si="119"/>
        <v>0</v>
      </c>
      <c r="V321" s="115">
        <f t="shared" si="119"/>
        <v>0</v>
      </c>
      <c r="W321" s="115">
        <f t="shared" si="119"/>
        <v>0</v>
      </c>
      <c r="X321" s="115">
        <f t="shared" si="119"/>
        <v>0</v>
      </c>
      <c r="Y321" s="115">
        <f t="shared" si="119"/>
        <v>0</v>
      </c>
      <c r="Z321" s="115">
        <f t="shared" si="119"/>
        <v>0</v>
      </c>
      <c r="AA321" s="115">
        <f t="shared" si="119"/>
        <v>0</v>
      </c>
      <c r="AB321" s="115">
        <f t="shared" si="119"/>
        <v>0</v>
      </c>
      <c r="AC321" s="115">
        <f t="shared" si="119"/>
        <v>0</v>
      </c>
      <c r="AD321" s="115">
        <f t="shared" si="119"/>
        <v>0</v>
      </c>
      <c r="AE321" s="115">
        <f t="shared" si="119"/>
        <v>0</v>
      </c>
      <c r="AF321" s="115">
        <f t="shared" si="119"/>
        <v>0</v>
      </c>
      <c r="AG321" s="91">
        <f>SUM(F321:AF321)</f>
        <v>0</v>
      </c>
      <c r="AH321" s="28" t="str">
        <f>IF(ABS(E321-AG321)&lt;0.01,"ok","err")</f>
        <v>ok</v>
      </c>
      <c r="AI321" s="153"/>
      <c r="AJ321" s="113"/>
      <c r="AK321" s="113"/>
      <c r="AL321" s="113"/>
      <c r="AM321" s="113"/>
      <c r="AN321" s="113"/>
      <c r="AO321" s="113"/>
    </row>
    <row r="322" spans="1:41" x14ac:dyDescent="0.25">
      <c r="A322" s="94" t="s">
        <v>330</v>
      </c>
      <c r="E322" s="50">
        <f t="shared" ref="E322:AF322" si="120">E307</f>
        <v>67856.000000000015</v>
      </c>
      <c r="F322" s="50">
        <f t="shared" si="120"/>
        <v>45854.559905613671</v>
      </c>
      <c r="G322" s="50">
        <f t="shared" si="120"/>
        <v>7703.4979489550933</v>
      </c>
      <c r="H322" s="23">
        <f t="shared" si="120"/>
        <v>1705.3133466237848</v>
      </c>
      <c r="I322" s="23">
        <f t="shared" si="120"/>
        <v>9792.3339113328711</v>
      </c>
      <c r="J322" s="23">
        <f t="shared" si="120"/>
        <v>0</v>
      </c>
      <c r="K322" s="23">
        <f t="shared" si="120"/>
        <v>911.410452086595</v>
      </c>
      <c r="L322" s="50">
        <f t="shared" si="120"/>
        <v>1888.8844353879922</v>
      </c>
      <c r="M322" s="23">
        <f t="shared" si="120"/>
        <v>0</v>
      </c>
      <c r="N322" s="23">
        <f t="shared" si="120"/>
        <v>0</v>
      </c>
      <c r="O322" s="23">
        <f t="shared" si="120"/>
        <v>0</v>
      </c>
      <c r="P322" s="23">
        <f t="shared" si="120"/>
        <v>0</v>
      </c>
      <c r="Q322" s="23">
        <f t="shared" si="120"/>
        <v>0</v>
      </c>
      <c r="R322" s="23">
        <f t="shared" si="120"/>
        <v>0</v>
      </c>
      <c r="S322" s="115">
        <f t="shared" si="120"/>
        <v>0</v>
      </c>
      <c r="T322" s="115">
        <f t="shared" si="120"/>
        <v>0</v>
      </c>
      <c r="U322" s="115">
        <f t="shared" si="120"/>
        <v>0</v>
      </c>
      <c r="V322" s="115">
        <f t="shared" si="120"/>
        <v>0</v>
      </c>
      <c r="W322" s="115">
        <f t="shared" si="120"/>
        <v>0</v>
      </c>
      <c r="X322" s="115">
        <f t="shared" si="120"/>
        <v>0</v>
      </c>
      <c r="Y322" s="115">
        <f t="shared" si="120"/>
        <v>0</v>
      </c>
      <c r="Z322" s="115">
        <f t="shared" si="120"/>
        <v>0</v>
      </c>
      <c r="AA322" s="115">
        <f t="shared" si="120"/>
        <v>0</v>
      </c>
      <c r="AB322" s="115">
        <f t="shared" si="120"/>
        <v>0</v>
      </c>
      <c r="AC322" s="115">
        <f t="shared" si="120"/>
        <v>0</v>
      </c>
      <c r="AD322" s="115">
        <f t="shared" si="120"/>
        <v>0</v>
      </c>
      <c r="AE322" s="115">
        <f t="shared" si="120"/>
        <v>0</v>
      </c>
      <c r="AF322" s="115">
        <f t="shared" si="120"/>
        <v>0</v>
      </c>
      <c r="AG322" s="91">
        <f>SUM(F322:AF322)</f>
        <v>67856.000000000015</v>
      </c>
      <c r="AH322" s="28" t="str">
        <f>IF(ABS(E322-AG322)&lt;0.01,"ok","err")</f>
        <v>ok</v>
      </c>
      <c r="AI322" s="153">
        <f t="shared" si="118"/>
        <v>0</v>
      </c>
      <c r="AJ322" s="113"/>
      <c r="AK322" s="113"/>
      <c r="AL322" s="113"/>
      <c r="AM322" s="113"/>
      <c r="AN322" s="113"/>
      <c r="AO322" s="113"/>
    </row>
    <row r="323" spans="1:41" x14ac:dyDescent="0.25">
      <c r="A323" s="94"/>
      <c r="AG323" s="91"/>
      <c r="AH323" s="28"/>
      <c r="AI323" s="153"/>
      <c r="AJ323" s="113"/>
      <c r="AK323" s="113"/>
      <c r="AL323" s="113"/>
      <c r="AM323" s="113"/>
      <c r="AN323" s="113"/>
      <c r="AO323" s="113"/>
    </row>
    <row r="324" spans="1:41" x14ac:dyDescent="0.25">
      <c r="A324" s="14" t="s">
        <v>331</v>
      </c>
      <c r="C324" s="14" t="s">
        <v>197</v>
      </c>
      <c r="E324" s="91">
        <f t="shared" ref="E324:T324" si="121">SUM(E319:E323)</f>
        <v>94527181.260000005</v>
      </c>
      <c r="F324" s="91">
        <f t="shared" si="121"/>
        <v>51183053.602891482</v>
      </c>
      <c r="G324" s="91">
        <f t="shared" si="121"/>
        <v>6753230.7056259466</v>
      </c>
      <c r="H324" s="91">
        <f t="shared" si="121"/>
        <v>1681285.5294716654</v>
      </c>
      <c r="I324" s="91">
        <f t="shared" si="121"/>
        <v>19033841.370188829</v>
      </c>
      <c r="J324" s="91">
        <f t="shared" si="121"/>
        <v>12768580.189999999</v>
      </c>
      <c r="K324" s="91">
        <f t="shared" si="121"/>
        <v>2063695.6931041244</v>
      </c>
      <c r="L324" s="91">
        <f t="shared" si="121"/>
        <v>1043494.1687179848</v>
      </c>
      <c r="M324" s="91">
        <f t="shared" si="121"/>
        <v>0</v>
      </c>
      <c r="N324" s="91">
        <f t="shared" si="121"/>
        <v>0</v>
      </c>
      <c r="O324" s="91">
        <f t="shared" si="121"/>
        <v>0</v>
      </c>
      <c r="P324" s="91">
        <f t="shared" si="121"/>
        <v>0</v>
      </c>
      <c r="Q324" s="91">
        <f t="shared" si="121"/>
        <v>0</v>
      </c>
      <c r="R324" s="91">
        <f t="shared" si="121"/>
        <v>0</v>
      </c>
      <c r="S324" s="114">
        <f t="shared" si="121"/>
        <v>0</v>
      </c>
      <c r="T324" s="114">
        <f t="shared" si="121"/>
        <v>0</v>
      </c>
      <c r="U324" s="114">
        <f t="shared" ref="U324:AF324" si="122">SUM(U319:U323)</f>
        <v>0</v>
      </c>
      <c r="V324" s="114">
        <f t="shared" si="122"/>
        <v>0</v>
      </c>
      <c r="W324" s="114">
        <f t="shared" si="122"/>
        <v>0</v>
      </c>
      <c r="X324" s="114">
        <f t="shared" si="122"/>
        <v>0</v>
      </c>
      <c r="Y324" s="114">
        <f t="shared" si="122"/>
        <v>0</v>
      </c>
      <c r="Z324" s="114">
        <f t="shared" si="122"/>
        <v>0</v>
      </c>
      <c r="AA324" s="114">
        <f t="shared" si="122"/>
        <v>0</v>
      </c>
      <c r="AB324" s="114">
        <f t="shared" si="122"/>
        <v>0</v>
      </c>
      <c r="AC324" s="114">
        <f t="shared" si="122"/>
        <v>0</v>
      </c>
      <c r="AD324" s="114">
        <f t="shared" si="122"/>
        <v>0</v>
      </c>
      <c r="AE324" s="114">
        <f t="shared" si="122"/>
        <v>0</v>
      </c>
      <c r="AF324" s="114">
        <f t="shared" si="122"/>
        <v>0</v>
      </c>
      <c r="AG324" s="91">
        <f>SUM(F324:AF324)</f>
        <v>94527181.26000002</v>
      </c>
      <c r="AH324" s="28" t="str">
        <f>IF(ABS(E324-AG324)&lt;0.01,"ok","err")</f>
        <v>ok</v>
      </c>
      <c r="AI324" s="153">
        <f t="shared" si="118"/>
        <v>0</v>
      </c>
      <c r="AJ324" s="113"/>
      <c r="AK324" s="113"/>
      <c r="AL324" s="113"/>
      <c r="AM324" s="113"/>
      <c r="AN324" s="113"/>
      <c r="AO324" s="113"/>
    </row>
    <row r="325" spans="1:41" x14ac:dyDescent="0.25">
      <c r="A325" s="94"/>
      <c r="AI325" s="153"/>
    </row>
    <row r="326" spans="1:41" x14ac:dyDescent="0.25">
      <c r="A326" s="14" t="s">
        <v>332</v>
      </c>
      <c r="C326" s="14" t="s">
        <v>181</v>
      </c>
      <c r="E326" s="91">
        <f>E316-E324</f>
        <v>2001814.8399999887</v>
      </c>
      <c r="F326" s="91">
        <f t="shared" ref="F326:R326" si="123">F316-F324</f>
        <v>1096391.2978117615</v>
      </c>
      <c r="G326" s="91">
        <f t="shared" si="123"/>
        <v>-325007.8763291873</v>
      </c>
      <c r="H326" s="91">
        <f t="shared" si="123"/>
        <v>-52877.539471665397</v>
      </c>
      <c r="I326" s="91">
        <f t="shared" si="123"/>
        <v>741746.48981117457</v>
      </c>
      <c r="J326" s="91">
        <f t="shared" si="123"/>
        <v>119343.43000000343</v>
      </c>
      <c r="K326" s="91">
        <f t="shared" si="123"/>
        <v>37327.326895875623</v>
      </c>
      <c r="L326" s="91">
        <f t="shared" si="123"/>
        <v>384891.71128201531</v>
      </c>
      <c r="M326" s="91">
        <f t="shared" si="123"/>
        <v>0</v>
      </c>
      <c r="N326" s="91">
        <f t="shared" si="123"/>
        <v>0</v>
      </c>
      <c r="O326" s="91">
        <f t="shared" si="123"/>
        <v>0</v>
      </c>
      <c r="P326" s="91">
        <f t="shared" si="123"/>
        <v>0</v>
      </c>
      <c r="Q326" s="91">
        <f>Q316-Q324</f>
        <v>0</v>
      </c>
      <c r="R326" s="91">
        <f t="shared" si="123"/>
        <v>0</v>
      </c>
      <c r="S326" s="114">
        <f>S316-S324</f>
        <v>0</v>
      </c>
      <c r="T326" s="114">
        <f>T316-T324</f>
        <v>0</v>
      </c>
      <c r="U326" s="114">
        <f t="shared" ref="U326:AF326" si="124">U316-U324</f>
        <v>0</v>
      </c>
      <c r="V326" s="114">
        <f t="shared" si="124"/>
        <v>0</v>
      </c>
      <c r="W326" s="114">
        <f t="shared" si="124"/>
        <v>0</v>
      </c>
      <c r="X326" s="114">
        <f t="shared" si="124"/>
        <v>0</v>
      </c>
      <c r="Y326" s="114">
        <f t="shared" si="124"/>
        <v>0</v>
      </c>
      <c r="Z326" s="114">
        <f t="shared" si="124"/>
        <v>0</v>
      </c>
      <c r="AA326" s="114">
        <f t="shared" si="124"/>
        <v>0</v>
      </c>
      <c r="AB326" s="114">
        <f t="shared" si="124"/>
        <v>0</v>
      </c>
      <c r="AC326" s="114">
        <f t="shared" si="124"/>
        <v>0</v>
      </c>
      <c r="AD326" s="114">
        <f t="shared" si="124"/>
        <v>0</v>
      </c>
      <c r="AE326" s="114">
        <f t="shared" si="124"/>
        <v>0</v>
      </c>
      <c r="AF326" s="114">
        <f t="shared" si="124"/>
        <v>0</v>
      </c>
      <c r="AG326" s="91">
        <f>SUM(F326:AF326)</f>
        <v>2001814.8399999777</v>
      </c>
      <c r="AH326" s="28" t="str">
        <f>IF(ABS(E326-AG326)&lt;0.01,"ok","err")</f>
        <v>ok</v>
      </c>
      <c r="AI326" s="153">
        <f t="shared" si="118"/>
        <v>0</v>
      </c>
    </row>
    <row r="327" spans="1:41" x14ac:dyDescent="0.25">
      <c r="B327" s="14">
        <v>4</v>
      </c>
      <c r="AI327" s="153"/>
    </row>
    <row r="328" spans="1:41" x14ac:dyDescent="0.25">
      <c r="A328" s="13" t="s">
        <v>248</v>
      </c>
      <c r="E328" s="91">
        <f t="shared" ref="E328:AF328" si="125">E117</f>
        <v>145760700.83865386</v>
      </c>
      <c r="F328" s="91">
        <f t="shared" si="125"/>
        <v>98616400.151465937</v>
      </c>
      <c r="G328" s="91">
        <f t="shared" si="125"/>
        <v>16588510.91325848</v>
      </c>
      <c r="H328" s="91">
        <f t="shared" si="125"/>
        <v>3656491.4272460788</v>
      </c>
      <c r="I328" s="91">
        <f t="shared" si="125"/>
        <v>20919998.758337852</v>
      </c>
      <c r="J328" s="91">
        <f t="shared" si="125"/>
        <v>0</v>
      </c>
      <c r="K328" s="91">
        <f t="shared" si="125"/>
        <v>1944754.8143174979</v>
      </c>
      <c r="L328" s="91">
        <f t="shared" si="125"/>
        <v>4034544.774028019</v>
      </c>
      <c r="M328" s="91">
        <f t="shared" si="125"/>
        <v>0</v>
      </c>
      <c r="N328" s="91">
        <f t="shared" si="125"/>
        <v>0</v>
      </c>
      <c r="O328" s="91">
        <f t="shared" si="125"/>
        <v>0</v>
      </c>
      <c r="P328" s="91">
        <f t="shared" si="125"/>
        <v>0</v>
      </c>
      <c r="Q328" s="91">
        <f t="shared" si="125"/>
        <v>0</v>
      </c>
      <c r="R328" s="91">
        <f t="shared" si="125"/>
        <v>0</v>
      </c>
      <c r="S328" s="114">
        <f t="shared" si="125"/>
        <v>0</v>
      </c>
      <c r="T328" s="114">
        <f t="shared" si="125"/>
        <v>0</v>
      </c>
      <c r="U328" s="114">
        <f t="shared" si="125"/>
        <v>0</v>
      </c>
      <c r="V328" s="114">
        <f t="shared" si="125"/>
        <v>0</v>
      </c>
      <c r="W328" s="114">
        <f t="shared" si="125"/>
        <v>0</v>
      </c>
      <c r="X328" s="114">
        <f t="shared" si="125"/>
        <v>0</v>
      </c>
      <c r="Y328" s="114">
        <f t="shared" si="125"/>
        <v>0</v>
      </c>
      <c r="Z328" s="114">
        <f t="shared" si="125"/>
        <v>0</v>
      </c>
      <c r="AA328" s="114">
        <f t="shared" si="125"/>
        <v>0</v>
      </c>
      <c r="AB328" s="114">
        <f t="shared" si="125"/>
        <v>0</v>
      </c>
      <c r="AC328" s="114">
        <f t="shared" si="125"/>
        <v>0</v>
      </c>
      <c r="AD328" s="114">
        <f t="shared" si="125"/>
        <v>0</v>
      </c>
      <c r="AE328" s="114">
        <f t="shared" si="125"/>
        <v>0</v>
      </c>
      <c r="AF328" s="114">
        <f t="shared" si="125"/>
        <v>0</v>
      </c>
      <c r="AG328" s="91">
        <f>SUM(F328:AF328)</f>
        <v>145760700.83865386</v>
      </c>
      <c r="AH328" s="28" t="str">
        <f>IF(ABS(E328-AG328)&lt;0.01,"ok","err")</f>
        <v>ok</v>
      </c>
      <c r="AI328" s="153">
        <f t="shared" si="118"/>
        <v>0</v>
      </c>
    </row>
    <row r="329" spans="1:41" ht="13.8" thickBot="1" x14ac:dyDescent="0.3"/>
    <row r="330" spans="1:41" s="13" customFormat="1" ht="13.8" thickBot="1" x14ac:dyDescent="0.3">
      <c r="A330" s="116" t="s">
        <v>333</v>
      </c>
      <c r="B330" s="117"/>
      <c r="C330" s="117"/>
      <c r="D330" s="117"/>
      <c r="E330" s="118">
        <f>IF(E328=0,"NA",E326/E328)</f>
        <v>1.3733570355262268E-2</v>
      </c>
      <c r="F330" s="118">
        <f t="shared" ref="F330:AG330" si="126">IF(F328=0,"NA",F326/F328)</f>
        <v>1.1117737984024999E-2</v>
      </c>
      <c r="G330" s="118">
        <f t="shared" si="126"/>
        <v>-1.9592347862243776E-2</v>
      </c>
      <c r="H330" s="118">
        <f t="shared" si="126"/>
        <v>-1.4461278119689348E-2</v>
      </c>
      <c r="I330" s="118">
        <f t="shared" si="126"/>
        <v>3.5456335269405545E-2</v>
      </c>
      <c r="J330" s="234" t="str">
        <f t="shared" si="126"/>
        <v>NA</v>
      </c>
      <c r="K330" s="118">
        <f t="shared" si="126"/>
        <v>1.9193847276308434E-2</v>
      </c>
      <c r="L330" s="118">
        <f t="shared" si="126"/>
        <v>9.5399043222848201E-2</v>
      </c>
      <c r="M330" s="118" t="str">
        <f t="shared" si="126"/>
        <v>NA</v>
      </c>
      <c r="N330" s="118" t="str">
        <f t="shared" si="126"/>
        <v>NA</v>
      </c>
      <c r="O330" s="118" t="str">
        <f t="shared" si="126"/>
        <v>NA</v>
      </c>
      <c r="P330" s="118" t="str">
        <f t="shared" si="126"/>
        <v>NA</v>
      </c>
      <c r="Q330" s="118" t="str">
        <f t="shared" si="126"/>
        <v>NA</v>
      </c>
      <c r="R330" s="118" t="str">
        <f t="shared" si="126"/>
        <v>NA</v>
      </c>
      <c r="S330" s="118" t="str">
        <f t="shared" si="126"/>
        <v>NA</v>
      </c>
      <c r="T330" s="118" t="str">
        <f t="shared" si="126"/>
        <v>NA</v>
      </c>
      <c r="U330" s="118" t="str">
        <f t="shared" si="126"/>
        <v>NA</v>
      </c>
      <c r="V330" s="118" t="str">
        <f t="shared" si="126"/>
        <v>NA</v>
      </c>
      <c r="W330" s="118" t="str">
        <f t="shared" si="126"/>
        <v>NA</v>
      </c>
      <c r="X330" s="118" t="str">
        <f t="shared" si="126"/>
        <v>NA</v>
      </c>
      <c r="Y330" s="118" t="str">
        <f t="shared" si="126"/>
        <v>NA</v>
      </c>
      <c r="Z330" s="118" t="str">
        <f t="shared" si="126"/>
        <v>NA</v>
      </c>
      <c r="AA330" s="118" t="str">
        <f t="shared" si="126"/>
        <v>NA</v>
      </c>
      <c r="AB330" s="118" t="str">
        <f t="shared" si="126"/>
        <v>NA</v>
      </c>
      <c r="AC330" s="118" t="str">
        <f t="shared" si="126"/>
        <v>NA</v>
      </c>
      <c r="AD330" s="118" t="str">
        <f t="shared" si="126"/>
        <v>NA</v>
      </c>
      <c r="AE330" s="118" t="str">
        <f t="shared" si="126"/>
        <v>NA</v>
      </c>
      <c r="AF330" s="118" t="str">
        <f t="shared" si="126"/>
        <v>NA</v>
      </c>
      <c r="AG330" s="118">
        <f t="shared" si="126"/>
        <v>1.3733570355262193E-2</v>
      </c>
      <c r="AH330" s="28" t="str">
        <f>IF(ABS(E330-AG330)&lt;0.01,"ok","err")</f>
        <v>ok</v>
      </c>
      <c r="AK330" s="120"/>
    </row>
    <row r="331" spans="1:41" s="13" customFormat="1" x14ac:dyDescent="0.25">
      <c r="A331" s="13" t="s">
        <v>945</v>
      </c>
      <c r="E331" s="121">
        <f>IF(E330="NA","NA",E330/$E$330)</f>
        <v>1</v>
      </c>
      <c r="F331" s="121">
        <f t="shared" ref="F331:AG331" si="127">IF(F330="NA","NA",F330/$E$330)</f>
        <v>0.80953005638224551</v>
      </c>
      <c r="G331" s="121">
        <f t="shared" si="127"/>
        <v>-1.4266026499610578</v>
      </c>
      <c r="H331" s="121">
        <f t="shared" si="127"/>
        <v>-1.0529875149435008</v>
      </c>
      <c r="I331" s="121">
        <f t="shared" si="127"/>
        <v>2.5817274279167912</v>
      </c>
      <c r="J331" s="235" t="str">
        <f t="shared" si="127"/>
        <v>NA</v>
      </c>
      <c r="K331" s="121">
        <f t="shared" si="127"/>
        <v>1.3975861177973987</v>
      </c>
      <c r="L331" s="121">
        <f t="shared" si="127"/>
        <v>6.9464123862222262</v>
      </c>
      <c r="M331" s="121" t="str">
        <f t="shared" si="127"/>
        <v>NA</v>
      </c>
      <c r="N331" s="121" t="str">
        <f t="shared" si="127"/>
        <v>NA</v>
      </c>
      <c r="O331" s="121" t="str">
        <f t="shared" si="127"/>
        <v>NA</v>
      </c>
      <c r="P331" s="121" t="str">
        <f t="shared" si="127"/>
        <v>NA</v>
      </c>
      <c r="Q331" s="121" t="str">
        <f t="shared" si="127"/>
        <v>NA</v>
      </c>
      <c r="R331" s="121" t="str">
        <f t="shared" si="127"/>
        <v>NA</v>
      </c>
      <c r="S331" s="121" t="str">
        <f t="shared" si="127"/>
        <v>NA</v>
      </c>
      <c r="T331" s="121" t="str">
        <f t="shared" si="127"/>
        <v>NA</v>
      </c>
      <c r="U331" s="121" t="str">
        <f t="shared" si="127"/>
        <v>NA</v>
      </c>
      <c r="V331" s="121" t="str">
        <f t="shared" si="127"/>
        <v>NA</v>
      </c>
      <c r="W331" s="121" t="str">
        <f t="shared" si="127"/>
        <v>NA</v>
      </c>
      <c r="X331" s="121" t="str">
        <f t="shared" si="127"/>
        <v>NA</v>
      </c>
      <c r="Y331" s="121" t="str">
        <f t="shared" si="127"/>
        <v>NA</v>
      </c>
      <c r="Z331" s="121" t="str">
        <f t="shared" si="127"/>
        <v>NA</v>
      </c>
      <c r="AA331" s="121" t="str">
        <f t="shared" si="127"/>
        <v>NA</v>
      </c>
      <c r="AB331" s="121" t="str">
        <f t="shared" si="127"/>
        <v>NA</v>
      </c>
      <c r="AC331" s="121" t="str">
        <f t="shared" si="127"/>
        <v>NA</v>
      </c>
      <c r="AD331" s="121" t="str">
        <f t="shared" si="127"/>
        <v>NA</v>
      </c>
      <c r="AE331" s="121" t="str">
        <f t="shared" si="127"/>
        <v>NA</v>
      </c>
      <c r="AF331" s="121" t="str">
        <f t="shared" si="127"/>
        <v>NA</v>
      </c>
      <c r="AG331" s="121">
        <f t="shared" si="127"/>
        <v>0.99999999999999456</v>
      </c>
      <c r="AH331" s="28"/>
      <c r="AK331" s="120"/>
    </row>
    <row r="334" spans="1:41" x14ac:dyDescent="0.25">
      <c r="A334" s="26" t="s">
        <v>865</v>
      </c>
    </row>
    <row r="336" spans="1:41" x14ac:dyDescent="0.25">
      <c r="A336" s="13" t="s">
        <v>322</v>
      </c>
    </row>
    <row r="338" spans="1:40" x14ac:dyDescent="0.25">
      <c r="A338" s="14" t="s">
        <v>568</v>
      </c>
      <c r="E338" s="91">
        <f t="shared" ref="E338:AF338" si="128">E316</f>
        <v>96528996.099999994</v>
      </c>
      <c r="F338" s="91">
        <f t="shared" si="128"/>
        <v>52279444.900703244</v>
      </c>
      <c r="G338" s="91">
        <f t="shared" si="128"/>
        <v>6428222.8292967593</v>
      </c>
      <c r="H338" s="91">
        <f t="shared" si="128"/>
        <v>1628407.99</v>
      </c>
      <c r="I338" s="91">
        <f t="shared" si="128"/>
        <v>19775587.860000003</v>
      </c>
      <c r="J338" s="91">
        <f t="shared" si="128"/>
        <v>12887923.620000003</v>
      </c>
      <c r="K338" s="91">
        <f t="shared" si="128"/>
        <v>2101023.02</v>
      </c>
      <c r="L338" s="91">
        <f t="shared" si="128"/>
        <v>1428385.8800000001</v>
      </c>
      <c r="M338" s="91">
        <f t="shared" si="128"/>
        <v>0</v>
      </c>
      <c r="N338" s="91">
        <f t="shared" si="128"/>
        <v>0</v>
      </c>
      <c r="O338" s="91">
        <f t="shared" si="128"/>
        <v>0</v>
      </c>
      <c r="P338" s="91">
        <f t="shared" si="128"/>
        <v>0</v>
      </c>
      <c r="Q338" s="91">
        <f t="shared" si="128"/>
        <v>0</v>
      </c>
      <c r="R338" s="91">
        <f t="shared" si="128"/>
        <v>0</v>
      </c>
      <c r="S338" s="114">
        <f t="shared" si="128"/>
        <v>0</v>
      </c>
      <c r="T338" s="114">
        <f t="shared" si="128"/>
        <v>0</v>
      </c>
      <c r="U338" s="114">
        <f t="shared" si="128"/>
        <v>0</v>
      </c>
      <c r="V338" s="114">
        <f t="shared" si="128"/>
        <v>0</v>
      </c>
      <c r="W338" s="114">
        <f t="shared" si="128"/>
        <v>0</v>
      </c>
      <c r="X338" s="114">
        <f t="shared" si="128"/>
        <v>0</v>
      </c>
      <c r="Y338" s="114">
        <f t="shared" si="128"/>
        <v>0</v>
      </c>
      <c r="Z338" s="114">
        <f t="shared" si="128"/>
        <v>0</v>
      </c>
      <c r="AA338" s="114">
        <f t="shared" si="128"/>
        <v>0</v>
      </c>
      <c r="AB338" s="114">
        <f t="shared" si="128"/>
        <v>0</v>
      </c>
      <c r="AC338" s="114">
        <f t="shared" si="128"/>
        <v>0</v>
      </c>
      <c r="AD338" s="114">
        <f t="shared" si="128"/>
        <v>0</v>
      </c>
      <c r="AE338" s="114">
        <f t="shared" si="128"/>
        <v>0</v>
      </c>
      <c r="AF338" s="114">
        <f t="shared" si="128"/>
        <v>0</v>
      </c>
      <c r="AG338" s="91">
        <f>SUM(F338:AF338)</f>
        <v>96528996.100000009</v>
      </c>
      <c r="AH338" s="28" t="str">
        <f>IF(ABS(E338-AG338)&lt;0.01,"ok","err")</f>
        <v>ok</v>
      </c>
    </row>
    <row r="339" spans="1:40" x14ac:dyDescent="0.25"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91"/>
      <c r="AH339" s="28"/>
    </row>
    <row r="340" spans="1:40" x14ac:dyDescent="0.25">
      <c r="A340" s="14" t="s">
        <v>569</v>
      </c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91"/>
      <c r="AH340" s="28"/>
    </row>
    <row r="341" spans="1:40" x14ac:dyDescent="0.25">
      <c r="A341" s="14">
        <v>1</v>
      </c>
      <c r="B341" s="14" t="s">
        <v>957</v>
      </c>
      <c r="C341" s="14" t="s">
        <v>957</v>
      </c>
      <c r="D341" s="14" t="s">
        <v>11</v>
      </c>
      <c r="E341" s="91">
        <f>-9297926.7*AI341</f>
        <v>-9297926.6999999993</v>
      </c>
      <c r="F341" s="67">
        <f>IF(VLOOKUP($D341,$C$5:$AU$518,3,)=0,0,(VLOOKUP($D341,$C$5:$AU$518,4,)/VLOOKUP($D341,$C$5:$AU$518,3,))*$E341)</f>
        <v>-4894845.7654412892</v>
      </c>
      <c r="G341" s="67">
        <f>IF(VLOOKUP($D341,$C$5:$AU$518,3,)=0,0,(VLOOKUP($D341,$C$5:$AU$518,5,)/VLOOKUP($D341,$C$5:$AU$518,3,))*$E341)</f>
        <v>-556142.7251887836</v>
      </c>
      <c r="H341" s="67">
        <f>IF(VLOOKUP($D341,$C$5:$AU$518,3,)=0,0,(VLOOKUP($D341,$C$5:$AU$518,6,)/VLOOKUP($D341,$C$5:$AU$518,3,))*$E341)</f>
        <v>-169122.38020282713</v>
      </c>
      <c r="I341" s="67">
        <f>IF(VLOOKUP($D341,$C$5:$AU$518,3,)=0,0,(VLOOKUP($D341,$C$5:$AU$518,7,)/VLOOKUP($D341,$C$5:$AU$518,3,))*$E341)</f>
        <v>-2403461.0543214511</v>
      </c>
      <c r="J341" s="67">
        <f>IF(VLOOKUP($D341,$C$5:$AU$518,3,)=0,0,(VLOOKUP($D341,$C$5:$AU$518,8,)/VLOOKUP($D341,$C$5:$AU$518,3,))*$E341)</f>
        <v>-921429.61084807478</v>
      </c>
      <c r="K341" s="42">
        <f>IF(VLOOKUP($D341,$C$5:$AU$518,3,)=0,0,(VLOOKUP($D341,$C$5:$AU$518,9,)/VLOOKUP($D341,$C$5:$AU$518,3,))*$E341)</f>
        <v>-257802.93060612291</v>
      </c>
      <c r="L341" s="67">
        <f>IF(VLOOKUP($D341,$C$5:$AU$518,3,)=0,0,(VLOOKUP($D341,$C$5:$AU$518,10,)/VLOOKUP($D341,$C$5:$AU$518,3,))*$E341)</f>
        <v>-95122.233391450936</v>
      </c>
      <c r="M341" s="42">
        <f>IF(VLOOKUP($D341,$C$5:$AU$518,3,)=0,0,(VLOOKUP($D341,$C$5:$AU$518,11,)/VLOOKUP($D341,$C$5:$AU$518,3,))*$E341)</f>
        <v>0</v>
      </c>
      <c r="N341" s="42">
        <f>IF(VLOOKUP($D341,$C$5:$AU$518,3,)=0,0,(VLOOKUP($D341,$C$5:$AU$518,12,)/VLOOKUP($D341,$C$5:$AU$518,3,))*$E341)</f>
        <v>0</v>
      </c>
      <c r="O341" s="42">
        <f>IF(VLOOKUP($D341,$C$5:$AU$518,3,)=0,0,(VLOOKUP($D341,$C$5:$AU$518,13,)/VLOOKUP($D341,$C$5:$AU$518,3,))*$E341)</f>
        <v>0</v>
      </c>
      <c r="P341" s="42">
        <f>IF(VLOOKUP($D341,$C$5:$AU$518,3,)=0,0,(VLOOKUP($D341,$C$5:$AU$518,14,)/VLOOKUP($D341,$C$5:$AU$518,3,))*$E341)</f>
        <v>0</v>
      </c>
      <c r="Q341" s="42">
        <f>IF(VLOOKUP($D341,$C$5:$AU$518,3,)=0,0,(VLOOKUP($D341,$C$5:$AU$518,15,)/VLOOKUP($D341,$C$5:$AU$518,3,))*$E341)</f>
        <v>0</v>
      </c>
      <c r="R341" s="42">
        <f>IF(VLOOKUP($D341,$C$5:$AU$518,3,)=0,0,(VLOOKUP($D341,$C$5:$AU$518,16,)/VLOOKUP($D341,$C$5:$AU$518,3,))*$E341)</f>
        <v>0</v>
      </c>
      <c r="S341" s="107">
        <f>IF(VLOOKUP($D341,$C$5:$AU$518,3,)=0,0,(VLOOKUP($D341,$C$5:$AU$518,17,)/VLOOKUP($D341,$C$5:$AU$518,3,))*$E341)</f>
        <v>0</v>
      </c>
      <c r="T341" s="107">
        <f>IF(VLOOKUP($D341,$C$5:$AU$518,3,)=0,0,(VLOOKUP($D341,$C$5:$AU$518,18,)/VLOOKUP($D341,$C$5:$AU$518,3,))*$E341)</f>
        <v>0</v>
      </c>
      <c r="U341" s="107">
        <f>IF(VLOOKUP($D341,$C$5:$AU$518,3,)=0,0,(VLOOKUP($D341,$C$5:$AU$518,19,)/VLOOKUP($D341,$C$5:$AU$518,3,))*$E341)</f>
        <v>0</v>
      </c>
      <c r="V341" s="107">
        <f>IF(VLOOKUP($D341,$C$5:$AU$518,3,)=0,0,(VLOOKUP($D341,$C$5:$AU$518,20,)/VLOOKUP($D341,$C$5:$AU$518,3,))*$E341)</f>
        <v>0</v>
      </c>
      <c r="W341" s="107">
        <f>IF(VLOOKUP($D341,$C$5:$AU$518,3,)=0,0,(VLOOKUP($D341,$C$5:$AU$518,21,)/VLOOKUP($D341,$C$5:$AU$518,3,))*$E341)</f>
        <v>0</v>
      </c>
      <c r="X341" s="107">
        <f>IF(VLOOKUP($D341,$C$5:$AU$518,3,)=0,0,(VLOOKUP($D341,$C$5:$AU$518,22,)/VLOOKUP($D341,$C$5:$AU$518,3,))*$E341)</f>
        <v>0</v>
      </c>
      <c r="Y341" s="107">
        <f>IF(VLOOKUP($D341,$C$5:$AU$518,3,)=0,0,(VLOOKUP($D341,$C$5:$AU$518,23,)/VLOOKUP($D341,$C$5:$AU$518,3,))*$E341)</f>
        <v>0</v>
      </c>
      <c r="Z341" s="107">
        <f>IF(VLOOKUP($D341,$C$5:$AU$518,3,)=0,0,(VLOOKUP($D341,$C$5:$AU$518,24,)/VLOOKUP($D341,$C$5:$AU$518,3,))*$E341)</f>
        <v>0</v>
      </c>
      <c r="AA341" s="107">
        <f>IF(VLOOKUP($D341,$C$5:$AU$518,3,)=0,0,(VLOOKUP($D341,$C$5:$AU$518,25,)/VLOOKUP($D341,$C$5:$AU$518,3,))*$E341)</f>
        <v>0</v>
      </c>
      <c r="AB341" s="107">
        <f>IF(VLOOKUP($D341,$C$5:$AU$518,3,)=0,0,(VLOOKUP($D341,$C$5:$AU$518,26,)/VLOOKUP($D341,$C$5:$AU$518,3,))*$E341)</f>
        <v>0</v>
      </c>
      <c r="AC341" s="107">
        <f>IF(VLOOKUP($D341,$C$5:$AU$518,3,)=0,0,(VLOOKUP($D341,$C$5:$AU$518,27,)/VLOOKUP($D341,$C$5:$AU$518,3,))*$E341)</f>
        <v>0</v>
      </c>
      <c r="AD341" s="107">
        <f>IF(VLOOKUP($D341,$C$5:$AU$518,3,)=0,0,(VLOOKUP($D341,$C$5:$AU$518,28,)/VLOOKUP($D341,$C$5:$AU$518,3,))*$E341)</f>
        <v>0</v>
      </c>
      <c r="AE341" s="107">
        <f>IF(VLOOKUP($D341,$C$5:$AU$518,3,)=0,0,(VLOOKUP($D341,$C$5:$AU$518,29,)/VLOOKUP($D341,$C$5:$AU$518,3,))*$E341)</f>
        <v>0</v>
      </c>
      <c r="AF341" s="107">
        <f>IF(VLOOKUP($D341,$C$5:$AU$518,3,)=0,0,(VLOOKUP($D341,$C$5:$AU$518,30,)/VLOOKUP($D341,$C$5:$AU$518,3,))*$E341)</f>
        <v>0</v>
      </c>
      <c r="AG341" s="91">
        <f t="shared" ref="AG341:AG344" si="129">SUM(F341:AF341)</f>
        <v>-9297926.6999999993</v>
      </c>
      <c r="AH341" s="28" t="str">
        <f t="shared" ref="AH341:AH344" si="130">IF(ABS(E341-AG341)&lt;0.01,"ok","err")</f>
        <v>ok</v>
      </c>
      <c r="AI341" s="14">
        <v>1</v>
      </c>
    </row>
    <row r="342" spans="1:40" x14ac:dyDescent="0.25">
      <c r="A342" s="14">
        <v>2</v>
      </c>
      <c r="B342" s="14" t="s">
        <v>958</v>
      </c>
      <c r="C342" s="14" t="s">
        <v>958</v>
      </c>
      <c r="D342" s="14" t="s">
        <v>11</v>
      </c>
      <c r="E342" s="91">
        <f>-3734412.78*AI342</f>
        <v>-3734412.78</v>
      </c>
      <c r="F342" s="67">
        <f>IF(VLOOKUP($D342,$C$5:$AU$518,3,)=0,0,(VLOOKUP($D342,$C$5:$AU$518,4,)/VLOOKUP($D342,$C$5:$AU$518,3,))*$E342)</f>
        <v>-1965962.4314518238</v>
      </c>
      <c r="G342" s="67">
        <f>IF(VLOOKUP($D342,$C$5:$AU$518,3,)=0,0,(VLOOKUP($D342,$C$5:$AU$518,5,)/VLOOKUP($D342,$C$5:$AU$518,3,))*$E342)</f>
        <v>-223368.77536892405</v>
      </c>
      <c r="H342" s="67">
        <f>IF(VLOOKUP($D342,$C$5:$AU$518,3,)=0,0,(VLOOKUP($D342,$C$5:$AU$518,6,)/VLOOKUP($D342,$C$5:$AU$518,3,))*$E342)</f>
        <v>-67926.194558347794</v>
      </c>
      <c r="I342" s="67">
        <f>IF(VLOOKUP($D342,$C$5:$AU$518,3,)=0,0,(VLOOKUP($D342,$C$5:$AU$518,7,)/VLOOKUP($D342,$C$5:$AU$518,3,))*$E342)</f>
        <v>-965324.41769951803</v>
      </c>
      <c r="J342" s="67">
        <f>IF(VLOOKUP($D342,$C$5:$AU$518,3,)=0,0,(VLOOKUP($D342,$C$5:$AU$518,8,)/VLOOKUP($D342,$C$5:$AU$518,3,))*$E342)</f>
        <v>-370082.34476848232</v>
      </c>
      <c r="K342" s="42">
        <f>IF(VLOOKUP($D342,$C$5:$AU$518,3,)=0,0,(VLOOKUP($D342,$C$5:$AU$518,9,)/VLOOKUP($D342,$C$5:$AU$518,3,))*$E342)</f>
        <v>-103543.78882949879</v>
      </c>
      <c r="L342" s="67">
        <f>IF(VLOOKUP($D342,$C$5:$AU$518,3,)=0,0,(VLOOKUP($D342,$C$5:$AU$518,10,)/VLOOKUP($D342,$C$5:$AU$518,3,))*$E342)</f>
        <v>-38204.827323405021</v>
      </c>
      <c r="M342" s="42">
        <f>IF(VLOOKUP($D342,$C$5:$AU$518,3,)=0,0,(VLOOKUP($D342,$C$5:$AU$518,11,)/VLOOKUP($D342,$C$5:$AU$518,3,))*$E342)</f>
        <v>0</v>
      </c>
      <c r="N342" s="42">
        <f>IF(VLOOKUP($D342,$C$5:$AU$518,3,)=0,0,(VLOOKUP($D342,$C$5:$AU$518,12,)/VLOOKUP($D342,$C$5:$AU$518,3,))*$E342)</f>
        <v>0</v>
      </c>
      <c r="O342" s="42">
        <f>IF(VLOOKUP($D342,$C$5:$AU$518,3,)=0,0,(VLOOKUP($D342,$C$5:$AU$518,13,)/VLOOKUP($D342,$C$5:$AU$518,3,))*$E342)</f>
        <v>0</v>
      </c>
      <c r="P342" s="42">
        <f>IF(VLOOKUP($D342,$C$5:$AU$518,3,)=0,0,(VLOOKUP($D342,$C$5:$AU$518,14,)/VLOOKUP($D342,$C$5:$AU$518,3,))*$E342)</f>
        <v>0</v>
      </c>
      <c r="Q342" s="42">
        <f>IF(VLOOKUP($D342,$C$5:$AU$518,3,)=0,0,(VLOOKUP($D342,$C$5:$AU$518,15,)/VLOOKUP($D342,$C$5:$AU$518,3,))*$E342)</f>
        <v>0</v>
      </c>
      <c r="R342" s="42">
        <f>IF(VLOOKUP($D342,$C$5:$AU$518,3,)=0,0,(VLOOKUP($D342,$C$5:$AU$518,16,)/VLOOKUP($D342,$C$5:$AU$518,3,))*$E342)</f>
        <v>0</v>
      </c>
      <c r="S342" s="107">
        <f>IF(VLOOKUP($D342,$C$5:$AU$518,3,)=0,0,(VLOOKUP($D342,$C$5:$AU$518,17,)/VLOOKUP($D342,$C$5:$AU$518,3,))*$E342)</f>
        <v>0</v>
      </c>
      <c r="T342" s="107">
        <f>IF(VLOOKUP($D342,$C$5:$AU$518,3,)=0,0,(VLOOKUP($D342,$C$5:$AU$518,18,)/VLOOKUP($D342,$C$5:$AU$518,3,))*$E342)</f>
        <v>0</v>
      </c>
      <c r="U342" s="107">
        <f>IF(VLOOKUP($D342,$C$5:$AU$518,3,)=0,0,(VLOOKUP($D342,$C$5:$AU$518,19,)/VLOOKUP($D342,$C$5:$AU$518,3,))*$E342)</f>
        <v>0</v>
      </c>
      <c r="V342" s="107">
        <f>IF(VLOOKUP($D342,$C$5:$AU$518,3,)=0,0,(VLOOKUP($D342,$C$5:$AU$518,20,)/VLOOKUP($D342,$C$5:$AU$518,3,))*$E342)</f>
        <v>0</v>
      </c>
      <c r="W342" s="107">
        <f>IF(VLOOKUP($D342,$C$5:$AU$518,3,)=0,0,(VLOOKUP($D342,$C$5:$AU$518,21,)/VLOOKUP($D342,$C$5:$AU$518,3,))*$E342)</f>
        <v>0</v>
      </c>
      <c r="X342" s="107">
        <f>IF(VLOOKUP($D342,$C$5:$AU$518,3,)=0,0,(VLOOKUP($D342,$C$5:$AU$518,22,)/VLOOKUP($D342,$C$5:$AU$518,3,))*$E342)</f>
        <v>0</v>
      </c>
      <c r="Y342" s="107">
        <f>IF(VLOOKUP($D342,$C$5:$AU$518,3,)=0,0,(VLOOKUP($D342,$C$5:$AU$518,23,)/VLOOKUP($D342,$C$5:$AU$518,3,))*$E342)</f>
        <v>0</v>
      </c>
      <c r="Z342" s="107">
        <f>IF(VLOOKUP($D342,$C$5:$AU$518,3,)=0,0,(VLOOKUP($D342,$C$5:$AU$518,24,)/VLOOKUP($D342,$C$5:$AU$518,3,))*$E342)</f>
        <v>0</v>
      </c>
      <c r="AA342" s="107">
        <f>IF(VLOOKUP($D342,$C$5:$AU$518,3,)=0,0,(VLOOKUP($D342,$C$5:$AU$518,25,)/VLOOKUP($D342,$C$5:$AU$518,3,))*$E342)</f>
        <v>0</v>
      </c>
      <c r="AB342" s="107">
        <f>IF(VLOOKUP($D342,$C$5:$AU$518,3,)=0,0,(VLOOKUP($D342,$C$5:$AU$518,26,)/VLOOKUP($D342,$C$5:$AU$518,3,))*$E342)</f>
        <v>0</v>
      </c>
      <c r="AC342" s="107">
        <f>IF(VLOOKUP($D342,$C$5:$AU$518,3,)=0,0,(VLOOKUP($D342,$C$5:$AU$518,27,)/VLOOKUP($D342,$C$5:$AU$518,3,))*$E342)</f>
        <v>0</v>
      </c>
      <c r="AD342" s="107">
        <f>IF(VLOOKUP($D342,$C$5:$AU$518,3,)=0,0,(VLOOKUP($D342,$C$5:$AU$518,28,)/VLOOKUP($D342,$C$5:$AU$518,3,))*$E342)</f>
        <v>0</v>
      </c>
      <c r="AE342" s="107">
        <f>IF(VLOOKUP($D342,$C$5:$AU$518,3,)=0,0,(VLOOKUP($D342,$C$5:$AU$518,29,)/VLOOKUP($D342,$C$5:$AU$518,3,))*$E342)</f>
        <v>0</v>
      </c>
      <c r="AF342" s="107">
        <f>IF(VLOOKUP($D342,$C$5:$AU$518,3,)=0,0,(VLOOKUP($D342,$C$5:$AU$518,30,)/VLOOKUP($D342,$C$5:$AU$518,3,))*$E342)</f>
        <v>0</v>
      </c>
      <c r="AG342" s="91">
        <f t="shared" si="129"/>
        <v>-3734412.78</v>
      </c>
      <c r="AH342" s="28" t="str">
        <f t="shared" si="130"/>
        <v>ok</v>
      </c>
      <c r="AI342" s="14">
        <f>AI341</f>
        <v>1</v>
      </c>
    </row>
    <row r="343" spans="1:40" x14ac:dyDescent="0.25">
      <c r="A343" s="14">
        <v>3</v>
      </c>
      <c r="B343" s="14" t="s">
        <v>1133</v>
      </c>
      <c r="C343" s="14" t="s">
        <v>1133</v>
      </c>
      <c r="D343" s="14" t="s">
        <v>11</v>
      </c>
      <c r="E343" s="91">
        <f>3156156.07*AI343</f>
        <v>3156156.07</v>
      </c>
      <c r="F343" s="67">
        <f>IF(VLOOKUP($D343,$C$5:$AU$518,3,)=0,0,(VLOOKUP($D343,$C$5:$AU$518,4,)/VLOOKUP($D343,$C$5:$AU$518,3,))*$E343)</f>
        <v>1661542.1558777529</v>
      </c>
      <c r="G343" s="67">
        <f>IF(VLOOKUP($D343,$C$5:$AU$518,3,)=0,0,(VLOOKUP($D343,$C$5:$AU$518,5,)/VLOOKUP($D343,$C$5:$AU$518,3,))*$E343)</f>
        <v>188781.14385338413</v>
      </c>
      <c r="H343" s="67">
        <f>IF(VLOOKUP($D343,$C$5:$AU$518,3,)=0,0,(VLOOKUP($D343,$C$5:$AU$518,6,)/VLOOKUP($D343,$C$5:$AU$518,3,))*$E343)</f>
        <v>57408.134530679912</v>
      </c>
      <c r="I343" s="67">
        <f>IF(VLOOKUP($D343,$C$5:$AU$518,3,)=0,0,(VLOOKUP($D343,$C$5:$AU$518,7,)/VLOOKUP($D343,$C$5:$AU$518,3,))*$E343)</f>
        <v>815848.35419333307</v>
      </c>
      <c r="J343" s="67">
        <f>IF(VLOOKUP($D343,$C$5:$AU$518,3,)=0,0,(VLOOKUP($D343,$C$5:$AU$518,8,)/VLOOKUP($D343,$C$5:$AU$518,3,))*$E343)</f>
        <v>312776.78919063637</v>
      </c>
      <c r="K343" s="42">
        <f>IF(VLOOKUP($D343,$C$5:$AU$518,3,)=0,0,(VLOOKUP($D343,$C$5:$AU$518,9,)/VLOOKUP($D343,$C$5:$AU$518,3,))*$E343)</f>
        <v>87510.507508765761</v>
      </c>
      <c r="L343" s="67">
        <f>IF(VLOOKUP($D343,$C$5:$AU$518,3,)=0,0,(VLOOKUP($D343,$C$5:$AU$518,10,)/VLOOKUP($D343,$C$5:$AU$518,3,))*$E343)</f>
        <v>32288.984845447809</v>
      </c>
      <c r="M343" s="42">
        <f>IF(VLOOKUP($D343,$C$5:$AU$518,3,)=0,0,(VLOOKUP($D343,$C$5:$AU$518,11,)/VLOOKUP($D343,$C$5:$AU$518,3,))*$E343)</f>
        <v>0</v>
      </c>
      <c r="N343" s="42">
        <f>IF(VLOOKUP($D343,$C$5:$AU$518,3,)=0,0,(VLOOKUP($D343,$C$5:$AU$518,12,)/VLOOKUP($D343,$C$5:$AU$518,3,))*$E343)</f>
        <v>0</v>
      </c>
      <c r="O343" s="42">
        <f>IF(VLOOKUP($D343,$C$5:$AU$518,3,)=0,0,(VLOOKUP($D343,$C$5:$AU$518,13,)/VLOOKUP($D343,$C$5:$AU$518,3,))*$E343)</f>
        <v>0</v>
      </c>
      <c r="P343" s="42">
        <f>IF(VLOOKUP($D343,$C$5:$AU$518,3,)=0,0,(VLOOKUP($D343,$C$5:$AU$518,14,)/VLOOKUP($D343,$C$5:$AU$518,3,))*$E343)</f>
        <v>0</v>
      </c>
      <c r="Q343" s="42">
        <f>IF(VLOOKUP($D343,$C$5:$AU$518,3,)=0,0,(VLOOKUP($D343,$C$5:$AU$518,15,)/VLOOKUP($D343,$C$5:$AU$518,3,))*$E343)</f>
        <v>0</v>
      </c>
      <c r="R343" s="42">
        <f>IF(VLOOKUP($D343,$C$5:$AU$518,3,)=0,0,(VLOOKUP($D343,$C$5:$AU$518,16,)/VLOOKUP($D343,$C$5:$AU$518,3,))*$E343)</f>
        <v>0</v>
      </c>
      <c r="S343" s="107">
        <f>IF(VLOOKUP($D343,$C$5:$AU$518,3,)=0,0,(VLOOKUP($D343,$C$5:$AU$518,17,)/VLOOKUP($D343,$C$5:$AU$518,3,))*$E343)</f>
        <v>0</v>
      </c>
      <c r="T343" s="107">
        <f>IF(VLOOKUP($D343,$C$5:$AU$518,3,)=0,0,(VLOOKUP($D343,$C$5:$AU$518,18,)/VLOOKUP($D343,$C$5:$AU$518,3,))*$E343)</f>
        <v>0</v>
      </c>
      <c r="U343" s="107">
        <f>IF(VLOOKUP($D343,$C$5:$AU$518,3,)=0,0,(VLOOKUP($D343,$C$5:$AU$518,19,)/VLOOKUP($D343,$C$5:$AU$518,3,))*$E343)</f>
        <v>0</v>
      </c>
      <c r="V343" s="107">
        <f>IF(VLOOKUP($D343,$C$5:$AU$518,3,)=0,0,(VLOOKUP($D343,$C$5:$AU$518,20,)/VLOOKUP($D343,$C$5:$AU$518,3,))*$E343)</f>
        <v>0</v>
      </c>
      <c r="W343" s="107">
        <f>IF(VLOOKUP($D343,$C$5:$AU$518,3,)=0,0,(VLOOKUP($D343,$C$5:$AU$518,21,)/VLOOKUP($D343,$C$5:$AU$518,3,))*$E343)</f>
        <v>0</v>
      </c>
      <c r="X343" s="107">
        <f>IF(VLOOKUP($D343,$C$5:$AU$518,3,)=0,0,(VLOOKUP($D343,$C$5:$AU$518,22,)/VLOOKUP($D343,$C$5:$AU$518,3,))*$E343)</f>
        <v>0</v>
      </c>
      <c r="Y343" s="107">
        <f>IF(VLOOKUP($D343,$C$5:$AU$518,3,)=0,0,(VLOOKUP($D343,$C$5:$AU$518,23,)/VLOOKUP($D343,$C$5:$AU$518,3,))*$E343)</f>
        <v>0</v>
      </c>
      <c r="Z343" s="107">
        <f>IF(VLOOKUP($D343,$C$5:$AU$518,3,)=0,0,(VLOOKUP($D343,$C$5:$AU$518,24,)/VLOOKUP($D343,$C$5:$AU$518,3,))*$E343)</f>
        <v>0</v>
      </c>
      <c r="AA343" s="107">
        <f>IF(VLOOKUP($D343,$C$5:$AU$518,3,)=0,0,(VLOOKUP($D343,$C$5:$AU$518,25,)/VLOOKUP($D343,$C$5:$AU$518,3,))*$E343)</f>
        <v>0</v>
      </c>
      <c r="AB343" s="107">
        <f>IF(VLOOKUP($D343,$C$5:$AU$518,3,)=0,0,(VLOOKUP($D343,$C$5:$AU$518,26,)/VLOOKUP($D343,$C$5:$AU$518,3,))*$E343)</f>
        <v>0</v>
      </c>
      <c r="AC343" s="107">
        <f>IF(VLOOKUP($D343,$C$5:$AU$518,3,)=0,0,(VLOOKUP($D343,$C$5:$AU$518,27,)/VLOOKUP($D343,$C$5:$AU$518,3,))*$E343)</f>
        <v>0</v>
      </c>
      <c r="AD343" s="107">
        <f>IF(VLOOKUP($D343,$C$5:$AU$518,3,)=0,0,(VLOOKUP($D343,$C$5:$AU$518,28,)/VLOOKUP($D343,$C$5:$AU$518,3,))*$E343)</f>
        <v>0</v>
      </c>
      <c r="AE343" s="107">
        <f>IF(VLOOKUP($D343,$C$5:$AU$518,3,)=0,0,(VLOOKUP($D343,$C$5:$AU$518,29,)/VLOOKUP($D343,$C$5:$AU$518,3,))*$E343)</f>
        <v>0</v>
      </c>
      <c r="AF343" s="107">
        <f>IF(VLOOKUP($D343,$C$5:$AU$518,3,)=0,0,(VLOOKUP($D343,$C$5:$AU$518,30,)/VLOOKUP($D343,$C$5:$AU$518,3,))*$E343)</f>
        <v>0</v>
      </c>
      <c r="AG343" s="91">
        <f t="shared" si="129"/>
        <v>3156156.0700000003</v>
      </c>
      <c r="AH343" s="28" t="str">
        <f t="shared" si="130"/>
        <v>ok</v>
      </c>
      <c r="AI343" s="14">
        <f>AI342</f>
        <v>1</v>
      </c>
    </row>
    <row r="344" spans="1:40" x14ac:dyDescent="0.25">
      <c r="A344" s="14">
        <v>4</v>
      </c>
      <c r="B344" s="14" t="s">
        <v>1134</v>
      </c>
      <c r="C344" s="14" t="s">
        <v>1136</v>
      </c>
      <c r="D344" s="14" t="s">
        <v>11</v>
      </c>
      <c r="E344" s="91">
        <f>-3640327.19*AI344</f>
        <v>-3640327.19</v>
      </c>
      <c r="F344" s="67">
        <f>IF(VLOOKUP($D344,$C$5:$AU$518,3,)=0,0,(VLOOKUP($D344,$C$5:$AU$518,4,)/VLOOKUP($D344,$C$5:$AU$518,3,))*$E344)</f>
        <v>-1916431.5557351392</v>
      </c>
      <c r="G344" s="67">
        <f>IF(VLOOKUP($D344,$C$5:$AU$518,3,)=0,0,(VLOOKUP($D344,$C$5:$AU$518,5,)/VLOOKUP($D344,$C$5:$AU$518,3,))*$E344)</f>
        <v>-217741.17492509668</v>
      </c>
      <c r="H344" s="67">
        <f>IF(VLOOKUP($D344,$C$5:$AU$518,3,)=0,0,(VLOOKUP($D344,$C$5:$AU$518,6,)/VLOOKUP($D344,$C$5:$AU$518,3,))*$E344)</f>
        <v>-66214.847562722702</v>
      </c>
      <c r="I344" s="67">
        <f>IF(VLOOKUP($D344,$C$5:$AU$518,3,)=0,0,(VLOOKUP($D344,$C$5:$AU$518,7,)/VLOOKUP($D344,$C$5:$AU$518,3,))*$E344)</f>
        <v>-941003.82896677882</v>
      </c>
      <c r="J344" s="67">
        <f>IF(VLOOKUP($D344,$C$5:$AU$518,3,)=0,0,(VLOOKUP($D344,$C$5:$AU$518,8,)/VLOOKUP($D344,$C$5:$AU$518,3,))*$E344)</f>
        <v>-360758.41144686221</v>
      </c>
      <c r="K344" s="42">
        <f>IF(VLOOKUP($D344,$C$5:$AU$518,3,)=0,0,(VLOOKUP($D344,$C$5:$AU$518,9,)/VLOOKUP($D344,$C$5:$AU$518,3,))*$E344)</f>
        <v>-100935.08458688456</v>
      </c>
      <c r="L344" s="67">
        <f>IF(VLOOKUP($D344,$C$5:$AU$518,3,)=0,0,(VLOOKUP($D344,$C$5:$AU$518,10,)/VLOOKUP($D344,$C$5:$AU$518,3,))*$E344)</f>
        <v>-37242.286776515968</v>
      </c>
      <c r="M344" s="42">
        <f>IF(VLOOKUP($D344,$C$5:$AU$518,3,)=0,0,(VLOOKUP($D344,$C$5:$AU$518,11,)/VLOOKUP($D344,$C$5:$AU$518,3,))*$E344)</f>
        <v>0</v>
      </c>
      <c r="N344" s="42">
        <f>IF(VLOOKUP($D344,$C$5:$AU$518,3,)=0,0,(VLOOKUP($D344,$C$5:$AU$518,12,)/VLOOKUP($D344,$C$5:$AU$518,3,))*$E344)</f>
        <v>0</v>
      </c>
      <c r="O344" s="42">
        <f>IF(VLOOKUP($D344,$C$5:$AU$518,3,)=0,0,(VLOOKUP($D344,$C$5:$AU$518,13,)/VLOOKUP($D344,$C$5:$AU$518,3,))*$E344)</f>
        <v>0</v>
      </c>
      <c r="P344" s="42">
        <f>IF(VLOOKUP($D344,$C$5:$AU$518,3,)=0,0,(VLOOKUP($D344,$C$5:$AU$518,14,)/VLOOKUP($D344,$C$5:$AU$518,3,))*$E344)</f>
        <v>0</v>
      </c>
      <c r="Q344" s="42">
        <f>IF(VLOOKUP($D344,$C$5:$AU$518,3,)=0,0,(VLOOKUP($D344,$C$5:$AU$518,15,)/VLOOKUP($D344,$C$5:$AU$518,3,))*$E344)</f>
        <v>0</v>
      </c>
      <c r="R344" s="42">
        <f>IF(VLOOKUP($D344,$C$5:$AU$518,3,)=0,0,(VLOOKUP($D344,$C$5:$AU$518,16,)/VLOOKUP($D344,$C$5:$AU$518,3,))*$E344)</f>
        <v>0</v>
      </c>
      <c r="S344" s="107">
        <f>IF(VLOOKUP($D344,$C$5:$AU$518,3,)=0,0,(VLOOKUP($D344,$C$5:$AU$518,17,)/VLOOKUP($D344,$C$5:$AU$518,3,))*$E344)</f>
        <v>0</v>
      </c>
      <c r="T344" s="107">
        <f>IF(VLOOKUP($D344,$C$5:$AU$518,3,)=0,0,(VLOOKUP($D344,$C$5:$AU$518,18,)/VLOOKUP($D344,$C$5:$AU$518,3,))*$E344)</f>
        <v>0</v>
      </c>
      <c r="U344" s="107">
        <f>IF(VLOOKUP($D344,$C$5:$AU$518,3,)=0,0,(VLOOKUP($D344,$C$5:$AU$518,19,)/VLOOKUP($D344,$C$5:$AU$518,3,))*$E344)</f>
        <v>0</v>
      </c>
      <c r="V344" s="107">
        <f>IF(VLOOKUP($D344,$C$5:$AU$518,3,)=0,0,(VLOOKUP($D344,$C$5:$AU$518,20,)/VLOOKUP($D344,$C$5:$AU$518,3,))*$E344)</f>
        <v>0</v>
      </c>
      <c r="W344" s="107">
        <f>IF(VLOOKUP($D344,$C$5:$AU$518,3,)=0,0,(VLOOKUP($D344,$C$5:$AU$518,21,)/VLOOKUP($D344,$C$5:$AU$518,3,))*$E344)</f>
        <v>0</v>
      </c>
      <c r="X344" s="107">
        <f>IF(VLOOKUP($D344,$C$5:$AU$518,3,)=0,0,(VLOOKUP($D344,$C$5:$AU$518,22,)/VLOOKUP($D344,$C$5:$AU$518,3,))*$E344)</f>
        <v>0</v>
      </c>
      <c r="Y344" s="107">
        <f>IF(VLOOKUP($D344,$C$5:$AU$518,3,)=0,0,(VLOOKUP($D344,$C$5:$AU$518,23,)/VLOOKUP($D344,$C$5:$AU$518,3,))*$E344)</f>
        <v>0</v>
      </c>
      <c r="Z344" s="107">
        <f>IF(VLOOKUP($D344,$C$5:$AU$518,3,)=0,0,(VLOOKUP($D344,$C$5:$AU$518,24,)/VLOOKUP($D344,$C$5:$AU$518,3,))*$E344)</f>
        <v>0</v>
      </c>
      <c r="AA344" s="107">
        <f>IF(VLOOKUP($D344,$C$5:$AU$518,3,)=0,0,(VLOOKUP($D344,$C$5:$AU$518,25,)/VLOOKUP($D344,$C$5:$AU$518,3,))*$E344)</f>
        <v>0</v>
      </c>
      <c r="AB344" s="107">
        <f>IF(VLOOKUP($D344,$C$5:$AU$518,3,)=0,0,(VLOOKUP($D344,$C$5:$AU$518,26,)/VLOOKUP($D344,$C$5:$AU$518,3,))*$E344)</f>
        <v>0</v>
      </c>
      <c r="AC344" s="107">
        <f>IF(VLOOKUP($D344,$C$5:$AU$518,3,)=0,0,(VLOOKUP($D344,$C$5:$AU$518,27,)/VLOOKUP($D344,$C$5:$AU$518,3,))*$E344)</f>
        <v>0</v>
      </c>
      <c r="AD344" s="107">
        <f>IF(VLOOKUP($D344,$C$5:$AU$518,3,)=0,0,(VLOOKUP($D344,$C$5:$AU$518,28,)/VLOOKUP($D344,$C$5:$AU$518,3,))*$E344)</f>
        <v>0</v>
      </c>
      <c r="AE344" s="107">
        <f>IF(VLOOKUP($D344,$C$5:$AU$518,3,)=0,0,(VLOOKUP($D344,$C$5:$AU$518,29,)/VLOOKUP($D344,$C$5:$AU$518,3,))*$E344)</f>
        <v>0</v>
      </c>
      <c r="AF344" s="107">
        <f>IF(VLOOKUP($D344,$C$5:$AU$518,3,)=0,0,(VLOOKUP($D344,$C$5:$AU$518,30,)/VLOOKUP($D344,$C$5:$AU$518,3,))*$E344)</f>
        <v>0</v>
      </c>
      <c r="AG344" s="91">
        <f t="shared" si="129"/>
        <v>-3640327.1900000004</v>
      </c>
      <c r="AH344" s="28" t="str">
        <f t="shared" si="130"/>
        <v>ok</v>
      </c>
      <c r="AI344" s="14">
        <f>AI343</f>
        <v>1</v>
      </c>
    </row>
    <row r="345" spans="1:40" x14ac:dyDescent="0.25">
      <c r="A345" s="14">
        <v>5</v>
      </c>
      <c r="B345" s="14" t="s">
        <v>1169</v>
      </c>
      <c r="E345" s="91">
        <v>0</v>
      </c>
      <c r="F345" s="91">
        <f>E345</f>
        <v>0</v>
      </c>
      <c r="G345" s="91">
        <v>0</v>
      </c>
      <c r="H345" s="91">
        <v>0</v>
      </c>
      <c r="I345" s="91">
        <v>0</v>
      </c>
      <c r="J345" s="91">
        <v>0</v>
      </c>
      <c r="K345" s="91">
        <v>0</v>
      </c>
      <c r="L345" s="67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107">
        <v>0</v>
      </c>
      <c r="T345" s="107">
        <v>0</v>
      </c>
      <c r="U345" s="107">
        <v>0</v>
      </c>
      <c r="V345" s="107">
        <v>0</v>
      </c>
      <c r="W345" s="107">
        <v>0</v>
      </c>
      <c r="X345" s="107">
        <v>0</v>
      </c>
      <c r="Y345" s="107">
        <v>0</v>
      </c>
      <c r="Z345" s="107">
        <v>0</v>
      </c>
      <c r="AA345" s="107">
        <v>0</v>
      </c>
      <c r="AB345" s="107">
        <v>0</v>
      </c>
      <c r="AC345" s="107">
        <v>0</v>
      </c>
      <c r="AD345" s="107">
        <v>0</v>
      </c>
      <c r="AE345" s="107">
        <v>0</v>
      </c>
      <c r="AF345" s="107">
        <v>0</v>
      </c>
      <c r="AG345" s="91">
        <f t="shared" ref="AG345:AG348" si="131">SUM(F345:AF345)</f>
        <v>0</v>
      </c>
      <c r="AH345" s="28" t="str">
        <f t="shared" ref="AH345:AH349" si="132">IF(ABS(E345-AG345)&lt;0.01,"ok","err")</f>
        <v>ok</v>
      </c>
    </row>
    <row r="346" spans="1:40" x14ac:dyDescent="0.25">
      <c r="A346" s="14">
        <v>6</v>
      </c>
      <c r="B346" s="14" t="s">
        <v>1135</v>
      </c>
      <c r="C346" s="14" t="s">
        <v>959</v>
      </c>
      <c r="E346" s="91">
        <f>684799.9*AI346</f>
        <v>684799.9</v>
      </c>
      <c r="F346" s="91">
        <f>1696112.61542312*AI346</f>
        <v>1696112.6154231201</v>
      </c>
      <c r="G346" s="91">
        <f>-1117448.02065397*AI346</f>
        <v>-1117448.0206539701</v>
      </c>
      <c r="H346" s="91">
        <f>7976.25394218641*AI346</f>
        <v>7976.2539421864103</v>
      </c>
      <c r="I346" s="91">
        <f>98159.0499017957*AI346</f>
        <v>98159.049901795704</v>
      </c>
      <c r="J346" s="67">
        <v>0</v>
      </c>
      <c r="K346" s="42">
        <v>0</v>
      </c>
      <c r="L346" s="67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107">
        <v>0</v>
      </c>
      <c r="T346" s="107">
        <v>0</v>
      </c>
      <c r="U346" s="107">
        <v>0</v>
      </c>
      <c r="V346" s="107">
        <v>0</v>
      </c>
      <c r="W346" s="107">
        <v>0</v>
      </c>
      <c r="X346" s="107">
        <v>0</v>
      </c>
      <c r="Y346" s="107">
        <v>0</v>
      </c>
      <c r="Z346" s="107">
        <v>0</v>
      </c>
      <c r="AA346" s="107">
        <v>0</v>
      </c>
      <c r="AB346" s="107">
        <v>0</v>
      </c>
      <c r="AC346" s="107">
        <v>0</v>
      </c>
      <c r="AD346" s="107">
        <v>0</v>
      </c>
      <c r="AE346" s="107">
        <v>0</v>
      </c>
      <c r="AF346" s="107">
        <v>0</v>
      </c>
      <c r="AG346" s="91">
        <f t="shared" si="131"/>
        <v>684799.89861313207</v>
      </c>
      <c r="AH346" s="28" t="str">
        <f t="shared" si="132"/>
        <v>ok</v>
      </c>
      <c r="AI346" s="14">
        <f>AI344</f>
        <v>1</v>
      </c>
    </row>
    <row r="347" spans="1:40" hidden="1" x14ac:dyDescent="0.25">
      <c r="B347" s="14" t="s">
        <v>1147</v>
      </c>
      <c r="D347" s="14" t="s">
        <v>561</v>
      </c>
      <c r="E347" s="91">
        <v>0</v>
      </c>
      <c r="F347" s="67">
        <f>IF(VLOOKUP($D347,$C$5:$AU$518,3,)=0,0,(VLOOKUP($D347,$C$5:$AU$518,4,)/VLOOKUP($D347,$C$5:$AU$518,3,))*$E347)</f>
        <v>0</v>
      </c>
      <c r="G347" s="67">
        <f>IF(VLOOKUP($D347,$C$5:$AU$518,3,)=0,0,(VLOOKUP($D347,$C$5:$AU$518,5,)/VLOOKUP($D347,$C$5:$AU$518,3,))*$E347)</f>
        <v>0</v>
      </c>
      <c r="H347" s="67">
        <f>IF(VLOOKUP($D347,$C$5:$AU$518,3,)=0,0,(VLOOKUP($D347,$C$5:$AU$518,6,)/VLOOKUP($D347,$C$5:$AU$518,3,))*$E347)</f>
        <v>0</v>
      </c>
      <c r="I347" s="67">
        <f>IF(VLOOKUP($D347,$C$5:$AU$518,3,)=0,0,(VLOOKUP($D347,$C$5:$AU$518,7,)/VLOOKUP($D347,$C$5:$AU$518,3,))*$E347)</f>
        <v>0</v>
      </c>
      <c r="J347" s="67">
        <f>IF(VLOOKUP($D347,$C$5:$AU$518,3,)=0,0,(VLOOKUP($D347,$C$5:$AU$518,8,)/VLOOKUP($D347,$C$5:$AU$518,3,))*$E347)</f>
        <v>0</v>
      </c>
      <c r="K347" s="42">
        <f>IF(VLOOKUP($D347,$C$5:$AU$518,3,)=0,0,(VLOOKUP($D347,$C$5:$AU$518,9,)/VLOOKUP($D347,$C$5:$AU$518,3,))*$E347)</f>
        <v>0</v>
      </c>
      <c r="L347" s="67">
        <f>IF(VLOOKUP($D347,$C$5:$AU$518,3,)=0,0,(VLOOKUP($D347,$C$5:$AU$518,10,)/VLOOKUP($D347,$C$5:$AU$518,3,))*$E347)</f>
        <v>0</v>
      </c>
      <c r="M347" s="42">
        <f>IF(VLOOKUP($D347,$C$5:$AU$518,3,)=0,0,(VLOOKUP($D347,$C$5:$AU$518,11,)/VLOOKUP($D347,$C$5:$AU$518,3,))*$E347)</f>
        <v>0</v>
      </c>
      <c r="N347" s="42">
        <f>IF(VLOOKUP($D347,$C$5:$AU$518,3,)=0,0,(VLOOKUP($D347,$C$5:$AU$518,12,)/VLOOKUP($D347,$C$5:$AU$518,3,))*$E347)</f>
        <v>0</v>
      </c>
      <c r="O347" s="42">
        <f>IF(VLOOKUP($D347,$C$5:$AU$518,3,)=0,0,(VLOOKUP($D347,$C$5:$AU$518,13,)/VLOOKUP($D347,$C$5:$AU$518,3,))*$E347)</f>
        <v>0</v>
      </c>
      <c r="P347" s="42">
        <f>IF(VLOOKUP($D347,$C$5:$AU$518,3,)=0,0,(VLOOKUP($D347,$C$5:$AU$518,14,)/VLOOKUP($D347,$C$5:$AU$518,3,))*$E347)</f>
        <v>0</v>
      </c>
      <c r="Q347" s="42">
        <f>IF(VLOOKUP($D347,$C$5:$AU$518,3,)=0,0,(VLOOKUP($D347,$C$5:$AU$518,15,)/VLOOKUP($D347,$C$5:$AU$518,3,))*$E347)</f>
        <v>0</v>
      </c>
      <c r="R347" s="42">
        <f>IF(VLOOKUP($D347,$C$5:$AU$518,3,)=0,0,(VLOOKUP($D347,$C$5:$AU$518,16,)/VLOOKUP($D347,$C$5:$AU$518,3,))*$E347)</f>
        <v>0</v>
      </c>
      <c r="S347" s="107">
        <f>IF(VLOOKUP($D347,$C$5:$AU$518,3,)=0,0,(VLOOKUP($D347,$C$5:$AU$518,17,)/VLOOKUP($D347,$C$5:$AU$518,3,))*$E347)</f>
        <v>0</v>
      </c>
      <c r="T347" s="107">
        <f>IF(VLOOKUP($D347,$C$5:$AU$518,3,)=0,0,(VLOOKUP($D347,$C$5:$AU$518,18,)/VLOOKUP($D347,$C$5:$AU$518,3,))*$E347)</f>
        <v>0</v>
      </c>
      <c r="U347" s="107">
        <f>IF(VLOOKUP($D347,$C$5:$AU$518,3,)=0,0,(VLOOKUP($D347,$C$5:$AU$518,19,)/VLOOKUP($D347,$C$5:$AU$518,3,))*$E347)</f>
        <v>0</v>
      </c>
      <c r="V347" s="107">
        <f>IF(VLOOKUP($D347,$C$5:$AU$518,3,)=0,0,(VLOOKUP($D347,$C$5:$AU$518,20,)/VLOOKUP($D347,$C$5:$AU$518,3,))*$E347)</f>
        <v>0</v>
      </c>
      <c r="W347" s="107">
        <f>IF(VLOOKUP($D347,$C$5:$AU$518,3,)=0,0,(VLOOKUP($D347,$C$5:$AU$518,21,)/VLOOKUP($D347,$C$5:$AU$518,3,))*$E347)</f>
        <v>0</v>
      </c>
      <c r="X347" s="107">
        <f>IF(VLOOKUP($D347,$C$5:$AU$518,3,)=0,0,(VLOOKUP($D347,$C$5:$AU$518,22,)/VLOOKUP($D347,$C$5:$AU$518,3,))*$E347)</f>
        <v>0</v>
      </c>
      <c r="Y347" s="107">
        <f>IF(VLOOKUP($D347,$C$5:$AU$518,3,)=0,0,(VLOOKUP($D347,$C$5:$AU$518,23,)/VLOOKUP($D347,$C$5:$AU$518,3,))*$E347)</f>
        <v>0</v>
      </c>
      <c r="Z347" s="107">
        <f>IF(VLOOKUP($D347,$C$5:$AU$518,3,)=0,0,(VLOOKUP($D347,$C$5:$AU$518,24,)/VLOOKUP($D347,$C$5:$AU$518,3,))*$E347)</f>
        <v>0</v>
      </c>
      <c r="AA347" s="107">
        <f>IF(VLOOKUP($D347,$C$5:$AU$518,3,)=0,0,(VLOOKUP($D347,$C$5:$AU$518,25,)/VLOOKUP($D347,$C$5:$AU$518,3,))*$E347)</f>
        <v>0</v>
      </c>
      <c r="AB347" s="107">
        <f>IF(VLOOKUP($D347,$C$5:$AU$518,3,)=0,0,(VLOOKUP($D347,$C$5:$AU$518,26,)/VLOOKUP($D347,$C$5:$AU$518,3,))*$E347)</f>
        <v>0</v>
      </c>
      <c r="AC347" s="107">
        <f>IF(VLOOKUP($D347,$C$5:$AU$518,3,)=0,0,(VLOOKUP($D347,$C$5:$AU$518,27,)/VLOOKUP($D347,$C$5:$AU$518,3,))*$E347)</f>
        <v>0</v>
      </c>
      <c r="AD347" s="107">
        <f>IF(VLOOKUP($D347,$C$5:$AU$518,3,)=0,0,(VLOOKUP($D347,$C$5:$AU$518,28,)/VLOOKUP($D347,$C$5:$AU$518,3,))*$E347)</f>
        <v>0</v>
      </c>
      <c r="AE347" s="107">
        <f>IF(VLOOKUP($D347,$C$5:$AU$518,3,)=0,0,(VLOOKUP($D347,$C$5:$AU$518,29,)/VLOOKUP($D347,$C$5:$AU$518,3,))*$E347)</f>
        <v>0</v>
      </c>
      <c r="AF347" s="107">
        <f>IF(VLOOKUP($D347,$C$5:$AU$518,3,)=0,0,(VLOOKUP($D347,$C$5:$AU$518,30,)/VLOOKUP($D347,$C$5:$AU$518,3,))*$E347)</f>
        <v>0</v>
      </c>
      <c r="AG347" s="91">
        <f t="shared" si="131"/>
        <v>0</v>
      </c>
      <c r="AH347" s="28" t="str">
        <f t="shared" si="132"/>
        <v>ok</v>
      </c>
      <c r="AL347" s="27"/>
      <c r="AM347" s="27"/>
      <c r="AN347" s="27"/>
    </row>
    <row r="348" spans="1:40" x14ac:dyDescent="0.25">
      <c r="A348" s="14">
        <v>7</v>
      </c>
      <c r="B348" s="14" t="s">
        <v>1179</v>
      </c>
      <c r="E348" s="91">
        <f>AJ355*AI348</f>
        <v>0</v>
      </c>
      <c r="F348" s="91">
        <f>AJ348*AI348</f>
        <v>0</v>
      </c>
      <c r="G348" s="91">
        <f>AJ349*AI348</f>
        <v>0</v>
      </c>
      <c r="H348" s="91">
        <f>AJ350*AI348</f>
        <v>0</v>
      </c>
      <c r="I348" s="91">
        <f>AJ351*AI348</f>
        <v>0</v>
      </c>
      <c r="J348" s="91">
        <v>0</v>
      </c>
      <c r="K348" s="91">
        <f>AJ353*AI348</f>
        <v>0</v>
      </c>
      <c r="L348" s="67">
        <f>AJ354*AI348</f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107">
        <v>0</v>
      </c>
      <c r="T348" s="107">
        <v>0</v>
      </c>
      <c r="U348" s="107">
        <v>0</v>
      </c>
      <c r="V348" s="107">
        <v>0</v>
      </c>
      <c r="W348" s="107">
        <v>0</v>
      </c>
      <c r="X348" s="107">
        <v>0</v>
      </c>
      <c r="Y348" s="107">
        <v>0</v>
      </c>
      <c r="Z348" s="107">
        <v>0</v>
      </c>
      <c r="AA348" s="107">
        <v>0</v>
      </c>
      <c r="AB348" s="107">
        <v>0</v>
      </c>
      <c r="AC348" s="107">
        <v>0</v>
      </c>
      <c r="AD348" s="107">
        <v>0</v>
      </c>
      <c r="AE348" s="107">
        <v>0</v>
      </c>
      <c r="AF348" s="107">
        <v>0</v>
      </c>
      <c r="AG348" s="129">
        <f t="shared" si="131"/>
        <v>0</v>
      </c>
      <c r="AH348" s="28" t="str">
        <f t="shared" si="132"/>
        <v>ok</v>
      </c>
      <c r="AI348" s="14">
        <v>0</v>
      </c>
      <c r="AJ348" s="23">
        <v>3687376.3879519999</v>
      </c>
    </row>
    <row r="349" spans="1:40" x14ac:dyDescent="0.25">
      <c r="B349" s="25" t="s">
        <v>900</v>
      </c>
      <c r="E349" s="111">
        <f t="shared" ref="E349:AG349" si="133">SUM(E341:E348)</f>
        <v>-12831710.699999997</v>
      </c>
      <c r="F349" s="111">
        <f t="shared" si="133"/>
        <v>-5419584.9813273791</v>
      </c>
      <c r="G349" s="111">
        <f t="shared" si="133"/>
        <v>-1925919.5522833904</v>
      </c>
      <c r="H349" s="111">
        <f t="shared" si="133"/>
        <v>-237879.03385103127</v>
      </c>
      <c r="I349" s="111">
        <f t="shared" si="133"/>
        <v>-3395781.8968926193</v>
      </c>
      <c r="J349" s="111">
        <f t="shared" si="133"/>
        <v>-1339493.5778727829</v>
      </c>
      <c r="K349" s="111">
        <f t="shared" si="133"/>
        <v>-374771.29651374056</v>
      </c>
      <c r="L349" s="111">
        <f t="shared" si="133"/>
        <v>-138280.36264592412</v>
      </c>
      <c r="M349" s="111">
        <f t="shared" si="133"/>
        <v>0</v>
      </c>
      <c r="N349" s="111">
        <f t="shared" si="133"/>
        <v>0</v>
      </c>
      <c r="O349" s="111">
        <f t="shared" si="133"/>
        <v>0</v>
      </c>
      <c r="P349" s="111">
        <f t="shared" si="133"/>
        <v>0</v>
      </c>
      <c r="Q349" s="111">
        <f t="shared" si="133"/>
        <v>0</v>
      </c>
      <c r="R349" s="111">
        <f t="shared" si="133"/>
        <v>0</v>
      </c>
      <c r="S349" s="111">
        <f t="shared" si="133"/>
        <v>0</v>
      </c>
      <c r="T349" s="111">
        <f t="shared" si="133"/>
        <v>0</v>
      </c>
      <c r="U349" s="111">
        <f t="shared" si="133"/>
        <v>0</v>
      </c>
      <c r="V349" s="111">
        <f t="shared" si="133"/>
        <v>0</v>
      </c>
      <c r="W349" s="111">
        <f t="shared" si="133"/>
        <v>0</v>
      </c>
      <c r="X349" s="111">
        <f t="shared" si="133"/>
        <v>0</v>
      </c>
      <c r="Y349" s="111">
        <f t="shared" si="133"/>
        <v>0</v>
      </c>
      <c r="Z349" s="111">
        <f t="shared" si="133"/>
        <v>0</v>
      </c>
      <c r="AA349" s="111">
        <f t="shared" si="133"/>
        <v>0</v>
      </c>
      <c r="AB349" s="111">
        <f t="shared" si="133"/>
        <v>0</v>
      </c>
      <c r="AC349" s="111">
        <f t="shared" si="133"/>
        <v>0</v>
      </c>
      <c r="AD349" s="111">
        <f t="shared" si="133"/>
        <v>0</v>
      </c>
      <c r="AE349" s="111">
        <f t="shared" si="133"/>
        <v>0</v>
      </c>
      <c r="AF349" s="111">
        <f t="shared" si="133"/>
        <v>0</v>
      </c>
      <c r="AG349" s="111">
        <f t="shared" si="133"/>
        <v>-12831710.701386865</v>
      </c>
      <c r="AH349" s="28" t="str">
        <f t="shared" si="132"/>
        <v>ok</v>
      </c>
      <c r="AJ349" s="23">
        <v>517020.39335600007</v>
      </c>
    </row>
    <row r="350" spans="1:40" x14ac:dyDescent="0.25">
      <c r="A350" s="14" t="s">
        <v>750</v>
      </c>
      <c r="B350" s="14" t="s">
        <v>750</v>
      </c>
      <c r="AJ350" s="23">
        <v>213115.10876000021</v>
      </c>
    </row>
    <row r="351" spans="1:40" x14ac:dyDescent="0.25">
      <c r="A351" s="14" t="s">
        <v>570</v>
      </c>
      <c r="E351" s="91">
        <f t="shared" ref="E351:AG351" si="134">E338+E349</f>
        <v>83697285.399999991</v>
      </c>
      <c r="F351" s="91">
        <f t="shared" si="134"/>
        <v>46859859.919375867</v>
      </c>
      <c r="G351" s="91">
        <f t="shared" si="134"/>
        <v>4502303.2770133689</v>
      </c>
      <c r="H351" s="91">
        <f t="shared" si="134"/>
        <v>1390528.9561489688</v>
      </c>
      <c r="I351" s="91">
        <f t="shared" si="134"/>
        <v>16379805.963107385</v>
      </c>
      <c r="J351" s="91">
        <f t="shared" si="134"/>
        <v>11548430.04212722</v>
      </c>
      <c r="K351" s="91">
        <f t="shared" si="134"/>
        <v>1726251.7234862596</v>
      </c>
      <c r="L351" s="91">
        <f t="shared" si="134"/>
        <v>1290105.517354076</v>
      </c>
      <c r="M351" s="91">
        <f t="shared" si="134"/>
        <v>0</v>
      </c>
      <c r="N351" s="91">
        <f t="shared" si="134"/>
        <v>0</v>
      </c>
      <c r="O351" s="91">
        <f t="shared" si="134"/>
        <v>0</v>
      </c>
      <c r="P351" s="91">
        <f t="shared" si="134"/>
        <v>0</v>
      </c>
      <c r="Q351" s="91">
        <f t="shared" si="134"/>
        <v>0</v>
      </c>
      <c r="R351" s="91">
        <f t="shared" si="134"/>
        <v>0</v>
      </c>
      <c r="S351" s="91">
        <f t="shared" si="134"/>
        <v>0</v>
      </c>
      <c r="T351" s="91">
        <f t="shared" si="134"/>
        <v>0</v>
      </c>
      <c r="U351" s="91">
        <f t="shared" si="134"/>
        <v>0</v>
      </c>
      <c r="V351" s="91">
        <f t="shared" si="134"/>
        <v>0</v>
      </c>
      <c r="W351" s="91">
        <f t="shared" si="134"/>
        <v>0</v>
      </c>
      <c r="X351" s="91">
        <f t="shared" si="134"/>
        <v>0</v>
      </c>
      <c r="Y351" s="91">
        <f t="shared" si="134"/>
        <v>0</v>
      </c>
      <c r="Z351" s="91">
        <f t="shared" si="134"/>
        <v>0</v>
      </c>
      <c r="AA351" s="91">
        <f t="shared" si="134"/>
        <v>0</v>
      </c>
      <c r="AB351" s="91">
        <f t="shared" si="134"/>
        <v>0</v>
      </c>
      <c r="AC351" s="91">
        <f t="shared" si="134"/>
        <v>0</v>
      </c>
      <c r="AD351" s="91">
        <f t="shared" si="134"/>
        <v>0</v>
      </c>
      <c r="AE351" s="91">
        <f t="shared" si="134"/>
        <v>0</v>
      </c>
      <c r="AF351" s="91">
        <f t="shared" si="134"/>
        <v>0</v>
      </c>
      <c r="AG351" s="91">
        <f t="shared" si="134"/>
        <v>83697285.39861314</v>
      </c>
      <c r="AH351" s="28" t="str">
        <f>IF(ABS(E351-AG351)&lt;0.01,"ok","err")</f>
        <v>ok</v>
      </c>
      <c r="AJ351" s="23">
        <v>175312.02844600007</v>
      </c>
    </row>
    <row r="352" spans="1:40" x14ac:dyDescent="0.25">
      <c r="AJ352" s="23">
        <v>0</v>
      </c>
    </row>
    <row r="353" spans="1:36" x14ac:dyDescent="0.25">
      <c r="A353" s="13" t="s">
        <v>326</v>
      </c>
      <c r="AJ353" s="23">
        <v>48470.503947999561</v>
      </c>
    </row>
    <row r="354" spans="1:36" x14ac:dyDescent="0.25">
      <c r="AJ354" s="23">
        <v>0</v>
      </c>
    </row>
    <row r="355" spans="1:36" x14ac:dyDescent="0.25">
      <c r="A355" s="14" t="s">
        <v>571</v>
      </c>
      <c r="C355" s="14" t="s">
        <v>197</v>
      </c>
      <c r="E355" s="91">
        <f t="shared" ref="E355:U355" si="135">E324</f>
        <v>94527181.260000005</v>
      </c>
      <c r="F355" s="91">
        <f t="shared" si="135"/>
        <v>51183053.602891482</v>
      </c>
      <c r="G355" s="91">
        <f t="shared" si="135"/>
        <v>6753230.7056259466</v>
      </c>
      <c r="H355" s="91">
        <f t="shared" si="135"/>
        <v>1681285.5294716654</v>
      </c>
      <c r="I355" s="91">
        <f t="shared" si="135"/>
        <v>19033841.370188829</v>
      </c>
      <c r="J355" s="91">
        <f t="shared" si="135"/>
        <v>12768580.189999999</v>
      </c>
      <c r="K355" s="91">
        <f t="shared" si="135"/>
        <v>2063695.6931041244</v>
      </c>
      <c r="L355" s="91">
        <f t="shared" si="135"/>
        <v>1043494.1687179848</v>
      </c>
      <c r="M355" s="91">
        <f t="shared" si="135"/>
        <v>0</v>
      </c>
      <c r="N355" s="91">
        <f t="shared" si="135"/>
        <v>0</v>
      </c>
      <c r="O355" s="91">
        <f t="shared" si="135"/>
        <v>0</v>
      </c>
      <c r="P355" s="91">
        <f t="shared" si="135"/>
        <v>0</v>
      </c>
      <c r="Q355" s="91">
        <f t="shared" si="135"/>
        <v>0</v>
      </c>
      <c r="R355" s="91">
        <f t="shared" si="135"/>
        <v>0</v>
      </c>
      <c r="S355" s="114">
        <f t="shared" si="135"/>
        <v>0</v>
      </c>
      <c r="T355" s="114">
        <f t="shared" si="135"/>
        <v>0</v>
      </c>
      <c r="U355" s="114">
        <f t="shared" si="135"/>
        <v>0</v>
      </c>
      <c r="V355" s="114">
        <f t="shared" ref="V355:AE355" si="136">V324-V125</f>
        <v>0</v>
      </c>
      <c r="W355" s="114">
        <f t="shared" si="136"/>
        <v>0</v>
      </c>
      <c r="X355" s="114">
        <f t="shared" si="136"/>
        <v>0</v>
      </c>
      <c r="Y355" s="114">
        <f t="shared" si="136"/>
        <v>0</v>
      </c>
      <c r="Z355" s="114">
        <f t="shared" si="136"/>
        <v>0</v>
      </c>
      <c r="AA355" s="114">
        <f t="shared" si="136"/>
        <v>0</v>
      </c>
      <c r="AB355" s="114">
        <f t="shared" si="136"/>
        <v>0</v>
      </c>
      <c r="AC355" s="114">
        <f t="shared" si="136"/>
        <v>0</v>
      </c>
      <c r="AD355" s="114">
        <f t="shared" si="136"/>
        <v>0</v>
      </c>
      <c r="AE355" s="114">
        <f t="shared" si="136"/>
        <v>0</v>
      </c>
      <c r="AF355" s="114">
        <f>AF324</f>
        <v>0</v>
      </c>
      <c r="AG355" s="91">
        <f>SUM(F355:AF355)</f>
        <v>94527181.26000002</v>
      </c>
      <c r="AH355" s="28" t="str">
        <f>IF(ABS(E355-AG355)&lt;0.01,"ok","err")</f>
        <v>ok</v>
      </c>
      <c r="AJ355" s="203">
        <f>SUM(AJ348:AJ354)</f>
        <v>4641294.4224619996</v>
      </c>
    </row>
    <row r="357" spans="1:36" x14ac:dyDescent="0.25">
      <c r="A357" s="14" t="s">
        <v>569</v>
      </c>
    </row>
    <row r="358" spans="1:36" x14ac:dyDescent="0.25">
      <c r="A358" s="14">
        <v>1</v>
      </c>
      <c r="B358" s="14" t="s">
        <v>957</v>
      </c>
      <c r="D358" s="14" t="s">
        <v>957</v>
      </c>
      <c r="E358" s="91">
        <f>-8969611.29*AI358</f>
        <v>-8969611.2899999991</v>
      </c>
      <c r="F358" s="67">
        <f t="shared" ref="F358:F367" si="137">IF(VLOOKUP($D358,$C$5:$AU$518,3,)=0,0,(VLOOKUP($D358,$C$5:$AU$518,4,)/VLOOKUP($D358,$C$5:$AU$518,3,))*$E358)</f>
        <v>-4722005.8037789091</v>
      </c>
      <c r="G358" s="67">
        <f t="shared" ref="G358:G367" si="138">IF(VLOOKUP($D358,$C$5:$AU$518,3,)=0,0,(VLOOKUP($D358,$C$5:$AU$518,5,)/VLOOKUP($D358,$C$5:$AU$518,3,))*$E358)</f>
        <v>-536504.9895160693</v>
      </c>
      <c r="H358" s="67">
        <f t="shared" ref="H358:H367" si="139">IF(VLOOKUP($D358,$C$5:$AU$518,3,)=0,0,(VLOOKUP($D358,$C$5:$AU$518,6,)/VLOOKUP($D358,$C$5:$AU$518,3,))*$E358)</f>
        <v>-163150.56676656211</v>
      </c>
      <c r="I358" s="67">
        <f t="shared" ref="I358:I367" si="140">IF(VLOOKUP($D358,$C$5:$AU$518,3,)=0,0,(VLOOKUP($D358,$C$5:$AU$518,7,)/VLOOKUP($D358,$C$5:$AU$518,3,))*$E358)</f>
        <v>-2318593.3922147388</v>
      </c>
      <c r="J358" s="42">
        <f t="shared" ref="J358:J367" si="141">IF(VLOOKUP($D358,$C$5:$AU$518,3,)=0,0,(VLOOKUP($D358,$C$5:$AU$518,8,)/VLOOKUP($D358,$C$5:$AU$518,3,))*$E358)</f>
        <v>-888893.37452006352</v>
      </c>
      <c r="K358" s="42">
        <f t="shared" ref="K358:K367" si="142">IF(VLOOKUP($D358,$C$5:$AU$518,3,)=0,0,(VLOOKUP($D358,$C$5:$AU$518,9,)/VLOOKUP($D358,$C$5:$AU$518,3,))*$E358)</f>
        <v>-248699.75335036428</v>
      </c>
      <c r="L358" s="67">
        <f t="shared" ref="L358:L367" si="143">IF(VLOOKUP($D358,$C$5:$AU$518,3,)=0,0,(VLOOKUP($D358,$C$5:$AU$518,10,)/VLOOKUP($D358,$C$5:$AU$518,3,))*$E358)</f>
        <v>-91763.409853292702</v>
      </c>
      <c r="M358" s="42">
        <f t="shared" ref="M358:M367" si="144">IF(VLOOKUP($D358,$C$5:$AU$518,3,)=0,0,(VLOOKUP($D358,$C$5:$AU$518,11,)/VLOOKUP($D358,$C$5:$AU$518,3,))*$E358)</f>
        <v>0</v>
      </c>
      <c r="N358" s="42">
        <f t="shared" ref="N358:N367" si="145">IF(VLOOKUP($D358,$C$5:$AU$518,3,)=0,0,(VLOOKUP($D358,$C$5:$AU$518,12,)/VLOOKUP($D358,$C$5:$AU$518,3,))*$E358)</f>
        <v>0</v>
      </c>
      <c r="O358" s="42">
        <f t="shared" ref="O358:O367" si="146">IF(VLOOKUP($D358,$C$5:$AU$518,3,)=0,0,(VLOOKUP($D358,$C$5:$AU$518,13,)/VLOOKUP($D358,$C$5:$AU$518,3,))*$E358)</f>
        <v>0</v>
      </c>
      <c r="P358" s="42">
        <f t="shared" ref="P358:P367" si="147">IF(VLOOKUP($D358,$C$5:$AU$518,3,)=0,0,(VLOOKUP($D358,$C$5:$AU$518,14,)/VLOOKUP($D358,$C$5:$AU$518,3,))*$E358)</f>
        <v>0</v>
      </c>
      <c r="Q358" s="42">
        <f t="shared" ref="Q358:Q378" si="148">IF(VLOOKUP($D358,$C$5:$AU$518,3,)=0,0,(VLOOKUP($D358,$C$5:$AU$518,15,)/VLOOKUP($D358,$C$5:$AU$518,3,))*$E358)</f>
        <v>0</v>
      </c>
      <c r="R358" s="42">
        <f t="shared" ref="R358:R378" si="149">IF(VLOOKUP($D358,$C$5:$AU$518,3,)=0,0,(VLOOKUP($D358,$C$5:$AU$518,16,)/VLOOKUP($D358,$C$5:$AU$518,3,))*$E358)</f>
        <v>0</v>
      </c>
      <c r="S358" s="107">
        <f t="shared" ref="S358:S378" si="150">IF(VLOOKUP($D358,$C$5:$AU$518,3,)=0,0,(VLOOKUP($D358,$C$5:$AU$518,17,)/VLOOKUP($D358,$C$5:$AU$518,3,))*$E358)</f>
        <v>0</v>
      </c>
      <c r="T358" s="107">
        <f t="shared" ref="T358:T378" si="151">IF(VLOOKUP($D358,$C$5:$AU$518,3,)=0,0,(VLOOKUP($D358,$C$5:$AU$518,18,)/VLOOKUP($D358,$C$5:$AU$518,3,))*$E358)</f>
        <v>0</v>
      </c>
      <c r="U358" s="107">
        <f t="shared" ref="U358:U378" si="152">IF(VLOOKUP($D358,$C$5:$AU$518,3,)=0,0,(VLOOKUP($D358,$C$5:$AU$518,19,)/VLOOKUP($D358,$C$5:$AU$518,3,))*$E358)</f>
        <v>0</v>
      </c>
      <c r="V358" s="107">
        <f t="shared" ref="V358:V367" si="153">IF(VLOOKUP($D358,$C$5:$AU$518,3,)=0,0,(VLOOKUP($D358,$C$5:$AU$518,20,)/VLOOKUP($D358,$C$5:$AU$518,3,))*$E358)</f>
        <v>0</v>
      </c>
      <c r="W358" s="107">
        <f t="shared" ref="W358:W367" si="154">IF(VLOOKUP($D358,$C$5:$AU$518,3,)=0,0,(VLOOKUP($D358,$C$5:$AU$518,21,)/VLOOKUP($D358,$C$5:$AU$518,3,))*$E358)</f>
        <v>0</v>
      </c>
      <c r="X358" s="107">
        <f t="shared" ref="X358:X367" si="155">IF(VLOOKUP($D358,$C$5:$AU$518,3,)=0,0,(VLOOKUP($D358,$C$5:$AU$518,22,)/VLOOKUP($D358,$C$5:$AU$518,3,))*$E358)</f>
        <v>0</v>
      </c>
      <c r="Y358" s="107">
        <f t="shared" ref="Y358:Y367" si="156">IF(VLOOKUP($D358,$C$5:$AU$518,3,)=0,0,(VLOOKUP($D358,$C$5:$AU$518,23,)/VLOOKUP($D358,$C$5:$AU$518,3,))*$E358)</f>
        <v>0</v>
      </c>
      <c r="Z358" s="107">
        <f t="shared" ref="Z358:Z367" si="157">IF(VLOOKUP($D358,$C$5:$AU$518,3,)=0,0,(VLOOKUP($D358,$C$5:$AU$518,24,)/VLOOKUP($D358,$C$5:$AU$518,3,))*$E358)</f>
        <v>0</v>
      </c>
      <c r="AA358" s="107">
        <f t="shared" ref="AA358:AA367" si="158">IF(VLOOKUP($D358,$C$5:$AU$518,3,)=0,0,(VLOOKUP($D358,$C$5:$AU$518,25,)/VLOOKUP($D358,$C$5:$AU$518,3,))*$E358)</f>
        <v>0</v>
      </c>
      <c r="AB358" s="107">
        <f t="shared" ref="AB358:AB367" si="159">IF(VLOOKUP($D358,$C$5:$AU$518,3,)=0,0,(VLOOKUP($D358,$C$5:$AU$518,26,)/VLOOKUP($D358,$C$5:$AU$518,3,))*$E358)</f>
        <v>0</v>
      </c>
      <c r="AC358" s="107">
        <f t="shared" ref="AC358:AC367" si="160">IF(VLOOKUP($D358,$C$5:$AU$518,3,)=0,0,(VLOOKUP($D358,$C$5:$AU$518,27,)/VLOOKUP($D358,$C$5:$AU$518,3,))*$E358)</f>
        <v>0</v>
      </c>
      <c r="AD358" s="107">
        <f t="shared" ref="AD358:AD367" si="161">IF(VLOOKUP($D358,$C$5:$AU$518,3,)=0,0,(VLOOKUP($D358,$C$5:$AU$518,28,)/VLOOKUP($D358,$C$5:$AU$518,3,))*$E358)</f>
        <v>0</v>
      </c>
      <c r="AE358" s="107">
        <f t="shared" ref="AE358:AE367" si="162">IF(VLOOKUP($D358,$C$5:$AU$518,3,)=0,0,(VLOOKUP($D358,$C$5:$AU$518,29,)/VLOOKUP($D358,$C$5:$AU$518,3,))*$E358)</f>
        <v>0</v>
      </c>
      <c r="AF358" s="107">
        <f t="shared" ref="AF358:AF367" si="163">IF(VLOOKUP($D358,$C$5:$AU$518,3,)=0,0,(VLOOKUP($D358,$C$5:$AU$518,30,)/VLOOKUP($D358,$C$5:$AU$518,3,))*$E358)</f>
        <v>0</v>
      </c>
      <c r="AG358" s="91">
        <f t="shared" ref="AG358:AG382" si="164">SUM(F358:AF358)</f>
        <v>-8969611.2899999991</v>
      </c>
      <c r="AH358" s="28" t="str">
        <f t="shared" ref="AH358:AH382" si="165">IF(ABS(E358-AG358)&lt;0.01,"ok","err")</f>
        <v>ok</v>
      </c>
      <c r="AI358" s="14">
        <v>1</v>
      </c>
    </row>
    <row r="359" spans="1:36" x14ac:dyDescent="0.25">
      <c r="A359" s="14">
        <v>2</v>
      </c>
      <c r="B359" s="14" t="s">
        <v>958</v>
      </c>
      <c r="D359" s="14" t="s">
        <v>958</v>
      </c>
      <c r="E359" s="91">
        <f>-3623000.46*AI359</f>
        <v>-3623000.46</v>
      </c>
      <c r="F359" s="67">
        <f t="shared" si="137"/>
        <v>-1907309.9877011124</v>
      </c>
      <c r="G359" s="67">
        <f t="shared" si="138"/>
        <v>-216704.8003491592</v>
      </c>
      <c r="H359" s="67">
        <f t="shared" si="139"/>
        <v>-65899.68721426226</v>
      </c>
      <c r="I359" s="67">
        <f t="shared" si="140"/>
        <v>-936524.96802310809</v>
      </c>
      <c r="J359" s="42">
        <f t="shared" si="141"/>
        <v>-359041.32304680313</v>
      </c>
      <c r="K359" s="42">
        <f t="shared" si="142"/>
        <v>-100454.66761695717</v>
      </c>
      <c r="L359" s="67">
        <f t="shared" si="143"/>
        <v>-37065.026048597916</v>
      </c>
      <c r="M359" s="42">
        <f t="shared" si="144"/>
        <v>0</v>
      </c>
      <c r="N359" s="42">
        <f t="shared" si="145"/>
        <v>0</v>
      </c>
      <c r="O359" s="42">
        <f t="shared" si="146"/>
        <v>0</v>
      </c>
      <c r="P359" s="42">
        <f t="shared" si="147"/>
        <v>0</v>
      </c>
      <c r="Q359" s="42">
        <f t="shared" si="148"/>
        <v>0</v>
      </c>
      <c r="R359" s="42">
        <f t="shared" si="149"/>
        <v>0</v>
      </c>
      <c r="S359" s="107">
        <f t="shared" si="150"/>
        <v>0</v>
      </c>
      <c r="T359" s="107">
        <f t="shared" si="151"/>
        <v>0</v>
      </c>
      <c r="U359" s="107">
        <f t="shared" si="152"/>
        <v>0</v>
      </c>
      <c r="V359" s="107">
        <f t="shared" si="153"/>
        <v>0</v>
      </c>
      <c r="W359" s="107">
        <f t="shared" si="154"/>
        <v>0</v>
      </c>
      <c r="X359" s="107">
        <f t="shared" si="155"/>
        <v>0</v>
      </c>
      <c r="Y359" s="107">
        <f t="shared" si="156"/>
        <v>0</v>
      </c>
      <c r="Z359" s="107">
        <f t="shared" si="157"/>
        <v>0</v>
      </c>
      <c r="AA359" s="107">
        <f t="shared" si="158"/>
        <v>0</v>
      </c>
      <c r="AB359" s="107">
        <f t="shared" si="159"/>
        <v>0</v>
      </c>
      <c r="AC359" s="107">
        <f t="shared" si="160"/>
        <v>0</v>
      </c>
      <c r="AD359" s="107">
        <f t="shared" si="161"/>
        <v>0</v>
      </c>
      <c r="AE359" s="107">
        <f t="shared" si="162"/>
        <v>0</v>
      </c>
      <c r="AF359" s="107">
        <f t="shared" si="163"/>
        <v>0</v>
      </c>
      <c r="AG359" s="91">
        <f t="shared" si="164"/>
        <v>-3623000.46</v>
      </c>
      <c r="AH359" s="28" t="str">
        <f t="shared" si="165"/>
        <v>ok</v>
      </c>
      <c r="AI359" s="14">
        <f>AI358</f>
        <v>1</v>
      </c>
    </row>
    <row r="360" spans="1:36" x14ac:dyDescent="0.25">
      <c r="A360" s="14">
        <v>3</v>
      </c>
      <c r="B360" s="14" t="s">
        <v>1133</v>
      </c>
      <c r="D360" s="14" t="s">
        <v>1133</v>
      </c>
      <c r="E360" s="91">
        <f>3141244.79*AI360</f>
        <v>3141244.79</v>
      </c>
      <c r="F360" s="67">
        <f t="shared" si="137"/>
        <v>1653692.1890926515</v>
      </c>
      <c r="G360" s="67">
        <f t="shared" si="138"/>
        <v>187889.24610425983</v>
      </c>
      <c r="H360" s="67">
        <f t="shared" si="139"/>
        <v>57136.909423530939</v>
      </c>
      <c r="I360" s="67">
        <f t="shared" si="140"/>
        <v>811993.87330674112</v>
      </c>
      <c r="J360" s="42">
        <f t="shared" si="141"/>
        <v>311299.07320394804</v>
      </c>
      <c r="K360" s="42">
        <f t="shared" si="142"/>
        <v>87097.063543554847</v>
      </c>
      <c r="L360" s="67">
        <f t="shared" si="143"/>
        <v>32136.435325313902</v>
      </c>
      <c r="M360" s="42">
        <f t="shared" si="144"/>
        <v>0</v>
      </c>
      <c r="N360" s="42">
        <f t="shared" si="145"/>
        <v>0</v>
      </c>
      <c r="O360" s="42">
        <f t="shared" si="146"/>
        <v>0</v>
      </c>
      <c r="P360" s="42">
        <f t="shared" si="147"/>
        <v>0</v>
      </c>
      <c r="Q360" s="42">
        <f t="shared" si="148"/>
        <v>0</v>
      </c>
      <c r="R360" s="42">
        <f t="shared" si="149"/>
        <v>0</v>
      </c>
      <c r="S360" s="107">
        <f t="shared" si="150"/>
        <v>0</v>
      </c>
      <c r="T360" s="107">
        <f t="shared" si="151"/>
        <v>0</v>
      </c>
      <c r="U360" s="107">
        <f t="shared" si="152"/>
        <v>0</v>
      </c>
      <c r="V360" s="107">
        <f t="shared" si="153"/>
        <v>0</v>
      </c>
      <c r="W360" s="107">
        <f t="shared" si="154"/>
        <v>0</v>
      </c>
      <c r="X360" s="107">
        <f t="shared" si="155"/>
        <v>0</v>
      </c>
      <c r="Y360" s="107">
        <f t="shared" si="156"/>
        <v>0</v>
      </c>
      <c r="Z360" s="107">
        <f t="shared" si="157"/>
        <v>0</v>
      </c>
      <c r="AA360" s="107">
        <f t="shared" si="158"/>
        <v>0</v>
      </c>
      <c r="AB360" s="107">
        <f t="shared" si="159"/>
        <v>0</v>
      </c>
      <c r="AC360" s="107">
        <f t="shared" si="160"/>
        <v>0</v>
      </c>
      <c r="AD360" s="107">
        <f t="shared" si="161"/>
        <v>0</v>
      </c>
      <c r="AE360" s="107">
        <f t="shared" si="162"/>
        <v>0</v>
      </c>
      <c r="AF360" s="107">
        <f t="shared" si="163"/>
        <v>0</v>
      </c>
      <c r="AG360" s="91">
        <f t="shared" si="164"/>
        <v>3141244.79</v>
      </c>
      <c r="AH360" s="28" t="str">
        <f t="shared" si="165"/>
        <v>ok</v>
      </c>
      <c r="AI360" s="14">
        <f t="shared" ref="AI360:AI381" si="166">AI359</f>
        <v>1</v>
      </c>
    </row>
    <row r="361" spans="1:36" x14ac:dyDescent="0.25">
      <c r="A361" s="14">
        <v>4</v>
      </c>
      <c r="B361" s="14" t="s">
        <v>1134</v>
      </c>
      <c r="D361" s="14" t="s">
        <v>1136</v>
      </c>
      <c r="E361" s="91">
        <f>-4012567.81*AI361</f>
        <v>-4012567.81</v>
      </c>
      <c r="F361" s="67">
        <f t="shared" si="137"/>
        <v>-2112395.7186417193</v>
      </c>
      <c r="G361" s="67">
        <f t="shared" si="138"/>
        <v>-240006.23675148885</v>
      </c>
      <c r="H361" s="67">
        <f t="shared" si="139"/>
        <v>-72985.627941382409</v>
      </c>
      <c r="I361" s="67">
        <f t="shared" si="140"/>
        <v>-1037225.9074874098</v>
      </c>
      <c r="J361" s="42">
        <f t="shared" si="141"/>
        <v>-397647.66006058233</v>
      </c>
      <c r="K361" s="42">
        <f t="shared" si="142"/>
        <v>-111256.17291366609</v>
      </c>
      <c r="L361" s="67">
        <f t="shared" si="143"/>
        <v>-41050.486203751549</v>
      </c>
      <c r="M361" s="42">
        <f t="shared" si="144"/>
        <v>0</v>
      </c>
      <c r="N361" s="42">
        <f t="shared" si="145"/>
        <v>0</v>
      </c>
      <c r="O361" s="42">
        <f t="shared" si="146"/>
        <v>0</v>
      </c>
      <c r="P361" s="42">
        <f t="shared" si="147"/>
        <v>0</v>
      </c>
      <c r="Q361" s="42">
        <f t="shared" si="148"/>
        <v>0</v>
      </c>
      <c r="R361" s="42">
        <f t="shared" si="149"/>
        <v>0</v>
      </c>
      <c r="S361" s="107">
        <f t="shared" si="150"/>
        <v>0</v>
      </c>
      <c r="T361" s="107">
        <f t="shared" si="151"/>
        <v>0</v>
      </c>
      <c r="U361" s="107">
        <f t="shared" si="152"/>
        <v>0</v>
      </c>
      <c r="V361" s="107">
        <f t="shared" si="153"/>
        <v>0</v>
      </c>
      <c r="W361" s="107">
        <f t="shared" si="154"/>
        <v>0</v>
      </c>
      <c r="X361" s="107">
        <f t="shared" si="155"/>
        <v>0</v>
      </c>
      <c r="Y361" s="107">
        <f t="shared" si="156"/>
        <v>0</v>
      </c>
      <c r="Z361" s="107">
        <f t="shared" si="157"/>
        <v>0</v>
      </c>
      <c r="AA361" s="107">
        <f t="shared" si="158"/>
        <v>0</v>
      </c>
      <c r="AB361" s="107">
        <f t="shared" si="159"/>
        <v>0</v>
      </c>
      <c r="AC361" s="107">
        <f t="shared" si="160"/>
        <v>0</v>
      </c>
      <c r="AD361" s="107">
        <f t="shared" si="161"/>
        <v>0</v>
      </c>
      <c r="AE361" s="107">
        <f t="shared" si="162"/>
        <v>0</v>
      </c>
      <c r="AF361" s="107">
        <f t="shared" si="163"/>
        <v>0</v>
      </c>
      <c r="AG361" s="91">
        <f t="shared" si="164"/>
        <v>-4012567.81</v>
      </c>
      <c r="AH361" s="28" t="str">
        <f t="shared" si="165"/>
        <v>ok</v>
      </c>
      <c r="AI361" s="14">
        <f t="shared" si="166"/>
        <v>1</v>
      </c>
    </row>
    <row r="362" spans="1:36" x14ac:dyDescent="0.25">
      <c r="A362" s="14">
        <v>5</v>
      </c>
      <c r="B362" s="14" t="s">
        <v>1170</v>
      </c>
      <c r="D362" s="14" t="s">
        <v>260</v>
      </c>
      <c r="E362" s="249">
        <f>-455665.61*AI362</f>
        <v>-455665.61</v>
      </c>
      <c r="F362" s="67">
        <f t="shared" si="137"/>
        <v>-308286.81443266867</v>
      </c>
      <c r="G362" s="67">
        <f t="shared" si="138"/>
        <v>-51857.694843609606</v>
      </c>
      <c r="H362" s="67">
        <f t="shared" si="139"/>
        <v>-11430.635192267249</v>
      </c>
      <c r="I362" s="67">
        <f t="shared" si="140"/>
        <v>-65398.450615087582</v>
      </c>
      <c r="J362" s="42">
        <f t="shared" si="141"/>
        <v>0</v>
      </c>
      <c r="K362" s="42">
        <f t="shared" si="142"/>
        <v>-6079.5391601974361</v>
      </c>
      <c r="L362" s="67">
        <f t="shared" si="143"/>
        <v>-12612.475756169446</v>
      </c>
      <c r="M362" s="42">
        <f t="shared" si="144"/>
        <v>0</v>
      </c>
      <c r="N362" s="42">
        <f t="shared" si="145"/>
        <v>0</v>
      </c>
      <c r="O362" s="42">
        <f t="shared" si="146"/>
        <v>0</v>
      </c>
      <c r="P362" s="42">
        <f t="shared" si="147"/>
        <v>0</v>
      </c>
      <c r="Q362" s="42">
        <f t="shared" si="148"/>
        <v>0</v>
      </c>
      <c r="R362" s="42">
        <f t="shared" si="149"/>
        <v>0</v>
      </c>
      <c r="S362" s="107">
        <f t="shared" si="150"/>
        <v>0</v>
      </c>
      <c r="T362" s="107">
        <f t="shared" si="151"/>
        <v>0</v>
      </c>
      <c r="U362" s="107">
        <f t="shared" si="152"/>
        <v>0</v>
      </c>
      <c r="V362" s="107">
        <f t="shared" si="153"/>
        <v>0</v>
      </c>
      <c r="W362" s="107">
        <f t="shared" si="154"/>
        <v>0</v>
      </c>
      <c r="X362" s="107">
        <f t="shared" si="155"/>
        <v>0</v>
      </c>
      <c r="Y362" s="107">
        <f t="shared" si="156"/>
        <v>0</v>
      </c>
      <c r="Z362" s="107">
        <f t="shared" si="157"/>
        <v>0</v>
      </c>
      <c r="AA362" s="107">
        <f t="shared" si="158"/>
        <v>0</v>
      </c>
      <c r="AB362" s="107">
        <f t="shared" si="159"/>
        <v>0</v>
      </c>
      <c r="AC362" s="107">
        <f t="shared" si="160"/>
        <v>0</v>
      </c>
      <c r="AD362" s="107">
        <f t="shared" si="161"/>
        <v>0</v>
      </c>
      <c r="AE362" s="107">
        <f t="shared" si="162"/>
        <v>0</v>
      </c>
      <c r="AF362" s="107">
        <f t="shared" si="163"/>
        <v>0</v>
      </c>
      <c r="AG362" s="91">
        <f t="shared" si="164"/>
        <v>-455665.61</v>
      </c>
      <c r="AH362" s="28" t="str">
        <f t="shared" si="165"/>
        <v>ok</v>
      </c>
      <c r="AI362" s="14">
        <f t="shared" si="166"/>
        <v>1</v>
      </c>
    </row>
    <row r="363" spans="1:36" x14ac:dyDescent="0.25">
      <c r="A363" s="14">
        <v>6</v>
      </c>
      <c r="B363" s="14" t="s">
        <v>1137</v>
      </c>
      <c r="D363" s="14" t="s">
        <v>284</v>
      </c>
      <c r="E363" s="91">
        <f>-22063.62*AI363</f>
        <v>-22063.62</v>
      </c>
      <c r="F363" s="67">
        <f t="shared" si="137"/>
        <v>-15845.460526197374</v>
      </c>
      <c r="G363" s="67">
        <f t="shared" si="138"/>
        <v>-2972.6223308002091</v>
      </c>
      <c r="H363" s="67">
        <f t="shared" si="139"/>
        <v>-523.72383055576881</v>
      </c>
      <c r="I363" s="67">
        <f t="shared" si="140"/>
        <v>-2160.2276491409289</v>
      </c>
      <c r="J363" s="42">
        <f t="shared" si="141"/>
        <v>0</v>
      </c>
      <c r="K363" s="42">
        <f t="shared" si="142"/>
        <v>-170.11205640040569</v>
      </c>
      <c r="L363" s="67">
        <f t="shared" si="143"/>
        <v>-391.47360690531377</v>
      </c>
      <c r="M363" s="42">
        <f t="shared" si="144"/>
        <v>0</v>
      </c>
      <c r="N363" s="42">
        <f t="shared" si="145"/>
        <v>0</v>
      </c>
      <c r="O363" s="42">
        <f t="shared" si="146"/>
        <v>0</v>
      </c>
      <c r="P363" s="42">
        <f t="shared" si="147"/>
        <v>0</v>
      </c>
      <c r="Q363" s="42">
        <f t="shared" si="148"/>
        <v>0</v>
      </c>
      <c r="R363" s="42">
        <f t="shared" si="149"/>
        <v>0</v>
      </c>
      <c r="S363" s="107">
        <f t="shared" si="150"/>
        <v>0</v>
      </c>
      <c r="T363" s="107">
        <f t="shared" si="151"/>
        <v>0</v>
      </c>
      <c r="U363" s="107">
        <f t="shared" si="152"/>
        <v>0</v>
      </c>
      <c r="V363" s="107">
        <f t="shared" si="153"/>
        <v>0</v>
      </c>
      <c r="W363" s="107">
        <f t="shared" si="154"/>
        <v>0</v>
      </c>
      <c r="X363" s="107">
        <f t="shared" si="155"/>
        <v>0</v>
      </c>
      <c r="Y363" s="107">
        <f t="shared" si="156"/>
        <v>0</v>
      </c>
      <c r="Z363" s="107">
        <f t="shared" si="157"/>
        <v>0</v>
      </c>
      <c r="AA363" s="107">
        <f t="shared" si="158"/>
        <v>0</v>
      </c>
      <c r="AB363" s="107">
        <f t="shared" si="159"/>
        <v>0</v>
      </c>
      <c r="AC363" s="107">
        <f t="shared" si="160"/>
        <v>0</v>
      </c>
      <c r="AD363" s="107">
        <f t="shared" si="161"/>
        <v>0</v>
      </c>
      <c r="AE363" s="107">
        <f t="shared" si="162"/>
        <v>0</v>
      </c>
      <c r="AF363" s="107">
        <f t="shared" si="163"/>
        <v>0</v>
      </c>
      <c r="AG363" s="91">
        <f t="shared" si="164"/>
        <v>-22063.62</v>
      </c>
      <c r="AH363" s="28" t="str">
        <f t="shared" si="165"/>
        <v>ok</v>
      </c>
      <c r="AI363" s="14">
        <f t="shared" si="166"/>
        <v>1</v>
      </c>
    </row>
    <row r="364" spans="1:36" x14ac:dyDescent="0.25">
      <c r="A364" s="14">
        <v>7</v>
      </c>
      <c r="B364" s="14" t="s">
        <v>1138</v>
      </c>
      <c r="D364" s="14" t="s">
        <v>284</v>
      </c>
      <c r="E364" s="91">
        <f>-14628.0074543936*AI364</f>
        <v>-14628.007454393601</v>
      </c>
      <c r="F364" s="67">
        <f t="shared" si="137"/>
        <v>-10505.416368461511</v>
      </c>
      <c r="G364" s="67">
        <f t="shared" si="138"/>
        <v>-1970.8253502390969</v>
      </c>
      <c r="H364" s="67">
        <f t="shared" si="139"/>
        <v>-347.22480252167855</v>
      </c>
      <c r="I364" s="67">
        <f t="shared" si="140"/>
        <v>-1432.2140317328106</v>
      </c>
      <c r="J364" s="42">
        <f t="shared" si="141"/>
        <v>0</v>
      </c>
      <c r="K364" s="42">
        <f t="shared" si="142"/>
        <v>-112.78296259214758</v>
      </c>
      <c r="L364" s="67">
        <f t="shared" si="143"/>
        <v>-259.54393884635795</v>
      </c>
      <c r="M364" s="42">
        <f t="shared" si="144"/>
        <v>0</v>
      </c>
      <c r="N364" s="42">
        <f t="shared" si="145"/>
        <v>0</v>
      </c>
      <c r="O364" s="42">
        <f t="shared" si="146"/>
        <v>0</v>
      </c>
      <c r="P364" s="42">
        <f t="shared" si="147"/>
        <v>0</v>
      </c>
      <c r="Q364" s="42">
        <f t="shared" si="148"/>
        <v>0</v>
      </c>
      <c r="R364" s="42">
        <f t="shared" si="149"/>
        <v>0</v>
      </c>
      <c r="S364" s="107">
        <f t="shared" si="150"/>
        <v>0</v>
      </c>
      <c r="T364" s="107">
        <f t="shared" si="151"/>
        <v>0</v>
      </c>
      <c r="U364" s="107">
        <f t="shared" si="152"/>
        <v>0</v>
      </c>
      <c r="V364" s="107">
        <f t="shared" si="153"/>
        <v>0</v>
      </c>
      <c r="W364" s="107">
        <f t="shared" si="154"/>
        <v>0</v>
      </c>
      <c r="X364" s="107">
        <f t="shared" si="155"/>
        <v>0</v>
      </c>
      <c r="Y364" s="107">
        <f t="shared" si="156"/>
        <v>0</v>
      </c>
      <c r="Z364" s="107">
        <f t="shared" si="157"/>
        <v>0</v>
      </c>
      <c r="AA364" s="107">
        <f t="shared" si="158"/>
        <v>0</v>
      </c>
      <c r="AB364" s="107">
        <f t="shared" si="159"/>
        <v>0</v>
      </c>
      <c r="AC364" s="107">
        <f t="shared" si="160"/>
        <v>0</v>
      </c>
      <c r="AD364" s="107">
        <f t="shared" si="161"/>
        <v>0</v>
      </c>
      <c r="AE364" s="107">
        <f t="shared" si="162"/>
        <v>0</v>
      </c>
      <c r="AF364" s="107">
        <f t="shared" si="163"/>
        <v>0</v>
      </c>
      <c r="AG364" s="91">
        <f t="shared" si="164"/>
        <v>-14628.007454393601</v>
      </c>
      <c r="AH364" s="28" t="str">
        <f t="shared" si="165"/>
        <v>ok</v>
      </c>
      <c r="AI364" s="14">
        <f t="shared" si="166"/>
        <v>1</v>
      </c>
    </row>
    <row r="365" spans="1:36" x14ac:dyDescent="0.25">
      <c r="A365" s="14">
        <v>8</v>
      </c>
      <c r="B365" s="14" t="s">
        <v>1139</v>
      </c>
      <c r="D365" s="14" t="s">
        <v>260</v>
      </c>
      <c r="E365" s="249">
        <v>9123.243333333332</v>
      </c>
      <c r="F365" s="67">
        <f t="shared" si="137"/>
        <v>6172.4553330399785</v>
      </c>
      <c r="G365" s="67">
        <f t="shared" si="138"/>
        <v>1038.2841241058231</v>
      </c>
      <c r="H365" s="67">
        <f t="shared" si="139"/>
        <v>228.86183206500385</v>
      </c>
      <c r="I365" s="67">
        <f t="shared" si="140"/>
        <v>1309.3943573762938</v>
      </c>
      <c r="J365" s="42">
        <f t="shared" si="141"/>
        <v>0</v>
      </c>
      <c r="K365" s="42">
        <f t="shared" si="142"/>
        <v>121.72328544392495</v>
      </c>
      <c r="L365" s="67">
        <f t="shared" si="143"/>
        <v>252.52440130230846</v>
      </c>
      <c r="M365" s="42">
        <f t="shared" si="144"/>
        <v>0</v>
      </c>
      <c r="N365" s="42">
        <f t="shared" si="145"/>
        <v>0</v>
      </c>
      <c r="O365" s="42">
        <f t="shared" si="146"/>
        <v>0</v>
      </c>
      <c r="P365" s="42">
        <f t="shared" si="147"/>
        <v>0</v>
      </c>
      <c r="Q365" s="42">
        <f t="shared" si="148"/>
        <v>0</v>
      </c>
      <c r="R365" s="42">
        <f t="shared" si="149"/>
        <v>0</v>
      </c>
      <c r="S365" s="107">
        <f t="shared" si="150"/>
        <v>0</v>
      </c>
      <c r="T365" s="107">
        <f t="shared" si="151"/>
        <v>0</v>
      </c>
      <c r="U365" s="107">
        <f t="shared" si="152"/>
        <v>0</v>
      </c>
      <c r="V365" s="107">
        <f t="shared" si="153"/>
        <v>0</v>
      </c>
      <c r="W365" s="107">
        <f t="shared" si="154"/>
        <v>0</v>
      </c>
      <c r="X365" s="107">
        <f t="shared" si="155"/>
        <v>0</v>
      </c>
      <c r="Y365" s="107">
        <f t="shared" si="156"/>
        <v>0</v>
      </c>
      <c r="Z365" s="107">
        <f t="shared" si="157"/>
        <v>0</v>
      </c>
      <c r="AA365" s="107">
        <f t="shared" si="158"/>
        <v>0</v>
      </c>
      <c r="AB365" s="107">
        <f t="shared" si="159"/>
        <v>0</v>
      </c>
      <c r="AC365" s="107">
        <f t="shared" si="160"/>
        <v>0</v>
      </c>
      <c r="AD365" s="107">
        <f t="shared" si="161"/>
        <v>0</v>
      </c>
      <c r="AE365" s="107">
        <f t="shared" si="162"/>
        <v>0</v>
      </c>
      <c r="AF365" s="107">
        <f t="shared" si="163"/>
        <v>0</v>
      </c>
      <c r="AG365" s="91">
        <f t="shared" si="164"/>
        <v>9123.2433333333338</v>
      </c>
      <c r="AH365" s="28" t="str">
        <f t="shared" si="165"/>
        <v>ok</v>
      </c>
      <c r="AI365" s="14">
        <f t="shared" si="166"/>
        <v>1</v>
      </c>
    </row>
    <row r="366" spans="1:36" x14ac:dyDescent="0.25">
      <c r="A366" s="14">
        <v>9</v>
      </c>
      <c r="B366" s="14" t="s">
        <v>1171</v>
      </c>
      <c r="D366" s="14" t="s">
        <v>260</v>
      </c>
      <c r="E366" s="91">
        <v>0</v>
      </c>
      <c r="F366" s="67">
        <f t="shared" si="137"/>
        <v>0</v>
      </c>
      <c r="G366" s="67">
        <f t="shared" si="138"/>
        <v>0</v>
      </c>
      <c r="H366" s="67">
        <f t="shared" si="139"/>
        <v>0</v>
      </c>
      <c r="I366" s="67">
        <f t="shared" si="140"/>
        <v>0</v>
      </c>
      <c r="J366" s="42">
        <f t="shared" si="141"/>
        <v>0</v>
      </c>
      <c r="K366" s="42">
        <f t="shared" si="142"/>
        <v>0</v>
      </c>
      <c r="L366" s="67">
        <f t="shared" si="143"/>
        <v>0</v>
      </c>
      <c r="M366" s="42">
        <f t="shared" si="144"/>
        <v>0</v>
      </c>
      <c r="N366" s="42">
        <f t="shared" si="145"/>
        <v>0</v>
      </c>
      <c r="O366" s="42">
        <f t="shared" si="146"/>
        <v>0</v>
      </c>
      <c r="P366" s="42">
        <f t="shared" si="147"/>
        <v>0</v>
      </c>
      <c r="Q366" s="42">
        <f t="shared" si="148"/>
        <v>0</v>
      </c>
      <c r="R366" s="42">
        <f t="shared" si="149"/>
        <v>0</v>
      </c>
      <c r="S366" s="107">
        <f t="shared" si="150"/>
        <v>0</v>
      </c>
      <c r="T366" s="107">
        <f t="shared" si="151"/>
        <v>0</v>
      </c>
      <c r="U366" s="107">
        <f t="shared" si="152"/>
        <v>0</v>
      </c>
      <c r="V366" s="107">
        <f t="shared" si="153"/>
        <v>0</v>
      </c>
      <c r="W366" s="107">
        <f t="shared" si="154"/>
        <v>0</v>
      </c>
      <c r="X366" s="107">
        <f t="shared" si="155"/>
        <v>0</v>
      </c>
      <c r="Y366" s="107">
        <f t="shared" si="156"/>
        <v>0</v>
      </c>
      <c r="Z366" s="107">
        <f t="shared" si="157"/>
        <v>0</v>
      </c>
      <c r="AA366" s="107">
        <f t="shared" si="158"/>
        <v>0</v>
      </c>
      <c r="AB366" s="107">
        <f t="shared" si="159"/>
        <v>0</v>
      </c>
      <c r="AC366" s="107">
        <f t="shared" si="160"/>
        <v>0</v>
      </c>
      <c r="AD366" s="107">
        <f t="shared" si="161"/>
        <v>0</v>
      </c>
      <c r="AE366" s="107">
        <f t="shared" si="162"/>
        <v>0</v>
      </c>
      <c r="AF366" s="107">
        <f t="shared" si="163"/>
        <v>0</v>
      </c>
      <c r="AG366" s="91">
        <f>SUM(F366:AF366)</f>
        <v>0</v>
      </c>
      <c r="AH366" s="28" t="str">
        <f>IF(ABS(E366-AG366)&lt;0.01,"ok","err")</f>
        <v>ok</v>
      </c>
      <c r="AI366" s="14">
        <f t="shared" si="166"/>
        <v>1</v>
      </c>
    </row>
    <row r="367" spans="1:36" hidden="1" x14ac:dyDescent="0.25">
      <c r="B367" s="14" t="s">
        <v>1147</v>
      </c>
      <c r="D367" s="14" t="s">
        <v>260</v>
      </c>
      <c r="E367" s="91">
        <v>0</v>
      </c>
      <c r="F367" s="67">
        <f t="shared" si="137"/>
        <v>0</v>
      </c>
      <c r="G367" s="67">
        <f t="shared" si="138"/>
        <v>0</v>
      </c>
      <c r="H367" s="67">
        <f t="shared" si="139"/>
        <v>0</v>
      </c>
      <c r="I367" s="67">
        <f t="shared" si="140"/>
        <v>0</v>
      </c>
      <c r="J367" s="42">
        <f t="shared" si="141"/>
        <v>0</v>
      </c>
      <c r="K367" s="42">
        <f t="shared" si="142"/>
        <v>0</v>
      </c>
      <c r="L367" s="67">
        <f t="shared" si="143"/>
        <v>0</v>
      </c>
      <c r="M367" s="42">
        <f t="shared" si="144"/>
        <v>0</v>
      </c>
      <c r="N367" s="42">
        <f t="shared" si="145"/>
        <v>0</v>
      </c>
      <c r="O367" s="42">
        <f t="shared" si="146"/>
        <v>0</v>
      </c>
      <c r="P367" s="42">
        <f t="shared" si="147"/>
        <v>0</v>
      </c>
      <c r="Q367" s="42">
        <f t="shared" si="148"/>
        <v>0</v>
      </c>
      <c r="R367" s="42">
        <f t="shared" si="149"/>
        <v>0</v>
      </c>
      <c r="S367" s="107">
        <f t="shared" si="150"/>
        <v>0</v>
      </c>
      <c r="T367" s="107">
        <f t="shared" si="151"/>
        <v>0</v>
      </c>
      <c r="U367" s="107">
        <f t="shared" si="152"/>
        <v>0</v>
      </c>
      <c r="V367" s="107">
        <f t="shared" si="153"/>
        <v>0</v>
      </c>
      <c r="W367" s="107">
        <f t="shared" si="154"/>
        <v>0</v>
      </c>
      <c r="X367" s="107">
        <f t="shared" si="155"/>
        <v>0</v>
      </c>
      <c r="Y367" s="107">
        <f t="shared" si="156"/>
        <v>0</v>
      </c>
      <c r="Z367" s="107">
        <f t="shared" si="157"/>
        <v>0</v>
      </c>
      <c r="AA367" s="107">
        <f t="shared" si="158"/>
        <v>0</v>
      </c>
      <c r="AB367" s="107">
        <f t="shared" si="159"/>
        <v>0</v>
      </c>
      <c r="AC367" s="107">
        <f t="shared" si="160"/>
        <v>0</v>
      </c>
      <c r="AD367" s="107">
        <f t="shared" si="161"/>
        <v>0</v>
      </c>
      <c r="AE367" s="107">
        <f t="shared" si="162"/>
        <v>0</v>
      </c>
      <c r="AF367" s="107">
        <f t="shared" si="163"/>
        <v>0</v>
      </c>
      <c r="AG367" s="91">
        <f>SUM(F367:AF367)</f>
        <v>0</v>
      </c>
      <c r="AH367" s="28" t="str">
        <f>IF(ABS(E367-AG367)&lt;0.01,"ok","err")</f>
        <v>ok</v>
      </c>
      <c r="AI367" s="14">
        <f t="shared" si="166"/>
        <v>1</v>
      </c>
    </row>
    <row r="368" spans="1:36" x14ac:dyDescent="0.25">
      <c r="A368" s="14">
        <v>10</v>
      </c>
      <c r="B368" s="14" t="s">
        <v>1135</v>
      </c>
      <c r="D368" s="14" t="s">
        <v>959</v>
      </c>
      <c r="E368" s="91">
        <f>531332.029870459*AI368</f>
        <v>531332.02987045899</v>
      </c>
      <c r="F368" s="91">
        <f>1085620.70165131*AI368</f>
        <v>1085620.7016513101</v>
      </c>
      <c r="G368" s="91">
        <f>-649371.978343601*AI368</f>
        <v>-649371.97834360099</v>
      </c>
      <c r="H368" s="91">
        <f>5764.95423485772*AI368</f>
        <v>5764.9542348577197</v>
      </c>
      <c r="I368" s="91">
        <f>89318.35232789*AI368</f>
        <v>89318.352327889996</v>
      </c>
      <c r="J368" s="42">
        <v>0</v>
      </c>
      <c r="K368" s="42">
        <v>0</v>
      </c>
      <c r="L368" s="67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f t="shared" si="148"/>
        <v>0</v>
      </c>
      <c r="R368" s="42">
        <f t="shared" si="149"/>
        <v>0</v>
      </c>
      <c r="S368" s="107">
        <f t="shared" si="150"/>
        <v>0</v>
      </c>
      <c r="T368" s="107">
        <f t="shared" si="151"/>
        <v>0</v>
      </c>
      <c r="U368" s="107">
        <f t="shared" si="152"/>
        <v>0</v>
      </c>
      <c r="V368" s="107">
        <v>0</v>
      </c>
      <c r="W368" s="107">
        <v>0</v>
      </c>
      <c r="X368" s="107">
        <v>0</v>
      </c>
      <c r="Y368" s="107">
        <v>0</v>
      </c>
      <c r="Z368" s="107">
        <v>0</v>
      </c>
      <c r="AA368" s="107">
        <v>0</v>
      </c>
      <c r="AB368" s="107">
        <v>0</v>
      </c>
      <c r="AC368" s="107">
        <v>0</v>
      </c>
      <c r="AD368" s="107">
        <v>0</v>
      </c>
      <c r="AE368" s="107">
        <v>0</v>
      </c>
      <c r="AF368" s="107">
        <v>0</v>
      </c>
      <c r="AG368" s="91">
        <f t="shared" si="164"/>
        <v>531332.02987045678</v>
      </c>
      <c r="AH368" s="28" t="str">
        <f t="shared" si="165"/>
        <v>ok</v>
      </c>
      <c r="AI368" s="14">
        <f t="shared" si="166"/>
        <v>1</v>
      </c>
    </row>
    <row r="369" spans="1:37" x14ac:dyDescent="0.25">
      <c r="A369" s="14">
        <v>11</v>
      </c>
      <c r="B369" s="14" t="s">
        <v>1140</v>
      </c>
      <c r="D369" s="14" t="s">
        <v>284</v>
      </c>
      <c r="E369" s="91">
        <f>359914.823826115*AI369</f>
        <v>359914.823826115</v>
      </c>
      <c r="F369" s="67">
        <f t="shared" ref="F369:F378" si="167">IF(VLOOKUP($D369,$C$5:$AU$518,3,)=0,0,(VLOOKUP($D369,$C$5:$AU$518,4,)/VLOOKUP($D369,$C$5:$AU$518,3,))*$E369)</f>
        <v>258480.52738988379</v>
      </c>
      <c r="G369" s="67">
        <f t="shared" ref="G369:G378" si="168">IF(VLOOKUP($D369,$C$5:$AU$518,3,)=0,0,(VLOOKUP($D369,$C$5:$AU$518,5,)/VLOOKUP($D369,$C$5:$AU$518,3,))*$E369)</f>
        <v>48491.174272015771</v>
      </c>
      <c r="H369" s="67">
        <f t="shared" ref="H369:H378" si="169">IF(VLOOKUP($D369,$C$5:$AU$518,3,)=0,0,(VLOOKUP($D369,$C$5:$AU$518,6,)/VLOOKUP($D369,$C$5:$AU$518,3,))*$E369)</f>
        <v>8543.2929958011246</v>
      </c>
      <c r="I369" s="67">
        <f t="shared" ref="I369:I378" si="170">IF(VLOOKUP($D369,$C$5:$AU$518,3,)=0,0,(VLOOKUP($D369,$C$5:$AU$518,7,)/VLOOKUP($D369,$C$5:$AU$518,3,))*$E369)</f>
        <v>35238.911555078455</v>
      </c>
      <c r="J369" s="42">
        <f t="shared" ref="J369:J378" si="171">IF(VLOOKUP($D369,$C$5:$AU$518,3,)=0,0,(VLOOKUP($D369,$C$5:$AU$518,8,)/VLOOKUP($D369,$C$5:$AU$518,3,))*$E369)</f>
        <v>0</v>
      </c>
      <c r="K369" s="42">
        <f t="shared" ref="K369:K378" si="172">IF(VLOOKUP($D369,$C$5:$AU$518,3,)=0,0,(VLOOKUP($D369,$C$5:$AU$518,9,)/VLOOKUP($D369,$C$5:$AU$518,3,))*$E369)</f>
        <v>2774.9685142352055</v>
      </c>
      <c r="L369" s="67">
        <f t="shared" ref="L369:L378" si="173">IF(VLOOKUP($D369,$C$5:$AU$518,3,)=0,0,(VLOOKUP($D369,$C$5:$AU$518,10,)/VLOOKUP($D369,$C$5:$AU$518,3,))*$E369)</f>
        <v>6385.9490991006824</v>
      </c>
      <c r="M369" s="42">
        <f t="shared" ref="M369:M378" si="174">IF(VLOOKUP($D369,$C$5:$AU$518,3,)=0,0,(VLOOKUP($D369,$C$5:$AU$518,11,)/VLOOKUP($D369,$C$5:$AU$518,3,))*$E369)</f>
        <v>0</v>
      </c>
      <c r="N369" s="42">
        <f t="shared" ref="N369:N378" si="175">IF(VLOOKUP($D369,$C$5:$AU$518,3,)=0,0,(VLOOKUP($D369,$C$5:$AU$518,12,)/VLOOKUP($D369,$C$5:$AU$518,3,))*$E369)</f>
        <v>0</v>
      </c>
      <c r="O369" s="42">
        <f t="shared" ref="O369:O378" si="176">IF(VLOOKUP($D369,$C$5:$AU$518,3,)=0,0,(VLOOKUP($D369,$C$5:$AU$518,13,)/VLOOKUP($D369,$C$5:$AU$518,3,))*$E369)</f>
        <v>0</v>
      </c>
      <c r="P369" s="42">
        <f t="shared" ref="P369:P378" si="177">IF(VLOOKUP($D369,$C$5:$AU$518,3,)=0,0,(VLOOKUP($D369,$C$5:$AU$518,14,)/VLOOKUP($D369,$C$5:$AU$518,3,))*$E369)</f>
        <v>0</v>
      </c>
      <c r="Q369" s="42">
        <f t="shared" si="148"/>
        <v>0</v>
      </c>
      <c r="R369" s="42">
        <f t="shared" si="149"/>
        <v>0</v>
      </c>
      <c r="S369" s="107">
        <f t="shared" si="150"/>
        <v>0</v>
      </c>
      <c r="T369" s="107">
        <f t="shared" si="151"/>
        <v>0</v>
      </c>
      <c r="U369" s="107">
        <f t="shared" si="152"/>
        <v>0</v>
      </c>
      <c r="V369" s="107">
        <f t="shared" ref="V369:V378" si="178">IF(VLOOKUP($D369,$C$5:$AU$518,3,)=0,0,(VLOOKUP($D369,$C$5:$AU$518,20,)/VLOOKUP($D369,$C$5:$AU$518,3,))*$E369)</f>
        <v>0</v>
      </c>
      <c r="W369" s="107">
        <f t="shared" ref="W369:W378" si="179">IF(VLOOKUP($D369,$C$5:$AU$518,3,)=0,0,(VLOOKUP($D369,$C$5:$AU$518,21,)/VLOOKUP($D369,$C$5:$AU$518,3,))*$E369)</f>
        <v>0</v>
      </c>
      <c r="X369" s="107">
        <f t="shared" ref="X369:X378" si="180">IF(VLOOKUP($D369,$C$5:$AU$518,3,)=0,0,(VLOOKUP($D369,$C$5:$AU$518,22,)/VLOOKUP($D369,$C$5:$AU$518,3,))*$E369)</f>
        <v>0</v>
      </c>
      <c r="Y369" s="107">
        <f t="shared" ref="Y369:Y378" si="181">IF(VLOOKUP($D369,$C$5:$AU$518,3,)=0,0,(VLOOKUP($D369,$C$5:$AU$518,23,)/VLOOKUP($D369,$C$5:$AU$518,3,))*$E369)</f>
        <v>0</v>
      </c>
      <c r="Z369" s="107">
        <f t="shared" ref="Z369:Z378" si="182">IF(VLOOKUP($D369,$C$5:$AU$518,3,)=0,0,(VLOOKUP($D369,$C$5:$AU$518,24,)/VLOOKUP($D369,$C$5:$AU$518,3,))*$E369)</f>
        <v>0</v>
      </c>
      <c r="AA369" s="107">
        <f t="shared" ref="AA369:AA378" si="183">IF(VLOOKUP($D369,$C$5:$AU$518,3,)=0,0,(VLOOKUP($D369,$C$5:$AU$518,25,)/VLOOKUP($D369,$C$5:$AU$518,3,))*$E369)</f>
        <v>0</v>
      </c>
      <c r="AB369" s="107">
        <f t="shared" ref="AB369:AB378" si="184">IF(VLOOKUP($D369,$C$5:$AU$518,3,)=0,0,(VLOOKUP($D369,$C$5:$AU$518,26,)/VLOOKUP($D369,$C$5:$AU$518,3,))*$E369)</f>
        <v>0</v>
      </c>
      <c r="AC369" s="107">
        <f t="shared" ref="AC369:AC378" si="185">IF(VLOOKUP($D369,$C$5:$AU$518,3,)=0,0,(VLOOKUP($D369,$C$5:$AU$518,27,)/VLOOKUP($D369,$C$5:$AU$518,3,))*$E369)</f>
        <v>0</v>
      </c>
      <c r="AD369" s="107">
        <f t="shared" ref="AD369:AD378" si="186">IF(VLOOKUP($D369,$C$5:$AU$518,3,)=0,0,(VLOOKUP($D369,$C$5:$AU$518,28,)/VLOOKUP($D369,$C$5:$AU$518,3,))*$E369)</f>
        <v>0</v>
      </c>
      <c r="AE369" s="107">
        <f t="shared" ref="AE369:AE378" si="187">IF(VLOOKUP($D369,$C$5:$AU$518,3,)=0,0,(VLOOKUP($D369,$C$5:$AU$518,29,)/VLOOKUP($D369,$C$5:$AU$518,3,))*$E369)</f>
        <v>0</v>
      </c>
      <c r="AF369" s="107">
        <f t="shared" ref="AF369:AF378" si="188">IF(VLOOKUP($D369,$C$5:$AU$518,3,)=0,0,(VLOOKUP($D369,$C$5:$AU$518,30,)/VLOOKUP($D369,$C$5:$AU$518,3,))*$E369)</f>
        <v>0</v>
      </c>
      <c r="AG369" s="91">
        <f t="shared" si="164"/>
        <v>359914.82382611505</v>
      </c>
      <c r="AH369" s="28" t="str">
        <f t="shared" si="165"/>
        <v>ok</v>
      </c>
      <c r="AI369" s="14">
        <f t="shared" si="166"/>
        <v>1</v>
      </c>
    </row>
    <row r="370" spans="1:37" x14ac:dyDescent="0.25">
      <c r="A370" s="14">
        <v>12</v>
      </c>
      <c r="B370" s="14" t="s">
        <v>1141</v>
      </c>
      <c r="D370" s="14" t="s">
        <v>296</v>
      </c>
      <c r="E370" s="91">
        <f>-16250.4549999998*AI370</f>
        <v>-16250.4549999998</v>
      </c>
      <c r="F370" s="67">
        <f t="shared" si="167"/>
        <v>-11046.868384681236</v>
      </c>
      <c r="G370" s="67">
        <f t="shared" si="168"/>
        <v>-1825.6359801851047</v>
      </c>
      <c r="H370" s="67">
        <f t="shared" si="169"/>
        <v>-390.93832574130948</v>
      </c>
      <c r="I370" s="67">
        <f t="shared" si="170"/>
        <v>-2225.9001704847697</v>
      </c>
      <c r="J370" s="42">
        <f t="shared" si="171"/>
        <v>0</v>
      </c>
      <c r="K370" s="42">
        <f t="shared" si="172"/>
        <v>-207.66177330370923</v>
      </c>
      <c r="L370" s="67">
        <f t="shared" si="173"/>
        <v>-553.45036560366896</v>
      </c>
      <c r="M370" s="42">
        <f t="shared" si="174"/>
        <v>0</v>
      </c>
      <c r="N370" s="42">
        <f t="shared" si="175"/>
        <v>0</v>
      </c>
      <c r="O370" s="42">
        <f t="shared" si="176"/>
        <v>0</v>
      </c>
      <c r="P370" s="42">
        <f t="shared" si="177"/>
        <v>0</v>
      </c>
      <c r="Q370" s="42">
        <f t="shared" si="148"/>
        <v>0</v>
      </c>
      <c r="R370" s="42">
        <f t="shared" si="149"/>
        <v>0</v>
      </c>
      <c r="S370" s="107">
        <f t="shared" si="150"/>
        <v>0</v>
      </c>
      <c r="T370" s="107">
        <f t="shared" si="151"/>
        <v>0</v>
      </c>
      <c r="U370" s="107">
        <f t="shared" si="152"/>
        <v>0</v>
      </c>
      <c r="V370" s="107">
        <f t="shared" si="178"/>
        <v>0</v>
      </c>
      <c r="W370" s="107">
        <f t="shared" si="179"/>
        <v>0</v>
      </c>
      <c r="X370" s="107">
        <f t="shared" si="180"/>
        <v>0</v>
      </c>
      <c r="Y370" s="107">
        <f t="shared" si="181"/>
        <v>0</v>
      </c>
      <c r="Z370" s="107">
        <f t="shared" si="182"/>
        <v>0</v>
      </c>
      <c r="AA370" s="107">
        <f t="shared" si="183"/>
        <v>0</v>
      </c>
      <c r="AB370" s="107">
        <f t="shared" si="184"/>
        <v>0</v>
      </c>
      <c r="AC370" s="107">
        <f t="shared" si="185"/>
        <v>0</v>
      </c>
      <c r="AD370" s="107">
        <f t="shared" si="186"/>
        <v>0</v>
      </c>
      <c r="AE370" s="107">
        <f t="shared" si="187"/>
        <v>0</v>
      </c>
      <c r="AF370" s="107">
        <f t="shared" si="188"/>
        <v>0</v>
      </c>
      <c r="AG370" s="91">
        <f t="shared" si="164"/>
        <v>-16250.454999999798</v>
      </c>
      <c r="AH370" s="28" t="str">
        <f t="shared" si="165"/>
        <v>ok</v>
      </c>
      <c r="AI370" s="14">
        <f t="shared" si="166"/>
        <v>1</v>
      </c>
    </row>
    <row r="371" spans="1:37" x14ac:dyDescent="0.25">
      <c r="A371" s="14">
        <v>13</v>
      </c>
      <c r="B371" s="14" t="s">
        <v>1142</v>
      </c>
      <c r="D371" s="14" t="s">
        <v>260</v>
      </c>
      <c r="E371" s="91">
        <f>-29986.87*AI371</f>
        <v>-29986.87</v>
      </c>
      <c r="F371" s="67">
        <f t="shared" si="167"/>
        <v>-20288.027940284017</v>
      </c>
      <c r="G371" s="67">
        <f t="shared" si="168"/>
        <v>-3412.6998387589347</v>
      </c>
      <c r="H371" s="67">
        <f t="shared" si="169"/>
        <v>-752.23796574848598</v>
      </c>
      <c r="I371" s="67">
        <f t="shared" si="170"/>
        <v>-4303.8025994457894</v>
      </c>
      <c r="J371" s="42">
        <f t="shared" si="171"/>
        <v>0</v>
      </c>
      <c r="K371" s="42">
        <f t="shared" si="172"/>
        <v>-400.08801730011993</v>
      </c>
      <c r="L371" s="67">
        <f t="shared" si="173"/>
        <v>-830.0136384626544</v>
      </c>
      <c r="M371" s="42">
        <f t="shared" si="174"/>
        <v>0</v>
      </c>
      <c r="N371" s="42">
        <f t="shared" si="175"/>
        <v>0</v>
      </c>
      <c r="O371" s="42">
        <f t="shared" si="176"/>
        <v>0</v>
      </c>
      <c r="P371" s="42">
        <f t="shared" si="177"/>
        <v>0</v>
      </c>
      <c r="Q371" s="42">
        <f t="shared" si="148"/>
        <v>0</v>
      </c>
      <c r="R371" s="42">
        <f t="shared" si="149"/>
        <v>0</v>
      </c>
      <c r="S371" s="107">
        <f t="shared" si="150"/>
        <v>0</v>
      </c>
      <c r="T371" s="107">
        <f t="shared" si="151"/>
        <v>0</v>
      </c>
      <c r="U371" s="107">
        <f t="shared" si="152"/>
        <v>0</v>
      </c>
      <c r="V371" s="107">
        <f t="shared" si="178"/>
        <v>0</v>
      </c>
      <c r="W371" s="107">
        <f t="shared" si="179"/>
        <v>0</v>
      </c>
      <c r="X371" s="107">
        <f t="shared" si="180"/>
        <v>0</v>
      </c>
      <c r="Y371" s="107">
        <f t="shared" si="181"/>
        <v>0</v>
      </c>
      <c r="Z371" s="107">
        <f t="shared" si="182"/>
        <v>0</v>
      </c>
      <c r="AA371" s="107">
        <f t="shared" si="183"/>
        <v>0</v>
      </c>
      <c r="AB371" s="107">
        <f t="shared" si="184"/>
        <v>0</v>
      </c>
      <c r="AC371" s="107">
        <f t="shared" si="185"/>
        <v>0</v>
      </c>
      <c r="AD371" s="107">
        <f t="shared" si="186"/>
        <v>0</v>
      </c>
      <c r="AE371" s="107">
        <f t="shared" si="187"/>
        <v>0</v>
      </c>
      <c r="AF371" s="107">
        <f t="shared" si="188"/>
        <v>0</v>
      </c>
      <c r="AG371" s="91">
        <f t="shared" ref="AG371:AG372" si="189">SUM(F371:AF371)</f>
        <v>-29986.87</v>
      </c>
      <c r="AH371" s="28" t="str">
        <f t="shared" ref="AH371:AH372" si="190">IF(ABS(E371-AG371)&lt;0.01,"ok","err")</f>
        <v>ok</v>
      </c>
      <c r="AI371" s="14">
        <f t="shared" si="166"/>
        <v>1</v>
      </c>
    </row>
    <row r="372" spans="1:37" hidden="1" x14ac:dyDescent="0.25">
      <c r="B372" s="14" t="s">
        <v>1147</v>
      </c>
      <c r="D372" s="14" t="s">
        <v>260</v>
      </c>
      <c r="E372" s="91">
        <v>0</v>
      </c>
      <c r="F372" s="67">
        <f t="shared" si="167"/>
        <v>0</v>
      </c>
      <c r="G372" s="67">
        <f t="shared" si="168"/>
        <v>0</v>
      </c>
      <c r="H372" s="67">
        <f t="shared" si="169"/>
        <v>0</v>
      </c>
      <c r="I372" s="67">
        <f t="shared" si="170"/>
        <v>0</v>
      </c>
      <c r="J372" s="42">
        <f t="shared" si="171"/>
        <v>0</v>
      </c>
      <c r="K372" s="42">
        <f t="shared" si="172"/>
        <v>0</v>
      </c>
      <c r="L372" s="67">
        <f t="shared" si="173"/>
        <v>0</v>
      </c>
      <c r="M372" s="42">
        <f t="shared" si="174"/>
        <v>0</v>
      </c>
      <c r="N372" s="42">
        <f t="shared" si="175"/>
        <v>0</v>
      </c>
      <c r="O372" s="42">
        <f t="shared" si="176"/>
        <v>0</v>
      </c>
      <c r="P372" s="42">
        <f t="shared" si="177"/>
        <v>0</v>
      </c>
      <c r="Q372" s="42">
        <f t="shared" si="148"/>
        <v>0</v>
      </c>
      <c r="R372" s="42">
        <f t="shared" si="149"/>
        <v>0</v>
      </c>
      <c r="S372" s="107">
        <f t="shared" si="150"/>
        <v>0</v>
      </c>
      <c r="T372" s="107">
        <f t="shared" si="151"/>
        <v>0</v>
      </c>
      <c r="U372" s="107">
        <f t="shared" si="152"/>
        <v>0</v>
      </c>
      <c r="V372" s="107">
        <f t="shared" si="178"/>
        <v>0</v>
      </c>
      <c r="W372" s="107">
        <f t="shared" si="179"/>
        <v>0</v>
      </c>
      <c r="X372" s="107">
        <f t="shared" si="180"/>
        <v>0</v>
      </c>
      <c r="Y372" s="107">
        <f t="shared" si="181"/>
        <v>0</v>
      </c>
      <c r="Z372" s="107">
        <f t="shared" si="182"/>
        <v>0</v>
      </c>
      <c r="AA372" s="107">
        <f t="shared" si="183"/>
        <v>0</v>
      </c>
      <c r="AB372" s="107">
        <f t="shared" si="184"/>
        <v>0</v>
      </c>
      <c r="AC372" s="107">
        <f t="shared" si="185"/>
        <v>0</v>
      </c>
      <c r="AD372" s="107">
        <f t="shared" si="186"/>
        <v>0</v>
      </c>
      <c r="AE372" s="107">
        <f t="shared" si="187"/>
        <v>0</v>
      </c>
      <c r="AF372" s="107">
        <f t="shared" si="188"/>
        <v>0</v>
      </c>
      <c r="AG372" s="91">
        <f t="shared" si="189"/>
        <v>0</v>
      </c>
      <c r="AH372" s="28" t="str">
        <f t="shared" si="190"/>
        <v>ok</v>
      </c>
      <c r="AI372" s="14">
        <f t="shared" si="166"/>
        <v>1</v>
      </c>
    </row>
    <row r="373" spans="1:37" hidden="1" x14ac:dyDescent="0.25">
      <c r="B373" s="14" t="s">
        <v>1147</v>
      </c>
      <c r="D373" s="14" t="s">
        <v>260</v>
      </c>
      <c r="E373" s="91">
        <v>0</v>
      </c>
      <c r="F373" s="67">
        <f t="shared" si="167"/>
        <v>0</v>
      </c>
      <c r="G373" s="67">
        <f t="shared" si="168"/>
        <v>0</v>
      </c>
      <c r="H373" s="67">
        <f t="shared" si="169"/>
        <v>0</v>
      </c>
      <c r="I373" s="67">
        <f t="shared" si="170"/>
        <v>0</v>
      </c>
      <c r="J373" s="42">
        <f t="shared" si="171"/>
        <v>0</v>
      </c>
      <c r="K373" s="42">
        <f t="shared" si="172"/>
        <v>0</v>
      </c>
      <c r="L373" s="67">
        <f t="shared" si="173"/>
        <v>0</v>
      </c>
      <c r="M373" s="42">
        <f t="shared" si="174"/>
        <v>0</v>
      </c>
      <c r="N373" s="42">
        <f t="shared" si="175"/>
        <v>0</v>
      </c>
      <c r="O373" s="42">
        <f t="shared" si="176"/>
        <v>0</v>
      </c>
      <c r="P373" s="42">
        <f t="shared" si="177"/>
        <v>0</v>
      </c>
      <c r="Q373" s="42">
        <f t="shared" si="148"/>
        <v>0</v>
      </c>
      <c r="R373" s="42">
        <f t="shared" si="149"/>
        <v>0</v>
      </c>
      <c r="S373" s="107">
        <f t="shared" si="150"/>
        <v>0</v>
      </c>
      <c r="T373" s="107">
        <f t="shared" si="151"/>
        <v>0</v>
      </c>
      <c r="U373" s="107">
        <f t="shared" si="152"/>
        <v>0</v>
      </c>
      <c r="V373" s="107">
        <f t="shared" si="178"/>
        <v>0</v>
      </c>
      <c r="W373" s="107">
        <f t="shared" si="179"/>
        <v>0</v>
      </c>
      <c r="X373" s="107">
        <f t="shared" si="180"/>
        <v>0</v>
      </c>
      <c r="Y373" s="107">
        <f t="shared" si="181"/>
        <v>0</v>
      </c>
      <c r="Z373" s="107">
        <f t="shared" si="182"/>
        <v>0</v>
      </c>
      <c r="AA373" s="107">
        <f t="shared" si="183"/>
        <v>0</v>
      </c>
      <c r="AB373" s="107">
        <f t="shared" si="184"/>
        <v>0</v>
      </c>
      <c r="AC373" s="107">
        <f t="shared" si="185"/>
        <v>0</v>
      </c>
      <c r="AD373" s="107">
        <f t="shared" si="186"/>
        <v>0</v>
      </c>
      <c r="AE373" s="107">
        <f t="shared" si="187"/>
        <v>0</v>
      </c>
      <c r="AF373" s="107">
        <f t="shared" si="188"/>
        <v>0</v>
      </c>
      <c r="AG373" s="91">
        <f>SUM(F373:AF373)</f>
        <v>0</v>
      </c>
      <c r="AH373" s="28" t="str">
        <f>IF(ABS(E373-AG373)&lt;0.01,"ok","err")</f>
        <v>ok</v>
      </c>
      <c r="AI373" s="14">
        <f t="shared" si="166"/>
        <v>1</v>
      </c>
    </row>
    <row r="374" spans="1:37" hidden="1" x14ac:dyDescent="0.25">
      <c r="B374" s="14" t="s">
        <v>1147</v>
      </c>
      <c r="D374" s="14" t="s">
        <v>260</v>
      </c>
      <c r="E374" s="91">
        <v>0</v>
      </c>
      <c r="F374" s="67">
        <f t="shared" si="167"/>
        <v>0</v>
      </c>
      <c r="G374" s="67">
        <f t="shared" si="168"/>
        <v>0</v>
      </c>
      <c r="H374" s="67">
        <f t="shared" si="169"/>
        <v>0</v>
      </c>
      <c r="I374" s="67">
        <f t="shared" si="170"/>
        <v>0</v>
      </c>
      <c r="J374" s="42">
        <f t="shared" si="171"/>
        <v>0</v>
      </c>
      <c r="K374" s="42">
        <f t="shared" si="172"/>
        <v>0</v>
      </c>
      <c r="L374" s="67">
        <f t="shared" si="173"/>
        <v>0</v>
      </c>
      <c r="M374" s="42">
        <f t="shared" si="174"/>
        <v>0</v>
      </c>
      <c r="N374" s="42">
        <f t="shared" si="175"/>
        <v>0</v>
      </c>
      <c r="O374" s="42">
        <f t="shared" si="176"/>
        <v>0</v>
      </c>
      <c r="P374" s="42">
        <f t="shared" si="177"/>
        <v>0</v>
      </c>
      <c r="Q374" s="42">
        <f t="shared" si="148"/>
        <v>0</v>
      </c>
      <c r="R374" s="42">
        <f t="shared" si="149"/>
        <v>0</v>
      </c>
      <c r="S374" s="107">
        <f t="shared" si="150"/>
        <v>0</v>
      </c>
      <c r="T374" s="107">
        <f t="shared" si="151"/>
        <v>0</v>
      </c>
      <c r="U374" s="107">
        <f t="shared" si="152"/>
        <v>0</v>
      </c>
      <c r="V374" s="107">
        <f t="shared" si="178"/>
        <v>0</v>
      </c>
      <c r="W374" s="107">
        <f t="shared" si="179"/>
        <v>0</v>
      </c>
      <c r="X374" s="107">
        <f t="shared" si="180"/>
        <v>0</v>
      </c>
      <c r="Y374" s="107">
        <f t="shared" si="181"/>
        <v>0</v>
      </c>
      <c r="Z374" s="107">
        <f t="shared" si="182"/>
        <v>0</v>
      </c>
      <c r="AA374" s="107">
        <f t="shared" si="183"/>
        <v>0</v>
      </c>
      <c r="AB374" s="107">
        <f t="shared" si="184"/>
        <v>0</v>
      </c>
      <c r="AC374" s="107">
        <f t="shared" si="185"/>
        <v>0</v>
      </c>
      <c r="AD374" s="107">
        <f t="shared" si="186"/>
        <v>0</v>
      </c>
      <c r="AE374" s="107">
        <f t="shared" si="187"/>
        <v>0</v>
      </c>
      <c r="AF374" s="107">
        <f t="shared" si="188"/>
        <v>0</v>
      </c>
      <c r="AG374" s="91">
        <f t="shared" ref="AG374" si="191">SUM(F374:AF374)</f>
        <v>0</v>
      </c>
      <c r="AH374" s="28" t="str">
        <f t="shared" ref="AH374" si="192">IF(ABS(E374-AG374)&lt;0.01,"ok","err")</f>
        <v>ok</v>
      </c>
      <c r="AI374" s="14">
        <f t="shared" si="166"/>
        <v>1</v>
      </c>
    </row>
    <row r="375" spans="1:37" x14ac:dyDescent="0.25">
      <c r="A375" s="14">
        <v>14</v>
      </c>
      <c r="B375" s="14" t="s">
        <v>1172</v>
      </c>
      <c r="D375" s="14" t="s">
        <v>260</v>
      </c>
      <c r="E375" s="91">
        <f>758989*AI375</f>
        <v>758989</v>
      </c>
      <c r="F375" s="67">
        <f t="shared" si="167"/>
        <v>513504.4117097992</v>
      </c>
      <c r="G375" s="67">
        <f t="shared" si="168"/>
        <v>86377.859307083563</v>
      </c>
      <c r="H375" s="67">
        <f t="shared" si="169"/>
        <v>19039.67774514238</v>
      </c>
      <c r="I375" s="67">
        <f t="shared" si="170"/>
        <v>108932.303743297</v>
      </c>
      <c r="J375" s="42">
        <f t="shared" si="171"/>
        <v>0</v>
      </c>
      <c r="K375" s="42">
        <f t="shared" si="172"/>
        <v>10126.512175582204</v>
      </c>
      <c r="L375" s="67">
        <f t="shared" si="173"/>
        <v>21008.235319095711</v>
      </c>
      <c r="M375" s="42">
        <f t="shared" si="174"/>
        <v>0</v>
      </c>
      <c r="N375" s="42">
        <f t="shared" si="175"/>
        <v>0</v>
      </c>
      <c r="O375" s="42">
        <f t="shared" si="176"/>
        <v>0</v>
      </c>
      <c r="P375" s="42">
        <f t="shared" si="177"/>
        <v>0</v>
      </c>
      <c r="Q375" s="42">
        <f t="shared" si="148"/>
        <v>0</v>
      </c>
      <c r="R375" s="42">
        <f t="shared" si="149"/>
        <v>0</v>
      </c>
      <c r="S375" s="107">
        <f t="shared" si="150"/>
        <v>0</v>
      </c>
      <c r="T375" s="107">
        <f t="shared" si="151"/>
        <v>0</v>
      </c>
      <c r="U375" s="107">
        <f t="shared" si="152"/>
        <v>0</v>
      </c>
      <c r="V375" s="107">
        <f t="shared" si="178"/>
        <v>0</v>
      </c>
      <c r="W375" s="107">
        <f t="shared" si="179"/>
        <v>0</v>
      </c>
      <c r="X375" s="107">
        <f t="shared" si="180"/>
        <v>0</v>
      </c>
      <c r="Y375" s="107">
        <f t="shared" si="181"/>
        <v>0</v>
      </c>
      <c r="Z375" s="107">
        <f t="shared" si="182"/>
        <v>0</v>
      </c>
      <c r="AA375" s="107">
        <f t="shared" si="183"/>
        <v>0</v>
      </c>
      <c r="AB375" s="107">
        <f t="shared" si="184"/>
        <v>0</v>
      </c>
      <c r="AC375" s="107">
        <f t="shared" si="185"/>
        <v>0</v>
      </c>
      <c r="AD375" s="107">
        <f t="shared" si="186"/>
        <v>0</v>
      </c>
      <c r="AE375" s="107">
        <f t="shared" si="187"/>
        <v>0</v>
      </c>
      <c r="AF375" s="107">
        <f t="shared" si="188"/>
        <v>0</v>
      </c>
      <c r="AG375" s="91">
        <f t="shared" si="164"/>
        <v>758989</v>
      </c>
      <c r="AH375" s="28" t="str">
        <f t="shared" si="165"/>
        <v>ok</v>
      </c>
      <c r="AI375" s="14">
        <f t="shared" si="166"/>
        <v>1</v>
      </c>
    </row>
    <row r="376" spans="1:37" hidden="1" x14ac:dyDescent="0.25">
      <c r="B376" s="14" t="s">
        <v>1147</v>
      </c>
      <c r="D376" s="14" t="s">
        <v>260</v>
      </c>
      <c r="E376" s="91">
        <v>0</v>
      </c>
      <c r="F376" s="67">
        <f t="shared" si="167"/>
        <v>0</v>
      </c>
      <c r="G376" s="67">
        <f t="shared" si="168"/>
        <v>0</v>
      </c>
      <c r="H376" s="67">
        <f t="shared" si="169"/>
        <v>0</v>
      </c>
      <c r="I376" s="67">
        <f t="shared" si="170"/>
        <v>0</v>
      </c>
      <c r="J376" s="42">
        <f t="shared" si="171"/>
        <v>0</v>
      </c>
      <c r="K376" s="42">
        <f t="shared" si="172"/>
        <v>0</v>
      </c>
      <c r="L376" s="67">
        <f t="shared" si="173"/>
        <v>0</v>
      </c>
      <c r="M376" s="42">
        <f t="shared" si="174"/>
        <v>0</v>
      </c>
      <c r="N376" s="42">
        <f t="shared" si="175"/>
        <v>0</v>
      </c>
      <c r="O376" s="42">
        <f t="shared" si="176"/>
        <v>0</v>
      </c>
      <c r="P376" s="42">
        <f t="shared" si="177"/>
        <v>0</v>
      </c>
      <c r="Q376" s="42">
        <f t="shared" si="148"/>
        <v>0</v>
      </c>
      <c r="R376" s="42">
        <f t="shared" si="149"/>
        <v>0</v>
      </c>
      <c r="S376" s="107">
        <f t="shared" si="150"/>
        <v>0</v>
      </c>
      <c r="T376" s="107">
        <f t="shared" si="151"/>
        <v>0</v>
      </c>
      <c r="U376" s="107">
        <f t="shared" si="152"/>
        <v>0</v>
      </c>
      <c r="V376" s="107">
        <f t="shared" si="178"/>
        <v>0</v>
      </c>
      <c r="W376" s="107">
        <f t="shared" si="179"/>
        <v>0</v>
      </c>
      <c r="X376" s="107">
        <f t="shared" si="180"/>
        <v>0</v>
      </c>
      <c r="Y376" s="107">
        <f t="shared" si="181"/>
        <v>0</v>
      </c>
      <c r="Z376" s="107">
        <f t="shared" si="182"/>
        <v>0</v>
      </c>
      <c r="AA376" s="107">
        <f t="shared" si="183"/>
        <v>0</v>
      </c>
      <c r="AB376" s="107">
        <f t="shared" si="184"/>
        <v>0</v>
      </c>
      <c r="AC376" s="107">
        <f t="shared" si="185"/>
        <v>0</v>
      </c>
      <c r="AD376" s="107">
        <f t="shared" si="186"/>
        <v>0</v>
      </c>
      <c r="AE376" s="107">
        <f t="shared" si="187"/>
        <v>0</v>
      </c>
      <c r="AF376" s="107">
        <f t="shared" si="188"/>
        <v>0</v>
      </c>
      <c r="AG376" s="91">
        <f t="shared" si="164"/>
        <v>0</v>
      </c>
      <c r="AH376" s="28" t="str">
        <f t="shared" si="165"/>
        <v>ok</v>
      </c>
      <c r="AI376" s="14">
        <f t="shared" si="166"/>
        <v>1</v>
      </c>
    </row>
    <row r="377" spans="1:37" x14ac:dyDescent="0.25">
      <c r="A377" s="14">
        <v>15</v>
      </c>
      <c r="B377" s="14" t="s">
        <v>1191</v>
      </c>
      <c r="D377" s="14" t="s">
        <v>284</v>
      </c>
      <c r="E377" s="91">
        <f>-6487.98400000005*AI377</f>
        <v>-6487.9840000000504</v>
      </c>
      <c r="F377" s="67">
        <f t="shared" si="167"/>
        <v>-4659.4844529864522</v>
      </c>
      <c r="G377" s="67">
        <f t="shared" si="168"/>
        <v>-874.12338139773146</v>
      </c>
      <c r="H377" s="67">
        <f t="shared" si="169"/>
        <v>-154.00518287862849</v>
      </c>
      <c r="I377" s="67">
        <f t="shared" si="170"/>
        <v>-635.23222499227552</v>
      </c>
      <c r="J377" s="42">
        <f t="shared" si="171"/>
        <v>0</v>
      </c>
      <c r="K377" s="42">
        <f t="shared" si="172"/>
        <v>-50.022811312601398</v>
      </c>
      <c r="L377" s="67">
        <f t="shared" si="173"/>
        <v>-115.11594643236174</v>
      </c>
      <c r="M377" s="42">
        <f t="shared" si="174"/>
        <v>0</v>
      </c>
      <c r="N377" s="42">
        <f t="shared" si="175"/>
        <v>0</v>
      </c>
      <c r="O377" s="42">
        <f t="shared" si="176"/>
        <v>0</v>
      </c>
      <c r="P377" s="42">
        <f t="shared" si="177"/>
        <v>0</v>
      </c>
      <c r="Q377" s="42">
        <f t="shared" si="148"/>
        <v>0</v>
      </c>
      <c r="R377" s="42">
        <f t="shared" si="149"/>
        <v>0</v>
      </c>
      <c r="S377" s="107">
        <f t="shared" si="150"/>
        <v>0</v>
      </c>
      <c r="T377" s="107">
        <f t="shared" si="151"/>
        <v>0</v>
      </c>
      <c r="U377" s="107">
        <f t="shared" si="152"/>
        <v>0</v>
      </c>
      <c r="V377" s="107">
        <f t="shared" si="178"/>
        <v>0</v>
      </c>
      <c r="W377" s="107">
        <f t="shared" si="179"/>
        <v>0</v>
      </c>
      <c r="X377" s="107">
        <f t="shared" si="180"/>
        <v>0</v>
      </c>
      <c r="Y377" s="107">
        <f t="shared" si="181"/>
        <v>0</v>
      </c>
      <c r="Z377" s="107">
        <f t="shared" si="182"/>
        <v>0</v>
      </c>
      <c r="AA377" s="107">
        <f t="shared" si="183"/>
        <v>0</v>
      </c>
      <c r="AB377" s="107">
        <f t="shared" si="184"/>
        <v>0</v>
      </c>
      <c r="AC377" s="107">
        <f t="shared" si="185"/>
        <v>0</v>
      </c>
      <c r="AD377" s="107">
        <f t="shared" si="186"/>
        <v>0</v>
      </c>
      <c r="AE377" s="107">
        <f t="shared" si="187"/>
        <v>0</v>
      </c>
      <c r="AF377" s="107">
        <f t="shared" si="188"/>
        <v>0</v>
      </c>
      <c r="AG377" s="91">
        <f t="shared" ref="AG377" si="193">SUM(F377:AF377)</f>
        <v>-6487.9840000000504</v>
      </c>
      <c r="AH377" s="28" t="str">
        <f t="shared" ref="AH377" si="194">IF(ABS(E377-AG377)&lt;0.01,"ok","err")</f>
        <v>ok</v>
      </c>
      <c r="AI377" s="14">
        <f t="shared" si="166"/>
        <v>1</v>
      </c>
    </row>
    <row r="378" spans="1:37" x14ac:dyDescent="0.25">
      <c r="A378" s="14">
        <v>16</v>
      </c>
      <c r="B378" s="14" t="s">
        <v>1197</v>
      </c>
      <c r="D378" s="14" t="s">
        <v>284</v>
      </c>
      <c r="E378" s="91">
        <v>-23390</v>
      </c>
      <c r="F378" s="67">
        <f t="shared" si="167"/>
        <v>-16798.028687393846</v>
      </c>
      <c r="G378" s="67">
        <f t="shared" si="168"/>
        <v>-3151.3249556245482</v>
      </c>
      <c r="H378" s="67">
        <f t="shared" si="169"/>
        <v>-555.20809353584912</v>
      </c>
      <c r="I378" s="67">
        <f t="shared" si="170"/>
        <v>-2290.0922293534031</v>
      </c>
      <c r="J378" s="42">
        <f t="shared" si="171"/>
        <v>0</v>
      </c>
      <c r="K378" s="42">
        <f t="shared" si="172"/>
        <v>-180.33853915202897</v>
      </c>
      <c r="L378" s="67">
        <f t="shared" si="173"/>
        <v>-415.00749494032664</v>
      </c>
      <c r="M378" s="42">
        <f t="shared" si="174"/>
        <v>0</v>
      </c>
      <c r="N378" s="42">
        <f t="shared" si="175"/>
        <v>0</v>
      </c>
      <c r="O378" s="42">
        <f t="shared" si="176"/>
        <v>0</v>
      </c>
      <c r="P378" s="42">
        <f t="shared" si="177"/>
        <v>0</v>
      </c>
      <c r="Q378" s="42">
        <f t="shared" si="148"/>
        <v>0</v>
      </c>
      <c r="R378" s="42">
        <f t="shared" si="149"/>
        <v>0</v>
      </c>
      <c r="S378" s="107">
        <f t="shared" si="150"/>
        <v>0</v>
      </c>
      <c r="T378" s="107">
        <f t="shared" si="151"/>
        <v>0</v>
      </c>
      <c r="U378" s="107">
        <f t="shared" si="152"/>
        <v>0</v>
      </c>
      <c r="V378" s="107">
        <f t="shared" si="178"/>
        <v>0</v>
      </c>
      <c r="W378" s="107">
        <f t="shared" si="179"/>
        <v>0</v>
      </c>
      <c r="X378" s="107">
        <f t="shared" si="180"/>
        <v>0</v>
      </c>
      <c r="Y378" s="107">
        <f t="shared" si="181"/>
        <v>0</v>
      </c>
      <c r="Z378" s="107">
        <f t="shared" si="182"/>
        <v>0</v>
      </c>
      <c r="AA378" s="107">
        <f t="shared" si="183"/>
        <v>0</v>
      </c>
      <c r="AB378" s="107">
        <f t="shared" si="184"/>
        <v>0</v>
      </c>
      <c r="AC378" s="107">
        <f t="shared" si="185"/>
        <v>0</v>
      </c>
      <c r="AD378" s="107">
        <f t="shared" si="186"/>
        <v>0</v>
      </c>
      <c r="AE378" s="107">
        <f t="shared" si="187"/>
        <v>0</v>
      </c>
      <c r="AF378" s="107">
        <f t="shared" si="188"/>
        <v>0</v>
      </c>
      <c r="AG378" s="91">
        <f t="shared" ref="AG378" si="195">SUM(F378:AF378)</f>
        <v>-23390.000000000004</v>
      </c>
      <c r="AH378" s="28" t="str">
        <f t="shared" ref="AH378" si="196">IF(ABS(E378-AG378)&lt;0.01,"ok","err")</f>
        <v>ok</v>
      </c>
      <c r="AI378" s="14">
        <f t="shared" si="166"/>
        <v>1</v>
      </c>
    </row>
    <row r="379" spans="1:37" hidden="1" x14ac:dyDescent="0.25">
      <c r="E379" s="91">
        <v>0</v>
      </c>
      <c r="F379" s="67"/>
      <c r="G379" s="67"/>
      <c r="H379" s="67"/>
      <c r="I379" s="67"/>
      <c r="J379" s="42"/>
      <c r="K379" s="42"/>
      <c r="L379" s="67"/>
      <c r="M379" s="42"/>
      <c r="N379" s="42"/>
      <c r="O379" s="42"/>
      <c r="P379" s="42"/>
      <c r="Q379" s="42"/>
      <c r="R379" s="42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91"/>
      <c r="AH379" s="28"/>
      <c r="AI379" s="14">
        <f t="shared" si="166"/>
        <v>1</v>
      </c>
    </row>
    <row r="380" spans="1:37" hidden="1" x14ac:dyDescent="0.25">
      <c r="D380" s="14" t="s">
        <v>260</v>
      </c>
      <c r="E380" s="91">
        <v>0</v>
      </c>
      <c r="F380" s="67">
        <f>IF(VLOOKUP($D380,$C$5:$AU$518,3,)=0,0,(VLOOKUP($D380,$C$5:$AU$518,4,)/VLOOKUP($D380,$C$5:$AU$518,3,))*$E380)</f>
        <v>0</v>
      </c>
      <c r="G380" s="67">
        <f>IF(VLOOKUP($D380,$C$5:$AU$518,3,)=0,0,(VLOOKUP($D380,$C$5:$AU$518,5,)/VLOOKUP($D380,$C$5:$AU$518,3,))*$E380)</f>
        <v>0</v>
      </c>
      <c r="H380" s="67">
        <f>IF(VLOOKUP($D380,$C$5:$AU$518,3,)=0,0,(VLOOKUP($D380,$C$5:$AU$518,6,)/VLOOKUP($D380,$C$5:$AU$518,3,))*$E380)</f>
        <v>0</v>
      </c>
      <c r="I380" s="67">
        <f>IF(VLOOKUP($D380,$C$5:$AU$518,3,)=0,0,(VLOOKUP($D380,$C$5:$AU$518,7,)/VLOOKUP($D380,$C$5:$AU$518,3,))*$E380)</f>
        <v>0</v>
      </c>
      <c r="J380" s="42">
        <f>IF(VLOOKUP($D380,$C$5:$AU$518,3,)=0,0,(VLOOKUP($D380,$C$5:$AU$518,8,)/VLOOKUP($D380,$C$5:$AU$518,3,))*$E380)</f>
        <v>0</v>
      </c>
      <c r="K380" s="42">
        <f>IF(VLOOKUP($D380,$C$5:$AU$518,3,)=0,0,(VLOOKUP($D380,$C$5:$AU$518,9,)/VLOOKUP($D380,$C$5:$AU$518,3,))*$E380)</f>
        <v>0</v>
      </c>
      <c r="L380" s="67">
        <f>IF(VLOOKUP($D380,$C$5:$AU$518,3,)=0,0,(VLOOKUP($D380,$C$5:$AU$518,10,)/VLOOKUP($D380,$C$5:$AU$518,3,))*$E380)</f>
        <v>0</v>
      </c>
      <c r="M380" s="42">
        <f>IF(VLOOKUP($D380,$C$5:$AU$518,3,)=0,0,(VLOOKUP($D380,$C$5:$AU$518,11,)/VLOOKUP($D380,$C$5:$AU$518,3,))*$E380)</f>
        <v>0</v>
      </c>
      <c r="N380" s="42">
        <f>IF(VLOOKUP($D380,$C$5:$AU$518,3,)=0,0,(VLOOKUP($D380,$C$5:$AU$518,12,)/VLOOKUP($D380,$C$5:$AU$518,3,))*$E380)</f>
        <v>0</v>
      </c>
      <c r="O380" s="42">
        <f>IF(VLOOKUP($D380,$C$5:$AU$518,3,)=0,0,(VLOOKUP($D380,$C$5:$AU$518,13,)/VLOOKUP($D380,$C$5:$AU$518,3,))*$E380)</f>
        <v>0</v>
      </c>
      <c r="P380" s="42">
        <f>IF(VLOOKUP($D380,$C$5:$AU$518,3,)=0,0,(VLOOKUP($D380,$C$5:$AU$518,14,)/VLOOKUP($D380,$C$5:$AU$518,3,))*$E380)</f>
        <v>0</v>
      </c>
      <c r="Q380" s="42">
        <f>IF(VLOOKUP($D380,$C$5:$AU$518,3,)=0,0,(VLOOKUP($D380,$C$5:$AU$518,15,)/VLOOKUP($D380,$C$5:$AU$518,3,))*$E380)</f>
        <v>0</v>
      </c>
      <c r="R380" s="42">
        <f>IF(VLOOKUP($D380,$C$5:$AU$518,3,)=0,0,(VLOOKUP($D380,$C$5:$AU$518,16,)/VLOOKUP($D380,$C$5:$AU$518,3,))*$E380)</f>
        <v>0</v>
      </c>
      <c r="S380" s="107">
        <f>IF(VLOOKUP($D380,$C$5:$AU$518,3,)=0,0,(VLOOKUP($D380,$C$5:$AU$518,17,)/VLOOKUP($D380,$C$5:$AU$518,3,))*$E380)</f>
        <v>0</v>
      </c>
      <c r="T380" s="107">
        <f>IF(VLOOKUP($D380,$C$5:$AU$518,3,)=0,0,(VLOOKUP($D380,$C$5:$AU$518,18,)/VLOOKUP($D380,$C$5:$AU$518,3,))*$E380)</f>
        <v>0</v>
      </c>
      <c r="U380" s="107">
        <f>IF(VLOOKUP($D380,$C$5:$AU$518,3,)=0,0,(VLOOKUP($D380,$C$5:$AU$518,19,)/VLOOKUP($D380,$C$5:$AU$518,3,))*$E380)</f>
        <v>0</v>
      </c>
      <c r="V380" s="107">
        <f>IF(VLOOKUP($D380,$C$5:$AU$518,3,)=0,0,(VLOOKUP($D380,$C$5:$AU$518,20,)/VLOOKUP($D380,$C$5:$AU$518,3,))*$E380)</f>
        <v>0</v>
      </c>
      <c r="W380" s="107">
        <f>IF(VLOOKUP($D380,$C$5:$AU$518,3,)=0,0,(VLOOKUP($D380,$C$5:$AU$518,21,)/VLOOKUP($D380,$C$5:$AU$518,3,))*$E380)</f>
        <v>0</v>
      </c>
      <c r="X380" s="107">
        <f>IF(VLOOKUP($D380,$C$5:$AU$518,3,)=0,0,(VLOOKUP($D380,$C$5:$AU$518,22,)/VLOOKUP($D380,$C$5:$AU$518,3,))*$E380)</f>
        <v>0</v>
      </c>
      <c r="Y380" s="107">
        <f>IF(VLOOKUP($D380,$C$5:$AU$518,3,)=0,0,(VLOOKUP($D380,$C$5:$AU$518,23,)/VLOOKUP($D380,$C$5:$AU$518,3,))*$E380)</f>
        <v>0</v>
      </c>
      <c r="Z380" s="107">
        <f>IF(VLOOKUP($D380,$C$5:$AU$518,3,)=0,0,(VLOOKUP($D380,$C$5:$AU$518,24,)/VLOOKUP($D380,$C$5:$AU$518,3,))*$E380)</f>
        <v>0</v>
      </c>
      <c r="AA380" s="107">
        <f>IF(VLOOKUP($D380,$C$5:$AU$518,3,)=0,0,(VLOOKUP($D380,$C$5:$AU$518,25,)/VLOOKUP($D380,$C$5:$AU$518,3,))*$E380)</f>
        <v>0</v>
      </c>
      <c r="AB380" s="107">
        <f>IF(VLOOKUP($D380,$C$5:$AU$518,3,)=0,0,(VLOOKUP($D380,$C$5:$AU$518,26,)/VLOOKUP($D380,$C$5:$AU$518,3,))*$E380)</f>
        <v>0</v>
      </c>
      <c r="AC380" s="107">
        <f>IF(VLOOKUP($D380,$C$5:$AU$518,3,)=0,0,(VLOOKUP($D380,$C$5:$AU$518,27,)/VLOOKUP($D380,$C$5:$AU$518,3,))*$E380)</f>
        <v>0</v>
      </c>
      <c r="AD380" s="107">
        <f>IF(VLOOKUP($D380,$C$5:$AU$518,3,)=0,0,(VLOOKUP($D380,$C$5:$AU$518,28,)/VLOOKUP($D380,$C$5:$AU$518,3,))*$E380)</f>
        <v>0</v>
      </c>
      <c r="AE380" s="107">
        <f>IF(VLOOKUP($D380,$C$5:$AU$518,3,)=0,0,(VLOOKUP($D380,$C$5:$AU$518,29,)/VLOOKUP($D380,$C$5:$AU$518,3,))*$E380)</f>
        <v>0</v>
      </c>
      <c r="AF380" s="107">
        <f>IF(VLOOKUP($D380,$C$5:$AU$518,3,)=0,0,(VLOOKUP($D380,$C$5:$AU$518,30,)/VLOOKUP($D380,$C$5:$AU$518,3,))*$E380)</f>
        <v>0</v>
      </c>
      <c r="AG380" s="91">
        <f>SUM(F380:AF380)</f>
        <v>0</v>
      </c>
      <c r="AH380" s="28" t="str">
        <f>IF(ABS(E380-AG380)&lt;0.01,"ok","err")</f>
        <v>ok</v>
      </c>
      <c r="AI380" s="14">
        <f t="shared" si="166"/>
        <v>1</v>
      </c>
    </row>
    <row r="381" spans="1:37" hidden="1" x14ac:dyDescent="0.25">
      <c r="A381" s="14">
        <v>17</v>
      </c>
      <c r="D381" s="14" t="s">
        <v>260</v>
      </c>
      <c r="E381" s="91">
        <v>0</v>
      </c>
      <c r="F381" s="67">
        <f>IF(VLOOKUP($D381,$C$5:$AU$518,3,)=0,0,(VLOOKUP($D381,$C$5:$AU$518,4,)/VLOOKUP($D381,$C$5:$AU$518,3,))*$E381)</f>
        <v>0</v>
      </c>
      <c r="G381" s="67">
        <f>IF(VLOOKUP($D381,$C$5:$AU$518,3,)=0,0,(VLOOKUP($D381,$C$5:$AU$518,5,)/VLOOKUP($D381,$C$5:$AU$518,3,))*$E381)</f>
        <v>0</v>
      </c>
      <c r="H381" s="67">
        <f>IF(VLOOKUP($D381,$C$5:$AU$518,3,)=0,0,(VLOOKUP($D381,$C$5:$AU$518,6,)/VLOOKUP($D381,$C$5:$AU$518,3,))*$E381)</f>
        <v>0</v>
      </c>
      <c r="I381" s="67">
        <f>IF(VLOOKUP($D381,$C$5:$AU$518,3,)=0,0,(VLOOKUP($D381,$C$5:$AU$518,7,)/VLOOKUP($D381,$C$5:$AU$518,3,))*$E381)</f>
        <v>0</v>
      </c>
      <c r="J381" s="42">
        <f>IF(VLOOKUP($D381,$C$5:$AU$518,3,)=0,0,(VLOOKUP($D381,$C$5:$AU$518,8,)/VLOOKUP($D381,$C$5:$AU$518,3,))*$E381)</f>
        <v>0</v>
      </c>
      <c r="K381" s="42">
        <f>IF(VLOOKUP($D381,$C$5:$AU$518,3,)=0,0,(VLOOKUP($D381,$C$5:$AU$518,9,)/VLOOKUP($D381,$C$5:$AU$518,3,))*$E381)</f>
        <v>0</v>
      </c>
      <c r="L381" s="67">
        <f>IF(VLOOKUP($D381,$C$5:$AU$518,3,)=0,0,(VLOOKUP($D381,$C$5:$AU$518,10,)/VLOOKUP($D381,$C$5:$AU$518,3,))*$E381)</f>
        <v>0</v>
      </c>
      <c r="M381" s="42">
        <f>IF(VLOOKUP($D381,$C$5:$AU$518,3,)=0,0,(VLOOKUP($D381,$C$5:$AU$518,11,)/VLOOKUP($D381,$C$5:$AU$518,3,))*$E381)</f>
        <v>0</v>
      </c>
      <c r="N381" s="42">
        <f>IF(VLOOKUP($D381,$C$5:$AU$518,3,)=0,0,(VLOOKUP($D381,$C$5:$AU$518,12,)/VLOOKUP($D381,$C$5:$AU$518,3,))*$E381)</f>
        <v>0</v>
      </c>
      <c r="O381" s="42">
        <f>IF(VLOOKUP($D381,$C$5:$AU$518,3,)=0,0,(VLOOKUP($D381,$C$5:$AU$518,13,)/VLOOKUP($D381,$C$5:$AU$518,3,))*$E381)</f>
        <v>0</v>
      </c>
      <c r="P381" s="42">
        <f>IF(VLOOKUP($D381,$C$5:$AU$518,3,)=0,0,(VLOOKUP($D381,$C$5:$AU$518,14,)/VLOOKUP($D381,$C$5:$AU$518,3,))*$E381)</f>
        <v>0</v>
      </c>
      <c r="Q381" s="42">
        <f>IF(VLOOKUP($D381,$C$5:$AU$518,3,)=0,0,(VLOOKUP($D381,$C$5:$AU$518,15,)/VLOOKUP($D381,$C$5:$AU$518,3,))*$E381)</f>
        <v>0</v>
      </c>
      <c r="R381" s="42">
        <f>IF(VLOOKUP($D381,$C$5:$AU$518,3,)=0,0,(VLOOKUP($D381,$C$5:$AU$518,16,)/VLOOKUP($D381,$C$5:$AU$518,3,))*$E381)</f>
        <v>0</v>
      </c>
      <c r="S381" s="107">
        <f>IF(VLOOKUP($D381,$C$5:$AU$518,3,)=0,0,(VLOOKUP($D381,$C$5:$AU$518,17,)/VLOOKUP($D381,$C$5:$AU$518,3,))*$E381)</f>
        <v>0</v>
      </c>
      <c r="T381" s="107">
        <f>IF(VLOOKUP($D381,$C$5:$AU$518,3,)=0,0,(VLOOKUP($D381,$C$5:$AU$518,18,)/VLOOKUP($D381,$C$5:$AU$518,3,))*$E381)</f>
        <v>0</v>
      </c>
      <c r="U381" s="107">
        <f>IF(VLOOKUP($D381,$C$5:$AU$518,3,)=0,0,(VLOOKUP($D381,$C$5:$AU$518,19,)/VLOOKUP($D381,$C$5:$AU$518,3,))*$E381)</f>
        <v>0</v>
      </c>
      <c r="V381" s="107">
        <f>IF(VLOOKUP($D381,$C$5:$AU$518,3,)=0,0,(VLOOKUP($D381,$C$5:$AU$518,20,)/VLOOKUP($D381,$C$5:$AU$518,3,))*$E381)</f>
        <v>0</v>
      </c>
      <c r="W381" s="107">
        <f>IF(VLOOKUP($D381,$C$5:$AU$518,3,)=0,0,(VLOOKUP($D381,$C$5:$AU$518,21,)/VLOOKUP($D381,$C$5:$AU$518,3,))*$E381)</f>
        <v>0</v>
      </c>
      <c r="X381" s="107">
        <f>IF(VLOOKUP($D381,$C$5:$AU$518,3,)=0,0,(VLOOKUP($D381,$C$5:$AU$518,22,)/VLOOKUP($D381,$C$5:$AU$518,3,))*$E381)</f>
        <v>0</v>
      </c>
      <c r="Y381" s="107">
        <f>IF(VLOOKUP($D381,$C$5:$AU$518,3,)=0,0,(VLOOKUP($D381,$C$5:$AU$518,23,)/VLOOKUP($D381,$C$5:$AU$518,3,))*$E381)</f>
        <v>0</v>
      </c>
      <c r="Z381" s="107">
        <f>IF(VLOOKUP($D381,$C$5:$AU$518,3,)=0,0,(VLOOKUP($D381,$C$5:$AU$518,24,)/VLOOKUP($D381,$C$5:$AU$518,3,))*$E381)</f>
        <v>0</v>
      </c>
      <c r="AA381" s="107">
        <f>IF(VLOOKUP($D381,$C$5:$AU$518,3,)=0,0,(VLOOKUP($D381,$C$5:$AU$518,25,)/VLOOKUP($D381,$C$5:$AU$518,3,))*$E381)</f>
        <v>0</v>
      </c>
      <c r="AB381" s="107">
        <f>IF(VLOOKUP($D381,$C$5:$AU$518,3,)=0,0,(VLOOKUP($D381,$C$5:$AU$518,26,)/VLOOKUP($D381,$C$5:$AU$518,3,))*$E381)</f>
        <v>0</v>
      </c>
      <c r="AC381" s="107">
        <f>IF(VLOOKUP($D381,$C$5:$AU$518,3,)=0,0,(VLOOKUP($D381,$C$5:$AU$518,27,)/VLOOKUP($D381,$C$5:$AU$518,3,))*$E381)</f>
        <v>0</v>
      </c>
      <c r="AD381" s="107">
        <f>IF(VLOOKUP($D381,$C$5:$AU$518,3,)=0,0,(VLOOKUP($D381,$C$5:$AU$518,28,)/VLOOKUP($D381,$C$5:$AU$518,3,))*$E381)</f>
        <v>0</v>
      </c>
      <c r="AE381" s="107">
        <f>IF(VLOOKUP($D381,$C$5:$AU$518,3,)=0,0,(VLOOKUP($D381,$C$5:$AU$518,29,)/VLOOKUP($D381,$C$5:$AU$518,3,))*$E381)</f>
        <v>0</v>
      </c>
      <c r="AF381" s="107">
        <f>IF(VLOOKUP($D381,$C$5:$AU$518,3,)=0,0,(VLOOKUP($D381,$C$5:$AU$518,30,)/VLOOKUP($D381,$C$5:$AU$518,3,))*$E381)</f>
        <v>0</v>
      </c>
      <c r="AG381" s="91">
        <f t="shared" si="164"/>
        <v>0</v>
      </c>
      <c r="AH381" s="28" t="str">
        <f t="shared" si="165"/>
        <v>ok</v>
      </c>
      <c r="AI381" s="14">
        <f t="shared" si="166"/>
        <v>1</v>
      </c>
    </row>
    <row r="382" spans="1:37" x14ac:dyDescent="0.25">
      <c r="B382" s="25" t="s">
        <v>900</v>
      </c>
      <c r="E382" s="111">
        <f>SUM(E358:E381)</f>
        <v>-12373048.219424482</v>
      </c>
      <c r="F382" s="111">
        <f t="shared" ref="F382:R382" si="197">SUM(F358:F381)</f>
        <v>-5611671.3257377287</v>
      </c>
      <c r="G382" s="111">
        <f t="shared" si="197"/>
        <v>-1384856.3678334684</v>
      </c>
      <c r="H382" s="111">
        <f t="shared" si="197"/>
        <v>-225476.15908405857</v>
      </c>
      <c r="I382" s="111">
        <f t="shared" si="197"/>
        <v>-3323997.3519551121</v>
      </c>
      <c r="J382" s="111">
        <f t="shared" si="197"/>
        <v>-1334283.2844235008</v>
      </c>
      <c r="K382" s="111">
        <f t="shared" si="197"/>
        <v>-367490.87168242969</v>
      </c>
      <c r="L382" s="111">
        <f t="shared" si="197"/>
        <v>-125272.8587081897</v>
      </c>
      <c r="M382" s="111">
        <f t="shared" si="197"/>
        <v>0</v>
      </c>
      <c r="N382" s="111">
        <f t="shared" si="197"/>
        <v>0</v>
      </c>
      <c r="O382" s="111">
        <f t="shared" si="197"/>
        <v>0</v>
      </c>
      <c r="P382" s="111">
        <f t="shared" si="197"/>
        <v>0</v>
      </c>
      <c r="Q382" s="111">
        <f t="shared" si="197"/>
        <v>0</v>
      </c>
      <c r="R382" s="111">
        <f t="shared" si="197"/>
        <v>0</v>
      </c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111">
        <f t="shared" si="164"/>
        <v>-12373048.219424486</v>
      </c>
      <c r="AH382" s="28" t="str">
        <f t="shared" si="165"/>
        <v>ok</v>
      </c>
      <c r="AK382" s="50"/>
    </row>
    <row r="383" spans="1:37" x14ac:dyDescent="0.25">
      <c r="E383" s="91"/>
    </row>
    <row r="384" spans="1:37" x14ac:dyDescent="0.25">
      <c r="A384" s="14" t="s">
        <v>572</v>
      </c>
      <c r="E384" s="91">
        <f>E355+E382</f>
        <v>82154133.040575519</v>
      </c>
      <c r="F384" s="91">
        <f t="shared" ref="F384:R384" si="198">F355+F382</f>
        <v>45571382.277153753</v>
      </c>
      <c r="G384" s="91">
        <f t="shared" si="198"/>
        <v>5368374.3377924785</v>
      </c>
      <c r="H384" s="91">
        <f t="shared" si="198"/>
        <v>1455809.3703876068</v>
      </c>
      <c r="I384" s="91">
        <f t="shared" si="198"/>
        <v>15709844.018233716</v>
      </c>
      <c r="J384" s="91">
        <f t="shared" si="198"/>
        <v>11434296.905576499</v>
      </c>
      <c r="K384" s="91">
        <f t="shared" si="198"/>
        <v>1696204.8214216947</v>
      </c>
      <c r="L384" s="91">
        <f t="shared" si="198"/>
        <v>918221.31000979512</v>
      </c>
      <c r="M384" s="91">
        <f t="shared" si="198"/>
        <v>0</v>
      </c>
      <c r="N384" s="91">
        <f t="shared" si="198"/>
        <v>0</v>
      </c>
      <c r="O384" s="91">
        <f t="shared" si="198"/>
        <v>0</v>
      </c>
      <c r="P384" s="91">
        <f t="shared" si="198"/>
        <v>0</v>
      </c>
      <c r="Q384" s="91">
        <f t="shared" si="198"/>
        <v>0</v>
      </c>
      <c r="R384" s="91">
        <f t="shared" si="198"/>
        <v>0</v>
      </c>
      <c r="S384" s="114">
        <f t="shared" ref="S384:AF384" si="199">SUM(S355:S383)</f>
        <v>0</v>
      </c>
      <c r="T384" s="114">
        <f t="shared" si="199"/>
        <v>0</v>
      </c>
      <c r="U384" s="114">
        <f t="shared" si="199"/>
        <v>0</v>
      </c>
      <c r="V384" s="114">
        <f t="shared" si="199"/>
        <v>0</v>
      </c>
      <c r="W384" s="114">
        <f t="shared" si="199"/>
        <v>0</v>
      </c>
      <c r="X384" s="114">
        <f t="shared" si="199"/>
        <v>0</v>
      </c>
      <c r="Y384" s="114">
        <f t="shared" si="199"/>
        <v>0</v>
      </c>
      <c r="Z384" s="114">
        <f t="shared" si="199"/>
        <v>0</v>
      </c>
      <c r="AA384" s="114">
        <f t="shared" si="199"/>
        <v>0</v>
      </c>
      <c r="AB384" s="114">
        <f t="shared" si="199"/>
        <v>0</v>
      </c>
      <c r="AC384" s="114">
        <f t="shared" si="199"/>
        <v>0</v>
      </c>
      <c r="AD384" s="114">
        <f t="shared" si="199"/>
        <v>0</v>
      </c>
      <c r="AE384" s="114">
        <f t="shared" si="199"/>
        <v>0</v>
      </c>
      <c r="AF384" s="114">
        <f t="shared" si="199"/>
        <v>0</v>
      </c>
      <c r="AG384" s="91">
        <f>SUM(F384:AF384)</f>
        <v>82154133.040575534</v>
      </c>
      <c r="AH384" s="28" t="str">
        <f>IF(ABS(E384-AG384)&lt;0.01,"ok","err")</f>
        <v>ok</v>
      </c>
    </row>
    <row r="386" spans="1:37" x14ac:dyDescent="0.25">
      <c r="A386" s="13" t="s">
        <v>573</v>
      </c>
      <c r="E386" s="91">
        <f t="shared" ref="E386:AF386" si="200">E351-E384</f>
        <v>1543152.3594244719</v>
      </c>
      <c r="F386" s="91">
        <f t="shared" si="200"/>
        <v>1288477.6422221139</v>
      </c>
      <c r="G386" s="91">
        <f t="shared" si="200"/>
        <v>-866071.0607791096</v>
      </c>
      <c r="H386" s="91">
        <f t="shared" si="200"/>
        <v>-65280.414238638012</v>
      </c>
      <c r="I386" s="91">
        <f t="shared" si="200"/>
        <v>669961.94487366825</v>
      </c>
      <c r="J386" s="91">
        <f t="shared" si="200"/>
        <v>114133.13655072078</v>
      </c>
      <c r="K386" s="91">
        <f t="shared" si="200"/>
        <v>30046.902064564871</v>
      </c>
      <c r="L386" s="91">
        <f t="shared" si="200"/>
        <v>371884.20734428091</v>
      </c>
      <c r="M386" s="91">
        <f t="shared" si="200"/>
        <v>0</v>
      </c>
      <c r="N386" s="91">
        <f t="shared" si="200"/>
        <v>0</v>
      </c>
      <c r="O386" s="91">
        <f t="shared" si="200"/>
        <v>0</v>
      </c>
      <c r="P386" s="91">
        <f t="shared" si="200"/>
        <v>0</v>
      </c>
      <c r="Q386" s="91">
        <f t="shared" si="200"/>
        <v>0</v>
      </c>
      <c r="R386" s="91">
        <f t="shared" si="200"/>
        <v>0</v>
      </c>
      <c r="S386" s="114">
        <f t="shared" si="200"/>
        <v>0</v>
      </c>
      <c r="T386" s="114">
        <f t="shared" si="200"/>
        <v>0</v>
      </c>
      <c r="U386" s="114">
        <f t="shared" si="200"/>
        <v>0</v>
      </c>
      <c r="V386" s="114">
        <f t="shared" si="200"/>
        <v>0</v>
      </c>
      <c r="W386" s="114">
        <f t="shared" si="200"/>
        <v>0</v>
      </c>
      <c r="X386" s="114">
        <f t="shared" si="200"/>
        <v>0</v>
      </c>
      <c r="Y386" s="114">
        <f t="shared" si="200"/>
        <v>0</v>
      </c>
      <c r="Z386" s="114">
        <f t="shared" si="200"/>
        <v>0</v>
      </c>
      <c r="AA386" s="114">
        <f t="shared" si="200"/>
        <v>0</v>
      </c>
      <c r="AB386" s="114">
        <f t="shared" si="200"/>
        <v>0</v>
      </c>
      <c r="AC386" s="114">
        <f t="shared" si="200"/>
        <v>0</v>
      </c>
      <c r="AD386" s="114">
        <f t="shared" si="200"/>
        <v>0</v>
      </c>
      <c r="AE386" s="114">
        <f t="shared" si="200"/>
        <v>0</v>
      </c>
      <c r="AF386" s="114">
        <f t="shared" si="200"/>
        <v>0</v>
      </c>
      <c r="AG386" s="91">
        <f>SUM(F386:AF386)</f>
        <v>1543152.3580376012</v>
      </c>
      <c r="AH386" s="28" t="str">
        <f>IF(ABS(E386-AG386)&lt;0.01,"ok","err")</f>
        <v>ok</v>
      </c>
    </row>
    <row r="388" spans="1:37" x14ac:dyDescent="0.25">
      <c r="A388" s="13" t="s">
        <v>248</v>
      </c>
      <c r="E388" s="91">
        <f t="shared" ref="E388:AF388" si="201">E328</f>
        <v>145760700.83865386</v>
      </c>
      <c r="F388" s="91">
        <f t="shared" si="201"/>
        <v>98616400.151465937</v>
      </c>
      <c r="G388" s="91">
        <f t="shared" si="201"/>
        <v>16588510.91325848</v>
      </c>
      <c r="H388" s="91">
        <f t="shared" si="201"/>
        <v>3656491.4272460788</v>
      </c>
      <c r="I388" s="91">
        <f t="shared" si="201"/>
        <v>20919998.758337852</v>
      </c>
      <c r="J388" s="91">
        <f t="shared" si="201"/>
        <v>0</v>
      </c>
      <c r="K388" s="91">
        <f t="shared" si="201"/>
        <v>1944754.8143174979</v>
      </c>
      <c r="L388" s="91">
        <f t="shared" si="201"/>
        <v>4034544.774028019</v>
      </c>
      <c r="M388" s="91">
        <f t="shared" si="201"/>
        <v>0</v>
      </c>
      <c r="N388" s="91">
        <f t="shared" si="201"/>
        <v>0</v>
      </c>
      <c r="O388" s="91">
        <f t="shared" si="201"/>
        <v>0</v>
      </c>
      <c r="P388" s="91">
        <f t="shared" si="201"/>
        <v>0</v>
      </c>
      <c r="Q388" s="91">
        <f t="shared" si="201"/>
        <v>0</v>
      </c>
      <c r="R388" s="91">
        <f t="shared" si="201"/>
        <v>0</v>
      </c>
      <c r="S388" s="114">
        <f t="shared" si="201"/>
        <v>0</v>
      </c>
      <c r="T388" s="114">
        <f t="shared" si="201"/>
        <v>0</v>
      </c>
      <c r="U388" s="114">
        <f t="shared" si="201"/>
        <v>0</v>
      </c>
      <c r="V388" s="114">
        <f t="shared" si="201"/>
        <v>0</v>
      </c>
      <c r="W388" s="114">
        <f t="shared" si="201"/>
        <v>0</v>
      </c>
      <c r="X388" s="114">
        <f t="shared" si="201"/>
        <v>0</v>
      </c>
      <c r="Y388" s="114">
        <f t="shared" si="201"/>
        <v>0</v>
      </c>
      <c r="Z388" s="114">
        <f t="shared" si="201"/>
        <v>0</v>
      </c>
      <c r="AA388" s="114">
        <f t="shared" si="201"/>
        <v>0</v>
      </c>
      <c r="AB388" s="114">
        <f t="shared" si="201"/>
        <v>0</v>
      </c>
      <c r="AC388" s="114">
        <f t="shared" si="201"/>
        <v>0</v>
      </c>
      <c r="AD388" s="114">
        <f t="shared" si="201"/>
        <v>0</v>
      </c>
      <c r="AE388" s="114">
        <f t="shared" si="201"/>
        <v>0</v>
      </c>
      <c r="AF388" s="114">
        <f t="shared" si="201"/>
        <v>0</v>
      </c>
      <c r="AG388" s="91">
        <f>SUM(F388:AF388)</f>
        <v>145760700.83865386</v>
      </c>
      <c r="AH388" s="28" t="str">
        <f>IF(ABS(E388-AG388)&lt;0.01,"ok","err")</f>
        <v>ok</v>
      </c>
    </row>
    <row r="389" spans="1:37" x14ac:dyDescent="0.25">
      <c r="A389" s="14" t="s">
        <v>749</v>
      </c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91"/>
      <c r="AH389" s="28"/>
    </row>
    <row r="390" spans="1:37" x14ac:dyDescent="0.25">
      <c r="A390" s="13"/>
      <c r="B390" s="14" t="s">
        <v>1146</v>
      </c>
      <c r="D390" s="14" t="s">
        <v>260</v>
      </c>
      <c r="E390" s="91">
        <v>0</v>
      </c>
      <c r="F390" s="67">
        <f>IF(VLOOKUP($D390,$C$5:$AU$518,3,)=0,0,(VLOOKUP($D390,$C$5:$AU$518,4,)/VLOOKUP($D390,$C$5:$AU$518,3,))*$E390)</f>
        <v>0</v>
      </c>
      <c r="G390" s="67">
        <f>IF(VLOOKUP($D390,$C$5:$AU$518,3,)=0,0,(VLOOKUP($D390,$C$5:$AU$518,5,)/VLOOKUP($D390,$C$5:$AU$518,3,))*$E390)</f>
        <v>0</v>
      </c>
      <c r="H390" s="42">
        <f>IF(VLOOKUP($D390,$C$5:$AU$518,3,)=0,0,(VLOOKUP($D390,$C$5:$AU$518,6,)/VLOOKUP($D390,$C$5:$AU$518,3,))*$E390)</f>
        <v>0</v>
      </c>
      <c r="I390" s="42">
        <f>IF(VLOOKUP($D390,$C$5:$AU$518,3,)=0,0,(VLOOKUP($D390,$C$5:$AU$518,7,)/VLOOKUP($D390,$C$5:$AU$518,3,))*$E390)</f>
        <v>0</v>
      </c>
      <c r="J390" s="42">
        <f>IF(VLOOKUP($D390,$C$5:$AU$518,3,)=0,0,(VLOOKUP($D390,$C$5:$AU$518,8,)/VLOOKUP($D390,$C$5:$AU$518,3,))*$E390)</f>
        <v>0</v>
      </c>
      <c r="K390" s="42">
        <f>IF(VLOOKUP($D390,$C$5:$AU$518,3,)=0,0,(VLOOKUP($D390,$C$5:$AU$518,9,)/VLOOKUP($D390,$C$5:$AU$518,3,))*$E390)</f>
        <v>0</v>
      </c>
      <c r="L390" s="67">
        <f>IF(VLOOKUP($D390,$C$5:$AU$518,3,)=0,0,(VLOOKUP($D390,$C$5:$AU$518,10,)/VLOOKUP($D390,$C$5:$AU$518,3,))*$E390)</f>
        <v>0</v>
      </c>
      <c r="M390" s="42">
        <f>IF(VLOOKUP($D390,$C$5:$AU$518,3,)=0,0,(VLOOKUP($D390,$C$5:$AU$518,11,)/VLOOKUP($D390,$C$5:$AU$518,3,))*$E390)</f>
        <v>0</v>
      </c>
      <c r="N390" s="42">
        <f>IF(VLOOKUP($D390,$C$5:$AU$518,3,)=0,0,(VLOOKUP($D390,$C$5:$AU$518,12,)/VLOOKUP($D390,$C$5:$AU$518,3,))*$E390)</f>
        <v>0</v>
      </c>
      <c r="O390" s="42">
        <f>IF(VLOOKUP($D390,$C$5:$AU$518,3,)=0,0,(VLOOKUP($D390,$C$5:$AU$518,13,)/VLOOKUP($D390,$C$5:$AU$518,3,))*$E390)</f>
        <v>0</v>
      </c>
      <c r="P390" s="42">
        <f>IF(VLOOKUP($D390,$C$5:$AU$518,3,)=0,0,(VLOOKUP($D390,$C$5:$AU$518,14,)/VLOOKUP($D390,$C$5:$AU$518,3,))*$E390)</f>
        <v>0</v>
      </c>
      <c r="Q390" s="42">
        <f>IF(VLOOKUP($D390,$C$5:$AU$518,3,)=0,0,(VLOOKUP($D390,$C$5:$AU$518,15,)/VLOOKUP($D390,$C$5:$AU$518,3,))*$E390)</f>
        <v>0</v>
      </c>
      <c r="R390" s="42">
        <f>IF(VLOOKUP($D390,$C$5:$AU$518,3,)=0,0,(VLOOKUP($D390,$C$5:$AU$518,16,)/VLOOKUP($D390,$C$5:$AU$518,3,))*$E390)</f>
        <v>0</v>
      </c>
      <c r="S390" s="107">
        <f>IF(VLOOKUP($D390,$C$5:$AU$518,3,)=0,0,(VLOOKUP($D390,$C$5:$AU$518,17,)/VLOOKUP($D390,$C$5:$AU$518,3,))*$E390)</f>
        <v>0</v>
      </c>
      <c r="T390" s="107">
        <f>IF(VLOOKUP($D390,$C$5:$AU$518,3,)=0,0,(VLOOKUP($D390,$C$5:$AU$518,18,)/VLOOKUP($D390,$C$5:$AU$518,3,))*$E390)</f>
        <v>0</v>
      </c>
      <c r="U390" s="107">
        <f>IF(VLOOKUP($D390,$C$5:$AU$518,3,)=0,0,(VLOOKUP($D390,$C$5:$AU$518,19,)/VLOOKUP($D390,$C$5:$AU$518,3,))*$E390)</f>
        <v>0</v>
      </c>
      <c r="V390" s="107">
        <f>IF(VLOOKUP($D390,$C$5:$AU$518,3,)=0,0,(VLOOKUP($D390,$C$5:$AU$518,20,)/VLOOKUP($D390,$C$5:$AU$518,3,))*$E390)</f>
        <v>0</v>
      </c>
      <c r="W390" s="107">
        <f>IF(VLOOKUP($D390,$C$5:$AU$518,3,)=0,0,(VLOOKUP($D390,$C$5:$AU$518,21,)/VLOOKUP($D390,$C$5:$AU$518,3,))*$E390)</f>
        <v>0</v>
      </c>
      <c r="X390" s="107">
        <f>IF(VLOOKUP($D390,$C$5:$AU$518,3,)=0,0,(VLOOKUP($D390,$C$5:$AU$518,22,)/VLOOKUP($D390,$C$5:$AU$518,3,))*$E390)</f>
        <v>0</v>
      </c>
      <c r="Y390" s="107">
        <f>IF(VLOOKUP($D390,$C$5:$AU$518,3,)=0,0,(VLOOKUP($D390,$C$5:$AU$518,23,)/VLOOKUP($D390,$C$5:$AU$518,3,))*$E390)</f>
        <v>0</v>
      </c>
      <c r="Z390" s="107">
        <f>IF(VLOOKUP($D390,$C$5:$AU$518,3,)=0,0,(VLOOKUP($D390,$C$5:$AU$518,24,)/VLOOKUP($D390,$C$5:$AU$518,3,))*$E390)</f>
        <v>0</v>
      </c>
      <c r="AA390" s="107">
        <f>IF(VLOOKUP($D390,$C$5:$AU$518,3,)=0,0,(VLOOKUP($D390,$C$5:$AU$518,25,)/VLOOKUP($D390,$C$5:$AU$518,3,))*$E390)</f>
        <v>0</v>
      </c>
      <c r="AB390" s="107">
        <f>IF(VLOOKUP($D390,$C$5:$AU$518,3,)=0,0,(VLOOKUP($D390,$C$5:$AU$518,26,)/VLOOKUP($D390,$C$5:$AU$518,3,))*$E390)</f>
        <v>0</v>
      </c>
      <c r="AC390" s="107">
        <f>IF(VLOOKUP($D390,$C$5:$AU$518,3,)=0,0,(VLOOKUP($D390,$C$5:$AU$518,27,)/VLOOKUP($D390,$C$5:$AU$518,3,))*$E390)</f>
        <v>0</v>
      </c>
      <c r="AD390" s="107">
        <f>IF(VLOOKUP($D390,$C$5:$AU$518,3,)=0,0,(VLOOKUP($D390,$C$5:$AU$518,28,)/VLOOKUP($D390,$C$5:$AU$518,3,))*$E390)</f>
        <v>0</v>
      </c>
      <c r="AE390" s="107">
        <f>IF(VLOOKUP($D390,$C$5:$AU$518,3,)=0,0,(VLOOKUP($D390,$C$5:$AU$518,29,)/VLOOKUP($D390,$C$5:$AU$518,3,))*$E390)</f>
        <v>0</v>
      </c>
      <c r="AF390" s="107">
        <f>IF(VLOOKUP($D390,$C$5:$AU$518,3,)=0,0,(VLOOKUP($D390,$C$5:$AU$518,30,)/VLOOKUP($D390,$C$5:$AU$518,3,))*$E390)</f>
        <v>0</v>
      </c>
      <c r="AG390" s="91">
        <f>SUM(F390:AF390)</f>
        <v>0</v>
      </c>
      <c r="AH390" s="28" t="str">
        <f>IF(ABS(E390-AG390)&lt;0.01,"ok","err")</f>
        <v>ok</v>
      </c>
    </row>
    <row r="391" spans="1:37" x14ac:dyDescent="0.25">
      <c r="A391" s="13"/>
      <c r="E391" s="91"/>
      <c r="F391" s="67"/>
      <c r="G391" s="67"/>
      <c r="H391" s="42"/>
      <c r="I391" s="42"/>
      <c r="J391" s="42"/>
      <c r="K391" s="42"/>
      <c r="L391" s="67"/>
      <c r="M391" s="42"/>
      <c r="N391" s="42"/>
      <c r="O391" s="42"/>
      <c r="P391" s="42"/>
      <c r="Q391" s="42"/>
      <c r="R391" s="42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91"/>
      <c r="AH391" s="28"/>
    </row>
    <row r="392" spans="1:37" x14ac:dyDescent="0.25">
      <c r="A392" s="14" t="s">
        <v>748</v>
      </c>
      <c r="E392" s="91">
        <f>E388+E390</f>
        <v>145760700.83865386</v>
      </c>
      <c r="F392" s="91">
        <f t="shared" ref="F392:U392" si="202">F388+F390</f>
        <v>98616400.151465937</v>
      </c>
      <c r="G392" s="91">
        <f t="shared" si="202"/>
        <v>16588510.91325848</v>
      </c>
      <c r="H392" s="91">
        <f t="shared" si="202"/>
        <v>3656491.4272460788</v>
      </c>
      <c r="I392" s="91">
        <f t="shared" si="202"/>
        <v>20919998.758337852</v>
      </c>
      <c r="J392" s="91">
        <f t="shared" si="202"/>
        <v>0</v>
      </c>
      <c r="K392" s="91">
        <f t="shared" si="202"/>
        <v>1944754.8143174979</v>
      </c>
      <c r="L392" s="91">
        <f t="shared" si="202"/>
        <v>4034544.774028019</v>
      </c>
      <c r="M392" s="91">
        <f t="shared" si="202"/>
        <v>0</v>
      </c>
      <c r="N392" s="91">
        <f t="shared" si="202"/>
        <v>0</v>
      </c>
      <c r="O392" s="91">
        <f t="shared" si="202"/>
        <v>0</v>
      </c>
      <c r="P392" s="91">
        <f>P388+P390</f>
        <v>0</v>
      </c>
      <c r="Q392" s="91">
        <f t="shared" si="202"/>
        <v>0</v>
      </c>
      <c r="R392" s="91">
        <f t="shared" si="202"/>
        <v>0</v>
      </c>
      <c r="S392" s="107">
        <f t="shared" si="202"/>
        <v>0</v>
      </c>
      <c r="T392" s="107">
        <f t="shared" si="202"/>
        <v>0</v>
      </c>
      <c r="U392" s="107">
        <f t="shared" si="202"/>
        <v>0</v>
      </c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91">
        <f>SUM(F392:AF392)</f>
        <v>145760700.83865386</v>
      </c>
      <c r="AH392" s="28" t="str">
        <f>IF(ABS(E392-AG392)&lt;0.01,"ok","err")</f>
        <v>ok</v>
      </c>
    </row>
    <row r="393" spans="1:37" ht="13.8" thickBot="1" x14ac:dyDescent="0.3"/>
    <row r="394" spans="1:37" ht="13.8" thickBot="1" x14ac:dyDescent="0.3">
      <c r="A394" s="116" t="s">
        <v>333</v>
      </c>
      <c r="B394" s="117"/>
      <c r="C394" s="117"/>
      <c r="D394" s="117"/>
      <c r="E394" s="234">
        <f>IF(E392=0,"NA",E386/E392)</f>
        <v>1.0586888993711862E-2</v>
      </c>
      <c r="F394" s="234">
        <f t="shared" ref="F394:L394" si="203">IF(F392=0,"NA",F386/F392)</f>
        <v>1.3065551371203247E-2</v>
      </c>
      <c r="G394" s="234">
        <f t="shared" si="203"/>
        <v>-5.2209090093005062E-2</v>
      </c>
      <c r="H394" s="234">
        <f t="shared" si="203"/>
        <v>-1.7853293392733199E-2</v>
      </c>
      <c r="I394" s="234">
        <f t="shared" si="203"/>
        <v>3.2024951464523818E-2</v>
      </c>
      <c r="J394" s="234" t="str">
        <f t="shared" si="203"/>
        <v>NA</v>
      </c>
      <c r="K394" s="234">
        <f t="shared" si="203"/>
        <v>1.5450226343884734E-2</v>
      </c>
      <c r="L394" s="234">
        <f t="shared" si="203"/>
        <v>9.2175010607949762E-2</v>
      </c>
      <c r="M394" s="118" t="e">
        <f t="shared" ref="M394:R394" si="204">M386/M392</f>
        <v>#DIV/0!</v>
      </c>
      <c r="N394" s="118" t="e">
        <f t="shared" si="204"/>
        <v>#DIV/0!</v>
      </c>
      <c r="O394" s="118" t="e">
        <f t="shared" si="204"/>
        <v>#DIV/0!</v>
      </c>
      <c r="P394" s="118" t="e">
        <f t="shared" si="204"/>
        <v>#DIV/0!</v>
      </c>
      <c r="Q394" s="118" t="e">
        <f t="shared" si="204"/>
        <v>#DIV/0!</v>
      </c>
      <c r="R394" s="118" t="e">
        <f t="shared" si="204"/>
        <v>#DIV/0!</v>
      </c>
      <c r="S394" s="119" t="e">
        <f t="shared" ref="S394:AF394" si="205">S386/S388</f>
        <v>#DIV/0!</v>
      </c>
      <c r="T394" s="119" t="e">
        <f t="shared" si="205"/>
        <v>#DIV/0!</v>
      </c>
      <c r="U394" s="119" t="e">
        <f t="shared" si="205"/>
        <v>#DIV/0!</v>
      </c>
      <c r="V394" s="119" t="e">
        <f t="shared" si="205"/>
        <v>#DIV/0!</v>
      </c>
      <c r="W394" s="119" t="e">
        <f t="shared" si="205"/>
        <v>#DIV/0!</v>
      </c>
      <c r="X394" s="119" t="e">
        <f t="shared" si="205"/>
        <v>#DIV/0!</v>
      </c>
      <c r="Y394" s="119" t="e">
        <f t="shared" si="205"/>
        <v>#DIV/0!</v>
      </c>
      <c r="Z394" s="119" t="e">
        <f t="shared" si="205"/>
        <v>#DIV/0!</v>
      </c>
      <c r="AA394" s="119" t="e">
        <f t="shared" si="205"/>
        <v>#DIV/0!</v>
      </c>
      <c r="AB394" s="119" t="e">
        <f t="shared" si="205"/>
        <v>#DIV/0!</v>
      </c>
      <c r="AC394" s="119" t="e">
        <f t="shared" si="205"/>
        <v>#DIV/0!</v>
      </c>
      <c r="AD394" s="119" t="e">
        <f t="shared" si="205"/>
        <v>#DIV/0!</v>
      </c>
      <c r="AE394" s="119" t="e">
        <f t="shared" si="205"/>
        <v>#DIV/0!</v>
      </c>
      <c r="AF394" s="119" t="e">
        <f t="shared" si="205"/>
        <v>#DIV/0!</v>
      </c>
      <c r="AG394" s="91"/>
      <c r="AH394" s="28"/>
    </row>
    <row r="395" spans="1:37" x14ac:dyDescent="0.25">
      <c r="A395" s="13" t="s">
        <v>945</v>
      </c>
      <c r="B395" s="13"/>
      <c r="C395" s="13"/>
      <c r="D395" s="13"/>
      <c r="E395" s="121">
        <f>IF(E394="NA","NA",E394/$E$394)</f>
        <v>1</v>
      </c>
      <c r="F395" s="121">
        <f t="shared" ref="F395:L395" si="206">IF(F394="NA","NA",F394/$E$394)</f>
        <v>1.2341256604242852</v>
      </c>
      <c r="G395" s="121">
        <f t="shared" si="206"/>
        <v>-4.9314855501002155</v>
      </c>
      <c r="H395" s="121">
        <f t="shared" si="206"/>
        <v>-1.6863587975029546</v>
      </c>
      <c r="I395" s="121">
        <f t="shared" si="206"/>
        <v>3.0249633753168852</v>
      </c>
      <c r="J395" s="235" t="str">
        <f t="shared" si="206"/>
        <v>NA</v>
      </c>
      <c r="K395" s="121">
        <f t="shared" si="206"/>
        <v>1.4593736038095306</v>
      </c>
      <c r="L395" s="121">
        <f t="shared" si="206"/>
        <v>8.7065247083158788</v>
      </c>
      <c r="M395" s="121" t="e">
        <f t="shared" ref="M395:AF395" si="207">M394/$E$394</f>
        <v>#DIV/0!</v>
      </c>
      <c r="N395" s="121" t="e">
        <f t="shared" si="207"/>
        <v>#DIV/0!</v>
      </c>
      <c r="O395" s="121" t="e">
        <f t="shared" si="207"/>
        <v>#DIV/0!</v>
      </c>
      <c r="P395" s="121" t="e">
        <f t="shared" si="207"/>
        <v>#DIV/0!</v>
      </c>
      <c r="Q395" s="121" t="e">
        <f t="shared" si="207"/>
        <v>#DIV/0!</v>
      </c>
      <c r="R395" s="121" t="e">
        <f t="shared" si="207"/>
        <v>#DIV/0!</v>
      </c>
      <c r="S395" s="121" t="e">
        <f t="shared" si="207"/>
        <v>#DIV/0!</v>
      </c>
      <c r="T395" s="121" t="e">
        <f t="shared" si="207"/>
        <v>#DIV/0!</v>
      </c>
      <c r="U395" s="121" t="e">
        <f t="shared" si="207"/>
        <v>#DIV/0!</v>
      </c>
      <c r="V395" s="121" t="e">
        <f t="shared" si="207"/>
        <v>#DIV/0!</v>
      </c>
      <c r="W395" s="121" t="e">
        <f t="shared" si="207"/>
        <v>#DIV/0!</v>
      </c>
      <c r="X395" s="121" t="e">
        <f t="shared" si="207"/>
        <v>#DIV/0!</v>
      </c>
      <c r="Y395" s="121" t="e">
        <f t="shared" si="207"/>
        <v>#DIV/0!</v>
      </c>
      <c r="Z395" s="121" t="e">
        <f t="shared" si="207"/>
        <v>#DIV/0!</v>
      </c>
      <c r="AA395" s="121" t="e">
        <f t="shared" si="207"/>
        <v>#DIV/0!</v>
      </c>
      <c r="AB395" s="121" t="e">
        <f t="shared" si="207"/>
        <v>#DIV/0!</v>
      </c>
      <c r="AC395" s="121" t="e">
        <f t="shared" si="207"/>
        <v>#DIV/0!</v>
      </c>
      <c r="AD395" s="121" t="e">
        <f t="shared" si="207"/>
        <v>#DIV/0!</v>
      </c>
      <c r="AE395" s="121" t="e">
        <f t="shared" si="207"/>
        <v>#DIV/0!</v>
      </c>
      <c r="AF395" s="121" t="e">
        <f t="shared" si="207"/>
        <v>#DIV/0!</v>
      </c>
      <c r="AG395" s="91"/>
      <c r="AH395" s="28"/>
    </row>
    <row r="396" spans="1:37" x14ac:dyDescent="0.25">
      <c r="AK396" s="50"/>
    </row>
    <row r="397" spans="1:37" x14ac:dyDescent="0.25">
      <c r="A397" s="26" t="s">
        <v>567</v>
      </c>
    </row>
    <row r="399" spans="1:37" x14ac:dyDescent="0.25">
      <c r="A399" s="13" t="s">
        <v>334</v>
      </c>
    </row>
    <row r="400" spans="1:37" x14ac:dyDescent="0.25">
      <c r="A400" s="14" t="s">
        <v>335</v>
      </c>
      <c r="C400" s="14" t="s">
        <v>213</v>
      </c>
      <c r="D400" s="14" t="s">
        <v>11</v>
      </c>
      <c r="E400" s="122">
        <v>1</v>
      </c>
      <c r="F400" s="49">
        <f>IF(VLOOKUP($D400,$C$5:$AU$500,3,)=0,0,(VLOOKUP($D400,$C$5:$AU$500,4,)/VLOOKUP($D400,$C$5:$AU$500,3,))*$E400)</f>
        <v>0.52644486490104181</v>
      </c>
      <c r="G400" s="49">
        <f>IF(VLOOKUP($D400,$C$5:$AU$500,3,)=0,0,(VLOOKUP($D400,$C$5:$AU$500,5,)/VLOOKUP($D400,$C$5:$AU$500,3,))*$E400)</f>
        <v>5.9813627611065553E-2</v>
      </c>
      <c r="H400" s="122">
        <f>IF(VLOOKUP($D400,$C$5:$AU$500,3,)=0,0,(VLOOKUP($D400,$C$5:$AU$500,6,)/VLOOKUP($D400,$C$5:$AU$500,3,))*$E400)</f>
        <v>1.8189257203202854E-2</v>
      </c>
      <c r="I400" s="122">
        <f>IF(VLOOKUP($D400,$C$5:$AU$500,3,)=0,0,(VLOOKUP($D400,$C$5:$AU$500,7,)/VLOOKUP($D400,$C$5:$AU$500,3,))*$E400)</f>
        <v>0.2584943000595446</v>
      </c>
      <c r="J400" s="122">
        <f>IF(VLOOKUP($D400,$C$5:$AU$500,3,)=0,0,(VLOOKUP($D400,$C$5:$AU$500,8,)/VLOOKUP($D400,$C$5:$AU$500,3,))*$E400)</f>
        <v>9.9100545807494361E-2</v>
      </c>
      <c r="K400" s="122">
        <f>IF(VLOOKUP($D400,$C$5:$AU$500,3,)=0,0,(VLOOKUP($D400,$C$5:$AU$500,9,)/VLOOKUP($D400,$C$5:$AU$500,3,))*$E400)</f>
        <v>2.7726926542249782E-2</v>
      </c>
      <c r="L400" s="49">
        <f>IF(VLOOKUP($D400,$C$5:$AU$500,3,)=0,0,(VLOOKUP($D400,$C$5:$AU$500,10,)/VLOOKUP($D400,$C$5:$AU$500,3,))*$E400)</f>
        <v>1.0230477875401076E-2</v>
      </c>
      <c r="M400" s="122">
        <f>IF(VLOOKUP($D400,$C$5:$AU$500,3,)=0,0,(VLOOKUP($D400,$C$5:$AU$500,11,)/VLOOKUP($D400,$C$5:$AU$500,3,))*$E400)</f>
        <v>0</v>
      </c>
      <c r="N400" s="122">
        <f>IF(VLOOKUP($D400,$C$5:$AU$500,3,)=0,0,(VLOOKUP($D400,$C$5:$AU$500,12,)/VLOOKUP($D400,$C$5:$AU$500,3,))*$E400)</f>
        <v>0</v>
      </c>
      <c r="O400" s="122">
        <f>IF(VLOOKUP($D400,$C$5:$AU$500,3,)=0,0,(VLOOKUP($D400,$C$5:$AU$500,13,)/VLOOKUP($D400,$C$5:$AU$500,3,))*$E400)</f>
        <v>0</v>
      </c>
      <c r="P400" s="122">
        <f>IF(VLOOKUP($D400,$C$5:$AU$500,3,)=0,0,(VLOOKUP($D400,$C$5:$AU$500,14,)/VLOOKUP($D400,$C$5:$AU$500,3,))*$E400)</f>
        <v>0</v>
      </c>
      <c r="Q400" s="122">
        <f>IF(VLOOKUP($D400,$C$5:$AU$500,3,)=0,0,(VLOOKUP($D400,$C$5:$AU$500,15,)/VLOOKUP($D400,$C$5:$AU$500,3,))*$E400)</f>
        <v>0</v>
      </c>
      <c r="R400" s="122">
        <f>IF(VLOOKUP($D400,$C$5:$AU$500,3,)=0,0,(VLOOKUP($D400,$C$5:$AU$500,16,)/VLOOKUP($D400,$C$5:$AU$500,3,))*$E400)</f>
        <v>0</v>
      </c>
      <c r="S400" s="123">
        <f>IF(VLOOKUP($D400,$C$5:$AU$500,3,)=0,0,(VLOOKUP($D400,$C$5:$AU$500,17,)/VLOOKUP($D400,$C$5:$AU$500,3,))*$E400)</f>
        <v>0</v>
      </c>
      <c r="T400" s="123">
        <f>IF(VLOOKUP($D400,$C$5:$AU$500,3,)=0,0,(VLOOKUP($D400,$C$5:$AU$500,18,)/VLOOKUP($D400,$C$5:$AU$500,3,))*$E400)</f>
        <v>0</v>
      </c>
      <c r="U400" s="123">
        <f>IF(VLOOKUP($D400,$C$5:$AU$500,3,)=0,0,(VLOOKUP($D400,$C$5:$AU$500,19,)/VLOOKUP($D400,$C$5:$AU$500,3,))*$E400)</f>
        <v>0</v>
      </c>
      <c r="V400" s="123">
        <f>IF(VLOOKUP($D400,$C$5:$AU$500,3,)=0,0,(VLOOKUP($D400,$C$5:$AU$500,20,)/VLOOKUP($D400,$C$5:$AU$500,3,))*$E400)</f>
        <v>0</v>
      </c>
      <c r="W400" s="123">
        <f>IF(VLOOKUP($D400,$C$5:$AU$500,3,)=0,0,(VLOOKUP($D400,$C$5:$AU$500,21,)/VLOOKUP($D400,$C$5:$AU$500,3,))*$E400)</f>
        <v>0</v>
      </c>
      <c r="X400" s="123">
        <f>IF(VLOOKUP($D400,$C$5:$AU$500,3,)=0,0,(VLOOKUP($D400,$C$5:$AU$500,22,)/VLOOKUP($D400,$C$5:$AU$500,3,))*$E400)</f>
        <v>0</v>
      </c>
      <c r="Y400" s="123">
        <f>IF(VLOOKUP($D400,$C$5:$AU$500,3,)=0,0,(VLOOKUP($D400,$C$5:$AU$500,23,)/VLOOKUP($D400,$C$5:$AU$500,3,))*$E400)</f>
        <v>0</v>
      </c>
      <c r="Z400" s="123">
        <f>IF(VLOOKUP($D400,$C$5:$AU$500,3,)=0,0,(VLOOKUP($D400,$C$5:$AU$500,24,)/VLOOKUP($D400,$C$5:$AU$500,3,))*$E400)</f>
        <v>0</v>
      </c>
      <c r="AA400" s="123">
        <f>IF(VLOOKUP($D400,$C$5:$AU$500,3,)=0,0,(VLOOKUP($D400,$C$5:$AU$500,25,)/VLOOKUP($D400,$C$5:$AU$500,3,))*$E400)</f>
        <v>0</v>
      </c>
      <c r="AB400" s="123">
        <f>IF(VLOOKUP($D400,$C$5:$AU$500,3,)=0,0,(VLOOKUP($D400,$C$5:$AU$500,26,)/VLOOKUP($D400,$C$5:$AU$500,3,))*$E400)</f>
        <v>0</v>
      </c>
      <c r="AC400" s="123">
        <f>IF(VLOOKUP($D400,$C$5:$AU$500,3,)=0,0,(VLOOKUP($D400,$C$5:$AU$500,27,)/VLOOKUP($D400,$C$5:$AU$500,3,))*$E400)</f>
        <v>0</v>
      </c>
      <c r="AD400" s="123">
        <f>IF(VLOOKUP($D400,$C$5:$AU$500,3,)=0,0,(VLOOKUP($D400,$C$5:$AU$500,28,)/VLOOKUP($D400,$C$5:$AU$500,3,))*$E400)</f>
        <v>0</v>
      </c>
      <c r="AE400" s="123">
        <f>IF(VLOOKUP($D400,$C$5:$AU$500,3,)=0,0,(VLOOKUP($D400,$C$5:$AU$500,29,)/VLOOKUP($D400,$C$5:$AU$500,3,))*$E400)</f>
        <v>0</v>
      </c>
      <c r="AF400" s="123">
        <f>IF(VLOOKUP($D400,$C$5:$AU$500,3,)=0,0,(VLOOKUP($D400,$C$5:$AU$500,30,)/VLOOKUP($D400,$C$5:$AU$500,3,))*$E400)</f>
        <v>0</v>
      </c>
      <c r="AG400" s="122">
        <f>SUM(F400:AF400)</f>
        <v>1</v>
      </c>
      <c r="AH400" s="28" t="str">
        <f>IF(ABS(E400-AG400)&lt;0.01,"ok","err")</f>
        <v>ok</v>
      </c>
    </row>
    <row r="402" spans="1:37" x14ac:dyDescent="0.25">
      <c r="A402" s="13" t="s">
        <v>336</v>
      </c>
    </row>
    <row r="403" spans="1:37" x14ac:dyDescent="0.25">
      <c r="A403" s="14" t="s">
        <v>337</v>
      </c>
      <c r="C403" s="14" t="s">
        <v>210</v>
      </c>
      <c r="D403" s="14" t="s">
        <v>949</v>
      </c>
      <c r="E403" s="95">
        <v>1</v>
      </c>
      <c r="F403" s="49">
        <f>IF(VLOOKUP($D403,$C$5:$AU$500,3,)=0,0,(VLOOKUP($D403,$C$5:$AU$500,4,)/VLOOKUP($D403,$C$5:$AU$500,3,))*$E403)</f>
        <v>0.61574757497911126</v>
      </c>
      <c r="G403" s="49">
        <f>IF(VLOOKUP($D403,$C$5:$AU$500,3,)=0,0,(VLOOKUP($D403,$C$5:$AU$500,5,)/VLOOKUP($D403,$C$5:$AU$500,3,))*$E403)</f>
        <v>6.0243612029579556E-2</v>
      </c>
      <c r="H403" s="122">
        <f>IF(VLOOKUP($D403,$C$5:$AU$500,3,)=0,0,(VLOOKUP($D403,$C$5:$AU$500,6,)/VLOOKUP($D403,$C$5:$AU$500,3,))*$E403)</f>
        <v>1.7131387559029643E-2</v>
      </c>
      <c r="I403" s="122">
        <f>IF(VLOOKUP($D403,$C$5:$AU$500,3,)=0,0,(VLOOKUP($D403,$C$5:$AU$500,7,)/VLOOKUP($D403,$C$5:$AU$500,3,))*$E403)</f>
        <v>0.24771771910275739</v>
      </c>
      <c r="J403" s="122">
        <f>IF(VLOOKUP($D403,$C$5:$AU$500,3,)=0,0,(VLOOKUP($D403,$C$5:$AU$500,8,)/VLOOKUP($D403,$C$5:$AU$500,3,))*$E403)</f>
        <v>2.1345185081516761E-2</v>
      </c>
      <c r="K403" s="122">
        <f>IF(VLOOKUP($D403,$C$5:$AU$500,3,)=0,0,(VLOOKUP($D403,$C$5:$AU$500,9,)/VLOOKUP($D403,$C$5:$AU$500,3,))*$E403)</f>
        <v>3.1254448951864584E-2</v>
      </c>
      <c r="L403" s="49">
        <f>IF(VLOOKUP($D403,$C$5:$AU$500,3,)=0,0,(VLOOKUP($D403,$C$5:$AU$500,10,)/VLOOKUP($D403,$C$5:$AU$500,3,))*$E403)</f>
        <v>6.5600722961408533E-3</v>
      </c>
      <c r="M403" s="122">
        <f>IF(VLOOKUP($D403,$C$5:$AU$500,3,)=0,0,(VLOOKUP($D403,$C$5:$AU$500,11,)/VLOOKUP($D403,$C$5:$AU$500,3,))*$E403)</f>
        <v>0</v>
      </c>
      <c r="N403" s="122">
        <f>IF(VLOOKUP($D403,$C$5:$AU$500,3,)=0,0,(VLOOKUP($D403,$C$5:$AU$500,12,)/VLOOKUP($D403,$C$5:$AU$500,3,))*$E403)</f>
        <v>0</v>
      </c>
      <c r="O403" s="122">
        <f>IF(VLOOKUP($D403,$C$5:$AU$500,3,)=0,0,(VLOOKUP($D403,$C$5:$AU$500,13,)/VLOOKUP($D403,$C$5:$AU$500,3,))*$E403)</f>
        <v>0</v>
      </c>
      <c r="P403" s="122">
        <f>IF(VLOOKUP($D403,$C$5:$AU$500,3,)=0,0,(VLOOKUP($D403,$C$5:$AU$500,14,)/VLOOKUP($D403,$C$5:$AU$500,3,))*$E403)</f>
        <v>0</v>
      </c>
      <c r="Q403" s="122">
        <f>IF(VLOOKUP($D403,$C$5:$AU$500,3,)=0,0,(VLOOKUP($D403,$C$5:$AU$500,15,)/VLOOKUP($D403,$C$5:$AU$500,3,))*$E403)</f>
        <v>0</v>
      </c>
      <c r="R403" s="122">
        <f>IF(VLOOKUP($D403,$C$5:$AU$500,3,)=0,0,(VLOOKUP($D403,$C$5:$AU$500,16,)/VLOOKUP($D403,$C$5:$AU$500,3,))*$E403)</f>
        <v>0</v>
      </c>
      <c r="S403" s="123">
        <f>IF(VLOOKUP($D403,$C$5:$AU$500,3,)=0,0,(VLOOKUP($D403,$C$5:$AU$500,17,)/VLOOKUP($D403,$C$5:$AU$500,3,))*$E403)</f>
        <v>0</v>
      </c>
      <c r="T403" s="123">
        <f>IF(VLOOKUP($D403,$C$5:$AU$500,3,)=0,0,(VLOOKUP($D403,$C$5:$AU$500,18,)/VLOOKUP($D403,$C$5:$AU$500,3,))*$E403)</f>
        <v>0</v>
      </c>
      <c r="U403" s="123">
        <f>IF(VLOOKUP($D403,$C$5:$AU$500,3,)=0,0,(VLOOKUP($D403,$C$5:$AU$500,19,)/VLOOKUP($D403,$C$5:$AU$500,3,))*$E403)</f>
        <v>0</v>
      </c>
      <c r="V403" s="123">
        <f>IF(VLOOKUP($D403,$C$5:$AU$500,3,)=0,0,(VLOOKUP($D403,$C$5:$AU$500,20,)/VLOOKUP($D403,$C$5:$AU$500,3,))*$E403)</f>
        <v>0</v>
      </c>
      <c r="W403" s="123">
        <f>IF(VLOOKUP($D403,$C$5:$AU$500,3,)=0,0,(VLOOKUP($D403,$C$5:$AU$500,21,)/VLOOKUP($D403,$C$5:$AU$500,3,))*$E403)</f>
        <v>0</v>
      </c>
      <c r="X403" s="123">
        <f>IF(VLOOKUP($D403,$C$5:$AU$500,3,)=0,0,(VLOOKUP($D403,$C$5:$AU$500,22,)/VLOOKUP($D403,$C$5:$AU$500,3,))*$E403)</f>
        <v>0</v>
      </c>
      <c r="Y403" s="123">
        <f>IF(VLOOKUP($D403,$C$5:$AU$500,3,)=0,0,(VLOOKUP($D403,$C$5:$AU$500,23,)/VLOOKUP($D403,$C$5:$AU$500,3,))*$E403)</f>
        <v>0</v>
      </c>
      <c r="Z403" s="123">
        <f>IF(VLOOKUP($D403,$C$5:$AU$500,3,)=0,0,(VLOOKUP($D403,$C$5:$AU$500,24,)/VLOOKUP($D403,$C$5:$AU$500,3,))*$E403)</f>
        <v>0</v>
      </c>
      <c r="AA403" s="123">
        <f>IF(VLOOKUP($D403,$C$5:$AU$500,3,)=0,0,(VLOOKUP($D403,$C$5:$AU$500,25,)/VLOOKUP($D403,$C$5:$AU$500,3,))*$E403)</f>
        <v>0</v>
      </c>
      <c r="AB403" s="123">
        <f>IF(VLOOKUP($D403,$C$5:$AU$500,3,)=0,0,(VLOOKUP($D403,$C$5:$AU$500,26,)/VLOOKUP($D403,$C$5:$AU$500,3,))*$E403)</f>
        <v>0</v>
      </c>
      <c r="AC403" s="123">
        <f>IF(VLOOKUP($D403,$C$5:$AU$500,3,)=0,0,(VLOOKUP($D403,$C$5:$AU$500,27,)/VLOOKUP($D403,$C$5:$AU$500,3,))*$E403)</f>
        <v>0</v>
      </c>
      <c r="AD403" s="123">
        <f>IF(VLOOKUP($D403,$C$5:$AU$500,3,)=0,0,(VLOOKUP($D403,$C$5:$AU$500,28,)/VLOOKUP($D403,$C$5:$AU$500,3,))*$E403)</f>
        <v>0</v>
      </c>
      <c r="AE403" s="123">
        <f>IF(VLOOKUP($D403,$C$5:$AU$500,3,)=0,0,(VLOOKUP($D403,$C$5:$AU$500,29,)/VLOOKUP($D403,$C$5:$AU$500,3,))*$E403)</f>
        <v>0</v>
      </c>
      <c r="AF403" s="123">
        <f>IF(VLOOKUP($D403,$C$5:$AU$500,3,)=0,0,(VLOOKUP($D403,$C$5:$AU$500,30,)/VLOOKUP($D403,$C$5:$AU$500,3,))*$E403)</f>
        <v>0</v>
      </c>
      <c r="AG403" s="122">
        <f>SUM(F403:AF403)</f>
        <v>1</v>
      </c>
      <c r="AH403" s="28" t="str">
        <f t="shared" ref="AH403:AH408" si="208">IF(ABS(E403-AG403)&lt;0.01,"ok","err")</f>
        <v>ok</v>
      </c>
    </row>
    <row r="404" spans="1:37" x14ac:dyDescent="0.25">
      <c r="A404" s="14" t="s">
        <v>338</v>
      </c>
      <c r="C404" s="14" t="s">
        <v>217</v>
      </c>
      <c r="D404" s="14" t="s">
        <v>566</v>
      </c>
      <c r="E404" s="95">
        <v>1</v>
      </c>
      <c r="F404" s="49">
        <f>IF(VLOOKUP($D404,$C$5:$AU$500,3,)=0,0,(VLOOKUP($D404,$C$5:$AU$500,4,)/VLOOKUP($D404,$C$5:$AU$500,3,))*$E404)</f>
        <v>0.60052456899675055</v>
      </c>
      <c r="G404" s="49">
        <f>IF(VLOOKUP($D404,$C$5:$AU$500,3,)=0,0,(VLOOKUP($D404,$C$5:$AU$500,5,)/VLOOKUP($D404,$C$5:$AU$500,3,))*$E404)</f>
        <v>6.1695101484386186E-2</v>
      </c>
      <c r="H404" s="122">
        <f>IF(VLOOKUP($D404,$C$5:$AU$500,3,)=0,0,(VLOOKUP($D404,$C$5:$AU$500,6,)/VLOOKUP($D404,$C$5:$AU$500,3,))*$E404)</f>
        <v>2.0357768618829174E-2</v>
      </c>
      <c r="I404" s="122">
        <f>IF(VLOOKUP($D404,$C$5:$AU$500,3,)=0,0,(VLOOKUP($D404,$C$5:$AU$500,7,)/VLOOKUP($D404,$C$5:$AU$500,3,))*$E404)</f>
        <v>0.25280117388303824</v>
      </c>
      <c r="J404" s="122">
        <f>IF(VLOOKUP($D404,$C$5:$AU$500,3,)=0,0,(VLOOKUP($D404,$C$5:$AU$500,8,)/VLOOKUP($D404,$C$5:$AU$500,3,))*$E404)</f>
        <v>2.9855094565396645E-2</v>
      </c>
      <c r="K404" s="122">
        <f>IF(VLOOKUP($D404,$C$5:$AU$500,3,)=0,0,(VLOOKUP($D404,$C$5:$AU$500,9,)/VLOOKUP($D404,$C$5:$AU$500,3,))*$E404)</f>
        <v>2.6937223099705875E-2</v>
      </c>
      <c r="L404" s="49">
        <f>IF(VLOOKUP($D404,$C$5:$AU$500,3,)=0,0,(VLOOKUP($D404,$C$5:$AU$500,10,)/VLOOKUP($D404,$C$5:$AU$500,3,))*$E404)</f>
        <v>7.8290693518931389E-3</v>
      </c>
      <c r="M404" s="122">
        <f>IF(VLOOKUP($D404,$C$5:$AU$500,3,)=0,0,(VLOOKUP($D404,$C$5:$AU$500,11,)/VLOOKUP($D404,$C$5:$AU$500,3,))*$E404)</f>
        <v>0</v>
      </c>
      <c r="N404" s="122">
        <f>IF(VLOOKUP($D404,$C$5:$AU$500,3,)=0,0,(VLOOKUP($D404,$C$5:$AU$500,12,)/VLOOKUP($D404,$C$5:$AU$500,3,))*$E404)</f>
        <v>0</v>
      </c>
      <c r="O404" s="122">
        <f>IF(VLOOKUP($D404,$C$5:$AU$500,3,)=0,0,(VLOOKUP($D404,$C$5:$AU$500,13,)/VLOOKUP($D404,$C$5:$AU$500,3,))*$E404)</f>
        <v>0</v>
      </c>
      <c r="P404" s="122">
        <f>IF(VLOOKUP($D404,$C$5:$AU$500,3,)=0,0,(VLOOKUP($D404,$C$5:$AU$500,14,)/VLOOKUP($D404,$C$5:$AU$500,3,))*$E404)</f>
        <v>0</v>
      </c>
      <c r="Q404" s="122">
        <f>IF(VLOOKUP($D404,$C$5:$AU$500,3,)=0,0,(VLOOKUP($D404,$C$5:$AU$500,15,)/VLOOKUP($D404,$C$5:$AU$500,3,))*$E404)</f>
        <v>0</v>
      </c>
      <c r="R404" s="122">
        <f>IF(VLOOKUP($D404,$C$5:$AU$500,3,)=0,0,(VLOOKUP($D404,$C$5:$AU$500,16,)/VLOOKUP($D404,$C$5:$AU$500,3,))*$E404)</f>
        <v>0</v>
      </c>
      <c r="S404" s="123">
        <f>IF(VLOOKUP($D404,$C$5:$AU$500,3,)=0,0,(VLOOKUP($D404,$C$5:$AU$500,17,)/VLOOKUP($D404,$C$5:$AU$500,3,))*$E404)</f>
        <v>0</v>
      </c>
      <c r="T404" s="123">
        <f>IF(VLOOKUP($D404,$C$5:$AU$500,3,)=0,0,(VLOOKUP($D404,$C$5:$AU$500,18,)/VLOOKUP($D404,$C$5:$AU$500,3,))*$E404)</f>
        <v>0</v>
      </c>
      <c r="U404" s="123">
        <f>IF(VLOOKUP($D404,$C$5:$AU$500,3,)=0,0,(VLOOKUP($D404,$C$5:$AU$500,19,)/VLOOKUP($D404,$C$5:$AU$500,3,))*$E404)</f>
        <v>0</v>
      </c>
      <c r="V404" s="123">
        <f>IF(VLOOKUP($D404,$C$5:$AU$500,3,)=0,0,(VLOOKUP($D404,$C$5:$AU$500,20,)/VLOOKUP($D404,$C$5:$AU$500,3,))*$E404)</f>
        <v>0</v>
      </c>
      <c r="W404" s="123">
        <f>IF(VLOOKUP($D404,$C$5:$AU$500,3,)=0,0,(VLOOKUP($D404,$C$5:$AU$500,21,)/VLOOKUP($D404,$C$5:$AU$500,3,))*$E404)</f>
        <v>0</v>
      </c>
      <c r="X404" s="123">
        <f>IF(VLOOKUP($D404,$C$5:$AU$500,3,)=0,0,(VLOOKUP($D404,$C$5:$AU$500,22,)/VLOOKUP($D404,$C$5:$AU$500,3,))*$E404)</f>
        <v>0</v>
      </c>
      <c r="Y404" s="123">
        <f>IF(VLOOKUP($D404,$C$5:$AU$500,3,)=0,0,(VLOOKUP($D404,$C$5:$AU$500,23,)/VLOOKUP($D404,$C$5:$AU$500,3,))*$E404)</f>
        <v>0</v>
      </c>
      <c r="Z404" s="123">
        <f>IF(VLOOKUP($D404,$C$5:$AU$500,3,)=0,0,(VLOOKUP($D404,$C$5:$AU$500,24,)/VLOOKUP($D404,$C$5:$AU$500,3,))*$E404)</f>
        <v>0</v>
      </c>
      <c r="AA404" s="123">
        <f>IF(VLOOKUP($D404,$C$5:$AU$500,3,)=0,0,(VLOOKUP($D404,$C$5:$AU$500,25,)/VLOOKUP($D404,$C$5:$AU$500,3,))*$E404)</f>
        <v>0</v>
      </c>
      <c r="AB404" s="123">
        <f>IF(VLOOKUP($D404,$C$5:$AU$500,3,)=0,0,(VLOOKUP($D404,$C$5:$AU$500,26,)/VLOOKUP($D404,$C$5:$AU$500,3,))*$E404)</f>
        <v>0</v>
      </c>
      <c r="AC404" s="123">
        <f>IF(VLOOKUP($D404,$C$5:$AU$500,3,)=0,0,(VLOOKUP($D404,$C$5:$AU$500,27,)/VLOOKUP($D404,$C$5:$AU$500,3,))*$E404)</f>
        <v>0</v>
      </c>
      <c r="AD404" s="123">
        <f>IF(VLOOKUP($D404,$C$5:$AU$500,3,)=0,0,(VLOOKUP($D404,$C$5:$AU$500,28,)/VLOOKUP($D404,$C$5:$AU$500,3,))*$E404)</f>
        <v>0</v>
      </c>
      <c r="AE404" s="123">
        <f>IF(VLOOKUP($D404,$C$5:$AU$500,3,)=0,0,(VLOOKUP($D404,$C$5:$AU$500,29,)/VLOOKUP($D404,$C$5:$AU$500,3,))*$E404)</f>
        <v>0</v>
      </c>
      <c r="AF404" s="123">
        <f>IF(VLOOKUP($D404,$C$5:$AU$500,3,)=0,0,(VLOOKUP($D404,$C$5:$AU$500,30,)/VLOOKUP($D404,$C$5:$AU$500,3,))*$E404)</f>
        <v>0</v>
      </c>
      <c r="AG404" s="122">
        <f>SUM(F404:AF404)</f>
        <v>0.99999999999999978</v>
      </c>
      <c r="AH404" s="28" t="str">
        <f t="shared" si="208"/>
        <v>ok</v>
      </c>
    </row>
    <row r="405" spans="1:37" x14ac:dyDescent="0.25">
      <c r="A405" s="14" t="s">
        <v>339</v>
      </c>
      <c r="C405" s="14" t="s">
        <v>219</v>
      </c>
      <c r="D405" s="14" t="s">
        <v>566</v>
      </c>
      <c r="E405" s="95">
        <v>1</v>
      </c>
      <c r="F405" s="49">
        <f>IF(VLOOKUP($D405,$C$5:$AU$500,3,)=0,0,(VLOOKUP($D405,$C$5:$AU$500,4,)/VLOOKUP($D405,$C$5:$AU$500,3,))*$E405)</f>
        <v>0.60052456899675055</v>
      </c>
      <c r="G405" s="49">
        <f>IF(VLOOKUP($D405,$C$5:$AU$500,3,)=0,0,(VLOOKUP($D405,$C$5:$AU$500,5,)/VLOOKUP($D405,$C$5:$AU$500,3,))*$E405)</f>
        <v>6.1695101484386186E-2</v>
      </c>
      <c r="H405" s="122">
        <f>IF(VLOOKUP($D405,$C$5:$AU$500,3,)=0,0,(VLOOKUP($D405,$C$5:$AU$500,6,)/VLOOKUP($D405,$C$5:$AU$500,3,))*$E405)</f>
        <v>2.0357768618829174E-2</v>
      </c>
      <c r="I405" s="122">
        <f>IF(VLOOKUP($D405,$C$5:$AU$500,3,)=0,0,(VLOOKUP($D405,$C$5:$AU$500,7,)/VLOOKUP($D405,$C$5:$AU$500,3,))*$E405)</f>
        <v>0.25280117388303824</v>
      </c>
      <c r="J405" s="122">
        <f>IF(VLOOKUP($D405,$C$5:$AU$500,3,)=0,0,(VLOOKUP($D405,$C$5:$AU$500,8,)/VLOOKUP($D405,$C$5:$AU$500,3,))*$E405)</f>
        <v>2.9855094565396645E-2</v>
      </c>
      <c r="K405" s="122">
        <f>IF(VLOOKUP($D405,$C$5:$AU$500,3,)=0,0,(VLOOKUP($D405,$C$5:$AU$500,9,)/VLOOKUP($D405,$C$5:$AU$500,3,))*$E405)</f>
        <v>2.6937223099705875E-2</v>
      </c>
      <c r="L405" s="49">
        <f>IF(VLOOKUP($D405,$C$5:$AU$500,3,)=0,0,(VLOOKUP($D405,$C$5:$AU$500,10,)/VLOOKUP($D405,$C$5:$AU$500,3,))*$E405)</f>
        <v>7.8290693518931389E-3</v>
      </c>
      <c r="M405" s="122">
        <f>IF(VLOOKUP($D405,$C$5:$AU$500,3,)=0,0,(VLOOKUP($D405,$C$5:$AU$500,11,)/VLOOKUP($D405,$C$5:$AU$500,3,))*$E405)</f>
        <v>0</v>
      </c>
      <c r="N405" s="122">
        <f>IF(VLOOKUP($D405,$C$5:$AU$500,3,)=0,0,(VLOOKUP($D405,$C$5:$AU$500,12,)/VLOOKUP($D405,$C$5:$AU$500,3,))*$E405)</f>
        <v>0</v>
      </c>
      <c r="O405" s="122">
        <f>IF(VLOOKUP($D405,$C$5:$AU$500,3,)=0,0,(VLOOKUP($D405,$C$5:$AU$500,13,)/VLOOKUP($D405,$C$5:$AU$500,3,))*$E405)</f>
        <v>0</v>
      </c>
      <c r="P405" s="122">
        <f>IF(VLOOKUP($D405,$C$5:$AU$500,3,)=0,0,(VLOOKUP($D405,$C$5:$AU$500,14,)/VLOOKUP($D405,$C$5:$AU$500,3,))*$E405)</f>
        <v>0</v>
      </c>
      <c r="Q405" s="122">
        <f>IF(VLOOKUP($D405,$C$5:$AU$500,3,)=0,0,(VLOOKUP($D405,$C$5:$AU$500,15,)/VLOOKUP($D405,$C$5:$AU$500,3,))*$E405)</f>
        <v>0</v>
      </c>
      <c r="R405" s="122">
        <f>IF(VLOOKUP($D405,$C$5:$AU$500,3,)=0,0,(VLOOKUP($D405,$C$5:$AU$500,16,)/VLOOKUP($D405,$C$5:$AU$500,3,))*$E405)</f>
        <v>0</v>
      </c>
      <c r="S405" s="123">
        <f>IF(VLOOKUP($D405,$C$5:$AU$500,3,)=0,0,(VLOOKUP($D405,$C$5:$AU$500,17,)/VLOOKUP($D405,$C$5:$AU$500,3,))*$E405)</f>
        <v>0</v>
      </c>
      <c r="T405" s="123">
        <f>IF(VLOOKUP($D405,$C$5:$AU$500,3,)=0,0,(VLOOKUP($D405,$C$5:$AU$500,18,)/VLOOKUP($D405,$C$5:$AU$500,3,))*$E405)</f>
        <v>0</v>
      </c>
      <c r="U405" s="123">
        <f>IF(VLOOKUP($D405,$C$5:$AU$500,3,)=0,0,(VLOOKUP($D405,$C$5:$AU$500,19,)/VLOOKUP($D405,$C$5:$AU$500,3,))*$E405)</f>
        <v>0</v>
      </c>
      <c r="V405" s="123">
        <f>IF(VLOOKUP($D405,$C$5:$AU$500,3,)=0,0,(VLOOKUP($D405,$C$5:$AU$500,20,)/VLOOKUP($D405,$C$5:$AU$500,3,))*$E405)</f>
        <v>0</v>
      </c>
      <c r="W405" s="123">
        <f>IF(VLOOKUP($D405,$C$5:$AU$500,3,)=0,0,(VLOOKUP($D405,$C$5:$AU$500,21,)/VLOOKUP($D405,$C$5:$AU$500,3,))*$E405)</f>
        <v>0</v>
      </c>
      <c r="X405" s="123">
        <f>IF(VLOOKUP($D405,$C$5:$AU$500,3,)=0,0,(VLOOKUP($D405,$C$5:$AU$500,22,)/VLOOKUP($D405,$C$5:$AU$500,3,))*$E405)</f>
        <v>0</v>
      </c>
      <c r="Y405" s="123">
        <f>IF(VLOOKUP($D405,$C$5:$AU$500,3,)=0,0,(VLOOKUP($D405,$C$5:$AU$500,23,)/VLOOKUP($D405,$C$5:$AU$500,3,))*$E405)</f>
        <v>0</v>
      </c>
      <c r="Z405" s="123">
        <f>IF(VLOOKUP($D405,$C$5:$AU$500,3,)=0,0,(VLOOKUP($D405,$C$5:$AU$500,24,)/VLOOKUP($D405,$C$5:$AU$500,3,))*$E405)</f>
        <v>0</v>
      </c>
      <c r="AA405" s="123">
        <f>IF(VLOOKUP($D405,$C$5:$AU$500,3,)=0,0,(VLOOKUP($D405,$C$5:$AU$500,25,)/VLOOKUP($D405,$C$5:$AU$500,3,))*$E405)</f>
        <v>0</v>
      </c>
      <c r="AB405" s="123">
        <f>IF(VLOOKUP($D405,$C$5:$AU$500,3,)=0,0,(VLOOKUP($D405,$C$5:$AU$500,26,)/VLOOKUP($D405,$C$5:$AU$500,3,))*$E405)</f>
        <v>0</v>
      </c>
      <c r="AC405" s="123">
        <f>IF(VLOOKUP($D405,$C$5:$AU$500,3,)=0,0,(VLOOKUP($D405,$C$5:$AU$500,27,)/VLOOKUP($D405,$C$5:$AU$500,3,))*$E405)</f>
        <v>0</v>
      </c>
      <c r="AD405" s="123">
        <f>IF(VLOOKUP($D405,$C$5:$AU$500,3,)=0,0,(VLOOKUP($D405,$C$5:$AU$500,28,)/VLOOKUP($D405,$C$5:$AU$500,3,))*$E405)</f>
        <v>0</v>
      </c>
      <c r="AE405" s="123">
        <f>IF(VLOOKUP($D405,$C$5:$AU$500,3,)=0,0,(VLOOKUP($D405,$C$5:$AU$500,29,)/VLOOKUP($D405,$C$5:$AU$500,3,))*$E405)</f>
        <v>0</v>
      </c>
      <c r="AF405" s="123">
        <f>IF(VLOOKUP($D405,$C$5:$AU$500,3,)=0,0,(VLOOKUP($D405,$C$5:$AU$500,30,)/VLOOKUP($D405,$C$5:$AU$500,3,))*$E405)</f>
        <v>0</v>
      </c>
      <c r="AG405" s="122">
        <f>SUM(F405:AF405)</f>
        <v>0.99999999999999978</v>
      </c>
      <c r="AH405" s="28" t="str">
        <f t="shared" si="208"/>
        <v>ok</v>
      </c>
    </row>
    <row r="406" spans="1:37" x14ac:dyDescent="0.25">
      <c r="A406" s="14" t="s">
        <v>700</v>
      </c>
      <c r="C406" s="14" t="s">
        <v>701</v>
      </c>
      <c r="E406" s="95">
        <f>Services!G33</f>
        <v>1</v>
      </c>
      <c r="F406" s="49">
        <f>Services!G6</f>
        <v>0.52203548285976176</v>
      </c>
      <c r="G406" s="49">
        <f>Services!G7</f>
        <v>0.22684993938416931</v>
      </c>
      <c r="H406" s="49">
        <f>Services!G8</f>
        <v>6.0473071685049146E-2</v>
      </c>
      <c r="I406" s="49">
        <f>Services!G9</f>
        <v>0.14308259348624258</v>
      </c>
      <c r="J406" s="49">
        <f>Services!G10</f>
        <v>0</v>
      </c>
      <c r="K406" s="49">
        <f>Services!G11</f>
        <v>4.427517075386567E-4</v>
      </c>
      <c r="L406" s="49">
        <f>Services!G12</f>
        <v>4.7116160877238723E-2</v>
      </c>
      <c r="M406" s="49">
        <f>Services!G13</f>
        <v>0</v>
      </c>
      <c r="N406" s="49">
        <f>Services!G22</f>
        <v>0</v>
      </c>
      <c r="O406" s="49">
        <f>Services!G24</f>
        <v>0</v>
      </c>
      <c r="P406" s="49">
        <f>Services!G26</f>
        <v>0</v>
      </c>
      <c r="Q406" s="49">
        <f>Services!G28</f>
        <v>0</v>
      </c>
      <c r="R406" s="49">
        <f>Services!G30</f>
        <v>0</v>
      </c>
      <c r="S406" s="123">
        <v>0</v>
      </c>
      <c r="T406" s="123">
        <v>0</v>
      </c>
      <c r="U406" s="123">
        <v>0</v>
      </c>
      <c r="V406" s="123">
        <f>Services!W6</f>
        <v>0</v>
      </c>
      <c r="W406" s="123">
        <f>Services!X6</f>
        <v>0</v>
      </c>
      <c r="X406" s="123">
        <f>Services!Y6</f>
        <v>0</v>
      </c>
      <c r="Y406" s="123">
        <f>Services!Z6</f>
        <v>0</v>
      </c>
      <c r="Z406" s="123">
        <f>Services!AA6</f>
        <v>0</v>
      </c>
      <c r="AA406" s="123">
        <f>Services!AB6</f>
        <v>0</v>
      </c>
      <c r="AB406" s="123">
        <f>Services!AC6</f>
        <v>0</v>
      </c>
      <c r="AC406" s="123">
        <f>Services!AD6</f>
        <v>0</v>
      </c>
      <c r="AD406" s="123">
        <f>Services!AE6</f>
        <v>0</v>
      </c>
      <c r="AE406" s="123">
        <f>Services!AF6</f>
        <v>0</v>
      </c>
      <c r="AF406" s="123">
        <f>Services!AG6</f>
        <v>0</v>
      </c>
      <c r="AG406" s="122">
        <f>SUM(F406:AF406)</f>
        <v>1</v>
      </c>
      <c r="AH406" s="28" t="str">
        <f t="shared" si="208"/>
        <v>ok</v>
      </c>
    </row>
    <row r="407" spans="1:37" x14ac:dyDescent="0.25">
      <c r="A407" s="14" t="s">
        <v>746</v>
      </c>
      <c r="C407" s="14" t="s">
        <v>747</v>
      </c>
      <c r="E407" s="95">
        <v>1</v>
      </c>
      <c r="F407" s="49">
        <f t="shared" ref="F407:AF407" si="209">F406</f>
        <v>0.52203548285976176</v>
      </c>
      <c r="G407" s="49">
        <f t="shared" si="209"/>
        <v>0.22684993938416931</v>
      </c>
      <c r="H407" s="49">
        <f t="shared" si="209"/>
        <v>6.0473071685049146E-2</v>
      </c>
      <c r="I407" s="49">
        <f t="shared" si="209"/>
        <v>0.14308259348624258</v>
      </c>
      <c r="J407" s="49">
        <f t="shared" si="209"/>
        <v>0</v>
      </c>
      <c r="K407" s="49">
        <f t="shared" si="209"/>
        <v>4.427517075386567E-4</v>
      </c>
      <c r="L407" s="49">
        <f t="shared" si="209"/>
        <v>4.7116160877238723E-2</v>
      </c>
      <c r="M407" s="49">
        <f t="shared" si="209"/>
        <v>0</v>
      </c>
      <c r="N407" s="49">
        <f t="shared" si="209"/>
        <v>0</v>
      </c>
      <c r="O407" s="49">
        <f t="shared" si="209"/>
        <v>0</v>
      </c>
      <c r="P407" s="49">
        <f t="shared" si="209"/>
        <v>0</v>
      </c>
      <c r="Q407" s="49">
        <f t="shared" si="209"/>
        <v>0</v>
      </c>
      <c r="R407" s="49">
        <f t="shared" si="209"/>
        <v>0</v>
      </c>
      <c r="S407" s="123">
        <f t="shared" si="209"/>
        <v>0</v>
      </c>
      <c r="T407" s="123">
        <f t="shared" si="209"/>
        <v>0</v>
      </c>
      <c r="U407" s="123">
        <f t="shared" si="209"/>
        <v>0</v>
      </c>
      <c r="V407" s="123">
        <f t="shared" si="209"/>
        <v>0</v>
      </c>
      <c r="W407" s="123">
        <f t="shared" si="209"/>
        <v>0</v>
      </c>
      <c r="X407" s="123">
        <f t="shared" si="209"/>
        <v>0</v>
      </c>
      <c r="Y407" s="123">
        <f t="shared" si="209"/>
        <v>0</v>
      </c>
      <c r="Z407" s="123">
        <f t="shared" si="209"/>
        <v>0</v>
      </c>
      <c r="AA407" s="123">
        <f t="shared" si="209"/>
        <v>0</v>
      </c>
      <c r="AB407" s="123">
        <f t="shared" si="209"/>
        <v>0</v>
      </c>
      <c r="AC407" s="123">
        <f t="shared" si="209"/>
        <v>0</v>
      </c>
      <c r="AD407" s="123">
        <f t="shared" si="209"/>
        <v>0</v>
      </c>
      <c r="AE407" s="123">
        <f t="shared" si="209"/>
        <v>0</v>
      </c>
      <c r="AF407" s="123">
        <f t="shared" si="209"/>
        <v>0</v>
      </c>
      <c r="AG407" s="49">
        <f>SUM(F407:R407)</f>
        <v>1</v>
      </c>
      <c r="AH407" s="28" t="str">
        <f t="shared" si="208"/>
        <v>ok</v>
      </c>
      <c r="AK407" s="50"/>
    </row>
    <row r="408" spans="1:37" x14ac:dyDescent="0.25">
      <c r="A408" s="14" t="s">
        <v>947</v>
      </c>
      <c r="C408" s="14" t="s">
        <v>948</v>
      </c>
      <c r="E408" s="50">
        <f>F408+G408</f>
        <v>57352416.149999999</v>
      </c>
      <c r="F408" s="50">
        <f>F313</f>
        <v>51072587.210000001</v>
      </c>
      <c r="G408" s="50">
        <f>G313</f>
        <v>6279828.9400000004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50">
        <f>SUM(F408:R408)</f>
        <v>57352416.149999999</v>
      </c>
      <c r="AH408" s="28" t="str">
        <f t="shared" si="208"/>
        <v>ok</v>
      </c>
      <c r="AK408" s="50"/>
    </row>
    <row r="409" spans="1:37" x14ac:dyDescent="0.25">
      <c r="F409" s="124"/>
    </row>
    <row r="410" spans="1:37" x14ac:dyDescent="0.25">
      <c r="A410" s="13" t="s">
        <v>340</v>
      </c>
    </row>
    <row r="411" spans="1:37" x14ac:dyDescent="0.25">
      <c r="A411" s="14" t="s">
        <v>341</v>
      </c>
      <c r="C411" s="14" t="s">
        <v>222</v>
      </c>
      <c r="D411" s="14" t="s">
        <v>562</v>
      </c>
      <c r="E411" s="95">
        <v>1</v>
      </c>
      <c r="F411" s="49">
        <f>IF(VLOOKUP($D411,$C$5:$AU$500,3,)=0,0,(VLOOKUP($D411,$C$5:$AU$500,4,)/VLOOKUP($D411,$C$5:$AU$500,3,))*$E411)</f>
        <v>0.80048524807763966</v>
      </c>
      <c r="G411" s="49">
        <f>IF(VLOOKUP($D411,$C$5:$AU$500,3,)=0,0,(VLOOKUP($D411,$C$5:$AU$500,5,)/VLOOKUP($D411,$C$5:$AU$500,3,))*$E411)</f>
        <v>0.15811362529818004</v>
      </c>
      <c r="H411" s="122">
        <f>IF(VLOOKUP($D411,$C$5:$AU$500,3,)=0,0,(VLOOKUP($D411,$C$5:$AU$500,6,)/VLOOKUP($D411,$C$5:$AU$500,3,))*$E411)</f>
        <v>1.6798722687795628E-2</v>
      </c>
      <c r="I411" s="122">
        <f>IF(VLOOKUP($D411,$C$5:$AU$500,3,)=0,0,(VLOOKUP($D411,$C$5:$AU$500,7,)/VLOOKUP($D411,$C$5:$AU$500,3,))*$E411)</f>
        <v>2.109632337541174E-2</v>
      </c>
      <c r="J411" s="122">
        <f>IF(VLOOKUP($D411,$C$5:$AU$500,3,)=0,0,(VLOOKUP($D411,$C$5:$AU$500,8,)/VLOOKUP($D411,$C$5:$AU$500,3,))*$E411)</f>
        <v>0</v>
      </c>
      <c r="K411" s="122">
        <f>IF(VLOOKUP($D411,$C$5:$AU$500,3,)=0,0,(VLOOKUP($D411,$C$5:$AU$500,9,)/VLOOKUP($D411,$C$5:$AU$500,3,))*$E411)</f>
        <v>3.2640005222400833E-5</v>
      </c>
      <c r="L411" s="49">
        <f>IF(VLOOKUP($D411,$C$5:$AU$500,3,)=0,0,(VLOOKUP($D411,$C$5:$AU$500,10,)/VLOOKUP($D411,$C$5:$AU$500,3,))*$E411)</f>
        <v>3.4734405557504885E-3</v>
      </c>
      <c r="M411" s="122">
        <f>IF(VLOOKUP($D411,$C$5:$AU$500,3,)=0,0,(VLOOKUP($D411,$C$5:$AU$500,11,)/VLOOKUP($D411,$C$5:$AU$500,3,))*$E411)</f>
        <v>0</v>
      </c>
      <c r="N411" s="122">
        <f>IF(VLOOKUP($D411,$C$5:$AU$500,3,)=0,0,(VLOOKUP($D411,$C$5:$AU$500,12,)/VLOOKUP($D411,$C$5:$AU$500,3,))*$E411)</f>
        <v>0</v>
      </c>
      <c r="O411" s="122">
        <f>IF(VLOOKUP($D411,$C$5:$AU$500,3,)=0,0,(VLOOKUP($D411,$C$5:$AU$500,13,)/VLOOKUP($D411,$C$5:$AU$500,3,))*$E411)</f>
        <v>0</v>
      </c>
      <c r="P411" s="122">
        <f>IF(VLOOKUP($D411,$C$5:$AU$500,3,)=0,0,(VLOOKUP($D411,$C$5:$AU$500,14,)/VLOOKUP($D411,$C$5:$AU$500,3,))*$E411)</f>
        <v>0</v>
      </c>
      <c r="Q411" s="122">
        <f>IF(VLOOKUP($D411,$C$5:$AU$500,3,)=0,0,(VLOOKUP($D411,$C$5:$AU$500,15,)/VLOOKUP($D411,$C$5:$AU$500,3,))*$E411)</f>
        <v>0</v>
      </c>
      <c r="R411" s="122">
        <f>IF(VLOOKUP($D411,$C$5:$AU$500,3,)=0,0,(VLOOKUP($D411,$C$5:$AU$500,16,)/VLOOKUP($D411,$C$5:$AU$500,3,))*$E411)</f>
        <v>0</v>
      </c>
      <c r="S411" s="123">
        <f>IF(VLOOKUP($D411,$C$5:$AU$500,3,)=0,0,(VLOOKUP($D411,$C$5:$AU$500,17,)/VLOOKUP($D411,$C$5:$AU$500,3,))*$E411)</f>
        <v>0</v>
      </c>
      <c r="T411" s="123">
        <f>IF(VLOOKUP($D411,$C$5:$AU$500,3,)=0,0,(VLOOKUP($D411,$C$5:$AU$500,18,)/VLOOKUP($D411,$C$5:$AU$500,3,))*$E411)</f>
        <v>0</v>
      </c>
      <c r="U411" s="123">
        <f>IF(VLOOKUP($D411,$C$5:$AU$500,3,)=0,0,(VLOOKUP($D411,$C$5:$AU$500,19,)/VLOOKUP($D411,$C$5:$AU$500,3,))*$E411)</f>
        <v>0</v>
      </c>
      <c r="V411" s="123">
        <f>IF(VLOOKUP($D411,$C$5:$AU$500,3,)=0,0,(VLOOKUP($D411,$C$5:$AU$500,20,)/VLOOKUP($D411,$C$5:$AU$500,3,))*$E411)</f>
        <v>0</v>
      </c>
      <c r="W411" s="123">
        <f>IF(VLOOKUP($D411,$C$5:$AU$500,3,)=0,0,(VLOOKUP($D411,$C$5:$AU$500,21,)/VLOOKUP($D411,$C$5:$AU$500,3,))*$E411)</f>
        <v>0</v>
      </c>
      <c r="X411" s="123">
        <f>IF(VLOOKUP($D411,$C$5:$AU$500,3,)=0,0,(VLOOKUP($D411,$C$5:$AU$500,22,)/VLOOKUP($D411,$C$5:$AU$500,3,))*$E411)</f>
        <v>0</v>
      </c>
      <c r="Y411" s="123">
        <f>IF(VLOOKUP($D411,$C$5:$AU$500,3,)=0,0,(VLOOKUP($D411,$C$5:$AU$500,23,)/VLOOKUP($D411,$C$5:$AU$500,3,))*$E411)</f>
        <v>0</v>
      </c>
      <c r="Z411" s="123">
        <f>IF(VLOOKUP($D411,$C$5:$AU$500,3,)=0,0,(VLOOKUP($D411,$C$5:$AU$500,24,)/VLOOKUP($D411,$C$5:$AU$500,3,))*$E411)</f>
        <v>0</v>
      </c>
      <c r="AA411" s="123">
        <f>IF(VLOOKUP($D411,$C$5:$AU$500,3,)=0,0,(VLOOKUP($D411,$C$5:$AU$500,25,)/VLOOKUP($D411,$C$5:$AU$500,3,))*$E411)</f>
        <v>0</v>
      </c>
      <c r="AB411" s="123">
        <f>IF(VLOOKUP($D411,$C$5:$AU$500,3,)=0,0,(VLOOKUP($D411,$C$5:$AU$500,26,)/VLOOKUP($D411,$C$5:$AU$500,3,))*$E411)</f>
        <v>0</v>
      </c>
      <c r="AC411" s="123">
        <f>IF(VLOOKUP($D411,$C$5:$AU$500,3,)=0,0,(VLOOKUP($D411,$C$5:$AU$500,27,)/VLOOKUP($D411,$C$5:$AU$500,3,))*$E411)</f>
        <v>0</v>
      </c>
      <c r="AD411" s="123">
        <f>IF(VLOOKUP($D411,$C$5:$AU$500,3,)=0,0,(VLOOKUP($D411,$C$5:$AU$500,28,)/VLOOKUP($D411,$C$5:$AU$500,3,))*$E411)</f>
        <v>0</v>
      </c>
      <c r="AE411" s="123">
        <f>IF(VLOOKUP($D411,$C$5:$AU$500,3,)=0,0,(VLOOKUP($D411,$C$5:$AU$500,29,)/VLOOKUP($D411,$C$5:$AU$500,3,))*$E411)</f>
        <v>0</v>
      </c>
      <c r="AF411" s="123">
        <f>IF(VLOOKUP($D411,$C$5:$AU$500,3,)=0,0,(VLOOKUP($D411,$C$5:$AU$500,30,)/VLOOKUP($D411,$C$5:$AU$500,3,))*$E411)</f>
        <v>0</v>
      </c>
      <c r="AG411" s="38">
        <f t="shared" ref="AG411:AG416" si="210">SUM(F411:AF411)</f>
        <v>1</v>
      </c>
      <c r="AH411" s="28" t="str">
        <f t="shared" ref="AH411:AH416" si="211">IF(ABS(E411-AG411)&lt;0.01,"ok","err")</f>
        <v>ok</v>
      </c>
    </row>
    <row r="412" spans="1:37" x14ac:dyDescent="0.25">
      <c r="A412" s="14" t="s">
        <v>342</v>
      </c>
      <c r="C412" s="14" t="s">
        <v>226</v>
      </c>
      <c r="D412" s="14" t="s">
        <v>563</v>
      </c>
      <c r="E412" s="95">
        <v>1</v>
      </c>
      <c r="F412" s="49">
        <f>IF(VLOOKUP($D412,$C$5:$AU$500,3,)=0,0,(VLOOKUP($D412,$C$5:$AU$500,4,)/VLOOKUP($D412,$C$5:$AU$500,3,))*$E412)</f>
        <v>0.80048524807763966</v>
      </c>
      <c r="G412" s="49">
        <f>IF(VLOOKUP($D412,$C$5:$AU$500,3,)=0,0,(VLOOKUP($D412,$C$5:$AU$500,5,)/VLOOKUP($D412,$C$5:$AU$500,3,))*$E412)</f>
        <v>0.15811362529818004</v>
      </c>
      <c r="H412" s="122">
        <f>IF(VLOOKUP($D412,$C$5:$AU$500,3,)=0,0,(VLOOKUP($D412,$C$5:$AU$500,6,)/VLOOKUP($D412,$C$5:$AU$500,3,))*$E412)</f>
        <v>1.6798722687795628E-2</v>
      </c>
      <c r="I412" s="122">
        <f>IF(VLOOKUP($D412,$C$5:$AU$500,3,)=0,0,(VLOOKUP($D412,$C$5:$AU$500,7,)/VLOOKUP($D412,$C$5:$AU$500,3,))*$E412)</f>
        <v>2.109632337541174E-2</v>
      </c>
      <c r="J412" s="122">
        <f>IF(VLOOKUP($D412,$C$5:$AU$500,3,)=0,0,(VLOOKUP($D412,$C$5:$AU$500,8,)/VLOOKUP($D412,$C$5:$AU$500,3,))*$E412)</f>
        <v>0</v>
      </c>
      <c r="K412" s="122">
        <f>IF(VLOOKUP($D412,$C$5:$AU$500,3,)=0,0,(VLOOKUP($D412,$C$5:$AU$500,9,)/VLOOKUP($D412,$C$5:$AU$500,3,))*$E412)</f>
        <v>3.2640005222400833E-5</v>
      </c>
      <c r="L412" s="49">
        <f>IF(VLOOKUP($D412,$C$5:$AU$500,3,)=0,0,(VLOOKUP($D412,$C$5:$AU$500,10,)/VLOOKUP($D412,$C$5:$AU$500,3,))*$E412)</f>
        <v>3.4734405557504885E-3</v>
      </c>
      <c r="M412" s="122">
        <f>IF(VLOOKUP($D412,$C$5:$AU$500,3,)=0,0,(VLOOKUP($D412,$C$5:$AU$500,11,)/VLOOKUP($D412,$C$5:$AU$500,3,))*$E412)</f>
        <v>0</v>
      </c>
      <c r="N412" s="122">
        <f>IF(VLOOKUP($D412,$C$5:$AU$500,3,)=0,0,(VLOOKUP($D412,$C$5:$AU$500,12,)/VLOOKUP($D412,$C$5:$AU$500,3,))*$E412)</f>
        <v>0</v>
      </c>
      <c r="O412" s="122">
        <f>IF(VLOOKUP($D412,$C$5:$AU$500,3,)=0,0,(VLOOKUP($D412,$C$5:$AU$500,13,)/VLOOKUP($D412,$C$5:$AU$500,3,))*$E412)</f>
        <v>0</v>
      </c>
      <c r="P412" s="122">
        <f>IF(VLOOKUP($D412,$C$5:$AU$500,3,)=0,0,(VLOOKUP($D412,$C$5:$AU$500,14,)/VLOOKUP($D412,$C$5:$AU$500,3,))*$E412)</f>
        <v>0</v>
      </c>
      <c r="Q412" s="122">
        <f>IF(VLOOKUP($D412,$C$5:$AU$500,3,)=0,0,(VLOOKUP($D412,$C$5:$AU$500,15,)/VLOOKUP($D412,$C$5:$AU$500,3,))*$E412)</f>
        <v>0</v>
      </c>
      <c r="R412" s="122">
        <f>IF(VLOOKUP($D412,$C$5:$AU$500,3,)=0,0,(VLOOKUP($D412,$C$5:$AU$500,16,)/VLOOKUP($D412,$C$5:$AU$500,3,))*$E412)</f>
        <v>0</v>
      </c>
      <c r="S412" s="123">
        <f>IF(VLOOKUP($D412,$C$5:$AU$500,3,)=0,0,(VLOOKUP($D412,$C$5:$AU$500,17,)/VLOOKUP($D412,$C$5:$AU$500,3,))*$E412)</f>
        <v>0</v>
      </c>
      <c r="T412" s="123">
        <f>IF(VLOOKUP($D412,$C$5:$AU$500,3,)=0,0,(VLOOKUP($D412,$C$5:$AU$500,18,)/VLOOKUP($D412,$C$5:$AU$500,3,))*$E412)</f>
        <v>0</v>
      </c>
      <c r="U412" s="123">
        <f>IF(VLOOKUP($D412,$C$5:$AU$500,3,)=0,0,(VLOOKUP($D412,$C$5:$AU$500,19,)/VLOOKUP($D412,$C$5:$AU$500,3,))*$E412)</f>
        <v>0</v>
      </c>
      <c r="V412" s="123">
        <f>IF(VLOOKUP($D412,$C$5:$AU$500,3,)=0,0,(VLOOKUP($D412,$C$5:$AU$500,20,)/VLOOKUP($D412,$C$5:$AU$500,3,))*$E412)</f>
        <v>0</v>
      </c>
      <c r="W412" s="123">
        <f>IF(VLOOKUP($D412,$C$5:$AU$500,3,)=0,0,(VLOOKUP($D412,$C$5:$AU$500,21,)/VLOOKUP($D412,$C$5:$AU$500,3,))*$E412)</f>
        <v>0</v>
      </c>
      <c r="X412" s="123">
        <f>IF(VLOOKUP($D412,$C$5:$AU$500,3,)=0,0,(VLOOKUP($D412,$C$5:$AU$500,22,)/VLOOKUP($D412,$C$5:$AU$500,3,))*$E412)</f>
        <v>0</v>
      </c>
      <c r="Y412" s="123">
        <f>IF(VLOOKUP($D412,$C$5:$AU$500,3,)=0,0,(VLOOKUP($D412,$C$5:$AU$500,23,)/VLOOKUP($D412,$C$5:$AU$500,3,))*$E412)</f>
        <v>0</v>
      </c>
      <c r="Z412" s="123">
        <f>IF(VLOOKUP($D412,$C$5:$AU$500,3,)=0,0,(VLOOKUP($D412,$C$5:$AU$500,24,)/VLOOKUP($D412,$C$5:$AU$500,3,))*$E412)</f>
        <v>0</v>
      </c>
      <c r="AA412" s="123">
        <f>IF(VLOOKUP($D412,$C$5:$AU$500,3,)=0,0,(VLOOKUP($D412,$C$5:$AU$500,25,)/VLOOKUP($D412,$C$5:$AU$500,3,))*$E412)</f>
        <v>0</v>
      </c>
      <c r="AB412" s="123">
        <f>IF(VLOOKUP($D412,$C$5:$AU$500,3,)=0,0,(VLOOKUP($D412,$C$5:$AU$500,26,)/VLOOKUP($D412,$C$5:$AU$500,3,))*$E412)</f>
        <v>0</v>
      </c>
      <c r="AC412" s="123">
        <f>IF(VLOOKUP($D412,$C$5:$AU$500,3,)=0,0,(VLOOKUP($D412,$C$5:$AU$500,27,)/VLOOKUP($D412,$C$5:$AU$500,3,))*$E412)</f>
        <v>0</v>
      </c>
      <c r="AD412" s="123">
        <f>IF(VLOOKUP($D412,$C$5:$AU$500,3,)=0,0,(VLOOKUP($D412,$C$5:$AU$500,28,)/VLOOKUP($D412,$C$5:$AU$500,3,))*$E412)</f>
        <v>0</v>
      </c>
      <c r="AE412" s="123">
        <f>IF(VLOOKUP($D412,$C$5:$AU$500,3,)=0,0,(VLOOKUP($D412,$C$5:$AU$500,29,)/VLOOKUP($D412,$C$5:$AU$500,3,))*$E412)</f>
        <v>0</v>
      </c>
      <c r="AF412" s="123">
        <f>IF(VLOOKUP($D412,$C$5:$AU$500,3,)=0,0,(VLOOKUP($D412,$C$5:$AU$500,30,)/VLOOKUP($D412,$C$5:$AU$500,3,))*$E412)</f>
        <v>0</v>
      </c>
      <c r="AG412" s="38">
        <f t="shared" si="210"/>
        <v>1</v>
      </c>
      <c r="AH412" s="28" t="str">
        <f t="shared" si="211"/>
        <v>ok</v>
      </c>
    </row>
    <row r="413" spans="1:37" x14ac:dyDescent="0.25">
      <c r="A413" s="14" t="s">
        <v>343</v>
      </c>
      <c r="C413" s="14" t="s">
        <v>229</v>
      </c>
      <c r="E413" s="95">
        <v>1</v>
      </c>
      <c r="F413" s="49">
        <f>Meters!G6</f>
        <v>0.52203548285976176</v>
      </c>
      <c r="G413" s="49">
        <f>Meters!G7</f>
        <v>0.22684993938416931</v>
      </c>
      <c r="H413" s="49">
        <f>Meters!G8</f>
        <v>6.0473071685049146E-2</v>
      </c>
      <c r="I413" s="49">
        <f>Meters!G9</f>
        <v>0.14308259348624258</v>
      </c>
      <c r="J413" s="49">
        <f>Meters!G10</f>
        <v>0</v>
      </c>
      <c r="K413" s="49">
        <f>Meters!G11</f>
        <v>4.427517075386567E-4</v>
      </c>
      <c r="L413" s="49">
        <f>Meters!G12</f>
        <v>4.7116160877238723E-2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3">
        <v>0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38">
        <f t="shared" ref="AG413" si="212">SUM(F413:AF413)</f>
        <v>1</v>
      </c>
      <c r="AH413" s="28" t="str">
        <f t="shared" si="211"/>
        <v>ok</v>
      </c>
    </row>
    <row r="414" spans="1:37" x14ac:dyDescent="0.25">
      <c r="A414" s="14" t="s">
        <v>344</v>
      </c>
      <c r="C414" s="14" t="s">
        <v>231</v>
      </c>
      <c r="D414" s="14" t="s">
        <v>565</v>
      </c>
      <c r="E414" s="95">
        <v>1</v>
      </c>
      <c r="F414" s="49">
        <f>IF(VLOOKUP($D414,$C$5:$AU$500,3,)=0,0,(VLOOKUP($D414,$C$5:$AU$500,4,)/VLOOKUP($D414,$C$5:$AU$500,3,))*$E414)</f>
        <v>0</v>
      </c>
      <c r="G414" s="49">
        <f>IF(VLOOKUP($D414,$C$5:$AU$500,3,)=0,0,(VLOOKUP($D414,$C$5:$AU$500,5,)/VLOOKUP($D414,$C$5:$AU$500,3,))*$E414)</f>
        <v>0</v>
      </c>
      <c r="H414" s="122">
        <f>IF(VLOOKUP($D414,$C$5:$AU$500,3,)=0,0,(VLOOKUP($D414,$C$5:$AU$500,6,)/VLOOKUP($D414,$C$5:$AU$500,3,))*$E414)</f>
        <v>0</v>
      </c>
      <c r="I414" s="122">
        <f>IF(VLOOKUP($D414,$C$5:$AU$500,3,)=0,0,(VLOOKUP($D414,$C$5:$AU$500,7,)/VLOOKUP($D414,$C$5:$AU$500,3,))*$E414)</f>
        <v>0</v>
      </c>
      <c r="J414" s="122">
        <f>IF(VLOOKUP($D414,$C$5:$AU$500,3,)=0,0,(VLOOKUP($D414,$C$5:$AU$500,8,)/VLOOKUP($D414,$C$5:$AU$500,3,))*$E414)</f>
        <v>0</v>
      </c>
      <c r="K414" s="122">
        <f>IF(VLOOKUP($D414,$C$5:$AU$500,3,)=0,0,(VLOOKUP($D414,$C$5:$AU$500,8,)/VLOOKUP($D414,$C$5:$AU$500,3,))*$E414)</f>
        <v>0</v>
      </c>
      <c r="L414" s="49">
        <v>1</v>
      </c>
      <c r="M414" s="122">
        <v>0</v>
      </c>
      <c r="N414" s="122">
        <f>IF(VLOOKUP($D414,$C$5:$AU$500,3,)=0,0,(VLOOKUP($D414,$C$5:$AU$500,12,)/VLOOKUP($D414,$C$5:$AU$500,3,))*$E414)</f>
        <v>0</v>
      </c>
      <c r="O414" s="122">
        <f>IF(VLOOKUP($D414,$C$5:$AU$500,3,)=0,0,(VLOOKUP($D414,$C$5:$AU$500,13,)/VLOOKUP($D414,$C$5:$AU$500,3,))*$E414)</f>
        <v>0</v>
      </c>
      <c r="P414" s="122">
        <f>IF(VLOOKUP($D414,$C$5:$AU$500,3,)=0,0,(VLOOKUP($D414,$C$5:$AU$500,14,)/VLOOKUP($D414,$C$5:$AU$500,3,))*$E414)</f>
        <v>0</v>
      </c>
      <c r="Q414" s="122">
        <f>IF(VLOOKUP($D414,$C$5:$AU$500,3,)=0,0,(VLOOKUP($D414,$C$5:$AU$500,15,)/VLOOKUP($D414,$C$5:$AU$500,3,))*$E414)</f>
        <v>0</v>
      </c>
      <c r="R414" s="122">
        <f>IF(VLOOKUP($D414,$C$5:$AU$500,3,)=0,0,(VLOOKUP($D414,$C$5:$AU$500,16,)/VLOOKUP($D414,$C$5:$AU$500,3,))*$E414)</f>
        <v>0</v>
      </c>
      <c r="S414" s="123">
        <f>IF(VLOOKUP($D414,$C$5:$AU$500,3,)=0,0,(VLOOKUP($D414,$C$5:$AU$500,17,)/VLOOKUP($D414,$C$5:$AU$500,3,))*$E414)</f>
        <v>0</v>
      </c>
      <c r="T414" s="123">
        <f>IF(VLOOKUP($D414,$C$5:$AU$500,3,)=0,0,(VLOOKUP($D414,$C$5:$AU$500,18,)/VLOOKUP($D414,$C$5:$AU$500,3,))*$E414)</f>
        <v>0</v>
      </c>
      <c r="U414" s="123">
        <f>IF(VLOOKUP($D414,$C$5:$AU$500,3,)=0,0,(VLOOKUP($D414,$C$5:$AU$500,19,)/VLOOKUP($D414,$C$5:$AU$500,3,))*$E414)</f>
        <v>0</v>
      </c>
      <c r="V414" s="123">
        <f>IF(VLOOKUP($D414,$C$5:$AU$500,3,)=0,0,(VLOOKUP($D414,$C$5:$AU$500,20,)/VLOOKUP($D414,$C$5:$AU$500,3,))*$E414)</f>
        <v>0</v>
      </c>
      <c r="W414" s="123">
        <f>IF(VLOOKUP($D414,$C$5:$AU$500,3,)=0,0,(VLOOKUP($D414,$C$5:$AU$500,21,)/VLOOKUP($D414,$C$5:$AU$500,3,))*$E414)</f>
        <v>0</v>
      </c>
      <c r="X414" s="123">
        <f>IF(VLOOKUP($D414,$C$5:$AU$500,3,)=0,0,(VLOOKUP($D414,$C$5:$AU$500,22,)/VLOOKUP($D414,$C$5:$AU$500,3,))*$E414)</f>
        <v>0</v>
      </c>
      <c r="Y414" s="123">
        <f>IF(VLOOKUP($D414,$C$5:$AU$500,3,)=0,0,(VLOOKUP($D414,$C$5:$AU$500,23,)/VLOOKUP($D414,$C$5:$AU$500,3,))*$E414)</f>
        <v>0</v>
      </c>
      <c r="Z414" s="123">
        <f>IF(VLOOKUP($D414,$C$5:$AU$500,3,)=0,0,(VLOOKUP($D414,$C$5:$AU$500,24,)/VLOOKUP($D414,$C$5:$AU$500,3,))*$E414)</f>
        <v>0</v>
      </c>
      <c r="AA414" s="123">
        <f>IF(VLOOKUP($D414,$C$5:$AU$500,3,)=0,0,(VLOOKUP($D414,$C$5:$AU$500,25,)/VLOOKUP($D414,$C$5:$AU$500,3,))*$E414)</f>
        <v>0</v>
      </c>
      <c r="AB414" s="123">
        <f>IF(VLOOKUP($D414,$C$5:$AU$500,3,)=0,0,(VLOOKUP($D414,$C$5:$AU$500,26,)/VLOOKUP($D414,$C$5:$AU$500,3,))*$E414)</f>
        <v>0</v>
      </c>
      <c r="AC414" s="123">
        <f>IF(VLOOKUP($D414,$C$5:$AU$500,3,)=0,0,(VLOOKUP($D414,$C$5:$AU$500,27,)/VLOOKUP($D414,$C$5:$AU$500,3,))*$E414)</f>
        <v>0</v>
      </c>
      <c r="AD414" s="123">
        <f>IF(VLOOKUP($D414,$C$5:$AU$500,3,)=0,0,(VLOOKUP($D414,$C$5:$AU$500,28,)/VLOOKUP($D414,$C$5:$AU$500,3,))*$E414)</f>
        <v>0</v>
      </c>
      <c r="AE414" s="123">
        <f>IF(VLOOKUP($D414,$C$5:$AU$500,3,)=0,0,(VLOOKUP($D414,$C$5:$AU$500,29,)/VLOOKUP($D414,$C$5:$AU$500,3,))*$E414)</f>
        <v>0</v>
      </c>
      <c r="AF414" s="123">
        <f>IF(VLOOKUP($D414,$C$5:$AU$500,3,)=0,0,(VLOOKUP($D414,$C$5:$AU$500,30,)/VLOOKUP($D414,$C$5:$AU$500,3,))*$E414)</f>
        <v>0</v>
      </c>
      <c r="AG414" s="38">
        <f t="shared" si="210"/>
        <v>1</v>
      </c>
      <c r="AH414" s="28" t="str">
        <f t="shared" si="211"/>
        <v>ok</v>
      </c>
    </row>
    <row r="415" spans="1:37" x14ac:dyDescent="0.25">
      <c r="A415" s="14" t="s">
        <v>345</v>
      </c>
      <c r="C415" s="14" t="s">
        <v>233</v>
      </c>
      <c r="D415" s="14" t="s">
        <v>563</v>
      </c>
      <c r="E415" s="95">
        <v>1</v>
      </c>
      <c r="F415" s="49">
        <f>IF(VLOOKUP($D415,$C$5:$AU$500,3,)=0,0,(VLOOKUP($D415,$C$5:$AU$500,4,)/VLOOKUP($D415,$C$5:$AU$500,3,))*$E415)</f>
        <v>0.80048524807763966</v>
      </c>
      <c r="G415" s="49">
        <f>IF(VLOOKUP($D415,$C$5:$AU$500,3,)=0,0,(VLOOKUP($D415,$C$5:$AU$500,5,)/VLOOKUP($D415,$C$5:$AU$500,3,))*$E415)</f>
        <v>0.15811362529818004</v>
      </c>
      <c r="H415" s="122">
        <f>IF(VLOOKUP($D415,$C$5:$AU$500,3,)=0,0,(VLOOKUP($D415,$C$5:$AU$500,6,)/VLOOKUP($D415,$C$5:$AU$500,3,))*$E415)</f>
        <v>1.6798722687795628E-2</v>
      </c>
      <c r="I415" s="122">
        <f>IF(VLOOKUP($D415,$C$5:$AU$500,3,)=0,0,(VLOOKUP($D415,$C$5:$AU$500,7,)/VLOOKUP($D415,$C$5:$AU$500,3,))*$E415)</f>
        <v>2.109632337541174E-2</v>
      </c>
      <c r="J415" s="122">
        <f>IF(VLOOKUP($D415,$C$5:$AU$500,3,)=0,0,(VLOOKUP($D415,$C$5:$AU$500,8,)/VLOOKUP($D415,$C$5:$AU$500,3,))*$E415)</f>
        <v>0</v>
      </c>
      <c r="K415" s="122">
        <f>IF(VLOOKUP($D415,$C$5:$AU$500,3,)=0,0,(VLOOKUP($D415,$C$5:$AU$500,9,)/VLOOKUP($D415,$C$5:$AU$500,3,))*$E415)</f>
        <v>3.2640005222400833E-5</v>
      </c>
      <c r="L415" s="49">
        <f>IF(VLOOKUP($D415,$C$5:$AU$500,3,)=0,0,(VLOOKUP($D415,$C$5:$AU$500,10,)/VLOOKUP($D415,$C$5:$AU$500,3,))*$E415)</f>
        <v>3.4734405557504885E-3</v>
      </c>
      <c r="M415" s="122">
        <f>IF(VLOOKUP($D415,$C$5:$AU$500,3,)=0,0,(VLOOKUP($D415,$C$5:$AU$500,11,)/VLOOKUP($D415,$C$5:$AU$500,3,))*$E415)</f>
        <v>0</v>
      </c>
      <c r="N415" s="122">
        <f>IF(VLOOKUP($D415,$C$5:$AU$500,3,)=0,0,(VLOOKUP($D415,$C$5:$AU$500,12,)/VLOOKUP($D415,$C$5:$AU$500,3,))*$E415)</f>
        <v>0</v>
      </c>
      <c r="O415" s="122">
        <f>IF(VLOOKUP($D415,$C$5:$AU$500,3,)=0,0,(VLOOKUP($D415,$C$5:$AU$500,13,)/VLOOKUP($D415,$C$5:$AU$500,3,))*$E415)</f>
        <v>0</v>
      </c>
      <c r="P415" s="122">
        <f>IF(VLOOKUP($D415,$C$5:$AU$500,3,)=0,0,(VLOOKUP($D415,$C$5:$AU$500,14,)/VLOOKUP($D415,$C$5:$AU$500,3,))*$E415)</f>
        <v>0</v>
      </c>
      <c r="Q415" s="122">
        <f>IF(VLOOKUP($D415,$C$5:$AU$500,3,)=0,0,(VLOOKUP($D415,$C$5:$AU$500,15,)/VLOOKUP($D415,$C$5:$AU$500,3,))*$E415)</f>
        <v>0</v>
      </c>
      <c r="R415" s="122">
        <f>IF(VLOOKUP($D415,$C$5:$AU$500,3,)=0,0,(VLOOKUP($D415,$C$5:$AU$500,16,)/VLOOKUP($D415,$C$5:$AU$500,3,))*$E415)</f>
        <v>0</v>
      </c>
      <c r="S415" s="123">
        <f>IF(VLOOKUP($D415,$C$5:$AU$500,3,)=0,0,(VLOOKUP($D415,$C$5:$AU$500,17,)/VLOOKUP($D415,$C$5:$AU$500,3,))*$E415)</f>
        <v>0</v>
      </c>
      <c r="T415" s="123">
        <f>IF(VLOOKUP($D415,$C$5:$AU$500,3,)=0,0,(VLOOKUP($D415,$C$5:$AU$500,18,)/VLOOKUP($D415,$C$5:$AU$500,3,))*$E415)</f>
        <v>0</v>
      </c>
      <c r="U415" s="123">
        <f>IF(VLOOKUP($D415,$C$5:$AU$500,3,)=0,0,(VLOOKUP($D415,$C$5:$AU$500,19,)/VLOOKUP($D415,$C$5:$AU$500,3,))*$E415)</f>
        <v>0</v>
      </c>
      <c r="V415" s="123">
        <f>IF(VLOOKUP($D415,$C$5:$AU$500,3,)=0,0,(VLOOKUP($D415,$C$5:$AU$500,20,)/VLOOKUP($D415,$C$5:$AU$500,3,))*$E415)</f>
        <v>0</v>
      </c>
      <c r="W415" s="123">
        <f>IF(VLOOKUP($D415,$C$5:$AU$500,3,)=0,0,(VLOOKUP($D415,$C$5:$AU$500,21,)/VLOOKUP($D415,$C$5:$AU$500,3,))*$E415)</f>
        <v>0</v>
      </c>
      <c r="X415" s="123">
        <f>IF(VLOOKUP($D415,$C$5:$AU$500,3,)=0,0,(VLOOKUP($D415,$C$5:$AU$500,22,)/VLOOKUP($D415,$C$5:$AU$500,3,))*$E415)</f>
        <v>0</v>
      </c>
      <c r="Y415" s="123">
        <f>IF(VLOOKUP($D415,$C$5:$AU$500,3,)=0,0,(VLOOKUP($D415,$C$5:$AU$500,23,)/VLOOKUP($D415,$C$5:$AU$500,3,))*$E415)</f>
        <v>0</v>
      </c>
      <c r="Z415" s="123">
        <f>IF(VLOOKUP($D415,$C$5:$AU$500,3,)=0,0,(VLOOKUP($D415,$C$5:$AU$500,24,)/VLOOKUP($D415,$C$5:$AU$500,3,))*$E415)</f>
        <v>0</v>
      </c>
      <c r="AA415" s="123">
        <f>IF(VLOOKUP($D415,$C$5:$AU$500,3,)=0,0,(VLOOKUP($D415,$C$5:$AU$500,25,)/VLOOKUP($D415,$C$5:$AU$500,3,))*$E415)</f>
        <v>0</v>
      </c>
      <c r="AB415" s="123">
        <f>IF(VLOOKUP($D415,$C$5:$AU$500,3,)=0,0,(VLOOKUP($D415,$C$5:$AU$500,26,)/VLOOKUP($D415,$C$5:$AU$500,3,))*$E415)</f>
        <v>0</v>
      </c>
      <c r="AC415" s="123">
        <f>IF(VLOOKUP($D415,$C$5:$AU$500,3,)=0,0,(VLOOKUP($D415,$C$5:$AU$500,27,)/VLOOKUP($D415,$C$5:$AU$500,3,))*$E415)</f>
        <v>0</v>
      </c>
      <c r="AD415" s="123">
        <f>IF(VLOOKUP($D415,$C$5:$AU$500,3,)=0,0,(VLOOKUP($D415,$C$5:$AU$500,28,)/VLOOKUP($D415,$C$5:$AU$500,3,))*$E415)</f>
        <v>0</v>
      </c>
      <c r="AE415" s="123">
        <f>IF(VLOOKUP($D415,$C$5:$AU$500,3,)=0,0,(VLOOKUP($D415,$C$5:$AU$500,29,)/VLOOKUP($D415,$C$5:$AU$500,3,))*$E415)</f>
        <v>0</v>
      </c>
      <c r="AF415" s="123">
        <f>IF(VLOOKUP($D415,$C$5:$AU$500,3,)=0,0,(VLOOKUP($D415,$C$5:$AU$500,30,)/VLOOKUP($D415,$C$5:$AU$500,3,))*$E415)</f>
        <v>0</v>
      </c>
      <c r="AG415" s="38">
        <f t="shared" si="210"/>
        <v>1</v>
      </c>
      <c r="AH415" s="28" t="str">
        <f t="shared" si="211"/>
        <v>ok</v>
      </c>
    </row>
    <row r="416" spans="1:37" x14ac:dyDescent="0.25">
      <c r="A416" s="14" t="s">
        <v>470</v>
      </c>
      <c r="C416" s="14" t="s">
        <v>234</v>
      </c>
      <c r="D416" s="14" t="s">
        <v>618</v>
      </c>
      <c r="E416" s="95">
        <v>1</v>
      </c>
      <c r="F416" s="49">
        <f>IF(VLOOKUP($D416,$C$5:$AU$500,3,)=0,0,(VLOOKUP($D416,$C$5:$AU$500,4,)/VLOOKUP($D416,$C$5:$AU$500,3,))*$E416)</f>
        <v>0.80048524807763966</v>
      </c>
      <c r="G416" s="49">
        <f>IF(VLOOKUP($D416,$C$5:$AU$500,3,)=0,0,(VLOOKUP($D416,$C$5:$AU$500,5,)/VLOOKUP($D416,$C$5:$AU$500,3,))*$E416)</f>
        <v>0.15811362529818004</v>
      </c>
      <c r="H416" s="122">
        <f>IF(VLOOKUP($D416,$C$5:$AU$500,3,)=0,0,(VLOOKUP($D416,$C$5:$AU$500,6,)/VLOOKUP($D416,$C$5:$AU$500,3,))*$E416)</f>
        <v>1.6798722687795628E-2</v>
      </c>
      <c r="I416" s="122">
        <f>IF(VLOOKUP($D416,$C$5:$AU$500,3,)=0,0,(VLOOKUP($D416,$C$5:$AU$500,7,)/VLOOKUP($D416,$C$5:$AU$500,3,))*$E416)</f>
        <v>2.109632337541174E-2</v>
      </c>
      <c r="J416" s="122">
        <f>IF(VLOOKUP($D416,$C$5:$AU$500,3,)=0,0,(VLOOKUP($D416,$C$5:$AU$500,8,)/VLOOKUP($D416,$C$5:$AU$500,3,))*$E416)</f>
        <v>0</v>
      </c>
      <c r="K416" s="122">
        <f>IF(VLOOKUP($D416,$C$5:$AU$500,3,)=0,0,(VLOOKUP($D416,$C$5:$AU$500,9,)/VLOOKUP($D416,$C$5:$AU$500,3,))*$E416)</f>
        <v>3.2640005222400833E-5</v>
      </c>
      <c r="L416" s="49">
        <f>IF(VLOOKUP($D416,$C$5:$AU$500,3,)=0,0,(VLOOKUP($D416,$C$5:$AU$500,10,)/VLOOKUP($D416,$C$5:$AU$500,3,))*$E416)</f>
        <v>3.4734405557504885E-3</v>
      </c>
      <c r="M416" s="122">
        <f>IF(VLOOKUP($D416,$C$5:$AU$500,3,)=0,0,(VLOOKUP($D416,$C$5:$AU$500,11,)/VLOOKUP($D416,$C$5:$AU$500,3,))*$E416)</f>
        <v>0</v>
      </c>
      <c r="N416" s="122">
        <f>IF(VLOOKUP($D416,$C$5:$AU$500,3,)=0,0,(VLOOKUP($D416,$C$5:$AU$500,12,)/VLOOKUP($D416,$C$5:$AU$500,3,))*$E416)</f>
        <v>0</v>
      </c>
      <c r="O416" s="122">
        <f>IF(VLOOKUP($D416,$C$5:$AU$500,3,)=0,0,(VLOOKUP($D416,$C$5:$AU$500,13,)/VLOOKUP($D416,$C$5:$AU$500,3,))*$E416)</f>
        <v>0</v>
      </c>
      <c r="P416" s="122">
        <f>IF(VLOOKUP($D416,$C$5:$AU$500,3,)=0,0,(VLOOKUP($D416,$C$5:$AU$500,14,)/VLOOKUP($D416,$C$5:$AU$500,3,))*$E416)</f>
        <v>0</v>
      </c>
      <c r="Q416" s="122">
        <f>IF(VLOOKUP($D416,$C$5:$AU$500,3,)=0,0,(VLOOKUP($D416,$C$5:$AU$500,15,)/VLOOKUP($D416,$C$5:$AU$500,3,))*$E416)</f>
        <v>0</v>
      </c>
      <c r="R416" s="122">
        <f>IF(VLOOKUP($D416,$C$5:$AU$500,3,)=0,0,(VLOOKUP($D416,$C$5:$AU$500,16,)/VLOOKUP($D416,$C$5:$AU$500,3,))*$E416)</f>
        <v>0</v>
      </c>
      <c r="S416" s="123">
        <f>IF(VLOOKUP($D416,$C$5:$AU$500,3,)=0,0,(VLOOKUP($D416,$C$5:$AU$500,17,)/VLOOKUP($D416,$C$5:$AU$500,3,))*$E416)</f>
        <v>0</v>
      </c>
      <c r="T416" s="123">
        <f>IF(VLOOKUP($D416,$C$5:$AU$500,3,)=0,0,(VLOOKUP($D416,$C$5:$AU$500,18,)/VLOOKUP($D416,$C$5:$AU$500,3,))*$E416)</f>
        <v>0</v>
      </c>
      <c r="U416" s="123">
        <f>IF(VLOOKUP($D416,$C$5:$AU$500,3,)=0,0,(VLOOKUP($D416,$C$5:$AU$500,19,)/VLOOKUP($D416,$C$5:$AU$500,3,))*$E416)</f>
        <v>0</v>
      </c>
      <c r="V416" s="123">
        <f>IF(VLOOKUP($D416,$C$5:$AU$500,3,)=0,0,(VLOOKUP($D416,$C$5:$AU$500,20,)/VLOOKUP($D416,$C$5:$AU$500,3,))*$E416)</f>
        <v>0</v>
      </c>
      <c r="W416" s="123">
        <f>IF(VLOOKUP($D416,$C$5:$AU$500,3,)=0,0,(VLOOKUP($D416,$C$5:$AU$500,21,)/VLOOKUP($D416,$C$5:$AU$500,3,))*$E416)</f>
        <v>0</v>
      </c>
      <c r="X416" s="123">
        <f>IF(VLOOKUP($D416,$C$5:$AU$500,3,)=0,0,(VLOOKUP($D416,$C$5:$AU$500,22,)/VLOOKUP($D416,$C$5:$AU$500,3,))*$E416)</f>
        <v>0</v>
      </c>
      <c r="Y416" s="123">
        <f>IF(VLOOKUP($D416,$C$5:$AU$500,3,)=0,0,(VLOOKUP($D416,$C$5:$AU$500,23,)/VLOOKUP($D416,$C$5:$AU$500,3,))*$E416)</f>
        <v>0</v>
      </c>
      <c r="Z416" s="123">
        <f>IF(VLOOKUP($D416,$C$5:$AU$500,3,)=0,0,(VLOOKUP($D416,$C$5:$AU$500,24,)/VLOOKUP($D416,$C$5:$AU$500,3,))*$E416)</f>
        <v>0</v>
      </c>
      <c r="AA416" s="123">
        <f>IF(VLOOKUP($D416,$C$5:$AU$500,3,)=0,0,(VLOOKUP($D416,$C$5:$AU$500,25,)/VLOOKUP($D416,$C$5:$AU$500,3,))*$E416)</f>
        <v>0</v>
      </c>
      <c r="AB416" s="123">
        <f>IF(VLOOKUP($D416,$C$5:$AU$500,3,)=0,0,(VLOOKUP($D416,$C$5:$AU$500,26,)/VLOOKUP($D416,$C$5:$AU$500,3,))*$E416)</f>
        <v>0</v>
      </c>
      <c r="AC416" s="123">
        <f>IF(VLOOKUP($D416,$C$5:$AU$500,3,)=0,0,(VLOOKUP($D416,$C$5:$AU$500,27,)/VLOOKUP($D416,$C$5:$AU$500,3,))*$E416)</f>
        <v>0</v>
      </c>
      <c r="AD416" s="123">
        <f>IF(VLOOKUP($D416,$C$5:$AU$500,3,)=0,0,(VLOOKUP($D416,$C$5:$AU$500,28,)/VLOOKUP($D416,$C$5:$AU$500,3,))*$E416)</f>
        <v>0</v>
      </c>
      <c r="AE416" s="123">
        <f>IF(VLOOKUP($D416,$C$5:$AU$500,3,)=0,0,(VLOOKUP($D416,$C$5:$AU$500,29,)/VLOOKUP($D416,$C$5:$AU$500,3,))*$E416)</f>
        <v>0</v>
      </c>
      <c r="AF416" s="123">
        <f>IF(VLOOKUP($D416,$C$5:$AU$500,3,)=0,0,(VLOOKUP($D416,$C$5:$AU$500,30,)/VLOOKUP($D416,$C$5:$AU$500,3,))*$E416)</f>
        <v>0</v>
      </c>
      <c r="AG416" s="38">
        <f t="shared" si="210"/>
        <v>1</v>
      </c>
      <c r="AH416" s="28" t="str">
        <f t="shared" si="211"/>
        <v>ok</v>
      </c>
    </row>
    <row r="418" spans="1:37" x14ac:dyDescent="0.25">
      <c r="A418" s="13" t="s">
        <v>866</v>
      </c>
      <c r="D418" s="47"/>
    </row>
    <row r="419" spans="1:37" x14ac:dyDescent="0.25">
      <c r="A419" s="14" t="s">
        <v>348</v>
      </c>
      <c r="C419" s="14" t="s">
        <v>561</v>
      </c>
      <c r="E419" s="50">
        <f>'Billing Det'!E25</f>
        <v>95173744.519999996</v>
      </c>
      <c r="F419" s="50">
        <f>'Billing Det'!$E8</f>
        <v>51072587.209999993</v>
      </c>
      <c r="G419" s="50">
        <f>'Billing Det'!$E9</f>
        <v>6279828.9400000004</v>
      </c>
      <c r="H419" s="23">
        <f>'Billing Det'!$E10</f>
        <v>1628407.99</v>
      </c>
      <c r="I419" s="23">
        <f>'Billing Det'!$E11</f>
        <v>19775587.860000003</v>
      </c>
      <c r="J419" s="23">
        <f>'Billing Det'!$E12</f>
        <v>12887923.620000001</v>
      </c>
      <c r="K419" s="23">
        <f>'Billing Det'!$E13</f>
        <v>2101023.02</v>
      </c>
      <c r="L419" s="23">
        <f>'Billing Det'!$E14</f>
        <v>1428385.8800000001</v>
      </c>
      <c r="M419" s="23">
        <f>'Billing Det'!$E15</f>
        <v>0</v>
      </c>
      <c r="N419" s="23">
        <f>'Billing Det'!$E16</f>
        <v>0</v>
      </c>
      <c r="O419" s="23">
        <f>'Billing Det'!$E17</f>
        <v>0</v>
      </c>
      <c r="P419" s="23">
        <f>'Billing Det'!$E18</f>
        <v>0</v>
      </c>
      <c r="Q419" s="23">
        <f>'Billing Det'!$E19</f>
        <v>0</v>
      </c>
      <c r="R419" s="23">
        <f>'Billing Det'!$E20</f>
        <v>0</v>
      </c>
      <c r="S419" s="115">
        <f>'Billing Det'!$E21</f>
        <v>0</v>
      </c>
      <c r="T419" s="115">
        <f>'Billing Det'!$E22</f>
        <v>0</v>
      </c>
      <c r="U419" s="115">
        <f>'Billing Det'!$E23</f>
        <v>0</v>
      </c>
      <c r="V419" s="115">
        <v>0</v>
      </c>
      <c r="W419" s="115">
        <v>0</v>
      </c>
      <c r="X419" s="115">
        <v>0</v>
      </c>
      <c r="Y419" s="115">
        <v>0</v>
      </c>
      <c r="Z419" s="115">
        <v>0</v>
      </c>
      <c r="AA419" s="115">
        <v>0</v>
      </c>
      <c r="AB419" s="115">
        <v>0</v>
      </c>
      <c r="AC419" s="115">
        <v>0</v>
      </c>
      <c r="AD419" s="115">
        <v>0</v>
      </c>
      <c r="AE419" s="115"/>
      <c r="AF419" s="115"/>
      <c r="AG419" s="23">
        <f t="shared" ref="AG419:AG429" si="213">SUM(F419:AF419)</f>
        <v>95173744.519999996</v>
      </c>
      <c r="AH419" s="28" t="str">
        <f t="shared" ref="AH419:AH428" si="214">IF(ABS(E419-AG419)&lt;0.01,"ok","err")</f>
        <v>ok</v>
      </c>
    </row>
    <row r="420" spans="1:37" x14ac:dyDescent="0.25">
      <c r="A420" s="14" t="s">
        <v>11</v>
      </c>
      <c r="C420" s="14" t="s">
        <v>213</v>
      </c>
      <c r="E420" s="50">
        <f>'Billing Det'!D25</f>
        <v>636845787</v>
      </c>
      <c r="F420" s="50">
        <f>'Billing Det'!D8</f>
        <v>328446062</v>
      </c>
      <c r="G420" s="50">
        <f>'Billing Det'!D9</f>
        <v>37317394</v>
      </c>
      <c r="H420" s="23">
        <f>'Billing Det'!D10</f>
        <v>11646814</v>
      </c>
      <c r="I420" s="23">
        <f>'Billing Det'!D11</f>
        <v>169761237</v>
      </c>
      <c r="J420" s="23">
        <f>'Billing Det'!D12</f>
        <v>65082407</v>
      </c>
      <c r="K420" s="23">
        <f>'Billing Det'!D13</f>
        <v>18209134</v>
      </c>
      <c r="L420" s="50">
        <f>'Billing Det'!D14</f>
        <v>6382739</v>
      </c>
      <c r="M420" s="23">
        <f>'Billing Det'!D15</f>
        <v>0</v>
      </c>
      <c r="N420" s="23">
        <f>'Billing Det'!D16</f>
        <v>0</v>
      </c>
      <c r="O420" s="23">
        <f>'Billing Det'!D17</f>
        <v>0</v>
      </c>
      <c r="P420" s="23">
        <f>'Billing Det'!D18</f>
        <v>0</v>
      </c>
      <c r="Q420" s="23">
        <f>'Billing Det'!D19</f>
        <v>0</v>
      </c>
      <c r="R420" s="23">
        <f>'Billing Det'!D20</f>
        <v>0</v>
      </c>
      <c r="S420" s="115">
        <f>'Billing Det'!$D21</f>
        <v>0</v>
      </c>
      <c r="T420" s="115">
        <f>'Billing Det'!$D22</f>
        <v>0</v>
      </c>
      <c r="U420" s="115">
        <f>'Billing Det'!$D23</f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0</v>
      </c>
      <c r="AD420" s="115">
        <v>0</v>
      </c>
      <c r="AE420" s="115"/>
      <c r="AF420" s="115"/>
      <c r="AG420" s="23">
        <f>SUM(F420:AF420)</f>
        <v>636845787</v>
      </c>
      <c r="AH420" s="28" t="str">
        <f t="shared" si="214"/>
        <v>ok</v>
      </c>
    </row>
    <row r="421" spans="1:37" x14ac:dyDescent="0.25">
      <c r="A421" s="14" t="s">
        <v>743</v>
      </c>
      <c r="E421" s="48"/>
      <c r="F421" s="125">
        <v>0.05</v>
      </c>
      <c r="G421" s="125">
        <f t="shared" ref="G421:O421" si="215">F421</f>
        <v>0.05</v>
      </c>
      <c r="H421" s="125">
        <v>2.5000000000000001E-2</v>
      </c>
      <c r="I421" s="23">
        <v>0</v>
      </c>
      <c r="J421" s="23">
        <v>0</v>
      </c>
      <c r="K421" s="23">
        <v>0</v>
      </c>
      <c r="L421" s="39">
        <v>0.05</v>
      </c>
      <c r="M421" s="50">
        <v>0</v>
      </c>
      <c r="N421" s="125">
        <f t="shared" si="215"/>
        <v>0</v>
      </c>
      <c r="O421" s="125">
        <f t="shared" si="215"/>
        <v>0</v>
      </c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38"/>
      <c r="AH421" s="28"/>
    </row>
    <row r="422" spans="1:37" x14ac:dyDescent="0.25">
      <c r="A422" s="14" t="s">
        <v>744</v>
      </c>
      <c r="C422" s="14" t="s">
        <v>11</v>
      </c>
      <c r="E422" s="50">
        <v>656731065.09851551</v>
      </c>
      <c r="F422" s="50">
        <f t="shared" ref="F422:AF422" si="216">F420/(1-F421)</f>
        <v>345732696.84210527</v>
      </c>
      <c r="G422" s="50">
        <f t="shared" si="216"/>
        <v>39281467.368421055</v>
      </c>
      <c r="H422" s="50">
        <f t="shared" si="216"/>
        <v>11945450.256410256</v>
      </c>
      <c r="I422" s="50">
        <f t="shared" si="216"/>
        <v>169761237</v>
      </c>
      <c r="J422" s="50">
        <f t="shared" si="216"/>
        <v>65082407</v>
      </c>
      <c r="K422" s="50">
        <f t="shared" si="216"/>
        <v>18209134</v>
      </c>
      <c r="L422" s="50">
        <f t="shared" si="216"/>
        <v>6718672.6315789474</v>
      </c>
      <c r="M422" s="50">
        <f t="shared" si="216"/>
        <v>0</v>
      </c>
      <c r="N422" s="50">
        <f t="shared" si="216"/>
        <v>0</v>
      </c>
      <c r="O422" s="50">
        <f t="shared" si="216"/>
        <v>0</v>
      </c>
      <c r="P422" s="50">
        <f t="shared" si="216"/>
        <v>0</v>
      </c>
      <c r="Q422" s="50">
        <f t="shared" si="216"/>
        <v>0</v>
      </c>
      <c r="R422" s="50">
        <f t="shared" si="216"/>
        <v>0</v>
      </c>
      <c r="S422" s="115">
        <f t="shared" si="216"/>
        <v>0</v>
      </c>
      <c r="T422" s="115">
        <f t="shared" si="216"/>
        <v>0</v>
      </c>
      <c r="U422" s="115">
        <f t="shared" si="216"/>
        <v>0</v>
      </c>
      <c r="V422" s="115">
        <f t="shared" si="216"/>
        <v>0</v>
      </c>
      <c r="W422" s="115">
        <f t="shared" si="216"/>
        <v>0</v>
      </c>
      <c r="X422" s="115">
        <f t="shared" si="216"/>
        <v>0</v>
      </c>
      <c r="Y422" s="115">
        <f t="shared" si="216"/>
        <v>0</v>
      </c>
      <c r="Z422" s="115">
        <f t="shared" si="216"/>
        <v>0</v>
      </c>
      <c r="AA422" s="115">
        <f t="shared" si="216"/>
        <v>0</v>
      </c>
      <c r="AB422" s="115">
        <f t="shared" si="216"/>
        <v>0</v>
      </c>
      <c r="AC422" s="115">
        <f t="shared" si="216"/>
        <v>0</v>
      </c>
      <c r="AD422" s="115">
        <f t="shared" si="216"/>
        <v>0</v>
      </c>
      <c r="AE422" s="115">
        <f t="shared" si="216"/>
        <v>0</v>
      </c>
      <c r="AF422" s="115">
        <f t="shared" si="216"/>
        <v>0</v>
      </c>
      <c r="AG422" s="23">
        <f t="shared" si="213"/>
        <v>656731065.09851551</v>
      </c>
      <c r="AH422" s="28" t="str">
        <f t="shared" si="214"/>
        <v>ok</v>
      </c>
    </row>
    <row r="423" spans="1:37" x14ac:dyDescent="0.25">
      <c r="A423" s="14" t="s">
        <v>558</v>
      </c>
      <c r="E423" s="50">
        <v>367647</v>
      </c>
      <c r="F423" s="50">
        <f>'Billing Det'!$C8*12</f>
        <v>294296</v>
      </c>
      <c r="G423" s="50">
        <f>'Billing Det'!$C9*12</f>
        <v>58130</v>
      </c>
      <c r="H423" s="50">
        <f>'Billing Det'!$C10*12</f>
        <v>6176</v>
      </c>
      <c r="I423" s="50">
        <f>'Billing Det'!$C11*12</f>
        <v>7756</v>
      </c>
      <c r="J423" s="50">
        <v>0</v>
      </c>
      <c r="K423" s="50">
        <f>'Billing Det'!$C13*12</f>
        <v>12</v>
      </c>
      <c r="L423" s="50">
        <f>'Billing Det'!$C14*12</f>
        <v>1277</v>
      </c>
      <c r="M423" s="50">
        <f>'Billing Det'!$C15*12</f>
        <v>0</v>
      </c>
      <c r="N423" s="50">
        <f>'Billing Det'!$C16*12</f>
        <v>0</v>
      </c>
      <c r="O423" s="50">
        <f>'Billing Det'!$C17*12</f>
        <v>0</v>
      </c>
      <c r="P423" s="50">
        <f>'Billing Det'!$C18*12</f>
        <v>0</v>
      </c>
      <c r="Q423" s="50">
        <f>'Billing Det'!$C19*12</f>
        <v>0</v>
      </c>
      <c r="R423" s="50">
        <f>'Billing Det'!$C20*12</f>
        <v>0</v>
      </c>
      <c r="S423" s="115">
        <f>'Billing Det'!$C21*12</f>
        <v>0</v>
      </c>
      <c r="T423" s="115">
        <f>'Billing Det'!$C22*12</f>
        <v>0</v>
      </c>
      <c r="U423" s="115">
        <f>'Billing Det'!$C23*12</f>
        <v>0</v>
      </c>
      <c r="V423" s="115">
        <v>0</v>
      </c>
      <c r="W423" s="115">
        <v>0</v>
      </c>
      <c r="X423" s="115">
        <v>0</v>
      </c>
      <c r="Y423" s="115">
        <v>0</v>
      </c>
      <c r="Z423" s="115">
        <v>0</v>
      </c>
      <c r="AA423" s="115">
        <v>0</v>
      </c>
      <c r="AB423" s="115">
        <v>0</v>
      </c>
      <c r="AC423" s="115">
        <v>0</v>
      </c>
      <c r="AD423" s="115">
        <v>0</v>
      </c>
      <c r="AE423" s="115"/>
      <c r="AF423" s="115"/>
      <c r="AG423" s="23">
        <f t="shared" si="213"/>
        <v>367647</v>
      </c>
      <c r="AH423" s="28" t="str">
        <f t="shared" si="214"/>
        <v>ok</v>
      </c>
    </row>
    <row r="424" spans="1:37" x14ac:dyDescent="0.25">
      <c r="A424" s="14" t="s">
        <v>559</v>
      </c>
      <c r="C424" s="14" t="s">
        <v>562</v>
      </c>
      <c r="E424" s="50">
        <v>30637.250000000004</v>
      </c>
      <c r="F424" s="50">
        <f>F423/12</f>
        <v>24524.666666666668</v>
      </c>
      <c r="G424" s="50">
        <f t="shared" ref="G424:AF424" si="217">G423/12</f>
        <v>4844.166666666667</v>
      </c>
      <c r="H424" s="23">
        <f>H423/12</f>
        <v>514.66666666666663</v>
      </c>
      <c r="I424" s="23">
        <f t="shared" si="217"/>
        <v>646.33333333333337</v>
      </c>
      <c r="J424" s="23">
        <f t="shared" si="217"/>
        <v>0</v>
      </c>
      <c r="K424" s="23">
        <f t="shared" si="217"/>
        <v>1</v>
      </c>
      <c r="L424" s="23">
        <f t="shared" si="217"/>
        <v>106.41666666666667</v>
      </c>
      <c r="M424" s="23">
        <f t="shared" si="217"/>
        <v>0</v>
      </c>
      <c r="N424" s="23">
        <f t="shared" si="217"/>
        <v>0</v>
      </c>
      <c r="O424" s="23">
        <f t="shared" si="217"/>
        <v>0</v>
      </c>
      <c r="P424" s="23">
        <f t="shared" si="217"/>
        <v>0</v>
      </c>
      <c r="Q424" s="23">
        <f t="shared" si="217"/>
        <v>0</v>
      </c>
      <c r="R424" s="23">
        <f t="shared" si="217"/>
        <v>0</v>
      </c>
      <c r="S424" s="115">
        <f t="shared" si="217"/>
        <v>0</v>
      </c>
      <c r="T424" s="115">
        <f t="shared" si="217"/>
        <v>0</v>
      </c>
      <c r="U424" s="115">
        <f t="shared" si="217"/>
        <v>0</v>
      </c>
      <c r="V424" s="115">
        <v>0</v>
      </c>
      <c r="W424" s="115">
        <v>0</v>
      </c>
      <c r="X424" s="115">
        <v>0</v>
      </c>
      <c r="Y424" s="115">
        <v>0</v>
      </c>
      <c r="Z424" s="115">
        <f t="shared" si="217"/>
        <v>0</v>
      </c>
      <c r="AA424" s="115">
        <f t="shared" si="217"/>
        <v>0</v>
      </c>
      <c r="AB424" s="115">
        <f t="shared" si="217"/>
        <v>0</v>
      </c>
      <c r="AC424" s="115">
        <f t="shared" si="217"/>
        <v>0</v>
      </c>
      <c r="AD424" s="115">
        <f t="shared" si="217"/>
        <v>0</v>
      </c>
      <c r="AE424" s="115">
        <f t="shared" si="217"/>
        <v>0</v>
      </c>
      <c r="AF424" s="115">
        <f t="shared" si="217"/>
        <v>0</v>
      </c>
      <c r="AG424" s="23">
        <f t="shared" si="213"/>
        <v>30637.250000000004</v>
      </c>
      <c r="AH424" s="28" t="str">
        <f t="shared" si="214"/>
        <v>ok</v>
      </c>
    </row>
    <row r="425" spans="1:37" x14ac:dyDescent="0.25">
      <c r="A425" s="14" t="s">
        <v>560</v>
      </c>
      <c r="C425" s="14" t="s">
        <v>563</v>
      </c>
      <c r="E425" s="50">
        <v>30637.250000000004</v>
      </c>
      <c r="F425" s="50">
        <f t="shared" ref="F425:O425" si="218">F424</f>
        <v>24524.666666666668</v>
      </c>
      <c r="G425" s="50">
        <f t="shared" si="218"/>
        <v>4844.166666666667</v>
      </c>
      <c r="H425" s="50">
        <f t="shared" si="218"/>
        <v>514.66666666666663</v>
      </c>
      <c r="I425" s="50">
        <f t="shared" si="218"/>
        <v>646.33333333333337</v>
      </c>
      <c r="J425" s="50">
        <f t="shared" si="218"/>
        <v>0</v>
      </c>
      <c r="K425" s="50">
        <f t="shared" si="218"/>
        <v>1</v>
      </c>
      <c r="L425" s="50">
        <f t="shared" si="218"/>
        <v>106.41666666666667</v>
      </c>
      <c r="M425" s="50">
        <f t="shared" si="218"/>
        <v>0</v>
      </c>
      <c r="N425" s="50">
        <f t="shared" si="218"/>
        <v>0</v>
      </c>
      <c r="O425" s="50">
        <f t="shared" si="218"/>
        <v>0</v>
      </c>
      <c r="P425" s="50">
        <f t="shared" ref="P425:U425" si="219">P424</f>
        <v>0</v>
      </c>
      <c r="Q425" s="50">
        <f t="shared" si="219"/>
        <v>0</v>
      </c>
      <c r="R425" s="50">
        <f t="shared" si="219"/>
        <v>0</v>
      </c>
      <c r="S425" s="115">
        <f t="shared" si="219"/>
        <v>0</v>
      </c>
      <c r="T425" s="115">
        <f t="shared" si="219"/>
        <v>0</v>
      </c>
      <c r="U425" s="115">
        <f t="shared" si="219"/>
        <v>0</v>
      </c>
      <c r="V425" s="115">
        <v>0</v>
      </c>
      <c r="W425" s="115">
        <v>0</v>
      </c>
      <c r="X425" s="115">
        <v>0</v>
      </c>
      <c r="Y425" s="115">
        <v>0</v>
      </c>
      <c r="Z425" s="126">
        <f t="shared" ref="Z425:AF425" si="220">Z424</f>
        <v>0</v>
      </c>
      <c r="AA425" s="126">
        <f t="shared" si="220"/>
        <v>0</v>
      </c>
      <c r="AB425" s="126">
        <f t="shared" si="220"/>
        <v>0</v>
      </c>
      <c r="AC425" s="126">
        <f t="shared" si="220"/>
        <v>0</v>
      </c>
      <c r="AD425" s="126">
        <f t="shared" si="220"/>
        <v>0</v>
      </c>
      <c r="AE425" s="126">
        <f t="shared" si="220"/>
        <v>0</v>
      </c>
      <c r="AF425" s="126">
        <f t="shared" si="220"/>
        <v>0</v>
      </c>
      <c r="AG425" s="23">
        <f t="shared" si="213"/>
        <v>30637.250000000004</v>
      </c>
      <c r="AH425" s="28" t="str">
        <f t="shared" si="214"/>
        <v>ok</v>
      </c>
    </row>
    <row r="426" spans="1:37" x14ac:dyDescent="0.25">
      <c r="A426" s="14" t="s">
        <v>901</v>
      </c>
      <c r="C426" s="14" t="s">
        <v>564</v>
      </c>
      <c r="E426" s="50">
        <v>30637.250000000004</v>
      </c>
      <c r="F426" s="35">
        <f>F424</f>
        <v>24524.666666666668</v>
      </c>
      <c r="G426" s="35">
        <f>G424</f>
        <v>4844.166666666667</v>
      </c>
      <c r="H426" s="35">
        <f>H424</f>
        <v>514.66666666666663</v>
      </c>
      <c r="I426" s="35">
        <f>I424</f>
        <v>646.33333333333337</v>
      </c>
      <c r="J426" s="35">
        <v>0</v>
      </c>
      <c r="K426" s="35">
        <f>K424</f>
        <v>1</v>
      </c>
      <c r="L426" s="35">
        <f t="shared" ref="L426:R426" si="221">L424</f>
        <v>106.41666666666667</v>
      </c>
      <c r="M426" s="46">
        <f>M424/45</f>
        <v>0</v>
      </c>
      <c r="N426" s="35">
        <f t="shared" si="221"/>
        <v>0</v>
      </c>
      <c r="O426" s="35">
        <f t="shared" si="221"/>
        <v>0</v>
      </c>
      <c r="P426" s="35">
        <f>P424/45</f>
        <v>0</v>
      </c>
      <c r="Q426" s="35">
        <f t="shared" si="221"/>
        <v>0</v>
      </c>
      <c r="R426" s="35">
        <f t="shared" si="221"/>
        <v>0</v>
      </c>
      <c r="S426" s="115">
        <f>S424</f>
        <v>0</v>
      </c>
      <c r="T426" s="115">
        <f>T424</f>
        <v>0</v>
      </c>
      <c r="U426" s="115">
        <f>U424</f>
        <v>0</v>
      </c>
      <c r="V426" s="115">
        <v>0</v>
      </c>
      <c r="W426" s="115">
        <v>0</v>
      </c>
      <c r="X426" s="115">
        <v>0</v>
      </c>
      <c r="Y426" s="115">
        <v>0</v>
      </c>
      <c r="Z426" s="126">
        <f t="shared" ref="Z426:AF426" si="222">Z424</f>
        <v>0</v>
      </c>
      <c r="AA426" s="126">
        <f t="shared" si="222"/>
        <v>0</v>
      </c>
      <c r="AB426" s="126">
        <f t="shared" si="222"/>
        <v>0</v>
      </c>
      <c r="AC426" s="126">
        <f t="shared" si="222"/>
        <v>0</v>
      </c>
      <c r="AD426" s="126">
        <f t="shared" si="222"/>
        <v>0</v>
      </c>
      <c r="AE426" s="126">
        <f t="shared" si="222"/>
        <v>0</v>
      </c>
      <c r="AF426" s="126">
        <f t="shared" si="222"/>
        <v>0</v>
      </c>
      <c r="AG426" s="50">
        <f>SUM(F426:AF426)</f>
        <v>30637.250000000004</v>
      </c>
      <c r="AH426" s="28" t="str">
        <f>IF(ABS(E426-AG426)&lt;0.01,"ok","err")</f>
        <v>ok</v>
      </c>
      <c r="AK426" s="50"/>
    </row>
    <row r="427" spans="1:37" x14ac:dyDescent="0.25">
      <c r="A427" s="14" t="s">
        <v>754</v>
      </c>
      <c r="C427" s="14" t="s">
        <v>565</v>
      </c>
      <c r="E427" s="200">
        <v>1</v>
      </c>
      <c r="F427" s="50">
        <v>0</v>
      </c>
      <c r="G427" s="50">
        <v>0</v>
      </c>
      <c r="H427" s="23">
        <v>0</v>
      </c>
      <c r="I427" s="23">
        <v>0</v>
      </c>
      <c r="J427" s="50">
        <v>0</v>
      </c>
      <c r="K427" s="50">
        <v>0</v>
      </c>
      <c r="L427" s="200">
        <v>1</v>
      </c>
      <c r="M427" s="23">
        <v>0</v>
      </c>
      <c r="N427" s="23">
        <v>0</v>
      </c>
      <c r="O427" s="23">
        <v>0</v>
      </c>
      <c r="P427" s="23">
        <f>'Billing Det'!C18</f>
        <v>0</v>
      </c>
      <c r="Q427" s="23">
        <v>0</v>
      </c>
      <c r="R427" s="23">
        <v>0</v>
      </c>
      <c r="S427" s="115">
        <v>0</v>
      </c>
      <c r="T427" s="115">
        <v>0</v>
      </c>
      <c r="U427" s="115">
        <v>0</v>
      </c>
      <c r="V427" s="115">
        <v>0</v>
      </c>
      <c r="W427" s="115">
        <v>0</v>
      </c>
      <c r="X427" s="115">
        <v>0</v>
      </c>
      <c r="Y427" s="115">
        <v>0</v>
      </c>
      <c r="Z427" s="126"/>
      <c r="AA427" s="126"/>
      <c r="AB427" s="126"/>
      <c r="AC427" s="126"/>
      <c r="AD427" s="126"/>
      <c r="AE427" s="126"/>
      <c r="AF427" s="126"/>
      <c r="AG427" s="200">
        <f t="shared" si="213"/>
        <v>1</v>
      </c>
      <c r="AH427" s="28" t="str">
        <f>IF(ABS(E427-AG427)&lt;0.01,"ok","err")</f>
        <v>ok</v>
      </c>
    </row>
    <row r="428" spans="1:37" x14ac:dyDescent="0.25">
      <c r="A428" s="14" t="s">
        <v>1176</v>
      </c>
      <c r="C428" s="14" t="s">
        <v>617</v>
      </c>
      <c r="E428" s="50">
        <v>30530.833333333336</v>
      </c>
      <c r="F428" s="35">
        <f>F426</f>
        <v>24524.666666666668</v>
      </c>
      <c r="G428" s="35">
        <f>G426</f>
        <v>4844.166666666667</v>
      </c>
      <c r="H428" s="35">
        <f t="shared" ref="H428:M428" si="223">H426</f>
        <v>514.66666666666663</v>
      </c>
      <c r="I428" s="35">
        <f t="shared" si="223"/>
        <v>646.33333333333337</v>
      </c>
      <c r="J428" s="35">
        <f t="shared" si="223"/>
        <v>0</v>
      </c>
      <c r="K428" s="35">
        <f t="shared" si="223"/>
        <v>1</v>
      </c>
      <c r="L428" s="35">
        <v>0</v>
      </c>
      <c r="M428" s="35">
        <f t="shared" si="223"/>
        <v>0</v>
      </c>
      <c r="N428" s="50">
        <f>N423/12*2.11</f>
        <v>0</v>
      </c>
      <c r="O428" s="50">
        <f>O423/12*0.17+O423/12*0.83*2.11</f>
        <v>0</v>
      </c>
      <c r="P428" s="35">
        <f>P426</f>
        <v>0</v>
      </c>
      <c r="Q428" s="50">
        <f>Q423/12*2.11</f>
        <v>0</v>
      </c>
      <c r="R428" s="50">
        <f>R423/12*2.11</f>
        <v>0</v>
      </c>
      <c r="S428" s="50">
        <f>S426</f>
        <v>0</v>
      </c>
      <c r="T428" s="50">
        <f>T426</f>
        <v>0</v>
      </c>
      <c r="U428" s="50">
        <f>U426</f>
        <v>0</v>
      </c>
      <c r="V428" s="50">
        <v>0</v>
      </c>
      <c r="W428" s="50">
        <v>0</v>
      </c>
      <c r="X428" s="50">
        <v>0</v>
      </c>
      <c r="Y428" s="50">
        <v>0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0</v>
      </c>
      <c r="AG428" s="50">
        <f t="shared" si="213"/>
        <v>30530.833333333336</v>
      </c>
      <c r="AH428" s="28" t="str">
        <f t="shared" si="214"/>
        <v>ok</v>
      </c>
      <c r="AK428" s="50"/>
    </row>
    <row r="429" spans="1:37" x14ac:dyDescent="0.25">
      <c r="A429" s="14" t="s">
        <v>470</v>
      </c>
      <c r="C429" s="14" t="s">
        <v>618</v>
      </c>
      <c r="E429" s="50">
        <f>E426</f>
        <v>30637.250000000004</v>
      </c>
      <c r="F429" s="50">
        <f t="shared" ref="F429:L429" si="224">F426</f>
        <v>24524.666666666668</v>
      </c>
      <c r="G429" s="50">
        <f t="shared" si="224"/>
        <v>4844.166666666667</v>
      </c>
      <c r="H429" s="50">
        <f t="shared" si="224"/>
        <v>514.66666666666663</v>
      </c>
      <c r="I429" s="50">
        <f t="shared" si="224"/>
        <v>646.33333333333337</v>
      </c>
      <c r="J429" s="50">
        <f t="shared" si="224"/>
        <v>0</v>
      </c>
      <c r="K429" s="50">
        <f t="shared" si="224"/>
        <v>1</v>
      </c>
      <c r="L429" s="50">
        <f t="shared" si="224"/>
        <v>106.41666666666667</v>
      </c>
      <c r="M429" s="35">
        <f t="shared" ref="M429:Q429" si="225">M425</f>
        <v>0</v>
      </c>
      <c r="N429" s="35">
        <f t="shared" si="225"/>
        <v>0</v>
      </c>
      <c r="O429" s="35">
        <f t="shared" si="225"/>
        <v>0</v>
      </c>
      <c r="P429" s="35">
        <f t="shared" si="225"/>
        <v>0</v>
      </c>
      <c r="Q429" s="35">
        <f t="shared" si="225"/>
        <v>0</v>
      </c>
      <c r="R429" s="35">
        <f>R425</f>
        <v>0</v>
      </c>
      <c r="S429" s="115">
        <f>S425</f>
        <v>0</v>
      </c>
      <c r="T429" s="115">
        <v>0</v>
      </c>
      <c r="U429" s="115">
        <v>0</v>
      </c>
      <c r="V429" s="115">
        <v>0</v>
      </c>
      <c r="W429" s="115">
        <v>0</v>
      </c>
      <c r="X429" s="115">
        <v>0</v>
      </c>
      <c r="Y429" s="115">
        <v>0</v>
      </c>
      <c r="Z429" s="126"/>
      <c r="AA429" s="126"/>
      <c r="AB429" s="126"/>
      <c r="AC429" s="126"/>
      <c r="AD429" s="126"/>
      <c r="AE429" s="126"/>
      <c r="AF429" s="126"/>
      <c r="AG429" s="23">
        <f t="shared" si="213"/>
        <v>30637.250000000004</v>
      </c>
      <c r="AH429" s="28" t="str">
        <f>IF(ABS(E427-AG427)&lt;0.01,"ok","err")</f>
        <v>ok</v>
      </c>
    </row>
    <row r="431" spans="1:37" x14ac:dyDescent="0.25">
      <c r="A431" s="14" t="s">
        <v>691</v>
      </c>
      <c r="C431" s="14" t="s">
        <v>950</v>
      </c>
      <c r="E431" s="23">
        <f>'Billing Det'!$K$25</f>
        <v>974725.00100380287</v>
      </c>
      <c r="F431" s="50">
        <f>'Billing Det'!$K$8</f>
        <v>581061.08356775052</v>
      </c>
      <c r="G431" s="50">
        <f>'Billing Det'!$K$9</f>
        <v>57542.344369147977</v>
      </c>
      <c r="H431" s="23">
        <f>'Billing Det'!$K$10</f>
        <v>16511.52179631601</v>
      </c>
      <c r="I431" s="23">
        <f>'Billing Det'!$K$11</f>
        <v>258422.0066802144</v>
      </c>
      <c r="J431" s="23">
        <f>'Billing Det'!$K$12</f>
        <v>20568.66</v>
      </c>
      <c r="K431" s="23">
        <f>'Billing Det'!$K$13</f>
        <v>31637.759999999998</v>
      </c>
      <c r="L431" s="50">
        <f>'Billing Det'!$K$14</f>
        <v>8981.6245903737836</v>
      </c>
      <c r="M431" s="23">
        <f>'Billing Det'!$K$15</f>
        <v>0</v>
      </c>
      <c r="N431" s="23">
        <f>'Billing Det'!$K$16</f>
        <v>0</v>
      </c>
      <c r="O431" s="23">
        <f>'Billing Det'!$K$17</f>
        <v>0</v>
      </c>
      <c r="P431" s="23">
        <f>'Billing Det'!$K$18</f>
        <v>0</v>
      </c>
      <c r="Q431" s="23">
        <f>'Billing Det'!$K$19</f>
        <v>0</v>
      </c>
      <c r="R431" s="23">
        <f>'Billing Det'!$K$20</f>
        <v>0</v>
      </c>
      <c r="S431" s="115">
        <f>'Billing Det'!$K$21</f>
        <v>0</v>
      </c>
      <c r="T431" s="115">
        <f>'Billing Det'!$K$22</f>
        <v>0</v>
      </c>
      <c r="U431" s="115">
        <f>'Billing Det'!$K$23</f>
        <v>0</v>
      </c>
      <c r="V431" s="115">
        <v>0</v>
      </c>
      <c r="W431" s="115">
        <v>0</v>
      </c>
      <c r="X431" s="115">
        <v>0</v>
      </c>
      <c r="Y431" s="115">
        <v>0</v>
      </c>
      <c r="Z431" s="115">
        <v>0</v>
      </c>
      <c r="AA431" s="115">
        <v>0</v>
      </c>
      <c r="AB431" s="115">
        <v>0</v>
      </c>
      <c r="AC431" s="115">
        <v>0</v>
      </c>
      <c r="AD431" s="115">
        <v>0</v>
      </c>
      <c r="AE431" s="115"/>
      <c r="AF431" s="115"/>
      <c r="AG431" s="91">
        <f>SUM(F431:AF431)</f>
        <v>974725.00100380287</v>
      </c>
      <c r="AH431" s="28" t="str">
        <f>IF(ABS(E431-AG431)&lt;0.01,"ok","err")</f>
        <v>ok</v>
      </c>
    </row>
    <row r="432" spans="1:37" x14ac:dyDescent="0.25">
      <c r="A432" s="14" t="s">
        <v>692</v>
      </c>
      <c r="C432" s="14" t="s">
        <v>951</v>
      </c>
      <c r="E432" s="23">
        <f>'Billing Det'!$J$25</f>
        <v>394410.0000932854</v>
      </c>
      <c r="F432" s="50">
        <f>'Billing Det'!$J$8</f>
        <v>261980.47317680425</v>
      </c>
      <c r="G432" s="50">
        <f>'Billing Det'!$J$9</f>
        <v>24939.293453062975</v>
      </c>
      <c r="H432" s="23">
        <f>'Billing Det'!$J$10</f>
        <v>6943.6605281106822</v>
      </c>
      <c r="I432" s="23">
        <f>'Billing Det'!$J$11</f>
        <v>80736.992935307469</v>
      </c>
      <c r="J432" s="23">
        <f>'Billing Det'!$J$12</f>
        <v>8655.7799999999988</v>
      </c>
      <c r="K432" s="23">
        <f>'Billing Det'!$J$13</f>
        <v>11153.8</v>
      </c>
      <c r="L432" s="50">
        <f>'Billing Det'!$J$14</f>
        <v>0</v>
      </c>
      <c r="M432" s="23">
        <f>'Billing Det'!$J$15</f>
        <v>0</v>
      </c>
      <c r="N432" s="23">
        <f>'Billing Det'!$J$16</f>
        <v>0</v>
      </c>
      <c r="O432" s="23">
        <f>'Billing Det'!$J$17</f>
        <v>0</v>
      </c>
      <c r="P432" s="23">
        <f>'Billing Det'!$J$18</f>
        <v>0</v>
      </c>
      <c r="Q432" s="23">
        <f>'Billing Det'!$J$19</f>
        <v>0</v>
      </c>
      <c r="R432" s="23">
        <f>'Billing Det'!$J$20</f>
        <v>0</v>
      </c>
      <c r="S432" s="115">
        <f>'Billing Det'!$J$21</f>
        <v>0</v>
      </c>
      <c r="T432" s="115">
        <f>'Billing Det'!$J$22</f>
        <v>0</v>
      </c>
      <c r="U432" s="115">
        <f>'Billing Det'!$J$23</f>
        <v>0</v>
      </c>
      <c r="V432" s="115">
        <v>0</v>
      </c>
      <c r="W432" s="115">
        <v>0</v>
      </c>
      <c r="X432" s="115">
        <v>0</v>
      </c>
      <c r="Y432" s="115">
        <v>0</v>
      </c>
      <c r="Z432" s="115">
        <v>0</v>
      </c>
      <c r="AA432" s="115">
        <v>0</v>
      </c>
      <c r="AB432" s="115">
        <v>0</v>
      </c>
      <c r="AC432" s="115">
        <v>0</v>
      </c>
      <c r="AD432" s="115">
        <v>0</v>
      </c>
      <c r="AE432" s="115"/>
      <c r="AF432" s="115"/>
      <c r="AG432" s="91">
        <f>SUM(F432:AF432)</f>
        <v>394410.0000932854</v>
      </c>
      <c r="AH432" s="28" t="str">
        <f>IF(ABS(E432-AG432)&lt;0.01,"ok","err")</f>
        <v>ok</v>
      </c>
    </row>
    <row r="433" spans="1:37" x14ac:dyDescent="0.25">
      <c r="A433" s="14" t="s">
        <v>890</v>
      </c>
      <c r="C433" s="14" t="s">
        <v>949</v>
      </c>
      <c r="E433" s="23">
        <f>'Billing Det'!$I$25</f>
        <v>1369135.001097088</v>
      </c>
      <c r="F433" s="50">
        <f>'Billing Det'!$I$8</f>
        <v>843041.55674455478</v>
      </c>
      <c r="G433" s="50">
        <f>'Billing Det'!$I$9</f>
        <v>82481.637822210949</v>
      </c>
      <c r="H433" s="23">
        <f>'Billing Det'!$I$10</f>
        <v>23455.182324426693</v>
      </c>
      <c r="I433" s="23">
        <f>'Billing Det'!$I$11</f>
        <v>339158.99961552187</v>
      </c>
      <c r="J433" s="23">
        <f>'Billing Det'!$I$12</f>
        <v>29224.44</v>
      </c>
      <c r="K433" s="23">
        <f>'Billing Det'!$I$13</f>
        <v>42791.56</v>
      </c>
      <c r="L433" s="50">
        <f>'Billing Det'!$I$14</f>
        <v>8981.6245903737836</v>
      </c>
      <c r="M433" s="23">
        <f>'Billing Det'!$I$15</f>
        <v>0</v>
      </c>
      <c r="N433" s="23">
        <f>'Billing Det'!$I$16</f>
        <v>0</v>
      </c>
      <c r="O433" s="23">
        <f>'Billing Det'!$I$17</f>
        <v>0</v>
      </c>
      <c r="P433" s="23">
        <f>'Billing Det'!$I$18</f>
        <v>0</v>
      </c>
      <c r="Q433" s="23">
        <f>'Billing Det'!$I$19</f>
        <v>0</v>
      </c>
      <c r="R433" s="23">
        <f>'Billing Det'!$I$20</f>
        <v>0</v>
      </c>
      <c r="S433" s="115">
        <f>'Billing Det'!$I$21</f>
        <v>0</v>
      </c>
      <c r="T433" s="115">
        <f>'Billing Det'!$I$22</f>
        <v>0</v>
      </c>
      <c r="U433" s="115">
        <f>'Billing Det'!$I$23</f>
        <v>0</v>
      </c>
      <c r="V433" s="115">
        <v>0</v>
      </c>
      <c r="W433" s="115">
        <v>0</v>
      </c>
      <c r="X433" s="115">
        <v>0</v>
      </c>
      <c r="Y433" s="115">
        <v>0</v>
      </c>
      <c r="Z433" s="115">
        <v>0</v>
      </c>
      <c r="AA433" s="115">
        <v>0</v>
      </c>
      <c r="AB433" s="115">
        <v>0</v>
      </c>
      <c r="AC433" s="115">
        <v>0</v>
      </c>
      <c r="AD433" s="115">
        <v>0</v>
      </c>
      <c r="AE433" s="115"/>
      <c r="AF433" s="115"/>
      <c r="AG433" s="91">
        <f>SUM(F433:AF433)</f>
        <v>1369135.001097088</v>
      </c>
      <c r="AH433" s="28" t="str">
        <f>IF(ABS(E433-AG433)&lt;0.01,"ok","err")</f>
        <v>ok</v>
      </c>
    </row>
    <row r="434" spans="1:37" x14ac:dyDescent="0.25">
      <c r="A434" s="14" t="s">
        <v>693</v>
      </c>
      <c r="C434" s="14" t="s">
        <v>566</v>
      </c>
      <c r="E434" s="23">
        <f>'Billing Det'!$H$25</f>
        <v>203435.96590176495</v>
      </c>
      <c r="F434" s="50">
        <f>'Billing Det'!$H$8</f>
        <v>122168.29574159505</v>
      </c>
      <c r="G434" s="50">
        <f>'Billing Det'!$H$9</f>
        <v>12551.002561883517</v>
      </c>
      <c r="H434" s="23">
        <f>'Billing Det'!$H$10</f>
        <v>4141.5023225761524</v>
      </c>
      <c r="I434" s="23">
        <f>'Billing Det'!$H$11</f>
        <v>51428.850989995924</v>
      </c>
      <c r="J434" s="23">
        <f>'Billing Det'!$H$12</f>
        <v>6073.6</v>
      </c>
      <c r="K434" s="23">
        <f>'Billing Det'!$H$13</f>
        <v>5480</v>
      </c>
      <c r="L434" s="50">
        <f>'Billing Det'!$H$14</f>
        <v>1592.7142857142858</v>
      </c>
      <c r="M434" s="23">
        <f>'Billing Det'!$H$15</f>
        <v>0</v>
      </c>
      <c r="N434" s="23">
        <f>'Billing Det'!$H$16</f>
        <v>0</v>
      </c>
      <c r="O434" s="23">
        <f>'Billing Det'!$H$17</f>
        <v>0</v>
      </c>
      <c r="P434" s="23">
        <f>'Billing Det'!$H$18</f>
        <v>0</v>
      </c>
      <c r="Q434" s="23">
        <f>'Billing Det'!$H$19</f>
        <v>0</v>
      </c>
      <c r="R434" s="23">
        <f>'Billing Det'!$H$20</f>
        <v>0</v>
      </c>
      <c r="S434" s="115">
        <f>'Billing Det'!$H$21</f>
        <v>0</v>
      </c>
      <c r="T434" s="115">
        <f>'Billing Det'!$H$22</f>
        <v>0</v>
      </c>
      <c r="U434" s="115">
        <f>'Billing Det'!$H$23</f>
        <v>0</v>
      </c>
      <c r="V434" s="115">
        <v>0</v>
      </c>
      <c r="W434" s="115">
        <v>0</v>
      </c>
      <c r="X434" s="115">
        <v>0</v>
      </c>
      <c r="Y434" s="115">
        <v>0</v>
      </c>
      <c r="Z434" s="115">
        <v>0</v>
      </c>
      <c r="AA434" s="115">
        <v>0</v>
      </c>
      <c r="AB434" s="115">
        <v>0</v>
      </c>
      <c r="AC434" s="115">
        <v>0</v>
      </c>
      <c r="AD434" s="115">
        <v>0</v>
      </c>
      <c r="AE434" s="115"/>
      <c r="AF434" s="115"/>
      <c r="AG434" s="91">
        <f>SUM(F434:AF434)</f>
        <v>203435.96590176495</v>
      </c>
      <c r="AH434" s="28" t="str">
        <f>IF(ABS(E434-AG434)&lt;0.01,"ok","err")</f>
        <v>ok</v>
      </c>
    </row>
    <row r="435" spans="1:37" x14ac:dyDescent="0.25">
      <c r="A435" s="14" t="s">
        <v>745</v>
      </c>
      <c r="C435" s="14" t="s">
        <v>891</v>
      </c>
      <c r="E435" s="23">
        <f>'Billing Det'!$F$25</f>
        <v>3303336.9121738835</v>
      </c>
      <c r="F435" s="50">
        <f>'Billing Det'!$F$8</f>
        <v>2502600.7553550093</v>
      </c>
      <c r="G435" s="50">
        <f>'Billing Det'!$F$9</f>
        <v>64338.606106124353</v>
      </c>
      <c r="H435" s="23">
        <f>'Billing Det'!$F$10</f>
        <v>48801.795889400921</v>
      </c>
      <c r="I435" s="23">
        <f>'Billing Det'!$F$11</f>
        <v>567210.91500000004</v>
      </c>
      <c r="J435" s="23">
        <f>'Billing Det'!$F$12</f>
        <v>41749.199999999997</v>
      </c>
      <c r="K435" s="23">
        <f>'Billing Det'!$F$13</f>
        <v>61130.8</v>
      </c>
      <c r="L435" s="50">
        <f>'Billing Det'!$F$14</f>
        <v>17504.839823348695</v>
      </c>
      <c r="M435" s="23">
        <f>'Billing Det'!$F$15</f>
        <v>0</v>
      </c>
      <c r="N435" s="23">
        <f>'Billing Det'!$F$16</f>
        <v>0</v>
      </c>
      <c r="O435" s="23">
        <f>'Billing Det'!$F$17</f>
        <v>0</v>
      </c>
      <c r="P435" s="23">
        <f>'Billing Det'!$F$18</f>
        <v>0</v>
      </c>
      <c r="Q435" s="23">
        <f>'Billing Det'!$F$19</f>
        <v>0</v>
      </c>
      <c r="R435" s="23">
        <f>'Billing Det'!$F$20</f>
        <v>0</v>
      </c>
      <c r="S435" s="115">
        <f>'Billing Det'!$F$21</f>
        <v>0</v>
      </c>
      <c r="T435" s="115">
        <f>'Billing Det'!$F$22</f>
        <v>0</v>
      </c>
      <c r="U435" s="115">
        <f>'Billing Det'!$F$23</f>
        <v>0</v>
      </c>
      <c r="V435" s="115">
        <v>0</v>
      </c>
      <c r="W435" s="115">
        <v>0</v>
      </c>
      <c r="X435" s="115">
        <v>0</v>
      </c>
      <c r="Y435" s="115">
        <v>0</v>
      </c>
      <c r="Z435" s="115">
        <v>0</v>
      </c>
      <c r="AA435" s="115">
        <v>0</v>
      </c>
      <c r="AB435" s="115">
        <v>0</v>
      </c>
      <c r="AC435" s="115">
        <v>0</v>
      </c>
      <c r="AD435" s="115">
        <v>0</v>
      </c>
      <c r="AE435" s="115"/>
      <c r="AF435" s="115"/>
      <c r="AG435" s="91">
        <f>SUM(F435:AF435)</f>
        <v>3303336.9121738835</v>
      </c>
      <c r="AH435" s="28" t="str">
        <f>IF(ABS(E435-AG435)&lt;0.01,"ok","err")</f>
        <v>ok</v>
      </c>
    </row>
    <row r="436" spans="1:37" x14ac:dyDescent="0.25">
      <c r="AK436" s="50"/>
    </row>
    <row r="437" spans="1:37" x14ac:dyDescent="0.25">
      <c r="A437" s="26" t="s">
        <v>902</v>
      </c>
    </row>
    <row r="438" spans="1:37" x14ac:dyDescent="0.25">
      <c r="E438" s="23"/>
      <c r="F438" s="50"/>
      <c r="G438" s="50"/>
      <c r="H438" s="23"/>
      <c r="I438" s="23"/>
      <c r="J438" s="23"/>
      <c r="K438" s="23"/>
      <c r="L438" s="50"/>
      <c r="M438" s="23"/>
      <c r="N438" s="23"/>
      <c r="O438" s="23"/>
      <c r="P438" s="23"/>
      <c r="Q438" s="23"/>
      <c r="R438" s="23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23"/>
      <c r="AH438" s="28"/>
    </row>
    <row r="439" spans="1:37" x14ac:dyDescent="0.25">
      <c r="A439" s="14" t="s">
        <v>598</v>
      </c>
      <c r="C439" s="14" t="s">
        <v>599</v>
      </c>
      <c r="E439" s="23">
        <v>1369135.001097088</v>
      </c>
      <c r="F439" s="50">
        <f>F433</f>
        <v>843041.55674455478</v>
      </c>
      <c r="G439" s="50">
        <f t="shared" ref="G439:S439" si="226">G433</f>
        <v>82481.637822210949</v>
      </c>
      <c r="H439" s="23">
        <f t="shared" si="226"/>
        <v>23455.182324426693</v>
      </c>
      <c r="I439" s="23">
        <f t="shared" si="226"/>
        <v>339158.99961552187</v>
      </c>
      <c r="J439" s="23">
        <f t="shared" si="226"/>
        <v>29224.44</v>
      </c>
      <c r="K439" s="23">
        <f t="shared" si="226"/>
        <v>42791.56</v>
      </c>
      <c r="L439" s="23">
        <f t="shared" si="226"/>
        <v>8981.6245903737836</v>
      </c>
      <c r="M439" s="23">
        <f t="shared" si="226"/>
        <v>0</v>
      </c>
      <c r="N439" s="23">
        <f t="shared" si="226"/>
        <v>0</v>
      </c>
      <c r="O439" s="23">
        <f t="shared" si="226"/>
        <v>0</v>
      </c>
      <c r="P439" s="23">
        <f t="shared" si="226"/>
        <v>0</v>
      </c>
      <c r="Q439" s="23">
        <f t="shared" si="226"/>
        <v>0</v>
      </c>
      <c r="R439" s="23">
        <f t="shared" si="226"/>
        <v>0</v>
      </c>
      <c r="S439" s="115">
        <f t="shared" si="226"/>
        <v>0</v>
      </c>
      <c r="T439" s="115">
        <f t="shared" ref="T439:AF439" si="227">T434</f>
        <v>0</v>
      </c>
      <c r="U439" s="115">
        <f t="shared" si="227"/>
        <v>0</v>
      </c>
      <c r="V439" s="115">
        <f t="shared" si="227"/>
        <v>0</v>
      </c>
      <c r="W439" s="115">
        <f t="shared" si="227"/>
        <v>0</v>
      </c>
      <c r="X439" s="115">
        <f t="shared" si="227"/>
        <v>0</v>
      </c>
      <c r="Y439" s="115">
        <f t="shared" si="227"/>
        <v>0</v>
      </c>
      <c r="Z439" s="115">
        <f t="shared" si="227"/>
        <v>0</v>
      </c>
      <c r="AA439" s="115">
        <f t="shared" si="227"/>
        <v>0</v>
      </c>
      <c r="AB439" s="115">
        <f t="shared" si="227"/>
        <v>0</v>
      </c>
      <c r="AC439" s="115">
        <f t="shared" si="227"/>
        <v>0</v>
      </c>
      <c r="AD439" s="115">
        <f t="shared" si="227"/>
        <v>0</v>
      </c>
      <c r="AE439" s="115">
        <f t="shared" si="227"/>
        <v>0</v>
      </c>
      <c r="AF439" s="115">
        <f t="shared" si="227"/>
        <v>0</v>
      </c>
      <c r="AG439" s="23">
        <f>SUM(F439:AF439)</f>
        <v>1369135.001097088</v>
      </c>
      <c r="AH439" s="28" t="str">
        <f t="shared" ref="AH439:AH444" si="228">IF(ABS(E439-AG439)&lt;0.01,"ok","err")</f>
        <v>ok</v>
      </c>
    </row>
    <row r="440" spans="1:37" x14ac:dyDescent="0.25">
      <c r="A440" s="14" t="s">
        <v>597</v>
      </c>
      <c r="E440" s="91">
        <f>'Func &amp; Classif'!K35</f>
        <v>0</v>
      </c>
      <c r="AG440" s="91">
        <f>E440</f>
        <v>0</v>
      </c>
      <c r="AH440" s="28" t="str">
        <f t="shared" si="228"/>
        <v>ok</v>
      </c>
    </row>
    <row r="441" spans="1:37" x14ac:dyDescent="0.25">
      <c r="A441" s="14" t="s">
        <v>595</v>
      </c>
      <c r="E441" s="67"/>
      <c r="M441" s="23">
        <v>0</v>
      </c>
      <c r="N441" s="23">
        <v>0</v>
      </c>
      <c r="O441" s="23"/>
      <c r="P441" s="23"/>
      <c r="AG441" s="91">
        <f>SUM(F441:AF441)</f>
        <v>0</v>
      </c>
      <c r="AH441" s="28" t="str">
        <f t="shared" si="228"/>
        <v>ok</v>
      </c>
    </row>
    <row r="442" spans="1:37" x14ac:dyDescent="0.25">
      <c r="A442" s="14" t="s">
        <v>596</v>
      </c>
      <c r="D442" s="14" t="s">
        <v>599</v>
      </c>
      <c r="E442" s="91">
        <f>E440-E441</f>
        <v>0</v>
      </c>
      <c r="F442" s="67">
        <f>IF(VLOOKUP($D442,$C$5:$AU$518,3,)=0,0,(VLOOKUP($D442,$C$5:$AU$518,4,)/VLOOKUP($D442,$C$5:$AU$518,3,))*$E442)</f>
        <v>0</v>
      </c>
      <c r="G442" s="67">
        <f>IF(VLOOKUP($D442,$C$5:$AU$518,3,)=0,0,(VLOOKUP($D442,$C$5:$AU$518,5,)/VLOOKUP($D442,$C$5:$AU$518,3,))*$E442)</f>
        <v>0</v>
      </c>
      <c r="H442" s="42">
        <f>IF(VLOOKUP($D442,$C$5:$AU$518,3,)=0,0,(VLOOKUP($D442,$C$5:$AU$518,6,)/VLOOKUP($D442,$C$5:$AU$518,3,))*$E442)</f>
        <v>0</v>
      </c>
      <c r="I442" s="42">
        <f>IF(VLOOKUP($D442,$C$5:$AU$518,3,)=0,0,(VLOOKUP($D442,$C$5:$AU$518,7,)/VLOOKUP($D442,$C$5:$AU$518,3,))*$E442)</f>
        <v>0</v>
      </c>
      <c r="J442" s="42">
        <f>IF(VLOOKUP($D442,$C$5:$AU$518,3,)=0,0,(VLOOKUP($D442,$C$5:$AU$518,8,)/VLOOKUP($D442,$C$5:$AU$518,3,))*$E442)</f>
        <v>0</v>
      </c>
      <c r="K442" s="42">
        <f>IF(VLOOKUP($D442,$C$5:$AU$518,3,)=0,0,(VLOOKUP($D442,$C$5:$AU$518,9,)/VLOOKUP($D442,$C$5:$AU$518,3,))*$E442)</f>
        <v>0</v>
      </c>
      <c r="L442" s="67">
        <f>IF(VLOOKUP($D442,$C$5:$AU$518,3,)=0,0,(VLOOKUP($D442,$C$5:$AU$518,10,)/VLOOKUP($D442,$C$5:$AU$518,3,))*$E442)</f>
        <v>0</v>
      </c>
      <c r="M442" s="42">
        <f>IF(VLOOKUP($D442,$C$5:$AU$518,3,)=0,0,(VLOOKUP($D442,$C$5:$AU$518,11,)/VLOOKUP($D442,$C$5:$AU$518,3,))*$E442)</f>
        <v>0</v>
      </c>
      <c r="N442" s="42">
        <f>IF(VLOOKUP($D442,$C$5:$AU$518,3,)=0,0,(VLOOKUP($D442,$C$5:$AU$518,12,)/VLOOKUP($D442,$C$5:$AU$518,3,))*$E442)</f>
        <v>0</v>
      </c>
      <c r="O442" s="42">
        <f>IF(VLOOKUP($D442,$C$5:$AU$518,3,)=0,0,(VLOOKUP($D442,$C$5:$AU$518,13,)/VLOOKUP($D442,$C$5:$AU$518,3,))*$E442)</f>
        <v>0</v>
      </c>
      <c r="P442" s="42">
        <f>IF(VLOOKUP($D442,$C$5:$AU$518,3,)=0,0,(VLOOKUP($D442,$C$5:$AU$518,14,)/VLOOKUP($D442,$C$5:$AU$518,3,))*$E442)</f>
        <v>0</v>
      </c>
      <c r="Q442" s="42">
        <f>IF(VLOOKUP($D442,$C$5:$AU$518,3,)=0,0,(VLOOKUP($D442,$C$5:$AU$518,15,)/VLOOKUP($D442,$C$5:$AU$518,3,))*$E442)</f>
        <v>0</v>
      </c>
      <c r="R442" s="42">
        <f>IF(VLOOKUP($D442,$C$5:$AU$518,3,)=0,0,(VLOOKUP($D442,$C$5:$AU$518,16,)/VLOOKUP($D442,$C$5:$AU$518,3,))*$E442)</f>
        <v>0</v>
      </c>
      <c r="S442" s="107">
        <f>IF(VLOOKUP($D442,$C$5:$AU$518,3,)=0,0,(VLOOKUP($D442,$C$5:$AU$518,17,)/VLOOKUP($D442,$C$5:$AU$518,3,))*$E442)</f>
        <v>0</v>
      </c>
      <c r="T442" s="107">
        <f>IF(VLOOKUP($D442,$C$5:$AU$518,3,)=0,0,(VLOOKUP($D442,$C$5:$AU$518,18,)/VLOOKUP($D442,$C$5:$AU$518,3,))*$E442)</f>
        <v>0</v>
      </c>
      <c r="U442" s="107">
        <f>IF(VLOOKUP($D442,$C$5:$AU$518,3,)=0,0,(VLOOKUP($D442,$C$5:$AU$518,19,)/VLOOKUP($D442,$C$5:$AU$518,3,))*$E442)</f>
        <v>0</v>
      </c>
      <c r="V442" s="107">
        <f>IF(VLOOKUP($D442,$C$5:$AU$518,3,)=0,0,(VLOOKUP($D442,$C$5:$AU$518,20,)/VLOOKUP($D442,$C$5:$AU$518,3,))*$E442)</f>
        <v>0</v>
      </c>
      <c r="W442" s="107">
        <f>IF(VLOOKUP($D442,$C$5:$AU$518,3,)=0,0,(VLOOKUP($D442,$C$5:$AU$518,21,)/VLOOKUP($D442,$C$5:$AU$518,3,))*$E442)</f>
        <v>0</v>
      </c>
      <c r="X442" s="107">
        <f>IF(VLOOKUP($D442,$C$5:$AU$518,3,)=0,0,(VLOOKUP($D442,$C$5:$AU$518,22,)/VLOOKUP($D442,$C$5:$AU$518,3,))*$E442)</f>
        <v>0</v>
      </c>
      <c r="Y442" s="107">
        <f>IF(VLOOKUP($D442,$C$5:$AU$518,3,)=0,0,(VLOOKUP($D442,$C$5:$AU$518,23,)/VLOOKUP($D442,$C$5:$AU$518,3,))*$E442)</f>
        <v>0</v>
      </c>
      <c r="Z442" s="107">
        <f>IF(VLOOKUP($D442,$C$5:$AU$518,3,)=0,0,(VLOOKUP($D442,$C$5:$AU$518,24,)/VLOOKUP($D442,$C$5:$AU$518,3,))*$E442)</f>
        <v>0</v>
      </c>
      <c r="AA442" s="107">
        <f>IF(VLOOKUP($D442,$C$5:$AU$518,3,)=0,0,(VLOOKUP($D442,$C$5:$AU$518,25,)/VLOOKUP($D442,$C$5:$AU$518,3,))*$E442)</f>
        <v>0</v>
      </c>
      <c r="AB442" s="107">
        <f>IF(VLOOKUP($D442,$C$5:$AU$518,3,)=0,0,(VLOOKUP($D442,$C$5:$AU$518,26,)/VLOOKUP($D442,$C$5:$AU$518,3,))*$E442)</f>
        <v>0</v>
      </c>
      <c r="AC442" s="107">
        <f>IF(VLOOKUP($D442,$C$5:$AU$518,3,)=0,0,(VLOOKUP($D442,$C$5:$AU$518,27,)/VLOOKUP($D442,$C$5:$AU$518,3,))*$E442)</f>
        <v>0</v>
      </c>
      <c r="AD442" s="107">
        <f>IF(VLOOKUP($D442,$C$5:$AU$518,3,)=0,0,(VLOOKUP($D442,$C$5:$AU$518,28,)/VLOOKUP($D442,$C$5:$AU$518,3,))*$E442)</f>
        <v>0</v>
      </c>
      <c r="AE442" s="107">
        <f>IF(VLOOKUP($D442,$C$5:$AU$518,3,)=0,0,(VLOOKUP($D442,$C$5:$AU$518,29,)/VLOOKUP($D442,$C$5:$AU$518,3,))*$E442)</f>
        <v>0</v>
      </c>
      <c r="AF442" s="107">
        <f>IF(VLOOKUP($D442,$C$5:$AU$518,3,)=0,0,(VLOOKUP($D442,$C$5:$AU$518,30,)/VLOOKUP($D442,$C$5:$AU$518,3,))*$E442)</f>
        <v>0</v>
      </c>
      <c r="AG442" s="91">
        <f>SUM(F442:AF442)</f>
        <v>0</v>
      </c>
      <c r="AH442" s="28" t="str">
        <f t="shared" si="228"/>
        <v>ok</v>
      </c>
    </row>
    <row r="443" spans="1:37" x14ac:dyDescent="0.25">
      <c r="A443" s="14" t="s">
        <v>601</v>
      </c>
      <c r="C443" s="14" t="s">
        <v>600</v>
      </c>
      <c r="E443" s="91">
        <f>E441+E442</f>
        <v>0</v>
      </c>
      <c r="F443" s="91">
        <f t="shared" ref="F443:U443" si="229">F441+F442</f>
        <v>0</v>
      </c>
      <c r="G443" s="91">
        <f t="shared" si="229"/>
        <v>0</v>
      </c>
      <c r="H443" s="91">
        <f t="shared" si="229"/>
        <v>0</v>
      </c>
      <c r="I443" s="91">
        <f t="shared" si="229"/>
        <v>0</v>
      </c>
      <c r="J443" s="91">
        <f t="shared" si="229"/>
        <v>0</v>
      </c>
      <c r="K443" s="91">
        <f t="shared" si="229"/>
        <v>0</v>
      </c>
      <c r="L443" s="91">
        <f t="shared" si="229"/>
        <v>0</v>
      </c>
      <c r="M443" s="91">
        <f t="shared" si="229"/>
        <v>0</v>
      </c>
      <c r="N443" s="91">
        <f t="shared" si="229"/>
        <v>0</v>
      </c>
      <c r="O443" s="91">
        <f t="shared" si="229"/>
        <v>0</v>
      </c>
      <c r="P443" s="91">
        <f t="shared" si="229"/>
        <v>0</v>
      </c>
      <c r="Q443" s="91">
        <f t="shared" si="229"/>
        <v>0</v>
      </c>
      <c r="R443" s="91">
        <f t="shared" si="229"/>
        <v>0</v>
      </c>
      <c r="S443" s="114">
        <f t="shared" si="229"/>
        <v>0</v>
      </c>
      <c r="T443" s="114">
        <f t="shared" si="229"/>
        <v>0</v>
      </c>
      <c r="U443" s="114">
        <f t="shared" si="229"/>
        <v>0</v>
      </c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91">
        <f>SUM(F443:AF443)</f>
        <v>0</v>
      </c>
      <c r="AH443" s="28" t="str">
        <f t="shared" si="228"/>
        <v>ok</v>
      </c>
    </row>
    <row r="444" spans="1:37" x14ac:dyDescent="0.25">
      <c r="A444" s="14" t="s">
        <v>623</v>
      </c>
      <c r="C444" s="14" t="s">
        <v>602</v>
      </c>
      <c r="D444" s="14" t="s">
        <v>600</v>
      </c>
      <c r="E444" s="122">
        <v>0</v>
      </c>
      <c r="F444" s="99">
        <f>IF(VLOOKUP($D444,$C$5:$AU$518,3,)=0,0,(VLOOKUP($D444,$C$5:$AU$518,4,)/VLOOKUP($D444,$C$5:$AU$518,3,))*$E444)</f>
        <v>0</v>
      </c>
      <c r="G444" s="99">
        <f>IF(VLOOKUP($D444,$C$5:$AU$518,3,)=0,0,(VLOOKUP($D444,$C$5:$AU$518,5,)/VLOOKUP($D444,$C$5:$AU$518,3,))*$E444)</f>
        <v>0</v>
      </c>
      <c r="H444" s="38">
        <f>IF(VLOOKUP($D444,$C$5:$AU$518,3,)=0,0,(VLOOKUP($D444,$C$5:$AU$518,6,)/VLOOKUP($D444,$C$5:$AU$518,3,))*$E444)</f>
        <v>0</v>
      </c>
      <c r="I444" s="38">
        <f>IF(VLOOKUP($D444,$C$5:$AU$518,3,)=0,0,(VLOOKUP($D444,$C$5:$AU$518,7,)/VLOOKUP($D444,$C$5:$AU$518,3,))*$E444)</f>
        <v>0</v>
      </c>
      <c r="J444" s="38">
        <f>IF(VLOOKUP($D444,$C$5:$AU$518,3,)=0,0,(VLOOKUP($D444,$C$5:$AU$518,8,)/VLOOKUP($D444,$C$5:$AU$518,3,))*$E444)</f>
        <v>0</v>
      </c>
      <c r="K444" s="38">
        <f>IF(VLOOKUP($D444,$C$5:$AU$518,3,)=0,0,(VLOOKUP($D444,$C$5:$AU$518,9,)/VLOOKUP($D444,$C$5:$AU$518,3,))*$E444)</f>
        <v>0</v>
      </c>
      <c r="L444" s="99">
        <f>IF(VLOOKUP($D444,$C$5:$AU$518,3,)=0,0,(VLOOKUP($D444,$C$5:$AU$518,10,)/VLOOKUP($D444,$C$5:$AU$518,3,))*$E444)</f>
        <v>0</v>
      </c>
      <c r="M444" s="38">
        <f>IF(VLOOKUP($D444,$C$5:$AU$518,3,)=0,0,(VLOOKUP($D444,$C$5:$AU$518,11,)/VLOOKUP($D444,$C$5:$AU$518,3,))*$E444)</f>
        <v>0</v>
      </c>
      <c r="N444" s="38">
        <f>IF(VLOOKUP($D444,$C$5:$AU$518,3,)=0,0,(VLOOKUP($D444,$C$5:$AU$518,12,)/VLOOKUP($D444,$C$5:$AU$518,3,))*$E444)</f>
        <v>0</v>
      </c>
      <c r="O444" s="38">
        <f>IF(VLOOKUP($D444,$C$5:$AU$518,3,)=0,0,(VLOOKUP($D444,$C$5:$AU$518,13,)/VLOOKUP($D444,$C$5:$AU$518,3,))*$E444)</f>
        <v>0</v>
      </c>
      <c r="P444" s="38">
        <f>IF(VLOOKUP($D444,$C$5:$AU$518,3,)=0,0,(VLOOKUP($D444,$C$5:$AU$518,14,)/VLOOKUP($D444,$C$5:$AU$518,3,))*$E444)</f>
        <v>0</v>
      </c>
      <c r="Q444" s="38">
        <f>IF(VLOOKUP($D444,$C$5:$AU$518,3,)=0,0,(VLOOKUP($D444,$C$5:$AU$518,15,)/VLOOKUP($D444,$C$5:$AU$518,3,))*$E444)</f>
        <v>0</v>
      </c>
      <c r="R444" s="38">
        <f>IF(VLOOKUP($D444,$C$5:$AU$518,3,)=0,0,(VLOOKUP($D444,$C$5:$AU$518,16,)/VLOOKUP($D444,$C$5:$AU$518,3,))*$E444)</f>
        <v>0</v>
      </c>
      <c r="S444" s="127">
        <f>IF(VLOOKUP($D444,$C$5:$AU$518,3,)=0,0,(VLOOKUP($D444,$C$5:$AU$518,17,)/VLOOKUP($D444,$C$5:$AU$518,3,))*$E444)</f>
        <v>0</v>
      </c>
      <c r="T444" s="127">
        <f>IF(VLOOKUP($D444,$C$5:$AU$518,3,)=0,0,(VLOOKUP($D444,$C$5:$AU$518,18,)/VLOOKUP($D444,$C$5:$AU$518,3,))*$E444)</f>
        <v>0</v>
      </c>
      <c r="U444" s="127">
        <f>IF(VLOOKUP($D444,$C$5:$AU$518,3,)=0,0,(VLOOKUP($D444,$C$5:$AU$518,19,)/VLOOKUP($D444,$C$5:$AU$518,3,))*$E444)</f>
        <v>0</v>
      </c>
      <c r="V444" s="127">
        <f>IF(VLOOKUP($D444,$C$5:$AU$518,3,)=0,0,(VLOOKUP($D444,$C$5:$AU$518,20,)/VLOOKUP($D444,$C$5:$AU$518,3,))*$E444)</f>
        <v>0</v>
      </c>
      <c r="W444" s="127">
        <f>IF(VLOOKUP($D444,$C$5:$AU$518,3,)=0,0,(VLOOKUP($D444,$C$5:$AU$518,21,)/VLOOKUP($D444,$C$5:$AU$518,3,))*$E444)</f>
        <v>0</v>
      </c>
      <c r="X444" s="127">
        <f>IF(VLOOKUP($D444,$C$5:$AU$518,3,)=0,0,(VLOOKUP($D444,$C$5:$AU$518,22,)/VLOOKUP($D444,$C$5:$AU$518,3,))*$E444)</f>
        <v>0</v>
      </c>
      <c r="Y444" s="127">
        <f>IF(VLOOKUP($D444,$C$5:$AU$518,3,)=0,0,(VLOOKUP($D444,$C$5:$AU$518,23,)/VLOOKUP($D444,$C$5:$AU$518,3,))*$E444)</f>
        <v>0</v>
      </c>
      <c r="Z444" s="127">
        <f>IF(VLOOKUP($D444,$C$5:$AU$518,3,)=0,0,(VLOOKUP($D444,$C$5:$AU$518,24,)/VLOOKUP($D444,$C$5:$AU$518,3,))*$E444)</f>
        <v>0</v>
      </c>
      <c r="AA444" s="127">
        <f>IF(VLOOKUP($D444,$C$5:$AU$518,3,)=0,0,(VLOOKUP($D444,$C$5:$AU$518,25,)/VLOOKUP($D444,$C$5:$AU$518,3,))*$E444)</f>
        <v>0</v>
      </c>
      <c r="AB444" s="127">
        <f>IF(VLOOKUP($D444,$C$5:$AU$518,3,)=0,0,(VLOOKUP($D444,$C$5:$AU$518,26,)/VLOOKUP($D444,$C$5:$AU$518,3,))*$E444)</f>
        <v>0</v>
      </c>
      <c r="AC444" s="127">
        <f>IF(VLOOKUP($D444,$C$5:$AU$518,3,)=0,0,(VLOOKUP($D444,$C$5:$AU$518,27,)/VLOOKUP($D444,$C$5:$AU$518,3,))*$E444)</f>
        <v>0</v>
      </c>
      <c r="AD444" s="127">
        <f>IF(VLOOKUP($D444,$C$5:$AU$518,3,)=0,0,(VLOOKUP($D444,$C$5:$AU$518,28,)/VLOOKUP($D444,$C$5:$AU$518,3,))*$E444)</f>
        <v>0</v>
      </c>
      <c r="AE444" s="127">
        <f>IF(VLOOKUP($D444,$C$5:$AU$518,3,)=0,0,(VLOOKUP($D444,$C$5:$AU$518,29,)/VLOOKUP($D444,$C$5:$AU$518,3,))*$E444)</f>
        <v>0</v>
      </c>
      <c r="AF444" s="127">
        <f>IF(VLOOKUP($D444,$C$5:$AU$518,3,)=0,0,(VLOOKUP($D444,$C$5:$AU$518,30,)/VLOOKUP($D444,$C$5:$AU$518,3,))*$E444)</f>
        <v>0</v>
      </c>
      <c r="AG444" s="38">
        <f>SUM(F444:AF444)</f>
        <v>0</v>
      </c>
      <c r="AH444" s="28" t="str">
        <f t="shared" si="228"/>
        <v>ok</v>
      </c>
    </row>
    <row r="445" spans="1:37" x14ac:dyDescent="0.25">
      <c r="E445" s="122"/>
      <c r="F445" s="49"/>
      <c r="G445" s="49"/>
      <c r="H445" s="122"/>
      <c r="I445" s="122"/>
      <c r="J445" s="122"/>
      <c r="K445" s="122"/>
      <c r="L445" s="49"/>
      <c r="M445" s="122"/>
      <c r="N445" s="122"/>
      <c r="O445" s="122"/>
      <c r="P445" s="122"/>
      <c r="Q445" s="122"/>
      <c r="R445" s="122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2"/>
      <c r="AH445" s="28"/>
    </row>
    <row r="446" spans="1:37" x14ac:dyDescent="0.25">
      <c r="A446" s="14" t="s">
        <v>598</v>
      </c>
      <c r="C446" s="14" t="s">
        <v>624</v>
      </c>
      <c r="E446" s="23">
        <f t="shared" ref="E446:AF446" si="230">E439</f>
        <v>1369135.001097088</v>
      </c>
      <c r="F446" s="50">
        <f t="shared" si="230"/>
        <v>843041.55674455478</v>
      </c>
      <c r="G446" s="50">
        <f t="shared" si="230"/>
        <v>82481.637822210949</v>
      </c>
      <c r="H446" s="23">
        <f t="shared" si="230"/>
        <v>23455.182324426693</v>
      </c>
      <c r="I446" s="23">
        <f t="shared" si="230"/>
        <v>339158.99961552187</v>
      </c>
      <c r="J446" s="23">
        <f t="shared" si="230"/>
        <v>29224.44</v>
      </c>
      <c r="K446" s="23">
        <f t="shared" si="230"/>
        <v>42791.56</v>
      </c>
      <c r="L446" s="50">
        <f t="shared" si="230"/>
        <v>8981.6245903737836</v>
      </c>
      <c r="M446" s="23">
        <f t="shared" si="230"/>
        <v>0</v>
      </c>
      <c r="N446" s="23">
        <f t="shared" si="230"/>
        <v>0</v>
      </c>
      <c r="O446" s="23">
        <f t="shared" si="230"/>
        <v>0</v>
      </c>
      <c r="P446" s="23">
        <f t="shared" si="230"/>
        <v>0</v>
      </c>
      <c r="Q446" s="23">
        <f t="shared" si="230"/>
        <v>0</v>
      </c>
      <c r="R446" s="23">
        <f t="shared" si="230"/>
        <v>0</v>
      </c>
      <c r="S446" s="115">
        <f t="shared" si="230"/>
        <v>0</v>
      </c>
      <c r="T446" s="115">
        <f t="shared" si="230"/>
        <v>0</v>
      </c>
      <c r="U446" s="115">
        <f t="shared" si="230"/>
        <v>0</v>
      </c>
      <c r="V446" s="115">
        <f t="shared" si="230"/>
        <v>0</v>
      </c>
      <c r="W446" s="115">
        <f t="shared" si="230"/>
        <v>0</v>
      </c>
      <c r="X446" s="115">
        <f t="shared" si="230"/>
        <v>0</v>
      </c>
      <c r="Y446" s="115">
        <f t="shared" si="230"/>
        <v>0</v>
      </c>
      <c r="Z446" s="115">
        <f t="shared" si="230"/>
        <v>0</v>
      </c>
      <c r="AA446" s="115">
        <f t="shared" si="230"/>
        <v>0</v>
      </c>
      <c r="AB446" s="115">
        <f t="shared" si="230"/>
        <v>0</v>
      </c>
      <c r="AC446" s="115">
        <f t="shared" si="230"/>
        <v>0</v>
      </c>
      <c r="AD446" s="115">
        <f t="shared" si="230"/>
        <v>0</v>
      </c>
      <c r="AE446" s="115">
        <f t="shared" si="230"/>
        <v>0</v>
      </c>
      <c r="AF446" s="115">
        <f t="shared" si="230"/>
        <v>0</v>
      </c>
      <c r="AG446" s="23">
        <f>SUM(F446:AF446)</f>
        <v>1369135.001097088</v>
      </c>
      <c r="AH446" s="28" t="str">
        <f t="shared" ref="AH446:AH451" si="231">IF(ABS(E446-AG446)&lt;0.01,"ok","err")</f>
        <v>ok</v>
      </c>
    </row>
    <row r="447" spans="1:37" x14ac:dyDescent="0.25">
      <c r="A447" s="14" t="s">
        <v>597</v>
      </c>
      <c r="E447" s="91">
        <f>E440</f>
        <v>0</v>
      </c>
      <c r="AG447" s="91">
        <f>E447</f>
        <v>0</v>
      </c>
      <c r="AH447" s="28" t="str">
        <f t="shared" si="231"/>
        <v>ok</v>
      </c>
    </row>
    <row r="448" spans="1:37" x14ac:dyDescent="0.25">
      <c r="A448" s="14" t="s">
        <v>595</v>
      </c>
      <c r="E448" s="67">
        <f>E441</f>
        <v>0</v>
      </c>
      <c r="F448" s="67">
        <f>F441</f>
        <v>0</v>
      </c>
      <c r="G448" s="67">
        <f t="shared" ref="G448:S448" si="232">G441</f>
        <v>0</v>
      </c>
      <c r="H448" s="67">
        <f t="shared" si="232"/>
        <v>0</v>
      </c>
      <c r="I448" s="67">
        <f t="shared" si="232"/>
        <v>0</v>
      </c>
      <c r="J448" s="67">
        <f t="shared" si="232"/>
        <v>0</v>
      </c>
      <c r="K448" s="67">
        <f t="shared" si="232"/>
        <v>0</v>
      </c>
      <c r="L448" s="67">
        <f t="shared" si="232"/>
        <v>0</v>
      </c>
      <c r="M448" s="67">
        <f t="shared" si="232"/>
        <v>0</v>
      </c>
      <c r="N448" s="14">
        <f t="shared" si="232"/>
        <v>0</v>
      </c>
      <c r="O448" s="23">
        <f t="shared" si="232"/>
        <v>0</v>
      </c>
      <c r="P448" s="23">
        <f t="shared" si="232"/>
        <v>0</v>
      </c>
      <c r="Q448" s="14">
        <f t="shared" si="232"/>
        <v>0</v>
      </c>
      <c r="R448" s="14">
        <f t="shared" si="232"/>
        <v>0</v>
      </c>
      <c r="S448" s="100">
        <f t="shared" si="232"/>
        <v>0</v>
      </c>
      <c r="AG448" s="91">
        <f>SUM(F448:AF448)</f>
        <v>0</v>
      </c>
      <c r="AH448" s="28" t="str">
        <f t="shared" si="231"/>
        <v>ok</v>
      </c>
    </row>
    <row r="449" spans="1:37" x14ac:dyDescent="0.25">
      <c r="A449" s="14" t="s">
        <v>596</v>
      </c>
      <c r="D449" s="14" t="s">
        <v>624</v>
      </c>
      <c r="E449" s="91">
        <f>E447-E448</f>
        <v>0</v>
      </c>
      <c r="F449" s="67">
        <f>IF(VLOOKUP($D449,$C$5:$AU$518,3,)=0,0,(VLOOKUP($D449,$C$5:$AU$518,4,)/VLOOKUP($D449,$C$5:$AU$518,3,))*$E449)</f>
        <v>0</v>
      </c>
      <c r="G449" s="67">
        <f>IF(VLOOKUP($D449,$C$5:$AU$518,3,)=0,0,(VLOOKUP($D449,$C$5:$AU$518,5,)/VLOOKUP($D449,$C$5:$AU$518,3,))*$E449)</f>
        <v>0</v>
      </c>
      <c r="H449" s="42">
        <f>IF(VLOOKUP($D449,$C$5:$AU$518,3,)=0,0,(VLOOKUP($D449,$C$5:$AU$518,6,)/VLOOKUP($D449,$C$5:$AU$518,3,))*$E449)</f>
        <v>0</v>
      </c>
      <c r="I449" s="42">
        <f>IF(VLOOKUP($D449,$C$5:$AU$518,3,)=0,0,(VLOOKUP($D449,$C$5:$AU$518,7,)/VLOOKUP($D449,$C$5:$AU$518,3,))*$E449)</f>
        <v>0</v>
      </c>
      <c r="J449" s="42">
        <f>IF(VLOOKUP($D449,$C$5:$AU$518,3,)=0,0,(VLOOKUP($D449,$C$5:$AU$518,8,)/VLOOKUP($D449,$C$5:$AU$518,3,))*$E449)</f>
        <v>0</v>
      </c>
      <c r="K449" s="42">
        <f>IF(VLOOKUP($D449,$C$5:$AU$518,3,)=0,0,(VLOOKUP($D449,$C$5:$AU$518,9,)/VLOOKUP($D449,$C$5:$AU$518,3,))*$E449)</f>
        <v>0</v>
      </c>
      <c r="L449" s="67">
        <f>IF(VLOOKUP($D449,$C$5:$AU$518,3,)=0,0,(VLOOKUP($D449,$C$5:$AU$518,10,)/VLOOKUP($D449,$C$5:$AU$518,3,))*$E449)</f>
        <v>0</v>
      </c>
      <c r="M449" s="42">
        <f>IF(VLOOKUP($D449,$C$5:$AU$518,3,)=0,0,(VLOOKUP($D449,$C$5:$AU$518,11,)/VLOOKUP($D449,$C$5:$AU$518,3,))*$E449)</f>
        <v>0</v>
      </c>
      <c r="N449" s="42">
        <f>IF(VLOOKUP($D449,$C$5:$AU$518,3,)=0,0,(VLOOKUP($D449,$C$5:$AU$518,12,)/VLOOKUP($D449,$C$5:$AU$518,3,))*$E449)</f>
        <v>0</v>
      </c>
      <c r="O449" s="42">
        <f>IF(VLOOKUP($D449,$C$5:$AU$518,3,)=0,0,(VLOOKUP($D449,$C$5:$AU$518,13,)/VLOOKUP($D449,$C$5:$AU$518,3,))*$E449)</f>
        <v>0</v>
      </c>
      <c r="P449" s="42">
        <f>IF(VLOOKUP($D449,$C$5:$AU$518,3,)=0,0,(VLOOKUP($D449,$C$5:$AU$518,14,)/VLOOKUP($D449,$C$5:$AU$518,3,))*$E449)</f>
        <v>0</v>
      </c>
      <c r="Q449" s="42">
        <f>IF(VLOOKUP($D449,$C$5:$AU$518,3,)=0,0,(VLOOKUP($D449,$C$5:$AU$518,15,)/VLOOKUP($D449,$C$5:$AU$518,3,))*$E449)</f>
        <v>0</v>
      </c>
      <c r="R449" s="42">
        <f>IF(VLOOKUP($D449,$C$5:$AU$518,3,)=0,0,(VLOOKUP($D449,$C$5:$AU$518,16,)/VLOOKUP($D449,$C$5:$AU$518,3,))*$E449)</f>
        <v>0</v>
      </c>
      <c r="S449" s="107">
        <f>IF(VLOOKUP($D449,$C$5:$AU$518,3,)=0,0,(VLOOKUP($D449,$C$5:$AU$518,17,)/VLOOKUP($D449,$C$5:$AU$518,3,))*$E449)</f>
        <v>0</v>
      </c>
      <c r="T449" s="107">
        <f>IF(VLOOKUP($D449,$C$5:$AU$518,3,)=0,0,(VLOOKUP($D449,$C$5:$AU$518,18,)/VLOOKUP($D449,$C$5:$AU$518,3,))*$E449)</f>
        <v>0</v>
      </c>
      <c r="U449" s="107">
        <f>IF(VLOOKUP($D449,$C$5:$AU$518,3,)=0,0,(VLOOKUP($D449,$C$5:$AU$518,19,)/VLOOKUP($D449,$C$5:$AU$518,3,))*$E449)</f>
        <v>0</v>
      </c>
      <c r="V449" s="107">
        <f>IF(VLOOKUP($D449,$C$5:$AU$518,3,)=0,0,(VLOOKUP($D449,$C$5:$AU$518,20,)/VLOOKUP($D449,$C$5:$AU$518,3,))*$E449)</f>
        <v>0</v>
      </c>
      <c r="W449" s="107">
        <f>IF(VLOOKUP($D449,$C$5:$AU$518,3,)=0,0,(VLOOKUP($D449,$C$5:$AU$518,21,)/VLOOKUP($D449,$C$5:$AU$518,3,))*$E449)</f>
        <v>0</v>
      </c>
      <c r="X449" s="107">
        <f>IF(VLOOKUP($D449,$C$5:$AU$518,3,)=0,0,(VLOOKUP($D449,$C$5:$AU$518,22,)/VLOOKUP($D449,$C$5:$AU$518,3,))*$E449)</f>
        <v>0</v>
      </c>
      <c r="Y449" s="107">
        <f>IF(VLOOKUP($D449,$C$5:$AU$518,3,)=0,0,(VLOOKUP($D449,$C$5:$AU$518,23,)/VLOOKUP($D449,$C$5:$AU$518,3,))*$E449)</f>
        <v>0</v>
      </c>
      <c r="Z449" s="107">
        <f>IF(VLOOKUP($D449,$C$5:$AU$518,3,)=0,0,(VLOOKUP($D449,$C$5:$AU$518,24,)/VLOOKUP($D449,$C$5:$AU$518,3,))*$E449)</f>
        <v>0</v>
      </c>
      <c r="AA449" s="107">
        <f>IF(VLOOKUP($D449,$C$5:$AU$518,3,)=0,0,(VLOOKUP($D449,$C$5:$AU$518,25,)/VLOOKUP($D449,$C$5:$AU$518,3,))*$E449)</f>
        <v>0</v>
      </c>
      <c r="AB449" s="107">
        <f>IF(VLOOKUP($D449,$C$5:$AU$518,3,)=0,0,(VLOOKUP($D449,$C$5:$AU$518,26,)/VLOOKUP($D449,$C$5:$AU$518,3,))*$E449)</f>
        <v>0</v>
      </c>
      <c r="AC449" s="107">
        <f>IF(VLOOKUP($D449,$C$5:$AU$518,3,)=0,0,(VLOOKUP($D449,$C$5:$AU$518,27,)/VLOOKUP($D449,$C$5:$AU$518,3,))*$E449)</f>
        <v>0</v>
      </c>
      <c r="AD449" s="107">
        <f>IF(VLOOKUP($D449,$C$5:$AU$518,3,)=0,0,(VLOOKUP($D449,$C$5:$AU$518,28,)/VLOOKUP($D449,$C$5:$AU$518,3,))*$E449)</f>
        <v>0</v>
      </c>
      <c r="AE449" s="107">
        <f>IF(VLOOKUP($D449,$C$5:$AU$518,3,)=0,0,(VLOOKUP($D449,$C$5:$AU$518,29,)/VLOOKUP($D449,$C$5:$AU$518,3,))*$E449)</f>
        <v>0</v>
      </c>
      <c r="AF449" s="107">
        <f>IF(VLOOKUP($D449,$C$5:$AU$518,3,)=0,0,(VLOOKUP($D449,$C$5:$AU$518,30,)/VLOOKUP($D449,$C$5:$AU$518,3,))*$E449)</f>
        <v>0</v>
      </c>
      <c r="AG449" s="91">
        <f>SUM(F449:AF449)</f>
        <v>0</v>
      </c>
      <c r="AH449" s="28" t="str">
        <f t="shared" si="231"/>
        <v>ok</v>
      </c>
    </row>
    <row r="450" spans="1:37" x14ac:dyDescent="0.25">
      <c r="A450" s="14" t="s">
        <v>601</v>
      </c>
      <c r="C450" s="14" t="s">
        <v>625</v>
      </c>
      <c r="E450" s="91">
        <f t="shared" ref="E450:U450" si="233">E448+E449</f>
        <v>0</v>
      </c>
      <c r="F450" s="91">
        <f t="shared" si="233"/>
        <v>0</v>
      </c>
      <c r="G450" s="91">
        <f t="shared" si="233"/>
        <v>0</v>
      </c>
      <c r="H450" s="91">
        <f t="shared" si="233"/>
        <v>0</v>
      </c>
      <c r="I450" s="91">
        <f t="shared" si="233"/>
        <v>0</v>
      </c>
      <c r="J450" s="91">
        <f t="shared" si="233"/>
        <v>0</v>
      </c>
      <c r="K450" s="91">
        <f t="shared" si="233"/>
        <v>0</v>
      </c>
      <c r="L450" s="91">
        <f t="shared" si="233"/>
        <v>0</v>
      </c>
      <c r="M450" s="91">
        <f t="shared" si="233"/>
        <v>0</v>
      </c>
      <c r="N450" s="91">
        <f t="shared" si="233"/>
        <v>0</v>
      </c>
      <c r="O450" s="91">
        <f t="shared" si="233"/>
        <v>0</v>
      </c>
      <c r="P450" s="91">
        <f t="shared" si="233"/>
        <v>0</v>
      </c>
      <c r="Q450" s="91">
        <f t="shared" si="233"/>
        <v>0</v>
      </c>
      <c r="R450" s="91">
        <f t="shared" si="233"/>
        <v>0</v>
      </c>
      <c r="S450" s="114">
        <f t="shared" si="233"/>
        <v>0</v>
      </c>
      <c r="T450" s="114">
        <f t="shared" si="233"/>
        <v>0</v>
      </c>
      <c r="U450" s="114">
        <f t="shared" si="233"/>
        <v>0</v>
      </c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91">
        <f>SUM(F450:AF450)</f>
        <v>0</v>
      </c>
      <c r="AH450" s="28" t="str">
        <f t="shared" si="231"/>
        <v>ok</v>
      </c>
    </row>
    <row r="451" spans="1:37" x14ac:dyDescent="0.25">
      <c r="A451" s="14" t="s">
        <v>633</v>
      </c>
      <c r="C451" s="14" t="s">
        <v>626</v>
      </c>
      <c r="D451" s="14" t="s">
        <v>625</v>
      </c>
      <c r="E451" s="122">
        <v>0</v>
      </c>
      <c r="F451" s="99">
        <f>IF(VLOOKUP($D451,$C$5:$AU$518,3,)=0,0,(VLOOKUP($D451,$C$5:$AU$518,4,)/VLOOKUP($D451,$C$5:$AU$518,3,))*$E451)</f>
        <v>0</v>
      </c>
      <c r="G451" s="99">
        <f>IF(VLOOKUP($D451,$C$5:$AU$518,3,)=0,0,(VLOOKUP($D451,$C$5:$AU$518,5,)/VLOOKUP($D451,$C$5:$AU$518,3,))*$E451)</f>
        <v>0</v>
      </c>
      <c r="H451" s="38">
        <f>IF(VLOOKUP($D451,$C$5:$AU$518,3,)=0,0,(VLOOKUP($D451,$C$5:$AU$518,6,)/VLOOKUP($D451,$C$5:$AU$518,3,))*$E451)</f>
        <v>0</v>
      </c>
      <c r="I451" s="38">
        <f>IF(VLOOKUP($D451,$C$5:$AU$518,3,)=0,0,(VLOOKUP($D451,$C$5:$AU$518,7,)/VLOOKUP($D451,$C$5:$AU$518,3,))*$E451)</f>
        <v>0</v>
      </c>
      <c r="J451" s="38">
        <f>IF(VLOOKUP($D451,$C$5:$AU$518,3,)=0,0,(VLOOKUP($D451,$C$5:$AU$518,8,)/VLOOKUP($D451,$C$5:$AU$518,3,))*$E451)</f>
        <v>0</v>
      </c>
      <c r="K451" s="38">
        <f>IF(VLOOKUP($D451,$C$5:$AU$518,3,)=0,0,(VLOOKUP($D451,$C$5:$AU$518,9,)/VLOOKUP($D451,$C$5:$AU$518,3,))*$E451)</f>
        <v>0</v>
      </c>
      <c r="L451" s="99">
        <f>IF(VLOOKUP($D451,$C$5:$AU$518,3,)=0,0,(VLOOKUP($D451,$C$5:$AU$518,10,)/VLOOKUP($D451,$C$5:$AU$518,3,))*$E451)</f>
        <v>0</v>
      </c>
      <c r="M451" s="38">
        <f>IF(VLOOKUP($D451,$C$5:$AU$518,3,)=0,0,(VLOOKUP($D451,$C$5:$AU$518,11,)/VLOOKUP($D451,$C$5:$AU$518,3,))*$E451)</f>
        <v>0</v>
      </c>
      <c r="N451" s="38">
        <f>IF(VLOOKUP($D451,$C$5:$AU$518,3,)=0,0,(VLOOKUP($D451,$C$5:$AU$518,12,)/VLOOKUP($D451,$C$5:$AU$518,3,))*$E451)</f>
        <v>0</v>
      </c>
      <c r="O451" s="38">
        <f>IF(VLOOKUP($D451,$C$5:$AU$518,3,)=0,0,(VLOOKUP($D451,$C$5:$AU$518,13,)/VLOOKUP($D451,$C$5:$AU$518,3,))*$E451)</f>
        <v>0</v>
      </c>
      <c r="P451" s="38">
        <f>IF(VLOOKUP($D451,$C$5:$AU$518,3,)=0,0,(VLOOKUP($D451,$C$5:$AU$518,14,)/VLOOKUP($D451,$C$5:$AU$518,3,))*$E451)</f>
        <v>0</v>
      </c>
      <c r="Q451" s="38">
        <f>IF(VLOOKUP($D451,$C$5:$AU$518,3,)=0,0,(VLOOKUP($D451,$C$5:$AU$518,15,)/VLOOKUP($D451,$C$5:$AU$518,3,))*$E451)</f>
        <v>0</v>
      </c>
      <c r="R451" s="38">
        <f>IF(VLOOKUP($D451,$C$5:$AU$518,3,)=0,0,(VLOOKUP($D451,$C$5:$AU$518,16,)/VLOOKUP($D451,$C$5:$AU$518,3,))*$E451)</f>
        <v>0</v>
      </c>
      <c r="S451" s="127">
        <f>IF(VLOOKUP($D451,$C$5:$AU$518,3,)=0,0,(VLOOKUP($D451,$C$5:$AU$518,17,)/VLOOKUP($D451,$C$5:$AU$518,3,))*$E451)</f>
        <v>0</v>
      </c>
      <c r="T451" s="127">
        <f>IF(VLOOKUP($D451,$C$5:$AU$518,3,)=0,0,(VLOOKUP($D451,$C$5:$AU$518,18,)/VLOOKUP($D451,$C$5:$AU$518,3,))*$E451)</f>
        <v>0</v>
      </c>
      <c r="U451" s="127">
        <f>IF(VLOOKUP($D451,$C$5:$AU$518,3,)=0,0,(VLOOKUP($D451,$C$5:$AU$518,19,)/VLOOKUP($D451,$C$5:$AU$518,3,))*$E451)</f>
        <v>0</v>
      </c>
      <c r="V451" s="127">
        <f>IF(VLOOKUP($D451,$C$5:$AU$518,3,)=0,0,(VLOOKUP($D451,$C$5:$AU$518,20,)/VLOOKUP($D451,$C$5:$AU$518,3,))*$E451)</f>
        <v>0</v>
      </c>
      <c r="W451" s="127">
        <f>IF(VLOOKUP($D451,$C$5:$AU$518,3,)=0,0,(VLOOKUP($D451,$C$5:$AU$518,21,)/VLOOKUP($D451,$C$5:$AU$518,3,))*$E451)</f>
        <v>0</v>
      </c>
      <c r="X451" s="127">
        <f>IF(VLOOKUP($D451,$C$5:$AU$518,3,)=0,0,(VLOOKUP($D451,$C$5:$AU$518,22,)/VLOOKUP($D451,$C$5:$AU$518,3,))*$E451)</f>
        <v>0</v>
      </c>
      <c r="Y451" s="127">
        <f>IF(VLOOKUP($D451,$C$5:$AU$518,3,)=0,0,(VLOOKUP($D451,$C$5:$AU$518,23,)/VLOOKUP($D451,$C$5:$AU$518,3,))*$E451)</f>
        <v>0</v>
      </c>
      <c r="Z451" s="127">
        <f>IF(VLOOKUP($D451,$C$5:$AU$518,3,)=0,0,(VLOOKUP($D451,$C$5:$AU$518,24,)/VLOOKUP($D451,$C$5:$AU$518,3,))*$E451)</f>
        <v>0</v>
      </c>
      <c r="AA451" s="127">
        <f>IF(VLOOKUP($D451,$C$5:$AU$518,3,)=0,0,(VLOOKUP($D451,$C$5:$AU$518,25,)/VLOOKUP($D451,$C$5:$AU$518,3,))*$E451)</f>
        <v>0</v>
      </c>
      <c r="AB451" s="127">
        <f>IF(VLOOKUP($D451,$C$5:$AU$518,3,)=0,0,(VLOOKUP($D451,$C$5:$AU$518,26,)/VLOOKUP($D451,$C$5:$AU$518,3,))*$E451)</f>
        <v>0</v>
      </c>
      <c r="AC451" s="127">
        <f>IF(VLOOKUP($D451,$C$5:$AU$518,3,)=0,0,(VLOOKUP($D451,$C$5:$AU$518,27,)/VLOOKUP($D451,$C$5:$AU$518,3,))*$E451)</f>
        <v>0</v>
      </c>
      <c r="AD451" s="127">
        <f>IF(VLOOKUP($D451,$C$5:$AU$518,3,)=0,0,(VLOOKUP($D451,$C$5:$AU$518,28,)/VLOOKUP($D451,$C$5:$AU$518,3,))*$E451)</f>
        <v>0</v>
      </c>
      <c r="AE451" s="127">
        <f>IF(VLOOKUP($D451,$C$5:$AU$518,3,)=0,0,(VLOOKUP($D451,$C$5:$AU$518,29,)/VLOOKUP($D451,$C$5:$AU$518,3,))*$E451)</f>
        <v>0</v>
      </c>
      <c r="AF451" s="127">
        <f>IF(VLOOKUP($D451,$C$5:$AU$518,3,)=0,0,(VLOOKUP($D451,$C$5:$AU$518,30,)/VLOOKUP($D451,$C$5:$AU$518,3,))*$E451)</f>
        <v>0</v>
      </c>
      <c r="AG451" s="38">
        <f>SUM(F451:AF451)</f>
        <v>0</v>
      </c>
      <c r="AH451" s="28" t="str">
        <f t="shared" si="231"/>
        <v>ok</v>
      </c>
    </row>
    <row r="452" spans="1:37" x14ac:dyDescent="0.25">
      <c r="E452" s="122"/>
      <c r="F452" s="49"/>
      <c r="G452" s="49"/>
      <c r="H452" s="122"/>
      <c r="I452" s="122"/>
      <c r="J452" s="122"/>
      <c r="K452" s="122"/>
      <c r="L452" s="49"/>
      <c r="M452" s="122"/>
      <c r="N452" s="122"/>
      <c r="O452" s="122"/>
      <c r="P452" s="122"/>
      <c r="Q452" s="122"/>
      <c r="R452" s="122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2"/>
      <c r="AH452" s="28"/>
    </row>
    <row r="453" spans="1:37" x14ac:dyDescent="0.25">
      <c r="A453" s="14" t="s">
        <v>603</v>
      </c>
      <c r="B453" s="50"/>
      <c r="C453" s="14" t="s">
        <v>607</v>
      </c>
      <c r="E453" s="50">
        <v>3981736.8034786186</v>
      </c>
      <c r="F453" s="50">
        <f>F435</f>
        <v>2502600.7553550093</v>
      </c>
      <c r="G453" s="50">
        <f t="shared" ref="G453:L453" si="234">G435</f>
        <v>64338.606106124353</v>
      </c>
      <c r="H453" s="50">
        <f>H435*2.11</f>
        <v>102971.78932663593</v>
      </c>
      <c r="I453" s="50">
        <f>I435*(2.11*0.95+1*0.05)</f>
        <v>1165334.8248674998</v>
      </c>
      <c r="J453" s="50">
        <v>0</v>
      </c>
      <c r="K453" s="50">
        <f>K435*2.11</f>
        <v>128985.988</v>
      </c>
      <c r="L453" s="50">
        <f t="shared" si="234"/>
        <v>17504.839823348695</v>
      </c>
      <c r="M453" s="50">
        <f>M435*2.11</f>
        <v>0</v>
      </c>
      <c r="N453" s="50">
        <f>N435*2.11</f>
        <v>0</v>
      </c>
      <c r="O453" s="50">
        <f>O435*((2.11*0.83)+0.17)</f>
        <v>0</v>
      </c>
      <c r="P453" s="50">
        <f>P435</f>
        <v>0</v>
      </c>
      <c r="Q453" s="50">
        <f>Q435*2.11</f>
        <v>0</v>
      </c>
      <c r="R453" s="50">
        <f>R435*2.11</f>
        <v>0</v>
      </c>
      <c r="S453" s="50">
        <f>S435</f>
        <v>0</v>
      </c>
      <c r="T453" s="50">
        <f>T435*0.9</f>
        <v>0</v>
      </c>
      <c r="U453" s="50">
        <f t="shared" ref="U453:Z453" si="235">U435</f>
        <v>0</v>
      </c>
      <c r="V453" s="50">
        <f t="shared" si="235"/>
        <v>0</v>
      </c>
      <c r="W453" s="50">
        <f t="shared" si="235"/>
        <v>0</v>
      </c>
      <c r="X453" s="50">
        <f t="shared" si="235"/>
        <v>0</v>
      </c>
      <c r="Y453" s="50">
        <f t="shared" si="235"/>
        <v>0</v>
      </c>
      <c r="Z453" s="50">
        <f t="shared" si="235"/>
        <v>0</v>
      </c>
      <c r="AA453" s="50">
        <f>AA435*0.5</f>
        <v>0</v>
      </c>
      <c r="AB453" s="50">
        <f>AB435*0.1</f>
        <v>0</v>
      </c>
      <c r="AC453" s="50">
        <f>AC435*0.5</f>
        <v>0</v>
      </c>
      <c r="AD453" s="50">
        <f>AD435*0.07</f>
        <v>0</v>
      </c>
      <c r="AE453" s="50">
        <f>AE435*0.07</f>
        <v>0</v>
      </c>
      <c r="AF453" s="50">
        <f>AF435</f>
        <v>0</v>
      </c>
      <c r="AG453" s="50">
        <f>SUM(F453:AF453)</f>
        <v>3981736.8034786186</v>
      </c>
      <c r="AH453" s="28" t="str">
        <f t="shared" ref="AH453:AH458" si="236">IF(ABS(E453-AG453)&lt;0.01,"ok","err")</f>
        <v>ok</v>
      </c>
      <c r="AK453" s="50"/>
    </row>
    <row r="454" spans="1:37" x14ac:dyDescent="0.25">
      <c r="A454" s="14" t="s">
        <v>604</v>
      </c>
      <c r="E454" s="91">
        <f>'Func &amp; Classif'!O54</f>
        <v>46946763.390870199</v>
      </c>
      <c r="AG454" s="91">
        <f>E454</f>
        <v>46946763.390870199</v>
      </c>
      <c r="AH454" s="28" t="str">
        <f t="shared" si="236"/>
        <v>ok</v>
      </c>
    </row>
    <row r="455" spans="1:37" x14ac:dyDescent="0.25">
      <c r="A455" s="14" t="s">
        <v>595</v>
      </c>
      <c r="E455" s="67"/>
      <c r="M455" s="23">
        <v>0</v>
      </c>
      <c r="N455" s="23">
        <v>0</v>
      </c>
      <c r="P455" s="23"/>
      <c r="Q455" s="23">
        <f>(1/70)*'Func &amp; Classif'!F53</f>
        <v>0</v>
      </c>
      <c r="AA455" s="107">
        <v>0</v>
      </c>
      <c r="AB455" s="107">
        <v>0</v>
      </c>
      <c r="AC455" s="107">
        <v>0</v>
      </c>
      <c r="AD455" s="107">
        <v>0</v>
      </c>
      <c r="AE455" s="107">
        <v>0</v>
      </c>
      <c r="AG455" s="91">
        <f>SUM(F455:AF455)</f>
        <v>0</v>
      </c>
      <c r="AH455" s="28" t="str">
        <f t="shared" si="236"/>
        <v>ok</v>
      </c>
    </row>
    <row r="456" spans="1:37" x14ac:dyDescent="0.25">
      <c r="A456" s="14" t="s">
        <v>605</v>
      </c>
      <c r="D456" s="14" t="s">
        <v>627</v>
      </c>
      <c r="E456" s="91">
        <f>E454-E455</f>
        <v>46946763.390870199</v>
      </c>
      <c r="F456" s="128">
        <f>IF(VLOOKUP($D456,$C$5:$AU$518,3,)=0,0,(VLOOKUP($D456,$C$5:$AU$518,4,)/VLOOKUP($D456,$C$5:$AU$518,3,))*$E456)</f>
        <v>29506974.298457183</v>
      </c>
      <c r="G456" s="67">
        <f>IF(VLOOKUP($D456,$C$5:$AU$518,3,)=0,0,(VLOOKUP($D456,$C$5:$AU$518,5,)/VLOOKUP($D456,$C$5:$AU$518,3,))*$E456)</f>
        <v>758585.88019273046</v>
      </c>
      <c r="H456" s="42">
        <f>IF(VLOOKUP($D456,$C$5:$AU$518,3,)=0,0,(VLOOKUP($D456,$C$5:$AU$518,6,)/VLOOKUP($D456,$C$5:$AU$518,3,))*$E456)</f>
        <v>1214091.3546140844</v>
      </c>
      <c r="I456" s="42">
        <f>IF(VLOOKUP($D456,$C$5:$AU$518,3,)=0,0,(VLOOKUP($D456,$C$5:$AU$518,7,)/VLOOKUP($D456,$C$5:$AU$518,3,))*$E456)</f>
        <v>13739908.234617561</v>
      </c>
      <c r="J456" s="42">
        <f>IF(VLOOKUP($D456,$C$5:$AU$518,3,)=0,0,(VLOOKUP($D456,$C$5:$AU$518,8,)/VLOOKUP($D456,$C$5:$AU$518,3,))*$E456)</f>
        <v>0</v>
      </c>
      <c r="K456" s="42">
        <f>IF(VLOOKUP($D456,$C$5:$AU$518,3,)=0,0,(VLOOKUP($D456,$C$5:$AU$518,9,)/VLOOKUP($D456,$C$5:$AU$518,3,))*$E456)</f>
        <v>1520812.3887252659</v>
      </c>
      <c r="L456" s="67">
        <f>IF(VLOOKUP($D456,$C$5:$AU$518,3,)=0,0,(VLOOKUP($D456,$C$5:$AU$518,10,)/VLOOKUP($D456,$C$5:$AU$518,3,))*$E456)</f>
        <v>206391.23426336891</v>
      </c>
      <c r="M456" s="42">
        <f>IF(VLOOKUP($D456,$C$5:$AU$518,3,)=0,0,(VLOOKUP($D456,$C$5:$AU$518,11,)/VLOOKUP($D456,$C$5:$AU$518,3,))*$E456)</f>
        <v>0</v>
      </c>
      <c r="N456" s="42">
        <f>IF(VLOOKUP($D456,$C$5:$AU$518,3,)=0,0,(VLOOKUP($D456,$C$5:$AU$518,12,)/VLOOKUP($D456,$C$5:$AU$518,3,))*$E456)</f>
        <v>0</v>
      </c>
      <c r="O456" s="42">
        <f>IF(VLOOKUP($D456,$C$5:$AU$518,3,)=0,0,(VLOOKUP($D456,$C$5:$AU$518,13,)/VLOOKUP($D456,$C$5:$AU$518,3,))*$E456)</f>
        <v>0</v>
      </c>
      <c r="P456" s="42">
        <f>IF(VLOOKUP($D456,$C$5:$AU$518,3,)=0,0,(VLOOKUP($D456,$C$5:$AU$518,14,)/VLOOKUP($D456,$C$5:$AU$518,3,))*$E456)</f>
        <v>0</v>
      </c>
      <c r="Q456" s="42">
        <f>IF(VLOOKUP($D456,$C$5:$AU$518,3,)=0,0,(VLOOKUP($D456,$C$5:$AU$518,15,)/VLOOKUP($D456,$C$5:$AU$518,3,))*$E456)</f>
        <v>0</v>
      </c>
      <c r="R456" s="42">
        <f>IF(VLOOKUP($D456,$C$5:$AU$518,3,)=0,0,(VLOOKUP($D456,$C$5:$AU$518,16,)/VLOOKUP($D456,$C$5:$AU$518,3,))*$E456)</f>
        <v>0</v>
      </c>
      <c r="S456" s="107">
        <f>IF(VLOOKUP($D456,$C$5:$AU$518,3,)=0,0,(VLOOKUP($D456,$C$5:$AU$518,17,)/VLOOKUP($D456,$C$5:$AU$518,3,))*$E456)</f>
        <v>0</v>
      </c>
      <c r="T456" s="107">
        <f>IF(VLOOKUP($D456,$C$5:$AU$518,3,)=0,0,(VLOOKUP($D456,$C$5:$AU$518,18,)/VLOOKUP($D456,$C$5:$AU$518,3,))*$E456)</f>
        <v>0</v>
      </c>
      <c r="U456" s="107">
        <f>IF(VLOOKUP($D456,$C$5:$AU$518,3,)=0,0,(VLOOKUP($D456,$C$5:$AU$518,19,)/VLOOKUP($D456,$C$5:$AU$518,3,))*$E456)</f>
        <v>0</v>
      </c>
      <c r="V456" s="107">
        <f>IF(VLOOKUP($D456,$C$5:$AU$518,3,)=0,0,(VLOOKUP($D456,$C$5:$AU$518,20,)/VLOOKUP($D456,$C$5:$AU$518,3,))*$E456)</f>
        <v>0</v>
      </c>
      <c r="W456" s="107">
        <f>IF(VLOOKUP($D456,$C$5:$AU$518,3,)=0,0,(VLOOKUP($D456,$C$5:$AU$518,21,)/VLOOKUP($D456,$C$5:$AU$518,3,))*$E456)</f>
        <v>0</v>
      </c>
      <c r="X456" s="107">
        <f>IF(VLOOKUP($D456,$C$5:$AU$518,3,)=0,0,(VLOOKUP($D456,$C$5:$AU$518,22,)/VLOOKUP($D456,$C$5:$AU$518,3,))*$E456)</f>
        <v>0</v>
      </c>
      <c r="Y456" s="107">
        <f>IF(VLOOKUP($D456,$C$5:$AU$518,3,)=0,0,(VLOOKUP($D456,$C$5:$AU$518,23,)/VLOOKUP($D456,$C$5:$AU$518,3,))*$E456)</f>
        <v>0</v>
      </c>
      <c r="Z456" s="107">
        <f>IF(VLOOKUP($D456,$C$5:$AU$518,3,)=0,0,(VLOOKUP($D456,$C$5:$AU$518,24,)/VLOOKUP($D456,$C$5:$AU$518,3,))*$E456)</f>
        <v>0</v>
      </c>
      <c r="AA456" s="107">
        <f>IF(VLOOKUP($D456,$C$5:$AU$518,3,)=0,0,(VLOOKUP($D456,$C$5:$AU$518,25,)/VLOOKUP($D456,$C$5:$AU$518,3,))*$E456)</f>
        <v>0</v>
      </c>
      <c r="AB456" s="107">
        <f>IF(VLOOKUP($D456,$C$5:$AU$518,3,)=0,0,(VLOOKUP($D456,$C$5:$AU$518,26,)/VLOOKUP($D456,$C$5:$AU$518,3,))*$E456)</f>
        <v>0</v>
      </c>
      <c r="AC456" s="107">
        <f>IF(VLOOKUP($D456,$C$5:$AU$518,3,)=0,0,(VLOOKUP($D456,$C$5:$AU$518,27,)/VLOOKUP($D456,$C$5:$AU$518,3,))*$E456)</f>
        <v>0</v>
      </c>
      <c r="AD456" s="107">
        <f>IF(VLOOKUP($D456,$C$5:$AU$518,3,)=0,0,(VLOOKUP($D456,$C$5:$AU$518,28,)/VLOOKUP($D456,$C$5:$AU$518,3,))*$E456)</f>
        <v>0</v>
      </c>
      <c r="AE456" s="107">
        <f>IF(VLOOKUP($D456,$C$5:$AU$518,3,)=0,0,(VLOOKUP($D456,$C$5:$AU$518,29,)/VLOOKUP($D456,$C$5:$AU$518,3,))*$E456)</f>
        <v>0</v>
      </c>
      <c r="AF456" s="107">
        <f>IF(VLOOKUP($D456,$C$5:$AU$518,3,)=0,0,(VLOOKUP($D456,$C$5:$AU$518,30,)/VLOOKUP($D456,$C$5:$AU$518,3,))*$E456)</f>
        <v>0</v>
      </c>
      <c r="AG456" s="91">
        <f>SUM(F456:AF456)</f>
        <v>46946763.390870191</v>
      </c>
      <c r="AH456" s="28" t="str">
        <f t="shared" si="236"/>
        <v>ok</v>
      </c>
    </row>
    <row r="457" spans="1:37" x14ac:dyDescent="0.25">
      <c r="A457" s="14" t="s">
        <v>606</v>
      </c>
      <c r="C457" s="14" t="s">
        <v>609</v>
      </c>
      <c r="E457" s="91">
        <f t="shared" ref="E457:AF457" si="237">E455+E456</f>
        <v>46946763.390870199</v>
      </c>
      <c r="F457" s="129">
        <f t="shared" si="237"/>
        <v>29506974.298457183</v>
      </c>
      <c r="G457" s="91">
        <f t="shared" si="237"/>
        <v>758585.88019273046</v>
      </c>
      <c r="H457" s="91">
        <f t="shared" si="237"/>
        <v>1214091.3546140844</v>
      </c>
      <c r="I457" s="91">
        <f t="shared" si="237"/>
        <v>13739908.234617561</v>
      </c>
      <c r="J457" s="91">
        <f t="shared" si="237"/>
        <v>0</v>
      </c>
      <c r="K457" s="91">
        <f t="shared" si="237"/>
        <v>1520812.3887252659</v>
      </c>
      <c r="L457" s="91">
        <f t="shared" si="237"/>
        <v>206391.23426336891</v>
      </c>
      <c r="M457" s="91">
        <f t="shared" si="237"/>
        <v>0</v>
      </c>
      <c r="N457" s="91">
        <f t="shared" si="237"/>
        <v>0</v>
      </c>
      <c r="O457" s="91">
        <f t="shared" si="237"/>
        <v>0</v>
      </c>
      <c r="P457" s="91">
        <f>P455+P456</f>
        <v>0</v>
      </c>
      <c r="Q457" s="91">
        <f t="shared" si="237"/>
        <v>0</v>
      </c>
      <c r="R457" s="91">
        <f t="shared" si="237"/>
        <v>0</v>
      </c>
      <c r="S457" s="114">
        <f t="shared" si="237"/>
        <v>0</v>
      </c>
      <c r="T457" s="114">
        <f t="shared" si="237"/>
        <v>0</v>
      </c>
      <c r="U457" s="114">
        <f t="shared" si="237"/>
        <v>0</v>
      </c>
      <c r="V457" s="114">
        <f t="shared" si="237"/>
        <v>0</v>
      </c>
      <c r="W457" s="114">
        <f t="shared" si="237"/>
        <v>0</v>
      </c>
      <c r="X457" s="114">
        <f t="shared" si="237"/>
        <v>0</v>
      </c>
      <c r="Y457" s="114">
        <f t="shared" si="237"/>
        <v>0</v>
      </c>
      <c r="Z457" s="114">
        <f t="shared" si="237"/>
        <v>0</v>
      </c>
      <c r="AA457" s="114">
        <f t="shared" si="237"/>
        <v>0</v>
      </c>
      <c r="AB457" s="114">
        <f t="shared" si="237"/>
        <v>0</v>
      </c>
      <c r="AC457" s="114">
        <f t="shared" si="237"/>
        <v>0</v>
      </c>
      <c r="AD457" s="114">
        <f t="shared" si="237"/>
        <v>0</v>
      </c>
      <c r="AE457" s="114">
        <f t="shared" si="237"/>
        <v>0</v>
      </c>
      <c r="AF457" s="114">
        <f t="shared" si="237"/>
        <v>0</v>
      </c>
      <c r="AG457" s="91">
        <f>SUM(F457:AF457)</f>
        <v>46946763.390870191</v>
      </c>
      <c r="AH457" s="28" t="str">
        <f t="shared" si="236"/>
        <v>ok</v>
      </c>
    </row>
    <row r="458" spans="1:37" x14ac:dyDescent="0.25">
      <c r="A458" s="14" t="s">
        <v>635</v>
      </c>
      <c r="C458" s="14" t="s">
        <v>608</v>
      </c>
      <c r="D458" s="14" t="s">
        <v>609</v>
      </c>
      <c r="E458" s="122">
        <v>1</v>
      </c>
      <c r="F458" s="99">
        <f>IF(VLOOKUP($D458,$C$5:$AU$518,3,)=0,0,(VLOOKUP($D458,$C$5:$AU$518,4,)/VLOOKUP($D458,$C$5:$AU$518,3,))*$E458)</f>
        <v>0.62851988438026052</v>
      </c>
      <c r="G458" s="99">
        <f>IF(VLOOKUP($D458,$C$5:$AU$518,3,)=0,0,(VLOOKUP($D458,$C$5:$AU$518,5,)/VLOOKUP($D458,$C$5:$AU$518,3,))*$E458)</f>
        <v>1.6158427661495695E-2</v>
      </c>
      <c r="H458" s="38">
        <f>IF(VLOOKUP($D458,$C$5:$AU$518,3,)=0,0,(VLOOKUP($D458,$C$5:$AU$518,6,)/VLOOKUP($D458,$C$5:$AU$518,3,))*$E458)</f>
        <v>2.5861023570587411E-2</v>
      </c>
      <c r="I458" s="38">
        <f>IF(VLOOKUP($D458,$C$5:$AU$518,3,)=0,0,(VLOOKUP($D458,$C$5:$AU$518,7,)/VLOOKUP($D458,$C$5:$AU$518,3,))*$E458)</f>
        <v>0.29266997855041865</v>
      </c>
      <c r="J458" s="38">
        <f>IF(VLOOKUP($D458,$C$5:$AU$518,3,)=0,0,(VLOOKUP($D458,$C$5:$AU$518,8,)/VLOOKUP($D458,$C$5:$AU$518,3,))*$E458)</f>
        <v>0</v>
      </c>
      <c r="K458" s="38">
        <f>IF(VLOOKUP($D458,$C$5:$AU$518,3,)=0,0,(VLOOKUP($D458,$C$5:$AU$518,9,)/VLOOKUP($D458,$C$5:$AU$518,3,))*$E458)</f>
        <v>3.2394403338591393E-2</v>
      </c>
      <c r="L458" s="99">
        <f>IF(VLOOKUP($D458,$C$5:$AU$518,3,)=0,0,(VLOOKUP($D458,$C$5:$AU$518,10,)/VLOOKUP($D458,$C$5:$AU$518,3,))*$E458)</f>
        <v>4.3962824986462454E-3</v>
      </c>
      <c r="M458" s="38">
        <f>IF(VLOOKUP($D458,$C$5:$AU$518,3,)=0,0,(VLOOKUP($D458,$C$5:$AU$518,11,)/VLOOKUP($D458,$C$5:$AU$518,3,))*$E458)</f>
        <v>0</v>
      </c>
      <c r="N458" s="38">
        <f>IF(VLOOKUP($D458,$C$5:$AU$518,3,)=0,0,(VLOOKUP($D458,$C$5:$AU$518,12,)/VLOOKUP($D458,$C$5:$AU$518,3,))*$E458)</f>
        <v>0</v>
      </c>
      <c r="O458" s="38">
        <f>IF(VLOOKUP($D458,$C$5:$AU$518,3,)=0,0,(VLOOKUP($D458,$C$5:$AU$518,13,)/VLOOKUP($D458,$C$5:$AU$518,3,))*$E458)</f>
        <v>0</v>
      </c>
      <c r="P458" s="38">
        <f>IF(VLOOKUP($D458,$C$5:$AU$518,3,)=0,0,(VLOOKUP($D458,$C$5:$AU$518,14,)/VLOOKUP($D458,$C$5:$AU$518,3,))*$E458)</f>
        <v>0</v>
      </c>
      <c r="Q458" s="38">
        <f>IF(VLOOKUP($D458,$C$5:$AU$518,3,)=0,0,(VLOOKUP($D458,$C$5:$AU$518,15,)/VLOOKUP($D458,$C$5:$AU$518,3,))*$E458)</f>
        <v>0</v>
      </c>
      <c r="R458" s="38">
        <f>IF(VLOOKUP($D458,$C$5:$AU$518,3,)=0,0,(VLOOKUP($D458,$C$5:$AU$518,16,)/VLOOKUP($D458,$C$5:$AU$518,3,))*$E458)</f>
        <v>0</v>
      </c>
      <c r="S458" s="127">
        <f>IF(VLOOKUP($D458,$C$5:$AU$518,3,)=0,0,(VLOOKUP($D458,$C$5:$AU$518,17,)/VLOOKUP($D458,$C$5:$AU$518,3,))*$E458)</f>
        <v>0</v>
      </c>
      <c r="T458" s="127">
        <f>IF(VLOOKUP($D458,$C$5:$AU$518,3,)=0,0,(VLOOKUP($D458,$C$5:$AU$518,18,)/VLOOKUP($D458,$C$5:$AU$518,3,))*$E458)</f>
        <v>0</v>
      </c>
      <c r="U458" s="127">
        <f>IF(VLOOKUP($D458,$C$5:$AU$518,3,)=0,0,(VLOOKUP($D458,$C$5:$AU$518,19,)/VLOOKUP($D458,$C$5:$AU$518,3,))*$E458)</f>
        <v>0</v>
      </c>
      <c r="V458" s="127">
        <f>IF(VLOOKUP($D458,$C$5:$AU$518,3,)=0,0,(VLOOKUP($D458,$C$5:$AU$518,20,)/VLOOKUP($D458,$C$5:$AU$518,3,))*$E458)</f>
        <v>0</v>
      </c>
      <c r="W458" s="127">
        <f>IF(VLOOKUP($D458,$C$5:$AU$518,3,)=0,0,(VLOOKUP($D458,$C$5:$AU$518,21,)/VLOOKUP($D458,$C$5:$AU$518,3,))*$E458)</f>
        <v>0</v>
      </c>
      <c r="X458" s="127">
        <f>IF(VLOOKUP($D458,$C$5:$AU$518,3,)=0,0,(VLOOKUP($D458,$C$5:$AU$518,22,)/VLOOKUP($D458,$C$5:$AU$518,3,))*$E458)</f>
        <v>0</v>
      </c>
      <c r="Y458" s="127">
        <f>IF(VLOOKUP($D458,$C$5:$AU$518,3,)=0,0,(VLOOKUP($D458,$C$5:$AU$518,23,)/VLOOKUP($D458,$C$5:$AU$518,3,))*$E458)</f>
        <v>0</v>
      </c>
      <c r="Z458" s="127">
        <f>IF(VLOOKUP($D458,$C$5:$AU$518,3,)=0,0,(VLOOKUP($D458,$C$5:$AU$518,24,)/VLOOKUP($D458,$C$5:$AU$518,3,))*$E458)</f>
        <v>0</v>
      </c>
      <c r="AA458" s="127">
        <f>IF(VLOOKUP($D458,$C$5:$AU$518,3,)=0,0,(VLOOKUP($D458,$C$5:$AU$518,25,)/VLOOKUP($D458,$C$5:$AU$518,3,))*$E458)</f>
        <v>0</v>
      </c>
      <c r="AB458" s="127">
        <f>IF(VLOOKUP($D458,$C$5:$AU$518,3,)=0,0,(VLOOKUP($D458,$C$5:$AU$518,26,)/VLOOKUP($D458,$C$5:$AU$518,3,))*$E458)</f>
        <v>0</v>
      </c>
      <c r="AC458" s="127">
        <f>IF(VLOOKUP($D458,$C$5:$AU$518,3,)=0,0,(VLOOKUP($D458,$C$5:$AU$518,27,)/VLOOKUP($D458,$C$5:$AU$518,3,))*$E458)</f>
        <v>0</v>
      </c>
      <c r="AD458" s="127">
        <f>IF(VLOOKUP($D458,$C$5:$AU$518,3,)=0,0,(VLOOKUP($D458,$C$5:$AU$518,28,)/VLOOKUP($D458,$C$5:$AU$518,3,))*$E458)</f>
        <v>0</v>
      </c>
      <c r="AE458" s="127">
        <f>IF(VLOOKUP($D458,$C$5:$AU$518,3,)=0,0,(VLOOKUP($D458,$C$5:$AU$518,29,)/VLOOKUP($D458,$C$5:$AU$518,3,))*$E458)</f>
        <v>0</v>
      </c>
      <c r="AF458" s="127">
        <f>IF(VLOOKUP($D458,$C$5:$AU$518,3,)=0,0,(VLOOKUP($D458,$C$5:$AU$518,30,)/VLOOKUP($D458,$C$5:$AU$518,3,))*$E458)</f>
        <v>0</v>
      </c>
      <c r="AG458" s="38">
        <f>SUM(F458:AF458)</f>
        <v>0.99999999999999989</v>
      </c>
      <c r="AH458" s="28" t="str">
        <f t="shared" si="236"/>
        <v>ok</v>
      </c>
    </row>
    <row r="460" spans="1:37" x14ac:dyDescent="0.25">
      <c r="A460" s="14" t="s">
        <v>603</v>
      </c>
      <c r="C460" s="14" t="s">
        <v>627</v>
      </c>
      <c r="E460" s="23">
        <f>E453</f>
        <v>3981736.8034786186</v>
      </c>
      <c r="F460" s="48">
        <f>F453</f>
        <v>2502600.7553550093</v>
      </c>
      <c r="G460" s="50">
        <f t="shared" ref="G460:Q460" si="238">G453</f>
        <v>64338.606106124353</v>
      </c>
      <c r="H460" s="23">
        <f t="shared" si="238"/>
        <v>102971.78932663593</v>
      </c>
      <c r="I460" s="23">
        <f t="shared" si="238"/>
        <v>1165334.8248674998</v>
      </c>
      <c r="J460" s="50">
        <f t="shared" si="238"/>
        <v>0</v>
      </c>
      <c r="K460" s="23">
        <f t="shared" si="238"/>
        <v>128985.988</v>
      </c>
      <c r="L460" s="50">
        <f t="shared" si="238"/>
        <v>17504.839823348695</v>
      </c>
      <c r="M460" s="23">
        <f t="shared" si="238"/>
        <v>0</v>
      </c>
      <c r="N460" s="23">
        <f t="shared" si="238"/>
        <v>0</v>
      </c>
      <c r="O460" s="23">
        <f t="shared" si="238"/>
        <v>0</v>
      </c>
      <c r="P460" s="23">
        <f t="shared" si="238"/>
        <v>0</v>
      </c>
      <c r="Q460" s="23">
        <f t="shared" si="238"/>
        <v>0</v>
      </c>
      <c r="R460" s="23">
        <f>R453</f>
        <v>0</v>
      </c>
      <c r="S460" s="115">
        <f>S453</f>
        <v>0</v>
      </c>
      <c r="T460" s="115">
        <f>T453</f>
        <v>0</v>
      </c>
      <c r="U460" s="115">
        <f t="shared" ref="U460:AF460" si="239">U453</f>
        <v>0</v>
      </c>
      <c r="V460" s="115">
        <f t="shared" si="239"/>
        <v>0</v>
      </c>
      <c r="W460" s="115">
        <f t="shared" si="239"/>
        <v>0</v>
      </c>
      <c r="X460" s="115">
        <f t="shared" si="239"/>
        <v>0</v>
      </c>
      <c r="Y460" s="115">
        <f t="shared" si="239"/>
        <v>0</v>
      </c>
      <c r="Z460" s="115">
        <f t="shared" si="239"/>
        <v>0</v>
      </c>
      <c r="AA460" s="115">
        <f t="shared" si="239"/>
        <v>0</v>
      </c>
      <c r="AB460" s="115">
        <f t="shared" si="239"/>
        <v>0</v>
      </c>
      <c r="AC460" s="115">
        <f t="shared" si="239"/>
        <v>0</v>
      </c>
      <c r="AD460" s="115">
        <f t="shared" si="239"/>
        <v>0</v>
      </c>
      <c r="AE460" s="115">
        <f t="shared" si="239"/>
        <v>0</v>
      </c>
      <c r="AF460" s="115">
        <f t="shared" si="239"/>
        <v>0</v>
      </c>
      <c r="AG460" s="23">
        <f>SUM(F460:AF460)</f>
        <v>3981736.8034786186</v>
      </c>
      <c r="AH460" s="28" t="str">
        <f t="shared" ref="AH460:AH465" si="240">IF(ABS(E460-AG460)&lt;0.01,"ok","err")</f>
        <v>ok</v>
      </c>
    </row>
    <row r="461" spans="1:37" x14ac:dyDescent="0.25">
      <c r="A461" s="14" t="s">
        <v>604</v>
      </c>
      <c r="E461" s="91">
        <f>E454</f>
        <v>46946763.390870199</v>
      </c>
      <c r="AG461" s="91">
        <f>E461</f>
        <v>46946763.390870199</v>
      </c>
      <c r="AH461" s="28" t="str">
        <f t="shared" si="240"/>
        <v>ok</v>
      </c>
    </row>
    <row r="462" spans="1:37" x14ac:dyDescent="0.25">
      <c r="A462" s="14" t="s">
        <v>595</v>
      </c>
      <c r="E462" s="67"/>
      <c r="M462" s="23">
        <v>0</v>
      </c>
      <c r="N462" s="23">
        <v>0</v>
      </c>
      <c r="P462" s="23"/>
      <c r="Q462" s="130"/>
      <c r="R462" s="14">
        <v>0</v>
      </c>
      <c r="S462" s="100">
        <v>0</v>
      </c>
      <c r="AA462" s="107">
        <v>0</v>
      </c>
      <c r="AB462" s="107">
        <v>0</v>
      </c>
      <c r="AC462" s="107">
        <v>0</v>
      </c>
      <c r="AD462" s="114">
        <f>AD455</f>
        <v>0</v>
      </c>
      <c r="AE462" s="107">
        <v>0</v>
      </c>
      <c r="AG462" s="91">
        <f>SUM(F462:AF462)</f>
        <v>0</v>
      </c>
      <c r="AH462" s="28" t="str">
        <f t="shared" si="240"/>
        <v>ok</v>
      </c>
    </row>
    <row r="463" spans="1:37" x14ac:dyDescent="0.25">
      <c r="A463" s="14" t="s">
        <v>605</v>
      </c>
      <c r="D463" s="14" t="s">
        <v>627</v>
      </c>
      <c r="E463" s="91">
        <f>E461-E462</f>
        <v>46946763.390870199</v>
      </c>
      <c r="F463" s="128">
        <f>IF(VLOOKUP($D463,$C$5:$AU$518,3,)=0,0,(VLOOKUP($D463,$C$5:$AU$518,4,)/VLOOKUP($D463,$C$5:$AU$518,3,))*$E463)</f>
        <v>29506974.298457183</v>
      </c>
      <c r="G463" s="67">
        <f>IF(VLOOKUP($D463,$C$5:$AU$518,3,)=0,0,(VLOOKUP($D463,$C$5:$AU$518,5,)/VLOOKUP($D463,$C$5:$AU$518,3,))*$E463)</f>
        <v>758585.88019273046</v>
      </c>
      <c r="H463" s="42">
        <f>IF(VLOOKUP($D463,$C$5:$AU$518,3,)=0,0,(VLOOKUP($D463,$C$5:$AU$518,6,)/VLOOKUP($D463,$C$5:$AU$518,3,))*$E463)</f>
        <v>1214091.3546140844</v>
      </c>
      <c r="I463" s="42">
        <f>IF(VLOOKUP($D463,$C$5:$AU$518,3,)=0,0,(VLOOKUP($D463,$C$5:$AU$518,7,)/VLOOKUP($D463,$C$5:$AU$518,3,))*$E463)</f>
        <v>13739908.234617561</v>
      </c>
      <c r="J463" s="67">
        <f>IF(VLOOKUP($D463,$C$5:$AU$518,3,)=0,0,(VLOOKUP($D463,$C$5:$AU$518,8,)/VLOOKUP($D463,$C$5:$AU$518,3,))*$E463)</f>
        <v>0</v>
      </c>
      <c r="K463" s="42">
        <f>IF(VLOOKUP($D463,$C$5:$AU$518,3,)=0,0,(VLOOKUP($D463,$C$5:$AU$518,9,)/VLOOKUP($D463,$C$5:$AU$518,3,))*$E463)</f>
        <v>1520812.3887252659</v>
      </c>
      <c r="L463" s="67">
        <f>IF(VLOOKUP($D463,$C$5:$AU$518,3,)=0,0,(VLOOKUP($D463,$C$5:$AU$518,10,)/VLOOKUP($D463,$C$5:$AU$518,3,))*$E463)</f>
        <v>206391.23426336891</v>
      </c>
      <c r="M463" s="42">
        <f>IF(VLOOKUP($D463,$C$5:$AU$518,3,)=0,0,(VLOOKUP($D463,$C$5:$AU$518,11,)/VLOOKUP($D463,$C$5:$AU$518,3,))*$E463)</f>
        <v>0</v>
      </c>
      <c r="N463" s="42">
        <f>IF(VLOOKUP($D463,$C$5:$AU$518,3,)=0,0,(VLOOKUP($D463,$C$5:$AU$518,12,)/VLOOKUP($D463,$C$5:$AU$518,3,))*$E463)</f>
        <v>0</v>
      </c>
      <c r="O463" s="42">
        <f>IF(VLOOKUP($D463,$C$5:$AU$518,3,)=0,0,(VLOOKUP($D463,$C$5:$AU$518,13,)/VLOOKUP($D463,$C$5:$AU$518,3,))*$E463)</f>
        <v>0</v>
      </c>
      <c r="P463" s="42">
        <f>IF(VLOOKUP($D463,$C$5:$AU$518,3,)=0,0,(VLOOKUP($D463,$C$5:$AU$518,14,)/VLOOKUP($D463,$C$5:$AU$518,3,))*$E463)</f>
        <v>0</v>
      </c>
      <c r="Q463" s="42">
        <f>IF(VLOOKUP($D463,$C$5:$AU$518,3,)=0,0,(VLOOKUP($D463,$C$5:$AU$518,15,)/VLOOKUP($D463,$C$5:$AU$518,3,))*$E463)</f>
        <v>0</v>
      </c>
      <c r="R463" s="42">
        <f>IF(VLOOKUP($D463,$C$5:$AU$518,3,)=0,0,(VLOOKUP($D463,$C$5:$AU$518,16,)/VLOOKUP($D463,$C$5:$AU$518,3,))*$E463)</f>
        <v>0</v>
      </c>
      <c r="S463" s="107">
        <f>IF(VLOOKUP($D463,$C$5:$AU$518,3,)=0,0,(VLOOKUP($D463,$C$5:$AU$518,17,)/VLOOKUP($D463,$C$5:$AU$518,3,))*$E463)</f>
        <v>0</v>
      </c>
      <c r="T463" s="107">
        <f>IF(VLOOKUP($D463,$C$5:$AU$518,3,)=0,0,(VLOOKUP($D463,$C$5:$AU$518,18,)/VLOOKUP($D463,$C$5:$AU$518,3,))*$E463)</f>
        <v>0</v>
      </c>
      <c r="U463" s="107">
        <f>IF(VLOOKUP($D463,$C$5:$AU$518,3,)=0,0,(VLOOKUP($D463,$C$5:$AU$518,19,)/VLOOKUP($D463,$C$5:$AU$518,3,))*$E463)</f>
        <v>0</v>
      </c>
      <c r="V463" s="107">
        <f>IF(VLOOKUP($D463,$C$5:$AU$518,3,)=0,0,(VLOOKUP($D463,$C$5:$AU$518,20,)/VLOOKUP($D463,$C$5:$AU$518,3,))*$E463)</f>
        <v>0</v>
      </c>
      <c r="W463" s="107">
        <f>IF(VLOOKUP($D463,$C$5:$AU$518,3,)=0,0,(VLOOKUP($D463,$C$5:$AU$518,21,)/VLOOKUP($D463,$C$5:$AU$518,3,))*$E463)</f>
        <v>0</v>
      </c>
      <c r="X463" s="107">
        <f>IF(VLOOKUP($D463,$C$5:$AU$518,3,)=0,0,(VLOOKUP($D463,$C$5:$AU$518,22,)/VLOOKUP($D463,$C$5:$AU$518,3,))*$E463)</f>
        <v>0</v>
      </c>
      <c r="Y463" s="107">
        <f>IF(VLOOKUP($D463,$C$5:$AU$518,3,)=0,0,(VLOOKUP($D463,$C$5:$AU$518,23,)/VLOOKUP($D463,$C$5:$AU$518,3,))*$E463)</f>
        <v>0</v>
      </c>
      <c r="Z463" s="107">
        <f>IF(VLOOKUP($D463,$C$5:$AU$518,3,)=0,0,(VLOOKUP($D463,$C$5:$AU$518,24,)/VLOOKUP($D463,$C$5:$AU$518,3,))*$E463)</f>
        <v>0</v>
      </c>
      <c r="AA463" s="107">
        <f>IF(VLOOKUP($D463,$C$5:$AU$518,3,)=0,0,(VLOOKUP($D463,$C$5:$AU$518,25,)/VLOOKUP($D463,$C$5:$AU$518,3,))*$E463)</f>
        <v>0</v>
      </c>
      <c r="AB463" s="107">
        <f>IF(VLOOKUP($D463,$C$5:$AU$518,3,)=0,0,(VLOOKUP($D463,$C$5:$AU$518,26,)/VLOOKUP($D463,$C$5:$AU$518,3,))*$E463)</f>
        <v>0</v>
      </c>
      <c r="AC463" s="107">
        <f>IF(VLOOKUP($D463,$C$5:$AU$518,3,)=0,0,(VLOOKUP($D463,$C$5:$AU$518,27,)/VLOOKUP($D463,$C$5:$AU$518,3,))*$E463)</f>
        <v>0</v>
      </c>
      <c r="AD463" s="107">
        <f>IF(VLOOKUP($D463,$C$5:$AU$518,3,)=0,0,(VLOOKUP($D463,$C$5:$AU$518,28,)/VLOOKUP($D463,$C$5:$AU$518,3,))*$E463)</f>
        <v>0</v>
      </c>
      <c r="AE463" s="107">
        <f>IF(VLOOKUP($D463,$C$5:$AU$518,3,)=0,0,(VLOOKUP($D463,$C$5:$AU$518,29,)/VLOOKUP($D463,$C$5:$AU$518,3,))*$E463)</f>
        <v>0</v>
      </c>
      <c r="AF463" s="107">
        <f>IF(VLOOKUP($D463,$C$5:$AU$518,3,)=0,0,(VLOOKUP($D463,$C$5:$AU$518,30,)/VLOOKUP($D463,$C$5:$AU$518,3,))*$E463)</f>
        <v>0</v>
      </c>
      <c r="AG463" s="91">
        <f>SUM(F463:AF463)</f>
        <v>46946763.390870191</v>
      </c>
      <c r="AH463" s="28" t="str">
        <f t="shared" si="240"/>
        <v>ok</v>
      </c>
    </row>
    <row r="464" spans="1:37" x14ac:dyDescent="0.25">
      <c r="A464" s="14" t="s">
        <v>606</v>
      </c>
      <c r="C464" s="14" t="s">
        <v>628</v>
      </c>
      <c r="E464" s="91">
        <f t="shared" ref="E464:AF464" si="241">E462+E463</f>
        <v>46946763.390870199</v>
      </c>
      <c r="F464" s="129">
        <f t="shared" si="241"/>
        <v>29506974.298457183</v>
      </c>
      <c r="G464" s="91">
        <f t="shared" si="241"/>
        <v>758585.88019273046</v>
      </c>
      <c r="H464" s="91">
        <f t="shared" si="241"/>
        <v>1214091.3546140844</v>
      </c>
      <c r="I464" s="91">
        <f t="shared" si="241"/>
        <v>13739908.234617561</v>
      </c>
      <c r="J464" s="91">
        <f t="shared" si="241"/>
        <v>0</v>
      </c>
      <c r="K464" s="91">
        <f t="shared" si="241"/>
        <v>1520812.3887252659</v>
      </c>
      <c r="L464" s="91">
        <f t="shared" si="241"/>
        <v>206391.23426336891</v>
      </c>
      <c r="M464" s="91">
        <f t="shared" si="241"/>
        <v>0</v>
      </c>
      <c r="N464" s="91">
        <f t="shared" si="241"/>
        <v>0</v>
      </c>
      <c r="O464" s="91">
        <f t="shared" si="241"/>
        <v>0</v>
      </c>
      <c r="P464" s="91">
        <f t="shared" si="241"/>
        <v>0</v>
      </c>
      <c r="Q464" s="91">
        <f t="shared" si="241"/>
        <v>0</v>
      </c>
      <c r="R464" s="91">
        <f t="shared" si="241"/>
        <v>0</v>
      </c>
      <c r="S464" s="114">
        <f t="shared" si="241"/>
        <v>0</v>
      </c>
      <c r="T464" s="114">
        <f t="shared" si="241"/>
        <v>0</v>
      </c>
      <c r="U464" s="114">
        <f t="shared" si="241"/>
        <v>0</v>
      </c>
      <c r="V464" s="114">
        <f t="shared" si="241"/>
        <v>0</v>
      </c>
      <c r="W464" s="114">
        <f t="shared" si="241"/>
        <v>0</v>
      </c>
      <c r="X464" s="114">
        <f t="shared" si="241"/>
        <v>0</v>
      </c>
      <c r="Y464" s="114">
        <f t="shared" si="241"/>
        <v>0</v>
      </c>
      <c r="Z464" s="114">
        <f t="shared" si="241"/>
        <v>0</v>
      </c>
      <c r="AA464" s="114">
        <f t="shared" si="241"/>
        <v>0</v>
      </c>
      <c r="AB464" s="114">
        <f t="shared" si="241"/>
        <v>0</v>
      </c>
      <c r="AC464" s="114">
        <f t="shared" si="241"/>
        <v>0</v>
      </c>
      <c r="AD464" s="114">
        <f t="shared" si="241"/>
        <v>0</v>
      </c>
      <c r="AE464" s="114">
        <f t="shared" si="241"/>
        <v>0</v>
      </c>
      <c r="AF464" s="114">
        <f t="shared" si="241"/>
        <v>0</v>
      </c>
      <c r="AG464" s="91">
        <f>SUM(F464:AF464)</f>
        <v>46946763.390870191</v>
      </c>
      <c r="AH464" s="28" t="str">
        <f t="shared" si="240"/>
        <v>ok</v>
      </c>
    </row>
    <row r="465" spans="1:37" x14ac:dyDescent="0.25">
      <c r="A465" s="14" t="s">
        <v>634</v>
      </c>
      <c r="C465" s="14" t="s">
        <v>629</v>
      </c>
      <c r="D465" s="14" t="s">
        <v>628</v>
      </c>
      <c r="E465" s="122">
        <v>1</v>
      </c>
      <c r="F465" s="99">
        <f>IF(VLOOKUP($D465,$C$5:$AU$518,3,)=0,0,(VLOOKUP($D465,$C$5:$AU$518,4,)/VLOOKUP($D465,$C$5:$AU$518,3,))*$E465)</f>
        <v>0.62851988438026052</v>
      </c>
      <c r="G465" s="99">
        <f>IF(VLOOKUP($D465,$C$5:$AU$518,3,)=0,0,(VLOOKUP($D465,$C$5:$AU$518,5,)/VLOOKUP($D465,$C$5:$AU$518,3,))*$E465)</f>
        <v>1.6158427661495695E-2</v>
      </c>
      <c r="H465" s="38">
        <f>IF(VLOOKUP($D465,$C$5:$AU$518,3,)=0,0,(VLOOKUP($D465,$C$5:$AU$518,6,)/VLOOKUP($D465,$C$5:$AU$518,3,))*$E465)</f>
        <v>2.5861023570587411E-2</v>
      </c>
      <c r="I465" s="38">
        <f>IF(VLOOKUP($D465,$C$5:$AU$518,3,)=0,0,(VLOOKUP($D465,$C$5:$AU$518,7,)/VLOOKUP($D465,$C$5:$AU$518,3,))*$E465)</f>
        <v>0.29266997855041865</v>
      </c>
      <c r="J465" s="99">
        <f>IF(VLOOKUP($D465,$C$5:$AU$518,3,)=0,0,(VLOOKUP($D465,$C$5:$AU$518,8,)/VLOOKUP($D465,$C$5:$AU$518,3,))*$E465)</f>
        <v>0</v>
      </c>
      <c r="K465" s="38">
        <f>IF(VLOOKUP($D465,$C$5:$AU$518,3,)=0,0,(VLOOKUP($D465,$C$5:$AU$518,9,)/VLOOKUP($D465,$C$5:$AU$518,3,))*$E465)</f>
        <v>3.2394403338591393E-2</v>
      </c>
      <c r="L465" s="99">
        <f>IF(VLOOKUP($D465,$C$5:$AU$518,3,)=0,0,(VLOOKUP($D465,$C$5:$AU$518,10,)/VLOOKUP($D465,$C$5:$AU$518,3,))*$E465)</f>
        <v>4.3962824986462454E-3</v>
      </c>
      <c r="M465" s="38">
        <f>IF(VLOOKUP($D465,$C$5:$AU$518,3,)=0,0,(VLOOKUP($D465,$C$5:$AU$518,11,)/VLOOKUP($D465,$C$5:$AU$518,3,))*$E465)</f>
        <v>0</v>
      </c>
      <c r="N465" s="38">
        <f>IF(VLOOKUP($D465,$C$5:$AU$518,3,)=0,0,(VLOOKUP($D465,$C$5:$AU$518,12,)/VLOOKUP($D465,$C$5:$AU$518,3,))*$E465)</f>
        <v>0</v>
      </c>
      <c r="O465" s="38">
        <f>IF(VLOOKUP($D465,$C$5:$AU$518,3,)=0,0,(VLOOKUP($D465,$C$5:$AU$518,13,)/VLOOKUP($D465,$C$5:$AU$518,3,))*$E465)</f>
        <v>0</v>
      </c>
      <c r="P465" s="38">
        <f>IF(VLOOKUP($D465,$C$5:$AU$518,3,)=0,0,(VLOOKUP($D465,$C$5:$AU$518,14,)/VLOOKUP($D465,$C$5:$AU$518,3,))*$E465)</f>
        <v>0</v>
      </c>
      <c r="Q465" s="38">
        <f>IF(VLOOKUP($D465,$C$5:$AU$518,3,)=0,0,(VLOOKUP($D465,$C$5:$AU$518,15,)/VLOOKUP($D465,$C$5:$AU$518,3,))*$E465)</f>
        <v>0</v>
      </c>
      <c r="R465" s="38">
        <f>IF(VLOOKUP($D465,$C$5:$AU$518,3,)=0,0,(VLOOKUP($D465,$C$5:$AU$518,16,)/VLOOKUP($D465,$C$5:$AU$518,3,))*$E465)</f>
        <v>0</v>
      </c>
      <c r="S465" s="127">
        <f>IF(VLOOKUP($D465,$C$5:$AU$518,3,)=0,0,(VLOOKUP($D465,$C$5:$AU$518,17,)/VLOOKUP($D465,$C$5:$AU$518,3,))*$E465)</f>
        <v>0</v>
      </c>
      <c r="T465" s="127">
        <f>IF(VLOOKUP($D465,$C$5:$AU$518,3,)=0,0,(VLOOKUP($D465,$C$5:$AU$518,18,)/VLOOKUP($D465,$C$5:$AU$518,3,))*$E465)</f>
        <v>0</v>
      </c>
      <c r="U465" s="127">
        <f>IF(VLOOKUP($D465,$C$5:$AU$518,3,)=0,0,(VLOOKUP($D465,$C$5:$AU$518,19,)/VLOOKUP($D465,$C$5:$AU$518,3,))*$E465)</f>
        <v>0</v>
      </c>
      <c r="V465" s="127">
        <f>IF(VLOOKUP($D465,$C$5:$AU$518,3,)=0,0,(VLOOKUP($D465,$C$5:$AU$518,20,)/VLOOKUP($D465,$C$5:$AU$518,3,))*$E465)</f>
        <v>0</v>
      </c>
      <c r="W465" s="127">
        <f>IF(VLOOKUP($D465,$C$5:$AU$518,3,)=0,0,(VLOOKUP($D465,$C$5:$AU$518,21,)/VLOOKUP($D465,$C$5:$AU$518,3,))*$E465)</f>
        <v>0</v>
      </c>
      <c r="X465" s="127">
        <f>IF(VLOOKUP($D465,$C$5:$AU$518,3,)=0,0,(VLOOKUP($D465,$C$5:$AU$518,22,)/VLOOKUP($D465,$C$5:$AU$518,3,))*$E465)</f>
        <v>0</v>
      </c>
      <c r="Y465" s="127">
        <f>IF(VLOOKUP($D465,$C$5:$AU$518,3,)=0,0,(VLOOKUP($D465,$C$5:$AU$518,23,)/VLOOKUP($D465,$C$5:$AU$518,3,))*$E465)</f>
        <v>0</v>
      </c>
      <c r="Z465" s="127">
        <f>IF(VLOOKUP($D465,$C$5:$AU$518,3,)=0,0,(VLOOKUP($D465,$C$5:$AU$518,24,)/VLOOKUP($D465,$C$5:$AU$518,3,))*$E465)</f>
        <v>0</v>
      </c>
      <c r="AA465" s="127">
        <f>IF(VLOOKUP($D465,$C$5:$AU$518,3,)=0,0,(VLOOKUP($D465,$C$5:$AU$518,25,)/VLOOKUP($D465,$C$5:$AU$518,3,))*$E465)</f>
        <v>0</v>
      </c>
      <c r="AB465" s="127">
        <f>IF(VLOOKUP($D465,$C$5:$AU$518,3,)=0,0,(VLOOKUP($D465,$C$5:$AU$518,26,)/VLOOKUP($D465,$C$5:$AU$518,3,))*$E465)</f>
        <v>0</v>
      </c>
      <c r="AC465" s="127">
        <f>IF(VLOOKUP($D465,$C$5:$AU$518,3,)=0,0,(VLOOKUP($D465,$C$5:$AU$518,27,)/VLOOKUP($D465,$C$5:$AU$518,3,))*$E465)</f>
        <v>0</v>
      </c>
      <c r="AD465" s="127">
        <f>IF(VLOOKUP($D465,$C$5:$AU$518,3,)=0,0,(VLOOKUP($D465,$C$5:$AU$518,28,)/VLOOKUP($D465,$C$5:$AU$518,3,))*$E465)</f>
        <v>0</v>
      </c>
      <c r="AE465" s="127">
        <f>IF(VLOOKUP($D465,$C$5:$AU$518,3,)=0,0,(VLOOKUP($D465,$C$5:$AU$518,29,)/VLOOKUP($D465,$C$5:$AU$518,3,))*$E465)</f>
        <v>0</v>
      </c>
      <c r="AF465" s="127">
        <f>IF(VLOOKUP($D465,$C$5:$AU$518,3,)=0,0,(VLOOKUP($D465,$C$5:$AU$518,30,)/VLOOKUP($D465,$C$5:$AU$518,3,))*$E465)</f>
        <v>0</v>
      </c>
      <c r="AG465" s="38">
        <f>SUM(F465:AF465)</f>
        <v>0.99999999999999989</v>
      </c>
      <c r="AH465" s="28" t="str">
        <f t="shared" si="240"/>
        <v>ok</v>
      </c>
    </row>
    <row r="467" spans="1:37" x14ac:dyDescent="0.25">
      <c r="A467" s="14" t="s">
        <v>610</v>
      </c>
      <c r="C467" s="14" t="s">
        <v>614</v>
      </c>
      <c r="E467" s="50">
        <v>1339910.561097088</v>
      </c>
      <c r="F467" s="50">
        <f t="shared" ref="F467:S467" si="242">F446</f>
        <v>843041.55674455478</v>
      </c>
      <c r="G467" s="50">
        <f t="shared" si="242"/>
        <v>82481.637822210949</v>
      </c>
      <c r="H467" s="50">
        <f t="shared" si="242"/>
        <v>23455.182324426693</v>
      </c>
      <c r="I467" s="50">
        <f t="shared" si="242"/>
        <v>339158.99961552187</v>
      </c>
      <c r="J467" s="50">
        <v>0</v>
      </c>
      <c r="K467" s="50">
        <f t="shared" si="242"/>
        <v>42791.56</v>
      </c>
      <c r="L467" s="50">
        <f t="shared" si="242"/>
        <v>8981.6245903737836</v>
      </c>
      <c r="M467" s="50">
        <f t="shared" si="242"/>
        <v>0</v>
      </c>
      <c r="N467" s="50">
        <f t="shared" si="242"/>
        <v>0</v>
      </c>
      <c r="O467" s="50">
        <f t="shared" si="242"/>
        <v>0</v>
      </c>
      <c r="P467" s="50">
        <f t="shared" si="242"/>
        <v>0</v>
      </c>
      <c r="Q467" s="50">
        <f t="shared" si="242"/>
        <v>0</v>
      </c>
      <c r="R467" s="50">
        <f t="shared" si="242"/>
        <v>0</v>
      </c>
      <c r="S467" s="115">
        <f t="shared" si="242"/>
        <v>0</v>
      </c>
      <c r="T467" s="115">
        <f t="shared" ref="T467:Y467" si="243">T434</f>
        <v>0</v>
      </c>
      <c r="U467" s="115">
        <f t="shared" si="243"/>
        <v>0</v>
      </c>
      <c r="V467" s="115">
        <f t="shared" si="243"/>
        <v>0</v>
      </c>
      <c r="W467" s="115">
        <f t="shared" si="243"/>
        <v>0</v>
      </c>
      <c r="X467" s="115">
        <f t="shared" si="243"/>
        <v>0</v>
      </c>
      <c r="Y467" s="115">
        <f t="shared" si="243"/>
        <v>0</v>
      </c>
      <c r="Z467" s="115">
        <f>Z434</f>
        <v>0</v>
      </c>
      <c r="AA467" s="115">
        <f>AA434</f>
        <v>0</v>
      </c>
      <c r="AB467" s="115">
        <f>AB434</f>
        <v>0</v>
      </c>
      <c r="AC467" s="115">
        <f>AC434</f>
        <v>0</v>
      </c>
      <c r="AD467" s="115">
        <v>0</v>
      </c>
      <c r="AE467" s="115">
        <v>0</v>
      </c>
      <c r="AF467" s="115">
        <f>AF434</f>
        <v>0</v>
      </c>
      <c r="AG467" s="91">
        <f>SUM(F467:AF467)</f>
        <v>1339910.561097088</v>
      </c>
      <c r="AH467" s="28" t="str">
        <f t="shared" ref="AH467:AH472" si="244">IF(ABS(E467-AG467)&lt;0.01,"ok","err")</f>
        <v>ok</v>
      </c>
    </row>
    <row r="468" spans="1:37" x14ac:dyDescent="0.25">
      <c r="A468" s="14" t="s">
        <v>611</v>
      </c>
      <c r="E468" s="91">
        <f>'Func &amp; Classif'!M56</f>
        <v>23319410.059999999</v>
      </c>
      <c r="AG468" s="91">
        <f>E468</f>
        <v>23319410.059999999</v>
      </c>
      <c r="AH468" s="28" t="str">
        <f t="shared" si="244"/>
        <v>ok</v>
      </c>
    </row>
    <row r="469" spans="1:37" x14ac:dyDescent="0.25">
      <c r="A469" s="14" t="s">
        <v>595</v>
      </c>
      <c r="E469" s="50"/>
      <c r="F469" s="50">
        <v>0</v>
      </c>
      <c r="G469" s="50">
        <v>0</v>
      </c>
      <c r="H469" s="23">
        <v>0</v>
      </c>
      <c r="I469" s="23">
        <v>0</v>
      </c>
      <c r="J469" s="50">
        <v>0</v>
      </c>
      <c r="K469" s="23">
        <v>0</v>
      </c>
      <c r="L469" s="50">
        <v>0</v>
      </c>
      <c r="M469" s="23">
        <v>0</v>
      </c>
      <c r="N469" s="23">
        <v>0</v>
      </c>
      <c r="O469" s="42"/>
      <c r="P469" s="23"/>
      <c r="Q469" s="14">
        <v>0</v>
      </c>
      <c r="R469" s="14">
        <v>0</v>
      </c>
      <c r="S469" s="100">
        <v>0</v>
      </c>
      <c r="AG469" s="91">
        <f>SUM(F469:AF469)</f>
        <v>0</v>
      </c>
      <c r="AH469" s="28" t="str">
        <f t="shared" si="244"/>
        <v>ok</v>
      </c>
    </row>
    <row r="470" spans="1:37" x14ac:dyDescent="0.25">
      <c r="A470" s="14" t="s">
        <v>612</v>
      </c>
      <c r="D470" s="14" t="s">
        <v>614</v>
      </c>
      <c r="E470" s="91">
        <f>E468-E469</f>
        <v>23319410.059999999</v>
      </c>
      <c r="F470" s="67">
        <f>IF(VLOOKUP($D470,$C$5:$AU$518,3,)=0,0,(VLOOKUP($D470,$C$5:$AU$518,4,)/VLOOKUP($D470,$C$5:$AU$518,3,))*$E470)</f>
        <v>14672047.769554486</v>
      </c>
      <c r="G470" s="67">
        <f>IF(VLOOKUP($D470,$C$5:$AU$518,3,)=0,0,(VLOOKUP($D470,$C$5:$AU$518,5,)/VLOOKUP($D470,$C$5:$AU$518,3,))*$E470)</f>
        <v>1435486.2112749433</v>
      </c>
      <c r="H470" s="42">
        <f>IF(VLOOKUP($D470,$C$5:$AU$518,3,)=0,0,(VLOOKUP($D470,$C$5:$AU$518,6,)/VLOOKUP($D470,$C$5:$AU$518,3,))*$E470)</f>
        <v>408207.10765017843</v>
      </c>
      <c r="I470" s="42">
        <f>IF(VLOOKUP($D470,$C$5:$AU$518,3,)=0,0,(VLOOKUP($D470,$C$5:$AU$518,7,)/VLOOKUP($D470,$C$5:$AU$518,3,))*$E470)</f>
        <v>5902623.6654915521</v>
      </c>
      <c r="J470" s="67">
        <f>IF(VLOOKUP($D470,$C$5:$AU$518,3,)=0,0,(VLOOKUP($D470,$C$5:$AU$518,8,)/VLOOKUP($D470,$C$5:$AU$518,3,))*$E470)</f>
        <v>0</v>
      </c>
      <c r="K470" s="42">
        <f>IF(VLOOKUP($D470,$C$5:$AU$518,3,)=0,0,(VLOOKUP($D470,$C$5:$AU$518,9,)/VLOOKUP($D470,$C$5:$AU$518,3,))*$E470)</f>
        <v>744731.7483116613</v>
      </c>
      <c r="L470" s="67">
        <f>IF(VLOOKUP($D470,$C$5:$AU$518,3,)=0,0,(VLOOKUP($D470,$C$5:$AU$518,10,)/VLOOKUP($D470,$C$5:$AU$518,3,))*$E470)</f>
        <v>156313.55771717781</v>
      </c>
      <c r="M470" s="42">
        <f>IF(VLOOKUP($D470,$C$5:$AU$518,3,)=0,0,(VLOOKUP($D470,$C$5:$AU$518,11,)/VLOOKUP($D470,$C$5:$AU$518,3,))*$E470)</f>
        <v>0</v>
      </c>
      <c r="N470" s="42">
        <f>IF(VLOOKUP($D470,$C$5:$AU$518,3,)=0,0,(VLOOKUP($D470,$C$5:$AU$518,12,)/VLOOKUP($D470,$C$5:$AU$518,3,))*$E470)</f>
        <v>0</v>
      </c>
      <c r="O470" s="42">
        <f>IF(VLOOKUP($D470,$C$5:$AU$518,3,)=0,0,(VLOOKUP($D470,$C$5:$AU$518,13,)/VLOOKUP($D470,$C$5:$AU$518,3,))*$E470)</f>
        <v>0</v>
      </c>
      <c r="P470" s="42">
        <f>IF(VLOOKUP($D470,$C$5:$AU$518,3,)=0,0,(VLOOKUP($D470,$C$5:$AU$518,14,)/VLOOKUP($D470,$C$5:$AU$518,3,))*$E470)</f>
        <v>0</v>
      </c>
      <c r="Q470" s="42">
        <f>IF(VLOOKUP($D470,$C$5:$AU$518,3,)=0,0,(VLOOKUP($D470,$C$5:$AU$518,15,)/VLOOKUP($D470,$C$5:$AU$518,3,))*$E470)</f>
        <v>0</v>
      </c>
      <c r="R470" s="42">
        <f>IF(VLOOKUP($D470,$C$5:$AU$518,3,)=0,0,(VLOOKUP($D470,$C$5:$AU$518,16,)/VLOOKUP($D470,$C$5:$AU$518,3,))*$E470)</f>
        <v>0</v>
      </c>
      <c r="S470" s="107">
        <f>IF(VLOOKUP($D470,$C$5:$AU$518,3,)=0,0,(VLOOKUP($D470,$C$5:$AU$518,17,)/VLOOKUP($D470,$C$5:$AU$518,3,))*$E470)</f>
        <v>0</v>
      </c>
      <c r="T470" s="107">
        <f>IF(VLOOKUP($D470,$C$5:$AU$518,3,)=0,0,(VLOOKUP($D470,$C$5:$AU$518,18,)/VLOOKUP($D470,$C$5:$AU$518,3,))*$E470)</f>
        <v>0</v>
      </c>
      <c r="U470" s="107">
        <f>IF(VLOOKUP($D470,$C$5:$AU$518,3,)=0,0,(VLOOKUP($D470,$C$5:$AU$518,19,)/VLOOKUP($D470,$C$5:$AU$518,3,))*$E470)</f>
        <v>0</v>
      </c>
      <c r="V470" s="107">
        <f>IF(VLOOKUP($D470,$C$5:$AU$518,3,)=0,0,(VLOOKUP($D470,$C$5:$AU$518,20,)/VLOOKUP($D470,$C$5:$AU$518,3,))*$E470)</f>
        <v>0</v>
      </c>
      <c r="W470" s="107">
        <f>IF(VLOOKUP($D470,$C$5:$AU$518,3,)=0,0,(VLOOKUP($D470,$C$5:$AU$518,21,)/VLOOKUP($D470,$C$5:$AU$518,3,))*$E470)</f>
        <v>0</v>
      </c>
      <c r="X470" s="107">
        <f>IF(VLOOKUP($D470,$C$5:$AU$518,3,)=0,0,(VLOOKUP($D470,$C$5:$AU$518,22,)/VLOOKUP($D470,$C$5:$AU$518,3,))*$E470)</f>
        <v>0</v>
      </c>
      <c r="Y470" s="107">
        <f>IF(VLOOKUP($D470,$C$5:$AU$518,3,)=0,0,(VLOOKUP($D470,$C$5:$AU$518,23,)/VLOOKUP($D470,$C$5:$AU$518,3,))*$E470)</f>
        <v>0</v>
      </c>
      <c r="Z470" s="107">
        <f>IF(VLOOKUP($D470,$C$5:$AU$518,3,)=0,0,(VLOOKUP($D470,$C$5:$AU$518,24,)/VLOOKUP($D470,$C$5:$AU$518,3,))*$E470)</f>
        <v>0</v>
      </c>
      <c r="AA470" s="107">
        <f>IF(VLOOKUP($D470,$C$5:$AU$518,3,)=0,0,(VLOOKUP($D470,$C$5:$AU$518,25,)/VLOOKUP($D470,$C$5:$AU$518,3,))*$E470)</f>
        <v>0</v>
      </c>
      <c r="AB470" s="107">
        <f>IF(VLOOKUP($D470,$C$5:$AU$518,3,)=0,0,(VLOOKUP($D470,$C$5:$AU$518,26,)/VLOOKUP($D470,$C$5:$AU$518,3,))*$E470)</f>
        <v>0</v>
      </c>
      <c r="AC470" s="107">
        <f>IF(VLOOKUP($D470,$C$5:$AU$518,3,)=0,0,(VLOOKUP($D470,$C$5:$AU$518,27,)/VLOOKUP($D470,$C$5:$AU$518,3,))*$E470)</f>
        <v>0</v>
      </c>
      <c r="AD470" s="107">
        <f>IF(VLOOKUP($D470,$C$5:$AU$518,3,)=0,0,(VLOOKUP($D470,$C$5:$AU$518,28,)/VLOOKUP($D470,$C$5:$AU$518,3,))*$E470)</f>
        <v>0</v>
      </c>
      <c r="AE470" s="107">
        <f>IF(VLOOKUP($D470,$C$5:$AU$518,3,)=0,0,(VLOOKUP($D470,$C$5:$AU$518,29,)/VLOOKUP($D470,$C$5:$AU$518,3,))*$E470)</f>
        <v>0</v>
      </c>
      <c r="AF470" s="107">
        <f>IF(VLOOKUP($D470,$C$5:$AU$518,3,)=0,0,(VLOOKUP($D470,$C$5:$AU$518,30,)/VLOOKUP($D470,$C$5:$AU$518,3,))*$E470)</f>
        <v>0</v>
      </c>
      <c r="AG470" s="91">
        <f>SUM(F470:AF470)</f>
        <v>23319410.059999999</v>
      </c>
      <c r="AH470" s="28" t="str">
        <f t="shared" si="244"/>
        <v>ok</v>
      </c>
    </row>
    <row r="471" spans="1:37" x14ac:dyDescent="0.25">
      <c r="A471" s="14" t="s">
        <v>613</v>
      </c>
      <c r="C471" s="14" t="s">
        <v>615</v>
      </c>
      <c r="E471" s="91">
        <f t="shared" ref="E471:AF471" si="245">E469+E470</f>
        <v>23319410.059999999</v>
      </c>
      <c r="F471" s="91">
        <f t="shared" si="245"/>
        <v>14672047.769554486</v>
      </c>
      <c r="G471" s="91">
        <f t="shared" si="245"/>
        <v>1435486.2112749433</v>
      </c>
      <c r="H471" s="91">
        <f t="shared" si="245"/>
        <v>408207.10765017843</v>
      </c>
      <c r="I471" s="91">
        <f t="shared" si="245"/>
        <v>5902623.6654915521</v>
      </c>
      <c r="J471" s="91">
        <f t="shared" si="245"/>
        <v>0</v>
      </c>
      <c r="K471" s="91">
        <f t="shared" si="245"/>
        <v>744731.7483116613</v>
      </c>
      <c r="L471" s="91">
        <f t="shared" si="245"/>
        <v>156313.55771717781</v>
      </c>
      <c r="M471" s="91">
        <f t="shared" si="245"/>
        <v>0</v>
      </c>
      <c r="N471" s="91">
        <f t="shared" si="245"/>
        <v>0</v>
      </c>
      <c r="O471" s="91">
        <f t="shared" si="245"/>
        <v>0</v>
      </c>
      <c r="P471" s="91">
        <f t="shared" si="245"/>
        <v>0</v>
      </c>
      <c r="Q471" s="91">
        <f t="shared" si="245"/>
        <v>0</v>
      </c>
      <c r="R471" s="91">
        <f t="shared" si="245"/>
        <v>0</v>
      </c>
      <c r="S471" s="114">
        <f t="shared" si="245"/>
        <v>0</v>
      </c>
      <c r="T471" s="114">
        <f t="shared" si="245"/>
        <v>0</v>
      </c>
      <c r="U471" s="114">
        <f t="shared" si="245"/>
        <v>0</v>
      </c>
      <c r="V471" s="114">
        <f t="shared" si="245"/>
        <v>0</v>
      </c>
      <c r="W471" s="114">
        <f t="shared" si="245"/>
        <v>0</v>
      </c>
      <c r="X471" s="114">
        <f t="shared" si="245"/>
        <v>0</v>
      </c>
      <c r="Y471" s="114">
        <f t="shared" si="245"/>
        <v>0</v>
      </c>
      <c r="Z471" s="114">
        <f t="shared" si="245"/>
        <v>0</v>
      </c>
      <c r="AA471" s="114">
        <f t="shared" si="245"/>
        <v>0</v>
      </c>
      <c r="AB471" s="114">
        <f t="shared" si="245"/>
        <v>0</v>
      </c>
      <c r="AC471" s="114">
        <f t="shared" si="245"/>
        <v>0</v>
      </c>
      <c r="AD471" s="114">
        <f t="shared" si="245"/>
        <v>0</v>
      </c>
      <c r="AE471" s="114">
        <f t="shared" si="245"/>
        <v>0</v>
      </c>
      <c r="AF471" s="114">
        <f t="shared" si="245"/>
        <v>0</v>
      </c>
      <c r="AG471" s="91">
        <f>SUM(F471:AF471)</f>
        <v>23319410.059999999</v>
      </c>
      <c r="AH471" s="28" t="str">
        <f t="shared" si="244"/>
        <v>ok</v>
      </c>
    </row>
    <row r="472" spans="1:37" x14ac:dyDescent="0.25">
      <c r="A472" s="14" t="s">
        <v>636</v>
      </c>
      <c r="C472" s="14" t="s">
        <v>616</v>
      </c>
      <c r="D472" s="14" t="s">
        <v>615</v>
      </c>
      <c r="E472" s="122">
        <v>1</v>
      </c>
      <c r="F472" s="99">
        <f>IF(VLOOKUP($D472,$C$5:$AU$518,3,)=0,0,(VLOOKUP($D472,$C$5:$AU$518,4,)/VLOOKUP($D472,$C$5:$AU$518,3,))*$E472)</f>
        <v>0.62917748484219105</v>
      </c>
      <c r="G472" s="99">
        <f>IF(VLOOKUP($D472,$C$5:$AU$518,3,)=0,0,(VLOOKUP($D472,$C$5:$AU$518,5,)/VLOOKUP($D472,$C$5:$AU$518,3,))*$E472)</f>
        <v>6.1557569749041217E-2</v>
      </c>
      <c r="H472" s="38">
        <f>IF(VLOOKUP($D472,$C$5:$AU$518,3,)=0,0,(VLOOKUP($D472,$C$5:$AU$518,6,)/VLOOKUP($D472,$C$5:$AU$518,3,))*$E472)</f>
        <v>1.7505035787778348E-2</v>
      </c>
      <c r="I472" s="38">
        <f>IF(VLOOKUP($D472,$C$5:$AU$518,3,)=0,0,(VLOOKUP($D472,$C$5:$AU$518,7,)/VLOOKUP($D472,$C$5:$AU$518,3,))*$E472)</f>
        <v>0.25312062570641003</v>
      </c>
      <c r="J472" s="99">
        <f>IF(VLOOKUP($D472,$C$5:$AU$518,3,)=0,0,(VLOOKUP($D472,$C$5:$AU$518,8,)/VLOOKUP($D472,$C$5:$AU$518,3,))*$E472)</f>
        <v>0</v>
      </c>
      <c r="K472" s="38">
        <f>IF(VLOOKUP($D472,$C$5:$AU$518,3,)=0,0,(VLOOKUP($D472,$C$5:$AU$518,9,)/VLOOKUP($D472,$C$5:$AU$518,3,))*$E472)</f>
        <v>3.1936131591472232E-2</v>
      </c>
      <c r="L472" s="99">
        <f>IF(VLOOKUP($D472,$C$5:$AU$518,3,)=0,0,(VLOOKUP($D472,$C$5:$AU$518,10,)/VLOOKUP($D472,$C$5:$AU$518,3,))*$E472)</f>
        <v>6.7031523231071751E-3</v>
      </c>
      <c r="M472" s="38">
        <f>IF(VLOOKUP($D472,$C$5:$AU$518,3,)=0,0,(VLOOKUP($D472,$C$5:$AU$518,11,)/VLOOKUP($D472,$C$5:$AU$518,3,))*$E472)</f>
        <v>0</v>
      </c>
      <c r="N472" s="38">
        <f>IF(VLOOKUP($D472,$C$5:$AU$518,3,)=0,0,(VLOOKUP($D472,$C$5:$AU$518,12,)/VLOOKUP($D472,$C$5:$AU$518,3,))*$E472)</f>
        <v>0</v>
      </c>
      <c r="O472" s="38">
        <f>IF(VLOOKUP($D472,$C$5:$AU$518,3,)=0,0,(VLOOKUP($D472,$C$5:$AU$518,13,)/VLOOKUP($D472,$C$5:$AU$518,3,))*$E472)</f>
        <v>0</v>
      </c>
      <c r="P472" s="38">
        <f>IF(VLOOKUP($D472,$C$5:$AU$518,3,)=0,0,(VLOOKUP($D472,$C$5:$AU$518,14,)/VLOOKUP($D472,$C$5:$AU$518,3,))*$E472)</f>
        <v>0</v>
      </c>
      <c r="Q472" s="38">
        <f>IF(VLOOKUP($D472,$C$5:$AU$518,3,)=0,0,(VLOOKUP($D472,$C$5:$AU$518,15,)/VLOOKUP($D472,$C$5:$AU$518,3,))*$E472)</f>
        <v>0</v>
      </c>
      <c r="R472" s="38">
        <f>IF(VLOOKUP($D472,$C$5:$AU$518,3,)=0,0,(VLOOKUP($D472,$C$5:$AU$518,16,)/VLOOKUP($D472,$C$5:$AU$518,3,))*$E472)</f>
        <v>0</v>
      </c>
      <c r="S472" s="127">
        <f>IF(VLOOKUP($D472,$C$5:$AU$518,3,)=0,0,(VLOOKUP($D472,$C$5:$AU$518,17,)/VLOOKUP($D472,$C$5:$AU$518,3,))*$E472)</f>
        <v>0</v>
      </c>
      <c r="T472" s="127">
        <f>IF(VLOOKUP($D472,$C$5:$AU$518,3,)=0,0,(VLOOKUP($D472,$C$5:$AU$518,18,)/VLOOKUP($D472,$C$5:$AU$518,3,))*$E472)</f>
        <v>0</v>
      </c>
      <c r="U472" s="127">
        <f>IF(VLOOKUP($D472,$C$5:$AU$518,3,)=0,0,(VLOOKUP($D472,$C$5:$AU$518,19,)/VLOOKUP($D472,$C$5:$AU$518,3,))*$E472)</f>
        <v>0</v>
      </c>
      <c r="V472" s="127">
        <f>IF(VLOOKUP($D472,$C$5:$AU$518,3,)=0,0,(VLOOKUP($D472,$C$5:$AU$518,20,)/VLOOKUP($D472,$C$5:$AU$518,3,))*$E472)</f>
        <v>0</v>
      </c>
      <c r="W472" s="127">
        <f>IF(VLOOKUP($D472,$C$5:$AU$518,3,)=0,0,(VLOOKUP($D472,$C$5:$AU$518,21,)/VLOOKUP($D472,$C$5:$AU$518,3,))*$E472)</f>
        <v>0</v>
      </c>
      <c r="X472" s="127">
        <f>IF(VLOOKUP($D472,$C$5:$AU$518,3,)=0,0,(VLOOKUP($D472,$C$5:$AU$518,22,)/VLOOKUP($D472,$C$5:$AU$518,3,))*$E472)</f>
        <v>0</v>
      </c>
      <c r="Y472" s="127">
        <f>IF(VLOOKUP($D472,$C$5:$AU$518,3,)=0,0,(VLOOKUP($D472,$C$5:$AU$518,23,)/VLOOKUP($D472,$C$5:$AU$518,3,))*$E472)</f>
        <v>0</v>
      </c>
      <c r="Z472" s="127">
        <f>IF(VLOOKUP($D472,$C$5:$AU$518,3,)=0,0,(VLOOKUP($D472,$C$5:$AU$518,24,)/VLOOKUP($D472,$C$5:$AU$518,3,))*$E472)</f>
        <v>0</v>
      </c>
      <c r="AA472" s="127">
        <f>IF(VLOOKUP($D472,$C$5:$AU$518,3,)=0,0,(VLOOKUP($D472,$C$5:$AU$518,25,)/VLOOKUP($D472,$C$5:$AU$518,3,))*$E472)</f>
        <v>0</v>
      </c>
      <c r="AB472" s="127">
        <f>IF(VLOOKUP($D472,$C$5:$AU$518,3,)=0,0,(VLOOKUP($D472,$C$5:$AU$518,26,)/VLOOKUP($D472,$C$5:$AU$518,3,))*$E472)</f>
        <v>0</v>
      </c>
      <c r="AC472" s="127">
        <f>IF(VLOOKUP($D472,$C$5:$AU$518,3,)=0,0,(VLOOKUP($D472,$C$5:$AU$518,27,)/VLOOKUP($D472,$C$5:$AU$518,3,))*$E472)</f>
        <v>0</v>
      </c>
      <c r="AD472" s="127">
        <f>IF(VLOOKUP($D472,$C$5:$AU$518,3,)=0,0,(VLOOKUP($D472,$C$5:$AU$518,28,)/VLOOKUP($D472,$C$5:$AU$518,3,))*$E472)</f>
        <v>0</v>
      </c>
      <c r="AE472" s="127">
        <f>IF(VLOOKUP($D472,$C$5:$AU$518,3,)=0,0,(VLOOKUP($D472,$C$5:$AU$518,29,)/VLOOKUP($D472,$C$5:$AU$518,3,))*$E472)</f>
        <v>0</v>
      </c>
      <c r="AF472" s="127">
        <f>IF(VLOOKUP($D472,$C$5:$AU$518,3,)=0,0,(VLOOKUP($D472,$C$5:$AU$518,30,)/VLOOKUP($D472,$C$5:$AU$518,3,))*$E472)</f>
        <v>0</v>
      </c>
      <c r="AG472" s="38">
        <f>SUM(F472:AF472)</f>
        <v>1.0000000000000002</v>
      </c>
      <c r="AH472" s="28" t="str">
        <f t="shared" si="244"/>
        <v>ok</v>
      </c>
    </row>
    <row r="474" spans="1:37" x14ac:dyDescent="0.25">
      <c r="A474" s="14" t="s">
        <v>610</v>
      </c>
      <c r="C474" s="14" t="s">
        <v>630</v>
      </c>
      <c r="E474" s="42">
        <f>E467</f>
        <v>1339910.561097088</v>
      </c>
      <c r="F474" s="50">
        <f>F467</f>
        <v>843041.55674455478</v>
      </c>
      <c r="G474" s="50">
        <f t="shared" ref="G474:AF474" si="246">G467</f>
        <v>82481.637822210949</v>
      </c>
      <c r="H474" s="23">
        <f t="shared" si="246"/>
        <v>23455.182324426693</v>
      </c>
      <c r="I474" s="23">
        <f t="shared" si="246"/>
        <v>339158.99961552187</v>
      </c>
      <c r="J474" s="50">
        <f t="shared" si="246"/>
        <v>0</v>
      </c>
      <c r="K474" s="23">
        <f t="shared" si="246"/>
        <v>42791.56</v>
      </c>
      <c r="L474" s="50">
        <f t="shared" si="246"/>
        <v>8981.6245903737836</v>
      </c>
      <c r="M474" s="23">
        <f t="shared" si="246"/>
        <v>0</v>
      </c>
      <c r="N474" s="23">
        <f t="shared" si="246"/>
        <v>0</v>
      </c>
      <c r="O474" s="23">
        <f t="shared" si="246"/>
        <v>0</v>
      </c>
      <c r="P474" s="23">
        <f t="shared" si="246"/>
        <v>0</v>
      </c>
      <c r="Q474" s="23">
        <f t="shared" si="246"/>
        <v>0</v>
      </c>
      <c r="R474" s="23">
        <f t="shared" si="246"/>
        <v>0</v>
      </c>
      <c r="S474" s="115">
        <f t="shared" si="246"/>
        <v>0</v>
      </c>
      <c r="T474" s="115">
        <f t="shared" si="246"/>
        <v>0</v>
      </c>
      <c r="U474" s="115">
        <f t="shared" si="246"/>
        <v>0</v>
      </c>
      <c r="V474" s="115">
        <f t="shared" si="246"/>
        <v>0</v>
      </c>
      <c r="W474" s="115">
        <f t="shared" si="246"/>
        <v>0</v>
      </c>
      <c r="X474" s="115">
        <f t="shared" si="246"/>
        <v>0</v>
      </c>
      <c r="Y474" s="115">
        <f t="shared" si="246"/>
        <v>0</v>
      </c>
      <c r="Z474" s="115">
        <f t="shared" si="246"/>
        <v>0</v>
      </c>
      <c r="AA474" s="115">
        <f t="shared" si="246"/>
        <v>0</v>
      </c>
      <c r="AB474" s="115">
        <f t="shared" si="246"/>
        <v>0</v>
      </c>
      <c r="AC474" s="115">
        <f t="shared" si="246"/>
        <v>0</v>
      </c>
      <c r="AD474" s="115">
        <f t="shared" si="246"/>
        <v>0</v>
      </c>
      <c r="AE474" s="115">
        <f t="shared" si="246"/>
        <v>0</v>
      </c>
      <c r="AF474" s="115">
        <f t="shared" si="246"/>
        <v>0</v>
      </c>
      <c r="AG474" s="91">
        <f>SUM(F474:AF474)</f>
        <v>1339910.561097088</v>
      </c>
      <c r="AH474" s="28" t="str">
        <f t="shared" ref="AH474:AH479" si="247">IF(ABS(E474-AG474)&lt;0.01,"ok","err")</f>
        <v>ok</v>
      </c>
    </row>
    <row r="475" spans="1:37" x14ac:dyDescent="0.25">
      <c r="A475" s="14" t="s">
        <v>611</v>
      </c>
      <c r="E475" s="91">
        <f>E468</f>
        <v>23319410.059999999</v>
      </c>
      <c r="AG475" s="91">
        <f>E475</f>
        <v>23319410.059999999</v>
      </c>
      <c r="AH475" s="28" t="str">
        <f t="shared" si="247"/>
        <v>ok</v>
      </c>
    </row>
    <row r="476" spans="1:37" x14ac:dyDescent="0.25">
      <c r="A476" s="14" t="s">
        <v>595</v>
      </c>
      <c r="E476" s="50"/>
      <c r="M476" s="23">
        <v>0</v>
      </c>
      <c r="N476" s="23">
        <v>0</v>
      </c>
      <c r="O476" s="23"/>
      <c r="P476" s="23"/>
      <c r="Q476" s="14">
        <v>0</v>
      </c>
      <c r="R476" s="14">
        <v>0</v>
      </c>
      <c r="S476" s="100">
        <v>0</v>
      </c>
      <c r="AD476" s="107">
        <v>0</v>
      </c>
      <c r="AE476" s="107"/>
      <c r="AG476" s="91">
        <f>SUM(F476:AF476)</f>
        <v>0</v>
      </c>
      <c r="AH476" s="28" t="str">
        <f t="shared" si="247"/>
        <v>ok</v>
      </c>
    </row>
    <row r="477" spans="1:37" x14ac:dyDescent="0.25">
      <c r="A477" s="14" t="s">
        <v>612</v>
      </c>
      <c r="D477" s="14" t="s">
        <v>630</v>
      </c>
      <c r="E477" s="91">
        <f>E475-E476</f>
        <v>23319410.059999999</v>
      </c>
      <c r="F477" s="67">
        <f>IF(VLOOKUP($D477,$C$5:$AU$518,3,)=0,0,(VLOOKUP($D477,$C$5:$AU$518,4,)/VLOOKUP($D477,$C$5:$AU$518,3,))*$E477)</f>
        <v>14672047.769554486</v>
      </c>
      <c r="G477" s="67">
        <f>IF(VLOOKUP($D477,$C$5:$AU$518,3,)=0,0,(VLOOKUP($D477,$C$5:$AU$518,5,)/VLOOKUP($D477,$C$5:$AU$518,3,))*$E477)</f>
        <v>1435486.2112749433</v>
      </c>
      <c r="H477" s="42">
        <f>IF(VLOOKUP($D477,$C$5:$AU$518,3,)=0,0,(VLOOKUP($D477,$C$5:$AU$518,6,)/VLOOKUP($D477,$C$5:$AU$518,3,))*$E477)</f>
        <v>408207.10765017843</v>
      </c>
      <c r="I477" s="42">
        <f>IF(VLOOKUP($D477,$C$5:$AU$518,3,)=0,0,(VLOOKUP($D477,$C$5:$AU$518,7,)/VLOOKUP($D477,$C$5:$AU$518,3,))*$E477)</f>
        <v>5902623.6654915521</v>
      </c>
      <c r="J477" s="42">
        <f>IF(VLOOKUP($D477,$C$5:$AU$518,3,)=0,0,(VLOOKUP($D477,$C$5:$AU$518,8,)/VLOOKUP($D477,$C$5:$AU$518,3,))*$E477)</f>
        <v>0</v>
      </c>
      <c r="K477" s="42">
        <f>IF(VLOOKUP($D477,$C$5:$AU$518,3,)=0,0,(VLOOKUP($D477,$C$5:$AU$518,9,)/VLOOKUP($D477,$C$5:$AU$518,3,))*$E477)</f>
        <v>744731.7483116613</v>
      </c>
      <c r="L477" s="67">
        <f>IF(VLOOKUP($D477,$C$5:$AU$518,3,)=0,0,(VLOOKUP($D477,$C$5:$AU$518,10,)/VLOOKUP($D477,$C$5:$AU$518,3,))*$E477)</f>
        <v>156313.55771717781</v>
      </c>
      <c r="M477" s="42">
        <f>IF(VLOOKUP($D477,$C$5:$AU$518,3,)=0,0,(VLOOKUP($D477,$C$5:$AU$518,11,)/VLOOKUP($D477,$C$5:$AU$518,3,))*$E477)</f>
        <v>0</v>
      </c>
      <c r="N477" s="42">
        <f>IF(VLOOKUP($D477,$C$5:$AU$518,3,)=0,0,(VLOOKUP($D477,$C$5:$AU$518,12,)/VLOOKUP($D477,$C$5:$AU$518,3,))*$E477)</f>
        <v>0</v>
      </c>
      <c r="O477" s="42">
        <f>IF(VLOOKUP($D477,$C$5:$AU$518,3,)=0,0,(VLOOKUP($D477,$C$5:$AU$518,13,)/VLOOKUP($D477,$C$5:$AU$518,3,))*$E477)</f>
        <v>0</v>
      </c>
      <c r="P477" s="42">
        <f>IF(VLOOKUP($D477,$C$5:$AU$518,3,)=0,0,(VLOOKUP($D477,$C$5:$AU$518,14,)/VLOOKUP($D477,$C$5:$AU$518,3,))*$E477)</f>
        <v>0</v>
      </c>
      <c r="Q477" s="42">
        <f>IF(VLOOKUP($D477,$C$5:$AU$518,3,)=0,0,(VLOOKUP($D477,$C$5:$AU$518,15,)/VLOOKUP($D477,$C$5:$AU$518,3,))*$E477)</f>
        <v>0</v>
      </c>
      <c r="R477" s="42">
        <f>IF(VLOOKUP($D477,$C$5:$AU$518,3,)=0,0,(VLOOKUP($D477,$C$5:$AU$518,16,)/VLOOKUP($D477,$C$5:$AU$518,3,))*$E477)</f>
        <v>0</v>
      </c>
      <c r="S477" s="107">
        <f>IF(VLOOKUP($D477,$C$5:$AU$518,3,)=0,0,(VLOOKUP($D477,$C$5:$AU$518,17,)/VLOOKUP($D477,$C$5:$AU$518,3,))*$E477)</f>
        <v>0</v>
      </c>
      <c r="T477" s="107">
        <f>IF(VLOOKUP($D477,$C$5:$AU$518,3,)=0,0,(VLOOKUP($D477,$C$5:$AU$518,18,)/VLOOKUP($D477,$C$5:$AU$518,3,))*$E477)</f>
        <v>0</v>
      </c>
      <c r="U477" s="107">
        <f>IF(VLOOKUP($D477,$C$5:$AU$518,3,)=0,0,(VLOOKUP($D477,$C$5:$AU$518,19,)/VLOOKUP($D477,$C$5:$AU$518,3,))*$E477)</f>
        <v>0</v>
      </c>
      <c r="V477" s="107">
        <f>IF(VLOOKUP($D477,$C$5:$AU$518,3,)=0,0,(VLOOKUP($D477,$C$5:$AU$518,20,)/VLOOKUP($D477,$C$5:$AU$518,3,))*$E477)</f>
        <v>0</v>
      </c>
      <c r="W477" s="107">
        <f>IF(VLOOKUP($D477,$C$5:$AU$518,3,)=0,0,(VLOOKUP($D477,$C$5:$AU$518,21,)/VLOOKUP($D477,$C$5:$AU$518,3,))*$E477)</f>
        <v>0</v>
      </c>
      <c r="X477" s="107">
        <f>IF(VLOOKUP($D477,$C$5:$AU$518,3,)=0,0,(VLOOKUP($D477,$C$5:$AU$518,22,)/VLOOKUP($D477,$C$5:$AU$518,3,))*$E477)</f>
        <v>0</v>
      </c>
      <c r="Y477" s="107">
        <f>IF(VLOOKUP($D477,$C$5:$AU$518,3,)=0,0,(VLOOKUP($D477,$C$5:$AU$518,23,)/VLOOKUP($D477,$C$5:$AU$518,3,))*$E477)</f>
        <v>0</v>
      </c>
      <c r="Z477" s="107">
        <f>IF(VLOOKUP($D477,$C$5:$AU$518,3,)=0,0,(VLOOKUP($D477,$C$5:$AU$518,24,)/VLOOKUP($D477,$C$5:$AU$518,3,))*$E477)</f>
        <v>0</v>
      </c>
      <c r="AA477" s="107">
        <f>IF(VLOOKUP($D477,$C$5:$AU$518,3,)=0,0,(VLOOKUP($D477,$C$5:$AU$518,25,)/VLOOKUP($D477,$C$5:$AU$518,3,))*$E477)</f>
        <v>0</v>
      </c>
      <c r="AB477" s="107">
        <f>IF(VLOOKUP($D477,$C$5:$AU$518,3,)=0,0,(VLOOKUP($D477,$C$5:$AU$518,26,)/VLOOKUP($D477,$C$5:$AU$518,3,))*$E477)</f>
        <v>0</v>
      </c>
      <c r="AC477" s="107">
        <f>IF(VLOOKUP($D477,$C$5:$AU$518,3,)=0,0,(VLOOKUP($D477,$C$5:$AU$518,27,)/VLOOKUP($D477,$C$5:$AU$518,3,))*$E477)</f>
        <v>0</v>
      </c>
      <c r="AD477" s="107">
        <f>IF(VLOOKUP($D477,$C$5:$AU$518,3,)=0,0,(VLOOKUP($D477,$C$5:$AU$518,28,)/VLOOKUP($D477,$C$5:$AU$518,3,))*$E477)</f>
        <v>0</v>
      </c>
      <c r="AE477" s="107">
        <f>IF(VLOOKUP($D477,$C$5:$AU$518,3,)=0,0,(VLOOKUP($D477,$C$5:$AU$518,29,)/VLOOKUP($D477,$C$5:$AU$518,3,))*$E477)</f>
        <v>0</v>
      </c>
      <c r="AF477" s="107">
        <f>IF(VLOOKUP($D477,$C$5:$AU$518,3,)=0,0,(VLOOKUP($D477,$C$5:$AU$518,30,)/VLOOKUP($D477,$C$5:$AU$518,3,))*$E477)</f>
        <v>0</v>
      </c>
      <c r="AG477" s="91">
        <f>SUM(F477:AF477)</f>
        <v>23319410.059999999</v>
      </c>
      <c r="AH477" s="28" t="str">
        <f t="shared" si="247"/>
        <v>ok</v>
      </c>
    </row>
    <row r="478" spans="1:37" x14ac:dyDescent="0.25">
      <c r="A478" s="14" t="s">
        <v>613</v>
      </c>
      <c r="C478" s="14" t="s">
        <v>631</v>
      </c>
      <c r="E478" s="91">
        <f t="shared" ref="E478:AF478" si="248">E476+E477</f>
        <v>23319410.059999999</v>
      </c>
      <c r="F478" s="91">
        <f t="shared" si="248"/>
        <v>14672047.769554486</v>
      </c>
      <c r="G478" s="91">
        <f t="shared" si="248"/>
        <v>1435486.2112749433</v>
      </c>
      <c r="H478" s="91">
        <f t="shared" si="248"/>
        <v>408207.10765017843</v>
      </c>
      <c r="I478" s="91">
        <f t="shared" si="248"/>
        <v>5902623.6654915521</v>
      </c>
      <c r="J478" s="91">
        <f t="shared" si="248"/>
        <v>0</v>
      </c>
      <c r="K478" s="91">
        <f t="shared" si="248"/>
        <v>744731.7483116613</v>
      </c>
      <c r="L478" s="91">
        <f t="shared" si="248"/>
        <v>156313.55771717781</v>
      </c>
      <c r="M478" s="91">
        <f t="shared" si="248"/>
        <v>0</v>
      </c>
      <c r="N478" s="91">
        <f t="shared" si="248"/>
        <v>0</v>
      </c>
      <c r="O478" s="91">
        <f t="shared" si="248"/>
        <v>0</v>
      </c>
      <c r="P478" s="91">
        <f t="shared" si="248"/>
        <v>0</v>
      </c>
      <c r="Q478" s="91">
        <f t="shared" si="248"/>
        <v>0</v>
      </c>
      <c r="R478" s="91">
        <f t="shared" si="248"/>
        <v>0</v>
      </c>
      <c r="S478" s="114">
        <f t="shared" si="248"/>
        <v>0</v>
      </c>
      <c r="T478" s="114">
        <f t="shared" si="248"/>
        <v>0</v>
      </c>
      <c r="U478" s="114">
        <f t="shared" si="248"/>
        <v>0</v>
      </c>
      <c r="V478" s="114">
        <f t="shared" si="248"/>
        <v>0</v>
      </c>
      <c r="W478" s="114">
        <f t="shared" si="248"/>
        <v>0</v>
      </c>
      <c r="X478" s="114">
        <f t="shared" si="248"/>
        <v>0</v>
      </c>
      <c r="Y478" s="114">
        <f t="shared" si="248"/>
        <v>0</v>
      </c>
      <c r="Z478" s="114">
        <f t="shared" si="248"/>
        <v>0</v>
      </c>
      <c r="AA478" s="114">
        <f t="shared" si="248"/>
        <v>0</v>
      </c>
      <c r="AB478" s="114">
        <f t="shared" si="248"/>
        <v>0</v>
      </c>
      <c r="AC478" s="114">
        <f t="shared" si="248"/>
        <v>0</v>
      </c>
      <c r="AD478" s="114">
        <f t="shared" si="248"/>
        <v>0</v>
      </c>
      <c r="AE478" s="114">
        <f t="shared" si="248"/>
        <v>0</v>
      </c>
      <c r="AF478" s="114">
        <f t="shared" si="248"/>
        <v>0</v>
      </c>
      <c r="AG478" s="91">
        <f>SUM(F478:AF478)</f>
        <v>23319410.059999999</v>
      </c>
      <c r="AH478" s="28" t="str">
        <f t="shared" si="247"/>
        <v>ok</v>
      </c>
    </row>
    <row r="479" spans="1:37" x14ac:dyDescent="0.25">
      <c r="A479" s="14" t="s">
        <v>637</v>
      </c>
      <c r="C479" s="14" t="s">
        <v>632</v>
      </c>
      <c r="D479" s="14" t="s">
        <v>631</v>
      </c>
      <c r="E479" s="122">
        <v>1</v>
      </c>
      <c r="F479" s="99">
        <f>IF(VLOOKUP($D479,$C$5:$AU$518,3,)=0,0,(VLOOKUP($D479,$C$5:$AU$518,4,)/VLOOKUP($D479,$C$5:$AU$518,3,))*$E479)</f>
        <v>0.62917748484219105</v>
      </c>
      <c r="G479" s="99">
        <f>IF(VLOOKUP($D479,$C$5:$AU$518,3,)=0,0,(VLOOKUP($D479,$C$5:$AU$518,5,)/VLOOKUP($D479,$C$5:$AU$518,3,))*$E479)</f>
        <v>6.1557569749041217E-2</v>
      </c>
      <c r="H479" s="38">
        <f>IF(VLOOKUP($D479,$C$5:$AU$518,3,)=0,0,(VLOOKUP($D479,$C$5:$AU$518,6,)/VLOOKUP($D479,$C$5:$AU$518,3,))*$E479)</f>
        <v>1.7505035787778348E-2</v>
      </c>
      <c r="I479" s="38">
        <f>IF(VLOOKUP($D479,$C$5:$AU$518,3,)=0,0,(VLOOKUP($D479,$C$5:$AU$518,7,)/VLOOKUP($D479,$C$5:$AU$518,3,))*$E479)</f>
        <v>0.25312062570641003</v>
      </c>
      <c r="J479" s="38">
        <f>IF(VLOOKUP($D479,$C$5:$AU$518,3,)=0,0,(VLOOKUP($D479,$C$5:$AU$518,8,)/VLOOKUP($D479,$C$5:$AU$518,3,))*$E479)</f>
        <v>0</v>
      </c>
      <c r="K479" s="38">
        <f>IF(VLOOKUP($D479,$C$5:$AU$518,3,)=0,0,(VLOOKUP($D479,$C$5:$AU$518,9,)/VLOOKUP($D479,$C$5:$AU$518,3,))*$E479)</f>
        <v>3.1936131591472232E-2</v>
      </c>
      <c r="L479" s="99">
        <f>IF(VLOOKUP($D479,$C$5:$AU$518,3,)=0,0,(VLOOKUP($D479,$C$5:$AU$518,10,)/VLOOKUP($D479,$C$5:$AU$518,3,))*$E479)</f>
        <v>6.7031523231071751E-3</v>
      </c>
      <c r="M479" s="38">
        <f>IF(VLOOKUP($D479,$C$5:$AU$518,3,)=0,0,(VLOOKUP($D479,$C$5:$AU$518,11,)/VLOOKUP($D479,$C$5:$AU$518,3,))*$E479)</f>
        <v>0</v>
      </c>
      <c r="N479" s="38">
        <f>IF(VLOOKUP($D479,$C$5:$AU$518,3,)=0,0,(VLOOKUP($D479,$C$5:$AU$518,12,)/VLOOKUP($D479,$C$5:$AU$518,3,))*$E479)</f>
        <v>0</v>
      </c>
      <c r="O479" s="38">
        <f>IF(VLOOKUP($D479,$C$5:$AU$518,3,)=0,0,(VLOOKUP($D479,$C$5:$AU$518,13,)/VLOOKUP($D479,$C$5:$AU$518,3,))*$E479)</f>
        <v>0</v>
      </c>
      <c r="P479" s="38">
        <f>IF(VLOOKUP($D479,$C$5:$AU$518,3,)=0,0,(VLOOKUP($D479,$C$5:$AU$518,14,)/VLOOKUP($D479,$C$5:$AU$518,3,))*$E479)</f>
        <v>0</v>
      </c>
      <c r="Q479" s="38">
        <f>IF(VLOOKUP($D479,$C$5:$AU$518,3,)=0,0,(VLOOKUP($D479,$C$5:$AU$518,15,)/VLOOKUP($D479,$C$5:$AU$518,3,))*$E479)</f>
        <v>0</v>
      </c>
      <c r="R479" s="38">
        <f>IF(VLOOKUP($D479,$C$5:$AU$518,3,)=0,0,(VLOOKUP($D479,$C$5:$AU$518,16,)/VLOOKUP($D479,$C$5:$AU$518,3,))*$E479)</f>
        <v>0</v>
      </c>
      <c r="S479" s="127">
        <f>IF(VLOOKUP($D479,$C$5:$AU$518,3,)=0,0,(VLOOKUP($D479,$C$5:$AU$518,17,)/VLOOKUP($D479,$C$5:$AU$518,3,))*$E479)</f>
        <v>0</v>
      </c>
      <c r="T479" s="127">
        <f>IF(VLOOKUP($D479,$C$5:$AU$518,3,)=0,0,(VLOOKUP($D479,$C$5:$AU$518,18,)/VLOOKUP($D479,$C$5:$AU$518,3,))*$E479)</f>
        <v>0</v>
      </c>
      <c r="U479" s="127">
        <f>IF(VLOOKUP($D479,$C$5:$AU$518,3,)=0,0,(VLOOKUP($D479,$C$5:$AU$518,19,)/VLOOKUP($D479,$C$5:$AU$518,3,))*$E479)</f>
        <v>0</v>
      </c>
      <c r="V479" s="127">
        <f>IF(VLOOKUP($D479,$C$5:$AU$518,3,)=0,0,(VLOOKUP($D479,$C$5:$AU$518,20,)/VLOOKUP($D479,$C$5:$AU$518,3,))*$E479)</f>
        <v>0</v>
      </c>
      <c r="W479" s="127">
        <f>IF(VLOOKUP($D479,$C$5:$AU$518,3,)=0,0,(VLOOKUP($D479,$C$5:$AU$518,21,)/VLOOKUP($D479,$C$5:$AU$518,3,))*$E479)</f>
        <v>0</v>
      </c>
      <c r="X479" s="127">
        <f>IF(VLOOKUP($D479,$C$5:$AU$518,3,)=0,0,(VLOOKUP($D479,$C$5:$AU$518,22,)/VLOOKUP($D479,$C$5:$AU$518,3,))*$E479)</f>
        <v>0</v>
      </c>
      <c r="Y479" s="127">
        <f>IF(VLOOKUP($D479,$C$5:$AU$518,3,)=0,0,(VLOOKUP($D479,$C$5:$AU$518,23,)/VLOOKUP($D479,$C$5:$AU$518,3,))*$E479)</f>
        <v>0</v>
      </c>
      <c r="Z479" s="127">
        <f>IF(VLOOKUP($D479,$C$5:$AU$518,3,)=0,0,(VLOOKUP($D479,$C$5:$AU$518,24,)/VLOOKUP($D479,$C$5:$AU$518,3,))*$E479)</f>
        <v>0</v>
      </c>
      <c r="AA479" s="127">
        <f>IF(VLOOKUP($D479,$C$5:$AU$518,3,)=0,0,(VLOOKUP($D479,$C$5:$AU$518,25,)/VLOOKUP($D479,$C$5:$AU$518,3,))*$E479)</f>
        <v>0</v>
      </c>
      <c r="AB479" s="127">
        <f>IF(VLOOKUP($D479,$C$5:$AU$518,3,)=0,0,(VLOOKUP($D479,$C$5:$AU$518,26,)/VLOOKUP($D479,$C$5:$AU$518,3,))*$E479)</f>
        <v>0</v>
      </c>
      <c r="AC479" s="127">
        <f>IF(VLOOKUP($D479,$C$5:$AU$518,3,)=0,0,(VLOOKUP($D479,$C$5:$AU$518,27,)/VLOOKUP($D479,$C$5:$AU$518,3,))*$E479)</f>
        <v>0</v>
      </c>
      <c r="AD479" s="127">
        <f>IF(VLOOKUP($D479,$C$5:$AU$518,3,)=0,0,(VLOOKUP($D479,$C$5:$AU$518,28,)/VLOOKUP($D479,$C$5:$AU$518,3,))*$E479)</f>
        <v>0</v>
      </c>
      <c r="AE479" s="127">
        <f>IF(VLOOKUP($D479,$C$5:$AU$518,3,)=0,0,(VLOOKUP($D479,$C$5:$AU$518,29,)/VLOOKUP($D479,$C$5:$AU$518,3,))*$E479)</f>
        <v>0</v>
      </c>
      <c r="AF479" s="127">
        <f>IF(VLOOKUP($D479,$C$5:$AU$518,3,)=0,0,(VLOOKUP($D479,$C$5:$AU$518,30,)/VLOOKUP($D479,$C$5:$AU$518,3,))*$E479)</f>
        <v>0</v>
      </c>
      <c r="AG479" s="38">
        <f>SUM(F479:AF479)</f>
        <v>1.0000000000000002</v>
      </c>
      <c r="AH479" s="28" t="str">
        <f t="shared" si="247"/>
        <v>ok</v>
      </c>
    </row>
    <row r="480" spans="1:37" x14ac:dyDescent="0.25">
      <c r="AK480" s="50"/>
    </row>
    <row r="481" spans="1:34" x14ac:dyDescent="0.25">
      <c r="A481" s="26" t="s">
        <v>902</v>
      </c>
    </row>
    <row r="483" spans="1:34" x14ac:dyDescent="0.25">
      <c r="A483" s="14" t="s">
        <v>621</v>
      </c>
      <c r="C483" s="14" t="s">
        <v>622</v>
      </c>
      <c r="E483" s="50">
        <f>E453</f>
        <v>3981736.8034786186</v>
      </c>
      <c r="F483" s="50">
        <f t="shared" ref="F483:AF483" si="249">F453</f>
        <v>2502600.7553550093</v>
      </c>
      <c r="G483" s="50">
        <f t="shared" si="249"/>
        <v>64338.606106124353</v>
      </c>
      <c r="H483" s="50">
        <f t="shared" si="249"/>
        <v>102971.78932663593</v>
      </c>
      <c r="I483" s="50">
        <f t="shared" si="249"/>
        <v>1165334.8248674998</v>
      </c>
      <c r="J483" s="50">
        <f t="shared" si="249"/>
        <v>0</v>
      </c>
      <c r="K483" s="50">
        <f t="shared" si="249"/>
        <v>128985.988</v>
      </c>
      <c r="L483" s="50">
        <f t="shared" si="249"/>
        <v>17504.839823348695</v>
      </c>
      <c r="M483" s="23">
        <f t="shared" si="249"/>
        <v>0</v>
      </c>
      <c r="N483" s="23">
        <f t="shared" si="249"/>
        <v>0</v>
      </c>
      <c r="O483" s="23">
        <f t="shared" si="249"/>
        <v>0</v>
      </c>
      <c r="P483" s="23">
        <f t="shared" si="249"/>
        <v>0</v>
      </c>
      <c r="Q483" s="23">
        <f t="shared" si="249"/>
        <v>0</v>
      </c>
      <c r="R483" s="23">
        <f t="shared" si="249"/>
        <v>0</v>
      </c>
      <c r="S483" s="115">
        <f t="shared" si="249"/>
        <v>0</v>
      </c>
      <c r="T483" s="115">
        <f t="shared" si="249"/>
        <v>0</v>
      </c>
      <c r="U483" s="115">
        <f t="shared" si="249"/>
        <v>0</v>
      </c>
      <c r="V483" s="115">
        <f t="shared" si="249"/>
        <v>0</v>
      </c>
      <c r="W483" s="115">
        <f t="shared" si="249"/>
        <v>0</v>
      </c>
      <c r="X483" s="115">
        <f t="shared" si="249"/>
        <v>0</v>
      </c>
      <c r="Y483" s="115">
        <f t="shared" si="249"/>
        <v>0</v>
      </c>
      <c r="Z483" s="115">
        <f t="shared" si="249"/>
        <v>0</v>
      </c>
      <c r="AA483" s="115">
        <f t="shared" si="249"/>
        <v>0</v>
      </c>
      <c r="AB483" s="115">
        <f t="shared" si="249"/>
        <v>0</v>
      </c>
      <c r="AC483" s="115">
        <f t="shared" si="249"/>
        <v>0</v>
      </c>
      <c r="AD483" s="115">
        <f t="shared" si="249"/>
        <v>0</v>
      </c>
      <c r="AE483" s="115">
        <f t="shared" si="249"/>
        <v>0</v>
      </c>
      <c r="AF483" s="115">
        <f t="shared" si="249"/>
        <v>0</v>
      </c>
      <c r="AG483" s="91">
        <f>SUM(F483:AF483)</f>
        <v>3981736.8034786186</v>
      </c>
      <c r="AH483" s="28" t="str">
        <f>IF(ABS(E483-AG483)&lt;0.01,"ok","err")</f>
        <v>ok</v>
      </c>
    </row>
    <row r="484" spans="1:34" x14ac:dyDescent="0.25">
      <c r="A484" s="14" t="s">
        <v>620</v>
      </c>
      <c r="C484" s="14" t="s">
        <v>619</v>
      </c>
      <c r="D484" s="14" t="s">
        <v>622</v>
      </c>
      <c r="E484" s="122">
        <v>1</v>
      </c>
      <c r="F484" s="99">
        <f>IF(VLOOKUP($D484,$C$5:$AU$518,3,)=0,0,(VLOOKUP($D484,$C$5:$AU$518,4,)/VLOOKUP($D484,$C$5:$AU$518,3,))*$E484)</f>
        <v>0.62851988438026052</v>
      </c>
      <c r="G484" s="99">
        <f>IF(VLOOKUP($D484,$C$5:$AU$518,3,)=0,0,(VLOOKUP($D484,$C$5:$AU$518,5,)/VLOOKUP($D484,$C$5:$AU$518,3,))*$E484)</f>
        <v>1.6158427661495695E-2</v>
      </c>
      <c r="H484" s="38">
        <f>IF(VLOOKUP($D484,$C$5:$AU$518,3,)=0,0,(VLOOKUP($D484,$C$5:$AU$518,6,)/VLOOKUP($D484,$C$5:$AU$518,3,))*$E484)</f>
        <v>2.5861023570587411E-2</v>
      </c>
      <c r="I484" s="38">
        <f>IF(VLOOKUP($D484,$C$5:$AU$518,3,)=0,0,(VLOOKUP($D484,$C$5:$AU$518,7,)/VLOOKUP($D484,$C$5:$AU$518,3,))*$E484)</f>
        <v>0.29266997855041865</v>
      </c>
      <c r="J484" s="38">
        <f>IF(VLOOKUP($D484,$C$5:$AU$518,3,)=0,0,(VLOOKUP($D484,$C$5:$AU$518,8,)/VLOOKUP($D484,$C$5:$AU$518,3,))*$E484)</f>
        <v>0</v>
      </c>
      <c r="K484" s="38">
        <f>IF(VLOOKUP($D484,$C$5:$AU$518,3,)=0,0,(VLOOKUP($D484,$C$5:$AU$518,9,)/VLOOKUP($D484,$C$5:$AU$518,3,))*$E484)</f>
        <v>3.2394403338591393E-2</v>
      </c>
      <c r="L484" s="99">
        <f>IF(VLOOKUP($D484,$C$5:$AU$518,3,)=0,0,(VLOOKUP($D484,$C$5:$AU$518,10,)/VLOOKUP($D484,$C$5:$AU$518,3,))*$E484)</f>
        <v>4.3962824986462454E-3</v>
      </c>
      <c r="M484" s="38">
        <f>IF(VLOOKUP($D484,$C$5:$AU$518,3,)=0,0,(VLOOKUP($D484,$C$5:$AU$518,11,)/VLOOKUP($D484,$C$5:$AU$518,3,))*$E484)</f>
        <v>0</v>
      </c>
      <c r="N484" s="38">
        <f>IF(VLOOKUP($D484,$C$5:$AU$518,3,)=0,0,(VLOOKUP($D484,$C$5:$AU$518,12,)/VLOOKUP($D484,$C$5:$AU$518,3,))*$E484)</f>
        <v>0</v>
      </c>
      <c r="O484" s="38">
        <f>IF(VLOOKUP($D484,$C$5:$AU$518,3,)=0,0,(VLOOKUP($D484,$C$5:$AU$518,13,)/VLOOKUP($D484,$C$5:$AU$518,3,))*$E484)</f>
        <v>0</v>
      </c>
      <c r="P484" s="38">
        <f>IF(VLOOKUP($D484,$C$5:$AU$518,3,)=0,0,(VLOOKUP($D484,$C$5:$AU$518,14,)/VLOOKUP($D484,$C$5:$AU$518,3,))*$E484)</f>
        <v>0</v>
      </c>
      <c r="Q484" s="38">
        <f>IF(VLOOKUP($D484,$C$5:$AU$518,3,)=0,0,(VLOOKUP($D484,$C$5:$AU$518,15,)/VLOOKUP($D484,$C$5:$AU$518,3,))*$E484)</f>
        <v>0</v>
      </c>
      <c r="R484" s="38">
        <f>IF(VLOOKUP($D484,$C$5:$AU$518,3,)=0,0,(VLOOKUP($D484,$C$5:$AU$518,16,)/VLOOKUP($D484,$C$5:$AU$518,3,))*$E484)</f>
        <v>0</v>
      </c>
      <c r="S484" s="127">
        <f>IF(VLOOKUP($D484,$C$5:$AU$518,3,)=0,0,(VLOOKUP($D484,$C$5:$AU$518,17,)/VLOOKUP($D484,$C$5:$AU$518,3,))*$E484)</f>
        <v>0</v>
      </c>
      <c r="T484" s="127">
        <f>IF(VLOOKUP($D484,$C$5:$AU$518,3,)=0,0,(VLOOKUP($D484,$C$5:$AU$518,18,)/VLOOKUP($D484,$C$5:$AU$518,3,))*$E484)</f>
        <v>0</v>
      </c>
      <c r="U484" s="127">
        <f>IF(VLOOKUP($D484,$C$5:$AU$518,3,)=0,0,(VLOOKUP($D484,$C$5:$AU$518,19,)/VLOOKUP($D484,$C$5:$AU$518,3,))*$E484)</f>
        <v>0</v>
      </c>
      <c r="V484" s="127">
        <f>IF(VLOOKUP($D484,$C$5:$AU$518,3,)=0,0,(VLOOKUP($D484,$C$5:$AU$518,20,)/VLOOKUP($D484,$C$5:$AU$518,3,))*$E484)</f>
        <v>0</v>
      </c>
      <c r="W484" s="127">
        <f>IF(VLOOKUP($D484,$C$5:$AU$518,3,)=0,0,(VLOOKUP($D484,$C$5:$AU$518,21,)/VLOOKUP($D484,$C$5:$AU$518,3,))*$E484)</f>
        <v>0</v>
      </c>
      <c r="X484" s="127">
        <f>IF(VLOOKUP($D484,$C$5:$AU$518,3,)=0,0,(VLOOKUP($D484,$C$5:$AU$518,22,)/VLOOKUP($D484,$C$5:$AU$518,3,))*$E484)</f>
        <v>0</v>
      </c>
      <c r="Y484" s="127">
        <f>IF(VLOOKUP($D484,$C$5:$AU$518,3,)=0,0,(VLOOKUP($D484,$C$5:$AU$518,23,)/VLOOKUP($D484,$C$5:$AU$518,3,))*$E484)</f>
        <v>0</v>
      </c>
      <c r="Z484" s="127">
        <f>IF(VLOOKUP($D484,$C$5:$AU$518,3,)=0,0,(VLOOKUP($D484,$C$5:$AU$518,24,)/VLOOKUP($D484,$C$5:$AU$518,3,))*$E484)</f>
        <v>0</v>
      </c>
      <c r="AA484" s="127">
        <f>IF(VLOOKUP($D484,$C$5:$AU$518,3,)=0,0,(VLOOKUP($D484,$C$5:$AU$518,25,)/VLOOKUP($D484,$C$5:$AU$518,3,))*$E484)</f>
        <v>0</v>
      </c>
      <c r="AB484" s="127">
        <f>IF(VLOOKUP($D484,$C$5:$AU$518,3,)=0,0,(VLOOKUP($D484,$C$5:$AU$518,26,)/VLOOKUP($D484,$C$5:$AU$518,3,))*$E484)</f>
        <v>0</v>
      </c>
      <c r="AC484" s="127">
        <f>IF(VLOOKUP($D484,$C$5:$AU$518,3,)=0,0,(VLOOKUP($D484,$C$5:$AU$518,27,)/VLOOKUP($D484,$C$5:$AU$518,3,))*$E484)</f>
        <v>0</v>
      </c>
      <c r="AD484" s="127">
        <f>IF(VLOOKUP($D484,$C$5:$AU$518,3,)=0,0,(VLOOKUP($D484,$C$5:$AU$518,28,)/VLOOKUP($D484,$C$5:$AU$518,3,))*$E484)</f>
        <v>0</v>
      </c>
      <c r="AE484" s="127">
        <f>IF(VLOOKUP($D484,$C$5:$AU$518,3,)=0,0,(VLOOKUP($D484,$C$5:$AU$518,29,)/VLOOKUP($D484,$C$5:$AU$518,3,))*$E484)</f>
        <v>0</v>
      </c>
      <c r="AF484" s="127">
        <f>IF(VLOOKUP($D484,$C$5:$AU$518,3,)=0,0,(VLOOKUP($D484,$C$5:$AU$518,30,)/VLOOKUP($D484,$C$5:$AU$518,3,))*$E484)</f>
        <v>0</v>
      </c>
      <c r="AG484" s="38">
        <f>SUM(F484:AF484)</f>
        <v>0.99999999999999989</v>
      </c>
      <c r="AH484" s="28" t="str">
        <f>IF(ABS(E484-AG484)&lt;0.01,"ok","err")</f>
        <v>ok</v>
      </c>
    </row>
    <row r="486" spans="1:34" x14ac:dyDescent="0.25">
      <c r="A486" s="14" t="s">
        <v>651</v>
      </c>
      <c r="C486" s="14" t="s">
        <v>658</v>
      </c>
      <c r="E486" s="50">
        <v>1339910.561097088</v>
      </c>
      <c r="F486" s="50">
        <f t="shared" ref="F486:Y486" si="250">F433</f>
        <v>843041.55674455478</v>
      </c>
      <c r="G486" s="50">
        <f t="shared" si="250"/>
        <v>82481.637822210949</v>
      </c>
      <c r="H486" s="50">
        <f t="shared" si="250"/>
        <v>23455.182324426693</v>
      </c>
      <c r="I486" s="50">
        <f t="shared" si="250"/>
        <v>339158.99961552187</v>
      </c>
      <c r="J486" s="50">
        <v>0</v>
      </c>
      <c r="K486" s="50">
        <f t="shared" ref="K486" si="251">K433</f>
        <v>42791.56</v>
      </c>
      <c r="L486" s="50">
        <f t="shared" si="250"/>
        <v>8981.6245903737836</v>
      </c>
      <c r="M486" s="23">
        <f t="shared" si="250"/>
        <v>0</v>
      </c>
      <c r="N486" s="23">
        <f t="shared" si="250"/>
        <v>0</v>
      </c>
      <c r="O486" s="23">
        <f t="shared" si="250"/>
        <v>0</v>
      </c>
      <c r="P486" s="23">
        <f t="shared" si="250"/>
        <v>0</v>
      </c>
      <c r="Q486" s="23">
        <f t="shared" si="250"/>
        <v>0</v>
      </c>
      <c r="R486" s="23">
        <f t="shared" si="250"/>
        <v>0</v>
      </c>
      <c r="S486" s="115">
        <f t="shared" si="250"/>
        <v>0</v>
      </c>
      <c r="T486" s="115">
        <f t="shared" si="250"/>
        <v>0</v>
      </c>
      <c r="U486" s="115">
        <f t="shared" si="250"/>
        <v>0</v>
      </c>
      <c r="V486" s="115">
        <f t="shared" si="250"/>
        <v>0</v>
      </c>
      <c r="W486" s="115">
        <f t="shared" si="250"/>
        <v>0</v>
      </c>
      <c r="X486" s="115">
        <f t="shared" si="250"/>
        <v>0</v>
      </c>
      <c r="Y486" s="115">
        <f t="shared" si="250"/>
        <v>0</v>
      </c>
      <c r="Z486" s="115">
        <f>Z433</f>
        <v>0</v>
      </c>
      <c r="AA486" s="115">
        <v>0</v>
      </c>
      <c r="AB486" s="115">
        <v>0</v>
      </c>
      <c r="AC486" s="115">
        <v>0</v>
      </c>
      <c r="AD486" s="115">
        <v>0</v>
      </c>
      <c r="AE486" s="115">
        <v>0</v>
      </c>
      <c r="AF486" s="115">
        <f>AF433</f>
        <v>0</v>
      </c>
      <c r="AG486" s="91">
        <f>SUM(F486:AF486)</f>
        <v>1339910.561097088</v>
      </c>
      <c r="AH486" s="28" t="str">
        <f t="shared" ref="AH486:AH491" si="252">IF(ABS(E486-AG486)&lt;0.01,"ok","err")</f>
        <v>ok</v>
      </c>
    </row>
    <row r="487" spans="1:34" x14ac:dyDescent="0.25">
      <c r="A487" s="14" t="s">
        <v>652</v>
      </c>
      <c r="E487" s="91">
        <f>E123</f>
        <v>18054874.878003754</v>
      </c>
      <c r="AG487" s="91">
        <f>E487</f>
        <v>18054874.878003754</v>
      </c>
      <c r="AH487" s="28" t="str">
        <f t="shared" si="252"/>
        <v>ok</v>
      </c>
    </row>
    <row r="488" spans="1:34" x14ac:dyDescent="0.25">
      <c r="A488" s="14" t="s">
        <v>595</v>
      </c>
      <c r="E488" s="67">
        <f>J488</f>
        <v>2003014.98</v>
      </c>
      <c r="H488" s="50"/>
      <c r="I488" s="50"/>
      <c r="J488" s="50">
        <f>'Purchased Power'!O26+'Purchased Power'!O34</f>
        <v>2003014.98</v>
      </c>
      <c r="K488" s="50"/>
      <c r="L488" s="50"/>
      <c r="M488" s="23"/>
      <c r="N488" s="23">
        <v>0</v>
      </c>
      <c r="O488" s="24">
        <v>0</v>
      </c>
      <c r="P488" s="24">
        <v>0</v>
      </c>
      <c r="Q488" s="24">
        <v>0</v>
      </c>
      <c r="R488" s="23">
        <v>0</v>
      </c>
      <c r="S488" s="100">
        <v>0</v>
      </c>
      <c r="Y488" s="115">
        <v>0</v>
      </c>
      <c r="AA488" s="131">
        <v>0</v>
      </c>
      <c r="AB488" s="115">
        <v>0</v>
      </c>
      <c r="AC488" s="115">
        <v>0</v>
      </c>
      <c r="AD488" s="131">
        <v>0</v>
      </c>
      <c r="AE488" s="131"/>
      <c r="AG488" s="91">
        <f>SUM(F488:AF488)</f>
        <v>2003014.98</v>
      </c>
      <c r="AH488" s="28" t="str">
        <f t="shared" si="252"/>
        <v>ok</v>
      </c>
    </row>
    <row r="489" spans="1:34" x14ac:dyDescent="0.25">
      <c r="A489" s="14" t="s">
        <v>653</v>
      </c>
      <c r="D489" s="14" t="s">
        <v>658</v>
      </c>
      <c r="E489" s="91">
        <f>E487-E488</f>
        <v>16051859.898003753</v>
      </c>
      <c r="F489" s="67">
        <f>IF(VLOOKUP($D489,$C$5:$AU$518,3,)=0,0,(VLOOKUP($D489,$C$5:$AU$518,4,)/VLOOKUP($D489,$C$5:$AU$518,3,))*$E489)</f>
        <v>10099468.83766523</v>
      </c>
      <c r="G489" s="67">
        <f>IF(VLOOKUP($D489,$C$5:$AU$518,3,)=0,0,(VLOOKUP($D489,$C$5:$AU$518,5,)/VLOOKUP($D489,$C$5:$AU$518,3,))*$E489)</f>
        <v>988113.4852732037</v>
      </c>
      <c r="H489" s="67">
        <f>IF(VLOOKUP($D489,$C$5:$AU$518,3,)=0,0,(VLOOKUP($D489,$C$5:$AU$518,6,)/VLOOKUP($D489,$C$5:$AU$518,3,))*$E489)</f>
        <v>280988.3819749598</v>
      </c>
      <c r="I489" s="67">
        <f>IF(VLOOKUP($D489,$C$5:$AU$518,3,)=0,0,(VLOOKUP($D489,$C$5:$AU$518,7,)/VLOOKUP($D489,$C$5:$AU$518,3,))*$E489)</f>
        <v>4063056.8211343409</v>
      </c>
      <c r="J489" s="67">
        <f>IF(VLOOKUP($D489,$C$5:$AU$518,3,)=0,0,(VLOOKUP($D489,$C$5:$AU$518,8,)/VLOOKUP($D489,$C$5:$AU$518,3,))*$E489)</f>
        <v>0</v>
      </c>
      <c r="K489" s="67">
        <f>IF(VLOOKUP($D489,$C$5:$AU$518,3,)=0,0,(VLOOKUP($D489,$C$5:$AU$518,9,)/VLOOKUP($D489,$C$5:$AU$518,3,))*$E489)</f>
        <v>512634.30999052391</v>
      </c>
      <c r="L489" s="67">
        <f>IF(VLOOKUP($D489,$C$5:$AU$518,3,)=0,0,(VLOOKUP($D489,$C$5:$AU$518,10,)/VLOOKUP($D489,$C$5:$AU$518,3,))*$E489)</f>
        <v>107598.06196549475</v>
      </c>
      <c r="M489" s="42">
        <f>IF(VLOOKUP($D489,$C$5:$AU$518,3,)=0,0,(VLOOKUP($D489,$C$5:$AU$518,11,)/VLOOKUP($D489,$C$5:$AU$518,3,))*$E489)</f>
        <v>0</v>
      </c>
      <c r="N489" s="42">
        <f>IF(VLOOKUP($D489,$C$5:$AU$518,3,)=0,0,(VLOOKUP($D489,$C$5:$AU$518,12,)/VLOOKUP($D489,$C$5:$AU$518,3,))*$E489)</f>
        <v>0</v>
      </c>
      <c r="O489" s="42">
        <f>IF(VLOOKUP($D489,$C$5:$AU$518,3,)=0,0,(VLOOKUP($D489,$C$5:$AU$518,13,)/VLOOKUP($D489,$C$5:$AU$518,3,))*$E489)</f>
        <v>0</v>
      </c>
      <c r="P489" s="42">
        <f>IF(VLOOKUP($D489,$C$5:$AU$518,3,)=0,0,(VLOOKUP($D489,$C$5:$AU$518,14,)/VLOOKUP($D489,$C$5:$AU$518,3,))*$E489)</f>
        <v>0</v>
      </c>
      <c r="Q489" s="42">
        <f>IF(VLOOKUP($D489,$C$5:$AU$518,3,)=0,0,(VLOOKUP($D489,$C$5:$AU$518,15,)/VLOOKUP($D489,$C$5:$AU$518,3,))*$E489)</f>
        <v>0</v>
      </c>
      <c r="R489" s="42">
        <f>IF(VLOOKUP($D489,$C$5:$AU$518,3,)=0,0,(VLOOKUP($D489,$C$5:$AU$518,16,)/VLOOKUP($D489,$C$5:$AU$518,3,))*$E489)</f>
        <v>0</v>
      </c>
      <c r="S489" s="107">
        <f>IF(VLOOKUP($D489,$C$5:$AU$518,3,)=0,0,(VLOOKUP($D489,$C$5:$AU$518,17,)/VLOOKUP($D489,$C$5:$AU$518,3,))*$E489)</f>
        <v>0</v>
      </c>
      <c r="T489" s="107">
        <f>IF(VLOOKUP($D489,$C$5:$AU$518,3,)=0,0,(VLOOKUP($D489,$C$5:$AU$518,18,)/VLOOKUP($D489,$C$5:$AU$518,3,))*$E489)</f>
        <v>0</v>
      </c>
      <c r="U489" s="107">
        <f>IF(VLOOKUP($D489,$C$5:$AU$518,3,)=0,0,(VLOOKUP($D489,$C$5:$AU$518,19,)/VLOOKUP($D489,$C$5:$AU$518,3,))*$E489)</f>
        <v>0</v>
      </c>
      <c r="V489" s="107">
        <f>IF(VLOOKUP($D489,$C$5:$AU$518,3,)=0,0,(VLOOKUP($D489,$C$5:$AU$518,20,)/VLOOKUP($D489,$C$5:$AU$518,3,))*$E489)</f>
        <v>0</v>
      </c>
      <c r="W489" s="107">
        <f>IF(VLOOKUP($D489,$C$5:$AU$518,3,)=0,0,(VLOOKUP($D489,$C$5:$AU$518,21,)/VLOOKUP($D489,$C$5:$AU$518,3,))*$E489)</f>
        <v>0</v>
      </c>
      <c r="X489" s="107">
        <f>IF(VLOOKUP($D489,$C$5:$AU$518,3,)=0,0,(VLOOKUP($D489,$C$5:$AU$518,22,)/VLOOKUP($D489,$C$5:$AU$518,3,))*$E489)</f>
        <v>0</v>
      </c>
      <c r="Y489" s="107">
        <f>IF(VLOOKUP($D489,$C$5:$AU$518,3,)=0,0,(VLOOKUP($D489,$C$5:$AU$518,23,)/VLOOKUP($D489,$C$5:$AU$518,3,))*$E489)</f>
        <v>0</v>
      </c>
      <c r="Z489" s="107">
        <f>IF(VLOOKUP($D489,$C$5:$AU$518,3,)=0,0,(VLOOKUP($D489,$C$5:$AU$518,24,)/VLOOKUP($D489,$C$5:$AU$518,3,))*$E489)</f>
        <v>0</v>
      </c>
      <c r="AA489" s="107">
        <f>IF(VLOOKUP($D489,$C$5:$AU$518,3,)=0,0,(VLOOKUP($D489,$C$5:$AU$518,25,)/VLOOKUP($D489,$C$5:$AU$518,3,))*$E489)</f>
        <v>0</v>
      </c>
      <c r="AB489" s="107">
        <f>IF(VLOOKUP($D489,$C$5:$AU$518,3,)=0,0,(VLOOKUP($D489,$C$5:$AU$518,26,)/VLOOKUP($D489,$C$5:$AU$518,3,))*$E489)</f>
        <v>0</v>
      </c>
      <c r="AC489" s="107">
        <f>IF(VLOOKUP($D489,$C$5:$AU$518,3,)=0,0,(VLOOKUP($D489,$C$5:$AU$518,27,)/VLOOKUP($D489,$C$5:$AU$518,3,))*$E489)</f>
        <v>0</v>
      </c>
      <c r="AD489" s="107">
        <f>IF(VLOOKUP($D489,$C$5:$AU$518,3,)=0,0,(VLOOKUP($D489,$C$5:$AU$518,28,)/VLOOKUP($D489,$C$5:$AU$518,3,))*$E489)</f>
        <v>0</v>
      </c>
      <c r="AE489" s="107">
        <f>IF(VLOOKUP($D489,$C$5:$AU$518,3,)=0,0,(VLOOKUP($D489,$C$5:$AU$518,29,)/VLOOKUP($D489,$C$5:$AU$518,3,))*$E489)</f>
        <v>0</v>
      </c>
      <c r="AF489" s="107">
        <f>IF(VLOOKUP($D489,$C$5:$AU$518,3,)=0,0,(VLOOKUP($D489,$C$5:$AU$518,30,)/VLOOKUP($D489,$C$5:$AU$518,3,))*$E489)</f>
        <v>0</v>
      </c>
      <c r="AG489" s="91">
        <f>SUM(F489:AF489)</f>
        <v>16051859.898003751</v>
      </c>
      <c r="AH489" s="28" t="str">
        <f t="shared" si="252"/>
        <v>ok</v>
      </c>
    </row>
    <row r="490" spans="1:34" x14ac:dyDescent="0.25">
      <c r="A490" s="14" t="s">
        <v>654</v>
      </c>
      <c r="C490" s="14" t="s">
        <v>656</v>
      </c>
      <c r="E490" s="91">
        <f t="shared" ref="E490:AF490" si="253">E488+E489</f>
        <v>18054874.878003754</v>
      </c>
      <c r="F490" s="91">
        <f t="shared" si="253"/>
        <v>10099468.83766523</v>
      </c>
      <c r="G490" s="91">
        <f t="shared" si="253"/>
        <v>988113.4852732037</v>
      </c>
      <c r="H490" s="91">
        <f t="shared" si="253"/>
        <v>280988.3819749598</v>
      </c>
      <c r="I490" s="91">
        <f t="shared" si="253"/>
        <v>4063056.8211343409</v>
      </c>
      <c r="J490" s="91">
        <f t="shared" si="253"/>
        <v>2003014.98</v>
      </c>
      <c r="K490" s="91">
        <f t="shared" ref="K490" si="254">K488+K489</f>
        <v>512634.30999052391</v>
      </c>
      <c r="L490" s="91">
        <f t="shared" ref="L490" si="255">L488+L489</f>
        <v>107598.06196549475</v>
      </c>
      <c r="M490" s="91">
        <f t="shared" si="253"/>
        <v>0</v>
      </c>
      <c r="N490" s="91">
        <f t="shared" si="253"/>
        <v>0</v>
      </c>
      <c r="O490" s="91">
        <f t="shared" si="253"/>
        <v>0</v>
      </c>
      <c r="P490" s="91">
        <f t="shared" si="253"/>
        <v>0</v>
      </c>
      <c r="Q490" s="91">
        <f t="shared" si="253"/>
        <v>0</v>
      </c>
      <c r="R490" s="91">
        <f t="shared" si="253"/>
        <v>0</v>
      </c>
      <c r="S490" s="114">
        <f t="shared" si="253"/>
        <v>0</v>
      </c>
      <c r="T490" s="114">
        <f t="shared" si="253"/>
        <v>0</v>
      </c>
      <c r="U490" s="114">
        <f t="shared" si="253"/>
        <v>0</v>
      </c>
      <c r="V490" s="114">
        <f t="shared" si="253"/>
        <v>0</v>
      </c>
      <c r="W490" s="114">
        <f t="shared" si="253"/>
        <v>0</v>
      </c>
      <c r="X490" s="114">
        <f t="shared" si="253"/>
        <v>0</v>
      </c>
      <c r="Y490" s="114">
        <f t="shared" si="253"/>
        <v>0</v>
      </c>
      <c r="Z490" s="114">
        <f t="shared" si="253"/>
        <v>0</v>
      </c>
      <c r="AA490" s="114">
        <f t="shared" si="253"/>
        <v>0</v>
      </c>
      <c r="AB490" s="114">
        <f t="shared" si="253"/>
        <v>0</v>
      </c>
      <c r="AC490" s="114">
        <f t="shared" si="253"/>
        <v>0</v>
      </c>
      <c r="AD490" s="114">
        <f t="shared" si="253"/>
        <v>0</v>
      </c>
      <c r="AE490" s="114">
        <f t="shared" si="253"/>
        <v>0</v>
      </c>
      <c r="AF490" s="114">
        <f t="shared" si="253"/>
        <v>0</v>
      </c>
      <c r="AG490" s="91">
        <f>SUM(F490:AF490)</f>
        <v>18054874.878003754</v>
      </c>
      <c r="AH490" s="28" t="str">
        <f t="shared" si="252"/>
        <v>ok</v>
      </c>
    </row>
    <row r="491" spans="1:34" x14ac:dyDescent="0.25">
      <c r="A491" s="14" t="s">
        <v>655</v>
      </c>
      <c r="C491" s="14" t="s">
        <v>657</v>
      </c>
      <c r="D491" s="14" t="s">
        <v>656</v>
      </c>
      <c r="E491" s="49">
        <v>1</v>
      </c>
      <c r="F491" s="99">
        <f>IF(VLOOKUP($D491,$C$5:$AU$518,3,)=0,0,(VLOOKUP($D491,$C$5:$AU$518,4,)/VLOOKUP($D491,$C$5:$AU$518,3,))*$E491)</f>
        <v>0.55937628512559834</v>
      </c>
      <c r="G491" s="99">
        <f>IF(VLOOKUP($D491,$C$5:$AU$518,3,)=0,0,(VLOOKUP($D491,$C$5:$AU$518,5,)/VLOOKUP($D491,$C$5:$AU$518,3,))*$E491)</f>
        <v>5.4728348545744945E-2</v>
      </c>
      <c r="H491" s="99">
        <f>IF(VLOOKUP($D491,$C$5:$AU$518,3,)=0,0,(VLOOKUP($D491,$C$5:$AU$518,6,)/VLOOKUP($D491,$C$5:$AU$518,3,))*$E491)</f>
        <v>1.5563020174528477E-2</v>
      </c>
      <c r="I491" s="99">
        <f>IF(VLOOKUP($D491,$C$5:$AU$518,3,)=0,0,(VLOOKUP($D491,$C$5:$AU$518,7,)/VLOOKUP($D491,$C$5:$AU$518,3,))*$E491)</f>
        <v>0.22503932309629912</v>
      </c>
      <c r="J491" s="99">
        <f>IF(VLOOKUP($D491,$C$5:$AU$518,3,)=0,0,(VLOOKUP($D491,$C$5:$AU$518,8,)/VLOOKUP($D491,$C$5:$AU$518,3,))*$E491)</f>
        <v>0.11094039662608088</v>
      </c>
      <c r="K491" s="99">
        <f>IF(VLOOKUP($D491,$C$5:$AU$518,3,)=0,0,(VLOOKUP($D491,$C$5:$AU$518,9,)/VLOOKUP($D491,$C$5:$AU$518,3,))*$E491)</f>
        <v>2.8393124486011591E-2</v>
      </c>
      <c r="L491" s="99">
        <f>IF(VLOOKUP($D491,$C$5:$AU$518,3,)=0,0,(VLOOKUP($D491,$C$5:$AU$518,10,)/VLOOKUP($D491,$C$5:$AU$518,3,))*$E491)</f>
        <v>5.9595019457366286E-3</v>
      </c>
      <c r="M491" s="38">
        <f>IF(VLOOKUP($D491,$C$5:$AU$518,3,)=0,0,(VLOOKUP($D491,$C$5:$AU$518,11,)/VLOOKUP($D491,$C$5:$AU$518,3,))*$E491)</f>
        <v>0</v>
      </c>
      <c r="N491" s="38">
        <f>IF(VLOOKUP($D491,$C$5:$AU$518,3,)=0,0,(VLOOKUP($D491,$C$5:$AU$518,12,)/VLOOKUP($D491,$C$5:$AU$518,3,))*$E491)</f>
        <v>0</v>
      </c>
      <c r="O491" s="38">
        <f>IF(VLOOKUP($D491,$C$5:$AU$518,3,)=0,0,(VLOOKUP($D491,$C$5:$AU$518,13,)/VLOOKUP($D491,$C$5:$AU$518,3,))*$E491)</f>
        <v>0</v>
      </c>
      <c r="P491" s="38">
        <f>IF(VLOOKUP($D491,$C$5:$AU$518,3,)=0,0,(VLOOKUP($D491,$C$5:$AU$518,14,)/VLOOKUP($D491,$C$5:$AU$518,3,))*$E491)</f>
        <v>0</v>
      </c>
      <c r="Q491" s="38">
        <f>IF(VLOOKUP($D491,$C$5:$AU$518,3,)=0,0,(VLOOKUP($D491,$C$5:$AU$518,15,)/VLOOKUP($D491,$C$5:$AU$518,3,))*$E491)</f>
        <v>0</v>
      </c>
      <c r="R491" s="38">
        <f>IF(VLOOKUP($D491,$C$5:$AU$518,3,)=0,0,(VLOOKUP($D491,$C$5:$AU$518,16,)/VLOOKUP($D491,$C$5:$AU$518,3,))*$E491)</f>
        <v>0</v>
      </c>
      <c r="S491" s="127">
        <f>IF(VLOOKUP($D491,$C$5:$AU$518,3,)=0,0,(VLOOKUP($D491,$C$5:$AU$518,17,)/VLOOKUP($D491,$C$5:$AU$518,3,))*$E491)</f>
        <v>0</v>
      </c>
      <c r="T491" s="127">
        <f>IF(VLOOKUP($D491,$C$5:$AU$518,3,)=0,0,(VLOOKUP($D491,$C$5:$AU$518,18,)/VLOOKUP($D491,$C$5:$AU$518,3,))*$E491)</f>
        <v>0</v>
      </c>
      <c r="U491" s="127">
        <f>IF(VLOOKUP($D491,$C$5:$AU$518,3,)=0,0,(VLOOKUP($D491,$C$5:$AU$518,19,)/VLOOKUP($D491,$C$5:$AU$518,3,))*$E491)</f>
        <v>0</v>
      </c>
      <c r="V491" s="127">
        <f>IF(VLOOKUP($D491,$C$5:$AU$518,3,)=0,0,(VLOOKUP($D491,$C$5:$AU$518,20,)/VLOOKUP($D491,$C$5:$AU$518,3,))*$E491)</f>
        <v>0</v>
      </c>
      <c r="W491" s="127">
        <f>IF(VLOOKUP($D491,$C$5:$AU$518,3,)=0,0,(VLOOKUP($D491,$C$5:$AU$518,21,)/VLOOKUP($D491,$C$5:$AU$518,3,))*$E491)</f>
        <v>0</v>
      </c>
      <c r="X491" s="127">
        <f>IF(VLOOKUP($D491,$C$5:$AU$518,3,)=0,0,(VLOOKUP($D491,$C$5:$AU$518,22,)/VLOOKUP($D491,$C$5:$AU$518,3,))*$E491)</f>
        <v>0</v>
      </c>
      <c r="Y491" s="127">
        <f>IF(VLOOKUP($D491,$C$5:$AU$518,3,)=0,0,(VLOOKUP($D491,$C$5:$AU$518,23,)/VLOOKUP($D491,$C$5:$AU$518,3,))*$E491)</f>
        <v>0</v>
      </c>
      <c r="Z491" s="127">
        <f>IF(VLOOKUP($D491,$C$5:$AU$518,3,)=0,0,(VLOOKUP($D491,$C$5:$AU$518,24,)/VLOOKUP($D491,$C$5:$AU$518,3,))*$E491)</f>
        <v>0</v>
      </c>
      <c r="AA491" s="127">
        <f>IF(VLOOKUP($D491,$C$5:$AU$518,3,)=0,0,(VLOOKUP($D491,$C$5:$AU$518,25,)/VLOOKUP($D491,$C$5:$AU$518,3,))*$E491)</f>
        <v>0</v>
      </c>
      <c r="AB491" s="127">
        <f>IF(VLOOKUP($D491,$C$5:$AU$518,3,)=0,0,(VLOOKUP($D491,$C$5:$AU$518,26,)/VLOOKUP($D491,$C$5:$AU$518,3,))*$E491)</f>
        <v>0</v>
      </c>
      <c r="AC491" s="127">
        <f>IF(VLOOKUP($D491,$C$5:$AU$518,3,)=0,0,(VLOOKUP($D491,$C$5:$AU$518,27,)/VLOOKUP($D491,$C$5:$AU$518,3,))*$E491)</f>
        <v>0</v>
      </c>
      <c r="AD491" s="127">
        <f>IF(VLOOKUP($D491,$C$5:$AU$518,3,)=0,0,(VLOOKUP($D491,$C$5:$AU$518,28,)/VLOOKUP($D491,$C$5:$AU$518,3,))*$E491)</f>
        <v>0</v>
      </c>
      <c r="AE491" s="127">
        <f>IF(VLOOKUP($D491,$C$5:$AU$518,3,)=0,0,(VLOOKUP($D491,$C$5:$AU$518,29,)/VLOOKUP($D491,$C$5:$AU$518,3,))*$E491)</f>
        <v>0</v>
      </c>
      <c r="AF491" s="127">
        <f>IF(VLOOKUP($D491,$C$5:$AU$518,3,)=0,0,(VLOOKUP($D491,$C$5:$AU$518,30,)/VLOOKUP($D491,$C$5:$AU$518,3,))*$E491)</f>
        <v>0</v>
      </c>
      <c r="AG491" s="38">
        <f>SUM(F491:AF491)</f>
        <v>1</v>
      </c>
      <c r="AH491" s="28" t="str">
        <f t="shared" si="252"/>
        <v>ok</v>
      </c>
    </row>
    <row r="492" spans="1:34" x14ac:dyDescent="0.25">
      <c r="E492" s="49"/>
      <c r="F492" s="99"/>
      <c r="G492" s="99"/>
      <c r="H492" s="99"/>
      <c r="I492" s="99"/>
      <c r="J492" s="99"/>
      <c r="K492" s="99"/>
      <c r="L492" s="99"/>
      <c r="M492" s="38"/>
      <c r="N492" s="38"/>
      <c r="O492" s="38"/>
      <c r="P492" s="38"/>
      <c r="Q492" s="38"/>
      <c r="R492" s="38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38"/>
      <c r="AH492" s="28"/>
    </row>
    <row r="493" spans="1:34" x14ac:dyDescent="0.25">
      <c r="A493" s="14" t="s">
        <v>659</v>
      </c>
      <c r="C493" s="14" t="s">
        <v>664</v>
      </c>
      <c r="E493" s="50">
        <v>571763380</v>
      </c>
      <c r="F493" s="50">
        <f t="shared" ref="F493:AF493" si="256">F420</f>
        <v>328446062</v>
      </c>
      <c r="G493" s="50">
        <f t="shared" si="256"/>
        <v>37317394</v>
      </c>
      <c r="H493" s="50">
        <f t="shared" si="256"/>
        <v>11646814</v>
      </c>
      <c r="I493" s="50">
        <f t="shared" si="256"/>
        <v>169761237</v>
      </c>
      <c r="J493" s="50">
        <v>0</v>
      </c>
      <c r="K493" s="50">
        <f t="shared" ref="K493" si="257">K420</f>
        <v>18209134</v>
      </c>
      <c r="L493" s="50">
        <f t="shared" ref="L493" si="258">L420</f>
        <v>6382739</v>
      </c>
      <c r="M493" s="23">
        <f t="shared" si="256"/>
        <v>0</v>
      </c>
      <c r="N493" s="23">
        <f t="shared" si="256"/>
        <v>0</v>
      </c>
      <c r="O493" s="23">
        <f t="shared" si="256"/>
        <v>0</v>
      </c>
      <c r="P493" s="23">
        <f t="shared" si="256"/>
        <v>0</v>
      </c>
      <c r="Q493" s="23">
        <f t="shared" si="256"/>
        <v>0</v>
      </c>
      <c r="R493" s="23">
        <f t="shared" si="256"/>
        <v>0</v>
      </c>
      <c r="S493" s="115">
        <f>S420</f>
        <v>0</v>
      </c>
      <c r="T493" s="115">
        <f>T420</f>
        <v>0</v>
      </c>
      <c r="U493" s="115">
        <f t="shared" si="256"/>
        <v>0</v>
      </c>
      <c r="V493" s="115">
        <f t="shared" si="256"/>
        <v>0</v>
      </c>
      <c r="W493" s="115">
        <f t="shared" si="256"/>
        <v>0</v>
      </c>
      <c r="X493" s="115">
        <f t="shared" si="256"/>
        <v>0</v>
      </c>
      <c r="Y493" s="115">
        <f t="shared" si="256"/>
        <v>0</v>
      </c>
      <c r="Z493" s="115">
        <f t="shared" si="256"/>
        <v>0</v>
      </c>
      <c r="AA493" s="115">
        <v>0</v>
      </c>
      <c r="AB493" s="115">
        <v>0</v>
      </c>
      <c r="AC493" s="115">
        <v>0</v>
      </c>
      <c r="AD493" s="115">
        <v>0</v>
      </c>
      <c r="AE493" s="115">
        <v>0</v>
      </c>
      <c r="AF493" s="115">
        <f t="shared" si="256"/>
        <v>0</v>
      </c>
      <c r="AG493" s="91">
        <f>SUM(F493:AF493)</f>
        <v>571763380</v>
      </c>
      <c r="AH493" s="28" t="str">
        <f t="shared" ref="AH493:AH498" si="259">IF(ABS(E493-AG493)&lt;0.01,"ok","err")</f>
        <v>ok</v>
      </c>
    </row>
    <row r="494" spans="1:34" x14ac:dyDescent="0.25">
      <c r="A494" s="14" t="s">
        <v>660</v>
      </c>
      <c r="E494" s="91">
        <f>E124</f>
        <v>52667410.771996282</v>
      </c>
      <c r="AG494" s="91">
        <f>E494</f>
        <v>52667410.771996282</v>
      </c>
      <c r="AH494" s="28" t="str">
        <f t="shared" si="259"/>
        <v>ok</v>
      </c>
    </row>
    <row r="495" spans="1:34" x14ac:dyDescent="0.25">
      <c r="A495" s="14" t="s">
        <v>595</v>
      </c>
      <c r="E495" s="67">
        <f>J495</f>
        <v>10765565.209999999</v>
      </c>
      <c r="F495" s="50">
        <v>0</v>
      </c>
      <c r="G495" s="50">
        <v>0</v>
      </c>
      <c r="H495" s="50"/>
      <c r="I495" s="50"/>
      <c r="J495" s="50">
        <f>'Purchased Power'!O29+'Purchased Power'!O30+'Purchased Power'!O31+'Purchased Power'!O32+'Purchased Power'!O33+'Purchased Power'!O35+'Purchased Power'!O36+'Purchased Power'!O37+'Purchased Power'!O38</f>
        <v>10765565.209999999</v>
      </c>
      <c r="K495" s="50"/>
      <c r="L495" s="50"/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115">
        <v>0</v>
      </c>
      <c r="T495" s="115"/>
      <c r="U495" s="115"/>
      <c r="V495" s="115"/>
      <c r="W495" s="115"/>
      <c r="X495" s="115"/>
      <c r="Y495" s="115">
        <v>0</v>
      </c>
      <c r="Z495" s="115"/>
      <c r="AA495" s="115">
        <v>0</v>
      </c>
      <c r="AB495" s="115">
        <v>0</v>
      </c>
      <c r="AC495" s="115">
        <v>0</v>
      </c>
      <c r="AD495" s="115">
        <v>0</v>
      </c>
      <c r="AE495" s="115"/>
      <c r="AF495" s="115"/>
      <c r="AG495" s="91">
        <f>SUM(F495:AF495)</f>
        <v>10765565.209999999</v>
      </c>
      <c r="AH495" s="28" t="str">
        <f t="shared" si="259"/>
        <v>ok</v>
      </c>
    </row>
    <row r="496" spans="1:34" x14ac:dyDescent="0.25">
      <c r="A496" s="14" t="s">
        <v>661</v>
      </c>
      <c r="D496" s="14" t="s">
        <v>664</v>
      </c>
      <c r="E496" s="91">
        <f>E494-E495</f>
        <v>41901845.561996281</v>
      </c>
      <c r="F496" s="67">
        <f>IF(VLOOKUP($D496,$C$5:$AU$518,3,)=0,0,(VLOOKUP($D496,$C$5:$AU$518,4,)/VLOOKUP($D496,$C$5:$AU$518,3,))*$E496)</f>
        <v>24070265.159986038</v>
      </c>
      <c r="G496" s="67">
        <f>IF(VLOOKUP($D496,$C$5:$AU$518,3,)=0,0,(VLOOKUP($D496,$C$5:$AU$518,5,)/VLOOKUP($D496,$C$5:$AU$518,3,))*$E496)</f>
        <v>2734816.0705293277</v>
      </c>
      <c r="H496" s="67">
        <f>IF(VLOOKUP($D496,$C$5:$AU$518,3,)=0,0,(VLOOKUP($D496,$C$5:$AU$518,6,)/VLOOKUP($D496,$C$5:$AU$518,3,))*$E496)</f>
        <v>853540.15067788376</v>
      </c>
      <c r="I496" s="67">
        <f>IF(VLOOKUP($D496,$C$5:$AU$518,3,)=0,0,(VLOOKUP($D496,$C$5:$AU$518,7,)/VLOOKUP($D496,$C$5:$AU$518,3,))*$E496)</f>
        <v>12441001.617115542</v>
      </c>
      <c r="J496" s="67">
        <f>IF(VLOOKUP($D496,$C$5:$AU$518,3,)=0,0,(VLOOKUP($D496,$C$5:$AU$518,8,)/VLOOKUP($D496,$C$5:$AU$518,3,))*$E496)</f>
        <v>0</v>
      </c>
      <c r="K496" s="67">
        <f>IF(VLOOKUP($D496,$C$5:$AU$518,3,)=0,0,(VLOOKUP($D496,$C$5:$AU$518,9,)/VLOOKUP($D496,$C$5:$AU$518,3,))*$E496)</f>
        <v>1334461.6800846804</v>
      </c>
      <c r="L496" s="67">
        <f>IF(VLOOKUP($D496,$C$5:$AU$518,3,)=0,0,(VLOOKUP($D496,$C$5:$AU$518,10,)/VLOOKUP($D496,$C$5:$AU$518,3,))*$E496)</f>
        <v>467760.88360281236</v>
      </c>
      <c r="M496" s="42">
        <f>IF(VLOOKUP($D496,$C$5:$AU$518,3,)=0,0,(VLOOKUP($D496,$C$5:$AU$518,11,)/VLOOKUP($D496,$C$5:$AU$518,3,))*$E496)</f>
        <v>0</v>
      </c>
      <c r="N496" s="42">
        <f>IF(VLOOKUP($D496,$C$5:$AU$518,3,)=0,0,(VLOOKUP($D496,$C$5:$AU$518,12,)/VLOOKUP($D496,$C$5:$AU$518,3,))*$E496)</f>
        <v>0</v>
      </c>
      <c r="O496" s="42">
        <f>IF(VLOOKUP($D496,$C$5:$AU$518,3,)=0,0,(VLOOKUP($D496,$C$5:$AU$518,13,)/VLOOKUP($D496,$C$5:$AU$518,3,))*$E496)</f>
        <v>0</v>
      </c>
      <c r="P496" s="42">
        <f>IF(VLOOKUP($D496,$C$5:$AU$518,3,)=0,0,(VLOOKUP($D496,$C$5:$AU$518,14,)/VLOOKUP($D496,$C$5:$AU$518,3,))*$E496)</f>
        <v>0</v>
      </c>
      <c r="Q496" s="42">
        <f>IF(VLOOKUP($D496,$C$5:$AU$518,3,)=0,0,(VLOOKUP($D496,$C$5:$AU$518,15,)/VLOOKUP($D496,$C$5:$AU$518,3,))*$E496)</f>
        <v>0</v>
      </c>
      <c r="R496" s="42">
        <f>IF(VLOOKUP($D496,$C$5:$AU$518,3,)=0,0,(VLOOKUP($D496,$C$5:$AU$518,16,)/VLOOKUP($D496,$C$5:$AU$518,3,))*$E496)</f>
        <v>0</v>
      </c>
      <c r="S496" s="107">
        <f>IF(VLOOKUP($D496,$C$5:$AU$518,3,)=0,0,(VLOOKUP($D496,$C$5:$AU$518,17,)/VLOOKUP($D496,$C$5:$AU$518,3,))*$E496)</f>
        <v>0</v>
      </c>
      <c r="T496" s="107">
        <f>IF(VLOOKUP($D496,$C$5:$AU$518,3,)=0,0,(VLOOKUP($D496,$C$5:$AU$518,18,)/VLOOKUP($D496,$C$5:$AU$518,3,))*$E496)</f>
        <v>0</v>
      </c>
      <c r="U496" s="107">
        <f>IF(VLOOKUP($D496,$C$5:$AU$518,3,)=0,0,(VLOOKUP($D496,$C$5:$AU$518,19,)/VLOOKUP($D496,$C$5:$AU$518,3,))*$E496)</f>
        <v>0</v>
      </c>
      <c r="V496" s="107">
        <f>IF(VLOOKUP($D496,$C$5:$AU$518,3,)=0,0,(VLOOKUP($D496,$C$5:$AU$518,20,)/VLOOKUP($D496,$C$5:$AU$518,3,))*$E496)</f>
        <v>0</v>
      </c>
      <c r="W496" s="107">
        <f>IF(VLOOKUP($D496,$C$5:$AU$518,3,)=0,0,(VLOOKUP($D496,$C$5:$AU$518,21,)/VLOOKUP($D496,$C$5:$AU$518,3,))*$E496)</f>
        <v>0</v>
      </c>
      <c r="X496" s="107">
        <f>IF(VLOOKUP($D496,$C$5:$AU$518,3,)=0,0,(VLOOKUP($D496,$C$5:$AU$518,22,)/VLOOKUP($D496,$C$5:$AU$518,3,))*$E496)</f>
        <v>0</v>
      </c>
      <c r="Y496" s="107">
        <f>IF(VLOOKUP($D496,$C$5:$AU$518,3,)=0,0,(VLOOKUP($D496,$C$5:$AU$518,23,)/VLOOKUP($D496,$C$5:$AU$518,3,))*$E496)</f>
        <v>0</v>
      </c>
      <c r="Z496" s="107">
        <f>IF(VLOOKUP($D496,$C$5:$AU$518,3,)=0,0,(VLOOKUP($D496,$C$5:$AU$518,24,)/VLOOKUP($D496,$C$5:$AU$518,3,))*$E496)</f>
        <v>0</v>
      </c>
      <c r="AA496" s="107">
        <f>IF(VLOOKUP($D496,$C$5:$AU$518,3,)=0,0,(VLOOKUP($D496,$C$5:$AU$518,25,)/VLOOKUP($D496,$C$5:$AU$518,3,))*$E496)</f>
        <v>0</v>
      </c>
      <c r="AB496" s="107">
        <f>IF(VLOOKUP($D496,$C$5:$AU$518,3,)=0,0,(VLOOKUP($D496,$C$5:$AU$518,26,)/VLOOKUP($D496,$C$5:$AU$518,3,))*$E496)</f>
        <v>0</v>
      </c>
      <c r="AC496" s="107">
        <f>IF(VLOOKUP($D496,$C$5:$AU$518,3,)=0,0,(VLOOKUP($D496,$C$5:$AU$518,27,)/VLOOKUP($D496,$C$5:$AU$518,3,))*$E496)</f>
        <v>0</v>
      </c>
      <c r="AD496" s="107">
        <f>IF(VLOOKUP($D496,$C$5:$AU$518,3,)=0,0,(VLOOKUP($D496,$C$5:$AU$518,28,)/VLOOKUP($D496,$C$5:$AU$518,3,))*$E496)</f>
        <v>0</v>
      </c>
      <c r="AE496" s="107">
        <f>IF(VLOOKUP($D496,$C$5:$AU$518,3,)=0,0,(VLOOKUP($D496,$C$5:$AU$518,29,)/VLOOKUP($D496,$C$5:$AU$518,3,))*$E496)</f>
        <v>0</v>
      </c>
      <c r="AF496" s="107">
        <f>IF(VLOOKUP($D496,$C$5:$AU$518,3,)=0,0,(VLOOKUP($D496,$C$5:$AU$518,30,)/VLOOKUP($D496,$C$5:$AU$518,3,))*$E496)</f>
        <v>0</v>
      </c>
      <c r="AG496" s="91">
        <f>SUM(F496:AF496)</f>
        <v>41901845.561996289</v>
      </c>
      <c r="AH496" s="28" t="str">
        <f t="shared" si="259"/>
        <v>ok</v>
      </c>
    </row>
    <row r="497" spans="1:41" x14ac:dyDescent="0.25">
      <c r="A497" s="14" t="s">
        <v>662</v>
      </c>
      <c r="C497" s="14" t="s">
        <v>665</v>
      </c>
      <c r="E497" s="91">
        <f t="shared" ref="E497:AF497" si="260">E495+E496</f>
        <v>52667410.771996282</v>
      </c>
      <c r="F497" s="91">
        <f t="shared" si="260"/>
        <v>24070265.159986038</v>
      </c>
      <c r="G497" s="91">
        <f t="shared" si="260"/>
        <v>2734816.0705293277</v>
      </c>
      <c r="H497" s="91">
        <f t="shared" si="260"/>
        <v>853540.15067788376</v>
      </c>
      <c r="I497" s="91">
        <f t="shared" si="260"/>
        <v>12441001.617115542</v>
      </c>
      <c r="J497" s="91">
        <f t="shared" si="260"/>
        <v>10765565.209999999</v>
      </c>
      <c r="K497" s="91">
        <f t="shared" ref="K497" si="261">K495+K496</f>
        <v>1334461.6800846804</v>
      </c>
      <c r="L497" s="91">
        <f t="shared" si="260"/>
        <v>467760.88360281236</v>
      </c>
      <c r="M497" s="91">
        <f t="shared" si="260"/>
        <v>0</v>
      </c>
      <c r="N497" s="91">
        <f t="shared" si="260"/>
        <v>0</v>
      </c>
      <c r="O497" s="91">
        <f t="shared" si="260"/>
        <v>0</v>
      </c>
      <c r="P497" s="91">
        <f t="shared" si="260"/>
        <v>0</v>
      </c>
      <c r="Q497" s="91">
        <f t="shared" si="260"/>
        <v>0</v>
      </c>
      <c r="R497" s="91">
        <f t="shared" si="260"/>
        <v>0</v>
      </c>
      <c r="S497" s="114">
        <f t="shared" si="260"/>
        <v>0</v>
      </c>
      <c r="T497" s="114">
        <f t="shared" si="260"/>
        <v>0</v>
      </c>
      <c r="U497" s="114">
        <f t="shared" si="260"/>
        <v>0</v>
      </c>
      <c r="V497" s="114">
        <f t="shared" si="260"/>
        <v>0</v>
      </c>
      <c r="W497" s="114">
        <f t="shared" si="260"/>
        <v>0</v>
      </c>
      <c r="X497" s="114">
        <f t="shared" si="260"/>
        <v>0</v>
      </c>
      <c r="Y497" s="114">
        <f t="shared" si="260"/>
        <v>0</v>
      </c>
      <c r="Z497" s="114">
        <f t="shared" si="260"/>
        <v>0</v>
      </c>
      <c r="AA497" s="114">
        <f t="shared" si="260"/>
        <v>0</v>
      </c>
      <c r="AB497" s="114">
        <f t="shared" si="260"/>
        <v>0</v>
      </c>
      <c r="AC497" s="114">
        <f t="shared" si="260"/>
        <v>0</v>
      </c>
      <c r="AD497" s="114">
        <f t="shared" si="260"/>
        <v>0</v>
      </c>
      <c r="AE497" s="114">
        <f t="shared" si="260"/>
        <v>0</v>
      </c>
      <c r="AF497" s="114">
        <f t="shared" si="260"/>
        <v>0</v>
      </c>
      <c r="AG497" s="91">
        <f>SUM(F497:AF497)</f>
        <v>52667410.771996289</v>
      </c>
      <c r="AH497" s="28" t="str">
        <f t="shared" si="259"/>
        <v>ok</v>
      </c>
    </row>
    <row r="498" spans="1:41" x14ac:dyDescent="0.25">
      <c r="A498" s="14" t="s">
        <v>663</v>
      </c>
      <c r="C498" s="14" t="s">
        <v>666</v>
      </c>
      <c r="D498" s="14" t="s">
        <v>665</v>
      </c>
      <c r="E498" s="122">
        <v>1</v>
      </c>
      <c r="F498" s="99">
        <f>IF(VLOOKUP($D498,$C$5:$AU$518,3,)=0,0,(VLOOKUP($D498,$C$5:$AU$518,4,)/VLOOKUP($D498,$C$5:$AU$518,3,))*$E498)</f>
        <v>0.45702389403931748</v>
      </c>
      <c r="G498" s="99">
        <f>IF(VLOOKUP($D498,$C$5:$AU$518,3,)=0,0,(VLOOKUP($D498,$C$5:$AU$518,5,)/VLOOKUP($D498,$C$5:$AU$518,3,))*$E498)</f>
        <v>5.1926153772181509E-2</v>
      </c>
      <c r="H498" s="38">
        <f>IF(VLOOKUP($D498,$C$5:$AU$518,3,)=0,0,(VLOOKUP($D498,$C$5:$AU$518,6,)/VLOOKUP($D498,$C$5:$AU$518,3,))*$E498)</f>
        <v>1.620622958612802E-2</v>
      </c>
      <c r="I498" s="38">
        <f>IF(VLOOKUP($D498,$C$5:$AU$518,3,)=0,0,(VLOOKUP($D498,$C$5:$AU$518,7,)/VLOOKUP($D498,$C$5:$AU$518,3,))*$E498)</f>
        <v>0.23621821226363629</v>
      </c>
      <c r="J498" s="38">
        <f>IF(VLOOKUP($D498,$C$5:$AU$518,3,)=0,0,(VLOOKUP($D498,$C$5:$AU$518,8,)/VLOOKUP($D498,$C$5:$AU$518,3,))*$E498)</f>
        <v>0.20440657803751658</v>
      </c>
      <c r="K498" s="38">
        <f>IF(VLOOKUP($D498,$C$5:$AU$518,3,)=0,0,(VLOOKUP($D498,$C$5:$AU$518,9,)/VLOOKUP($D498,$C$5:$AU$518,3,))*$E498)</f>
        <v>2.5337522018345077E-2</v>
      </c>
      <c r="L498" s="99">
        <f>IF(VLOOKUP($D498,$C$5:$AU$518,3,)=0,0,(VLOOKUP($D498,$C$5:$AU$518,10,)/VLOOKUP($D498,$C$5:$AU$518,3,))*$E498)</f>
        <v>8.8814102828750578E-3</v>
      </c>
      <c r="M498" s="38">
        <f>IF(VLOOKUP($D498,$C$5:$AU$518,3,)=0,0,(VLOOKUP($D498,$C$5:$AU$518,11,)/VLOOKUP($D498,$C$5:$AU$518,3,))*$E498)</f>
        <v>0</v>
      </c>
      <c r="N498" s="38">
        <f>IF(VLOOKUP($D498,$C$5:$AU$518,3,)=0,0,(VLOOKUP($D498,$C$5:$AU$518,12,)/VLOOKUP($D498,$C$5:$AU$518,3,))*$E498)</f>
        <v>0</v>
      </c>
      <c r="O498" s="38">
        <f>IF(VLOOKUP($D498,$C$5:$AU$518,3,)=0,0,(VLOOKUP($D498,$C$5:$AU$518,13,)/VLOOKUP($D498,$C$5:$AU$518,3,))*$E498)</f>
        <v>0</v>
      </c>
      <c r="P498" s="38">
        <f>IF(VLOOKUP($D498,$C$5:$AU$518,3,)=0,0,(VLOOKUP($D498,$C$5:$AU$518,14,)/VLOOKUP($D498,$C$5:$AU$518,3,))*$E498)</f>
        <v>0</v>
      </c>
      <c r="Q498" s="38">
        <f>IF(VLOOKUP($D498,$C$5:$AU$518,3,)=0,0,(VLOOKUP($D498,$C$5:$AU$518,15,)/VLOOKUP($D498,$C$5:$AU$518,3,))*$E498)</f>
        <v>0</v>
      </c>
      <c r="R498" s="38">
        <f>IF(VLOOKUP($D498,$C$5:$AU$518,3,)=0,0,(VLOOKUP($D498,$C$5:$AU$518,16,)/VLOOKUP($D498,$C$5:$AU$518,3,))*$E498)</f>
        <v>0</v>
      </c>
      <c r="S498" s="127">
        <f>IF(VLOOKUP($D498,$C$5:$AU$518,3,)=0,0,(VLOOKUP($D498,$C$5:$AU$518,17,)/VLOOKUP($D498,$C$5:$AU$518,3,))*$E498)</f>
        <v>0</v>
      </c>
      <c r="T498" s="127">
        <f>IF(VLOOKUP($D498,$C$5:$AU$518,3,)=0,0,(VLOOKUP($D498,$C$5:$AU$518,18,)/VLOOKUP($D498,$C$5:$AU$518,3,))*$E498)</f>
        <v>0</v>
      </c>
      <c r="U498" s="127">
        <f>IF(VLOOKUP($D498,$C$5:$AU$518,3,)=0,0,(VLOOKUP($D498,$C$5:$AU$518,19,)/VLOOKUP($D498,$C$5:$AU$518,3,))*$E498)</f>
        <v>0</v>
      </c>
      <c r="V498" s="127">
        <f>IF(VLOOKUP($D498,$C$5:$AU$518,3,)=0,0,(VLOOKUP($D498,$C$5:$AU$518,20,)/VLOOKUP($D498,$C$5:$AU$518,3,))*$E498)</f>
        <v>0</v>
      </c>
      <c r="W498" s="127">
        <f>IF(VLOOKUP($D498,$C$5:$AU$518,3,)=0,0,(VLOOKUP($D498,$C$5:$AU$518,21,)/VLOOKUP($D498,$C$5:$AU$518,3,))*$E498)</f>
        <v>0</v>
      </c>
      <c r="X498" s="127">
        <f>IF(VLOOKUP($D498,$C$5:$AU$518,3,)=0,0,(VLOOKUP($D498,$C$5:$AU$518,22,)/VLOOKUP($D498,$C$5:$AU$518,3,))*$E498)</f>
        <v>0</v>
      </c>
      <c r="Y498" s="127">
        <f>IF(VLOOKUP($D498,$C$5:$AU$518,3,)=0,0,(VLOOKUP($D498,$C$5:$AU$518,23,)/VLOOKUP($D498,$C$5:$AU$518,3,))*$E498)</f>
        <v>0</v>
      </c>
      <c r="Z498" s="127">
        <f>IF(VLOOKUP($D498,$C$5:$AU$518,3,)=0,0,(VLOOKUP($D498,$C$5:$AU$518,24,)/VLOOKUP($D498,$C$5:$AU$518,3,))*$E498)</f>
        <v>0</v>
      </c>
      <c r="AA498" s="127">
        <f>IF(VLOOKUP($D498,$C$5:$AU$518,3,)=0,0,(VLOOKUP($D498,$C$5:$AU$518,25,)/VLOOKUP($D498,$C$5:$AU$518,3,))*$E498)</f>
        <v>0</v>
      </c>
      <c r="AB498" s="127">
        <f>IF(VLOOKUP($D498,$C$5:$AU$518,3,)=0,0,(VLOOKUP($D498,$C$5:$AU$518,26,)/VLOOKUP($D498,$C$5:$AU$518,3,))*$E498)</f>
        <v>0</v>
      </c>
      <c r="AC498" s="127">
        <f>IF(VLOOKUP($D498,$C$5:$AU$518,3,)=0,0,(VLOOKUP($D498,$C$5:$AU$518,27,)/VLOOKUP($D498,$C$5:$AU$518,3,))*$E498)</f>
        <v>0</v>
      </c>
      <c r="AD498" s="127">
        <f>IF(VLOOKUP($D498,$C$5:$AU$518,3,)=0,0,(VLOOKUP($D498,$C$5:$AU$518,28,)/VLOOKUP($D498,$C$5:$AU$518,3,))*$E498)</f>
        <v>0</v>
      </c>
      <c r="AE498" s="127">
        <f>IF(VLOOKUP($D498,$C$5:$AU$518,3,)=0,0,(VLOOKUP($D498,$C$5:$AU$518,29,)/VLOOKUP($D498,$C$5:$AU$518,3,))*$E498)</f>
        <v>0</v>
      </c>
      <c r="AF498" s="127">
        <f>IF(VLOOKUP($D498,$C$5:$AU$518,3,)=0,0,(VLOOKUP($D498,$C$5:$AU$518,30,)/VLOOKUP($D498,$C$5:$AU$518,3,))*$E498)</f>
        <v>0</v>
      </c>
      <c r="AG498" s="38">
        <f>SUM(F498:AF498)</f>
        <v>1</v>
      </c>
      <c r="AH498" s="28" t="str">
        <f t="shared" si="259"/>
        <v>ok</v>
      </c>
    </row>
    <row r="499" spans="1:41" x14ac:dyDescent="0.25">
      <c r="E499" s="122"/>
      <c r="F499" s="99"/>
      <c r="G499" s="99"/>
      <c r="H499" s="38"/>
      <c r="I499" s="38"/>
      <c r="J499" s="38"/>
      <c r="K499" s="38"/>
      <c r="L499" s="99"/>
      <c r="M499" s="38"/>
      <c r="N499" s="38"/>
      <c r="O499" s="38"/>
      <c r="P499" s="38"/>
      <c r="Q499" s="38"/>
      <c r="R499" s="38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38"/>
      <c r="AH499" s="28"/>
    </row>
    <row r="500" spans="1:41" x14ac:dyDescent="0.25">
      <c r="A500" s="13" t="s">
        <v>326</v>
      </c>
    </row>
    <row r="501" spans="1:41" x14ac:dyDescent="0.25">
      <c r="AJ501" s="32"/>
      <c r="AK501" s="112"/>
      <c r="AL501" s="32"/>
      <c r="AM501" s="32"/>
      <c r="AN501" s="32"/>
      <c r="AO501" s="32"/>
    </row>
    <row r="502" spans="1:41" x14ac:dyDescent="0.25">
      <c r="A502" s="14" t="s">
        <v>645</v>
      </c>
      <c r="E502" s="91">
        <f t="shared" ref="E502:R502" si="262">E123+E199+E237+E275</f>
        <v>18054874.878003754</v>
      </c>
      <c r="F502" s="91">
        <f t="shared" si="262"/>
        <v>10099468.83766523</v>
      </c>
      <c r="G502" s="91">
        <f t="shared" si="262"/>
        <v>988113.4852732037</v>
      </c>
      <c r="H502" s="91">
        <f t="shared" si="262"/>
        <v>280988.3819749598</v>
      </c>
      <c r="I502" s="91">
        <f t="shared" si="262"/>
        <v>4063056.8211343409</v>
      </c>
      <c r="J502" s="91">
        <f t="shared" si="262"/>
        <v>2003014.98</v>
      </c>
      <c r="K502" s="91">
        <f t="shared" si="262"/>
        <v>512634.30999052391</v>
      </c>
      <c r="L502" s="91">
        <f t="shared" si="262"/>
        <v>107598.06196549475</v>
      </c>
      <c r="M502" s="91">
        <f t="shared" si="262"/>
        <v>0</v>
      </c>
      <c r="N502" s="91">
        <f t="shared" si="262"/>
        <v>0</v>
      </c>
      <c r="O502" s="91">
        <f t="shared" si="262"/>
        <v>0</v>
      </c>
      <c r="P502" s="91">
        <f t="shared" si="262"/>
        <v>0</v>
      </c>
      <c r="Q502" s="91">
        <f t="shared" si="262"/>
        <v>0</v>
      </c>
      <c r="R502" s="91">
        <f t="shared" si="262"/>
        <v>0</v>
      </c>
      <c r="S502" s="114">
        <f t="shared" ref="S502:AF502" si="263">S123</f>
        <v>0</v>
      </c>
      <c r="T502" s="114">
        <f t="shared" si="263"/>
        <v>0</v>
      </c>
      <c r="U502" s="114">
        <f t="shared" si="263"/>
        <v>0</v>
      </c>
      <c r="V502" s="114">
        <f t="shared" si="263"/>
        <v>0</v>
      </c>
      <c r="W502" s="114">
        <f t="shared" si="263"/>
        <v>0</v>
      </c>
      <c r="X502" s="114">
        <f t="shared" si="263"/>
        <v>0</v>
      </c>
      <c r="Y502" s="114">
        <f t="shared" si="263"/>
        <v>0</v>
      </c>
      <c r="Z502" s="114">
        <f t="shared" si="263"/>
        <v>0</v>
      </c>
      <c r="AA502" s="114">
        <f t="shared" si="263"/>
        <v>0</v>
      </c>
      <c r="AB502" s="114">
        <f t="shared" si="263"/>
        <v>0</v>
      </c>
      <c r="AC502" s="114">
        <f t="shared" si="263"/>
        <v>0</v>
      </c>
      <c r="AD502" s="114">
        <f t="shared" si="263"/>
        <v>0</v>
      </c>
      <c r="AE502" s="114">
        <f t="shared" si="263"/>
        <v>0</v>
      </c>
      <c r="AF502" s="114">
        <f t="shared" si="263"/>
        <v>0</v>
      </c>
      <c r="AG502" s="91">
        <f>SUM(F502:AF502)</f>
        <v>18054874.878003754</v>
      </c>
      <c r="AH502" s="28" t="str">
        <f t="shared" ref="AH502:AH507" si="264">IF(ABS(E502-AG502)&lt;0.01,"ok","err")</f>
        <v>ok</v>
      </c>
      <c r="AJ502" s="113"/>
      <c r="AK502" s="113"/>
      <c r="AL502" s="113"/>
      <c r="AM502" s="113"/>
      <c r="AN502" s="113"/>
      <c r="AO502" s="113"/>
    </row>
    <row r="503" spans="1:41" x14ac:dyDescent="0.25">
      <c r="A503" s="14" t="s">
        <v>646</v>
      </c>
      <c r="E503" s="91">
        <f t="shared" ref="E503:R503" si="265">E124+E200+E238+E276</f>
        <v>52667410.771996282</v>
      </c>
      <c r="F503" s="91">
        <f t="shared" si="265"/>
        <v>24070265.159986038</v>
      </c>
      <c r="G503" s="91">
        <f t="shared" si="265"/>
        <v>2734816.0705293277</v>
      </c>
      <c r="H503" s="91">
        <f t="shared" si="265"/>
        <v>853540.15067788376</v>
      </c>
      <c r="I503" s="91">
        <f t="shared" si="265"/>
        <v>12441001.617115542</v>
      </c>
      <c r="J503" s="91">
        <f t="shared" si="265"/>
        <v>10765565.209999999</v>
      </c>
      <c r="K503" s="91">
        <f t="shared" si="265"/>
        <v>1334461.6800846804</v>
      </c>
      <c r="L503" s="91">
        <f t="shared" si="265"/>
        <v>467760.88360281236</v>
      </c>
      <c r="M503" s="91">
        <f t="shared" si="265"/>
        <v>0</v>
      </c>
      <c r="N503" s="91">
        <f t="shared" si="265"/>
        <v>0</v>
      </c>
      <c r="O503" s="91">
        <f t="shared" si="265"/>
        <v>0</v>
      </c>
      <c r="P503" s="91">
        <f t="shared" si="265"/>
        <v>0</v>
      </c>
      <c r="Q503" s="91">
        <f t="shared" si="265"/>
        <v>0</v>
      </c>
      <c r="R503" s="91">
        <f t="shared" si="265"/>
        <v>0</v>
      </c>
      <c r="S503" s="114">
        <f t="shared" ref="S503:AF503" si="266">S124</f>
        <v>0</v>
      </c>
      <c r="T503" s="114">
        <f t="shared" si="266"/>
        <v>0</v>
      </c>
      <c r="U503" s="114">
        <f t="shared" si="266"/>
        <v>0</v>
      </c>
      <c r="V503" s="114">
        <f t="shared" si="266"/>
        <v>0</v>
      </c>
      <c r="W503" s="114">
        <f t="shared" si="266"/>
        <v>0</v>
      </c>
      <c r="X503" s="114">
        <f t="shared" si="266"/>
        <v>0</v>
      </c>
      <c r="Y503" s="114">
        <f t="shared" si="266"/>
        <v>0</v>
      </c>
      <c r="Z503" s="114">
        <f t="shared" si="266"/>
        <v>0</v>
      </c>
      <c r="AA503" s="114">
        <f t="shared" si="266"/>
        <v>0</v>
      </c>
      <c r="AB503" s="114">
        <f t="shared" si="266"/>
        <v>0</v>
      </c>
      <c r="AC503" s="114">
        <f t="shared" si="266"/>
        <v>0</v>
      </c>
      <c r="AD503" s="114">
        <f t="shared" si="266"/>
        <v>0</v>
      </c>
      <c r="AE503" s="114">
        <f t="shared" si="266"/>
        <v>0</v>
      </c>
      <c r="AF503" s="114">
        <f t="shared" si="266"/>
        <v>0</v>
      </c>
      <c r="AG503" s="91">
        <f>SUM(F503:AF503)</f>
        <v>52667410.771996289</v>
      </c>
      <c r="AH503" s="28" t="str">
        <f t="shared" si="264"/>
        <v>ok</v>
      </c>
      <c r="AJ503" s="113"/>
      <c r="AK503" s="113"/>
      <c r="AL503" s="113"/>
      <c r="AM503" s="113"/>
      <c r="AN503" s="113"/>
      <c r="AO503" s="113"/>
    </row>
    <row r="504" spans="1:41" x14ac:dyDescent="0.25">
      <c r="A504" s="14" t="s">
        <v>892</v>
      </c>
      <c r="E504" s="91">
        <f t="shared" ref="E504:R504" si="267">E128+E204+E242+E280</f>
        <v>0</v>
      </c>
      <c r="F504" s="91">
        <f t="shared" si="267"/>
        <v>0</v>
      </c>
      <c r="G504" s="91">
        <f t="shared" si="267"/>
        <v>0</v>
      </c>
      <c r="H504" s="91">
        <f t="shared" si="267"/>
        <v>0</v>
      </c>
      <c r="I504" s="91">
        <f t="shared" si="267"/>
        <v>0</v>
      </c>
      <c r="J504" s="91">
        <f t="shared" si="267"/>
        <v>0</v>
      </c>
      <c r="K504" s="91">
        <f t="shared" si="267"/>
        <v>0</v>
      </c>
      <c r="L504" s="91">
        <f t="shared" si="267"/>
        <v>0</v>
      </c>
      <c r="M504" s="91">
        <f t="shared" si="267"/>
        <v>0</v>
      </c>
      <c r="N504" s="91">
        <f t="shared" si="267"/>
        <v>0</v>
      </c>
      <c r="O504" s="91">
        <f t="shared" si="267"/>
        <v>0</v>
      </c>
      <c r="P504" s="91">
        <f t="shared" si="267"/>
        <v>0</v>
      </c>
      <c r="Q504" s="91">
        <f t="shared" si="267"/>
        <v>0</v>
      </c>
      <c r="R504" s="91">
        <f t="shared" si="267"/>
        <v>0</v>
      </c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91">
        <f>SUM(F504:AF504)</f>
        <v>0</v>
      </c>
      <c r="AH504" s="28" t="str">
        <f t="shared" si="264"/>
        <v>ok</v>
      </c>
      <c r="AJ504" s="113"/>
      <c r="AK504" s="113"/>
      <c r="AL504" s="113"/>
      <c r="AM504" s="113"/>
      <c r="AN504" s="113"/>
      <c r="AO504" s="113"/>
    </row>
    <row r="505" spans="1:41" x14ac:dyDescent="0.25">
      <c r="A505" s="14" t="s">
        <v>647</v>
      </c>
      <c r="D505" s="210">
        <f>E505/(E505+E506)</f>
        <v>0.28000024955698261</v>
      </c>
      <c r="E505" s="91">
        <f t="shared" ref="E505:AG505" si="268">E131+E134+E139+E207+E210+E215+E245+E248+E253+E283+E286+E291</f>
        <v>6665376.7114779195</v>
      </c>
      <c r="F505" s="91">
        <f t="shared" si="268"/>
        <v>4190579.0969083025</v>
      </c>
      <c r="G505" s="91">
        <f t="shared" si="268"/>
        <v>194502.73532826561</v>
      </c>
      <c r="H505" s="91">
        <f t="shared" si="268"/>
        <v>156397.26318407588</v>
      </c>
      <c r="I505" s="91">
        <f t="shared" si="268"/>
        <v>1875139.4149733912</v>
      </c>
      <c r="J505" s="91">
        <f t="shared" si="268"/>
        <v>0</v>
      </c>
      <c r="K505" s="91">
        <f t="shared" si="268"/>
        <v>215044.71056177194</v>
      </c>
      <c r="L505" s="91">
        <f t="shared" si="268"/>
        <v>33713.490522113061</v>
      </c>
      <c r="M505" s="91">
        <f t="shared" si="268"/>
        <v>0</v>
      </c>
      <c r="N505" s="91">
        <f t="shared" si="268"/>
        <v>0</v>
      </c>
      <c r="O505" s="91">
        <f t="shared" si="268"/>
        <v>0</v>
      </c>
      <c r="P505" s="91">
        <f t="shared" si="268"/>
        <v>0</v>
      </c>
      <c r="Q505" s="91">
        <f t="shared" si="268"/>
        <v>0</v>
      </c>
      <c r="R505" s="91">
        <f t="shared" si="268"/>
        <v>0</v>
      </c>
      <c r="S505" s="91">
        <f t="shared" si="268"/>
        <v>0</v>
      </c>
      <c r="T505" s="91">
        <f t="shared" si="268"/>
        <v>0</v>
      </c>
      <c r="U505" s="91">
        <f t="shared" si="268"/>
        <v>0</v>
      </c>
      <c r="V505" s="91">
        <f t="shared" si="268"/>
        <v>0</v>
      </c>
      <c r="W505" s="91">
        <f t="shared" si="268"/>
        <v>0</v>
      </c>
      <c r="X505" s="91">
        <f t="shared" si="268"/>
        <v>0</v>
      </c>
      <c r="Y505" s="91">
        <f t="shared" si="268"/>
        <v>0</v>
      </c>
      <c r="Z505" s="91">
        <f t="shared" si="268"/>
        <v>0</v>
      </c>
      <c r="AA505" s="91">
        <f t="shared" si="268"/>
        <v>0</v>
      </c>
      <c r="AB505" s="91">
        <f t="shared" si="268"/>
        <v>0</v>
      </c>
      <c r="AC505" s="91">
        <f t="shared" si="268"/>
        <v>0</v>
      </c>
      <c r="AD505" s="91">
        <f t="shared" si="268"/>
        <v>0</v>
      </c>
      <c r="AE505" s="91">
        <f t="shared" si="268"/>
        <v>0</v>
      </c>
      <c r="AF505" s="91">
        <f t="shared" si="268"/>
        <v>0</v>
      </c>
      <c r="AG505" s="91">
        <f t="shared" si="268"/>
        <v>6665376.7114779195</v>
      </c>
      <c r="AH505" s="28" t="str">
        <f t="shared" si="264"/>
        <v>ok</v>
      </c>
      <c r="AJ505" s="113"/>
      <c r="AK505" s="113"/>
      <c r="AL505" s="113"/>
      <c r="AM505" s="113"/>
      <c r="AN505" s="113"/>
      <c r="AO505" s="113"/>
    </row>
    <row r="506" spans="1:41" x14ac:dyDescent="0.25">
      <c r="A506" s="14" t="s">
        <v>648</v>
      </c>
      <c r="D506" s="210">
        <f>E506/(E505+E506)</f>
        <v>0.71999975044301734</v>
      </c>
      <c r="E506" s="42">
        <f t="shared" ref="E506:AD506" si="269">E135+E140+E144+E147+E150+E153+E211+E216+E220+E223+E226+E229+E249+E254+E258+E261+E264+E267+E287+E292+E296+E299+E302+E305</f>
        <v>17139518.898522079</v>
      </c>
      <c r="F506" s="42">
        <f t="shared" si="269"/>
        <v>12822740.508331919</v>
      </c>
      <c r="G506" s="42">
        <f t="shared" si="269"/>
        <v>2835798.4144951492</v>
      </c>
      <c r="H506" s="42">
        <f t="shared" si="269"/>
        <v>390359.73363474611</v>
      </c>
      <c r="I506" s="42">
        <f t="shared" si="269"/>
        <v>654643.51696555433</v>
      </c>
      <c r="J506" s="42">
        <f t="shared" si="269"/>
        <v>0</v>
      </c>
      <c r="K506" s="42">
        <f t="shared" si="269"/>
        <v>1554.9924671482279</v>
      </c>
      <c r="L506" s="42">
        <f t="shared" si="269"/>
        <v>434421.73262756458</v>
      </c>
      <c r="M506" s="42">
        <f t="shared" si="269"/>
        <v>0</v>
      </c>
      <c r="N506" s="42">
        <f t="shared" si="269"/>
        <v>0</v>
      </c>
      <c r="O506" s="42">
        <f t="shared" si="269"/>
        <v>0</v>
      </c>
      <c r="P506" s="42">
        <f t="shared" si="269"/>
        <v>0</v>
      </c>
      <c r="Q506" s="42">
        <f t="shared" si="269"/>
        <v>0</v>
      </c>
      <c r="R506" s="42">
        <f t="shared" si="269"/>
        <v>0</v>
      </c>
      <c r="S506" s="107">
        <f t="shared" si="269"/>
        <v>0</v>
      </c>
      <c r="T506" s="107">
        <f t="shared" si="269"/>
        <v>0</v>
      </c>
      <c r="U506" s="107">
        <f t="shared" si="269"/>
        <v>0</v>
      </c>
      <c r="V506" s="107">
        <f t="shared" si="269"/>
        <v>0</v>
      </c>
      <c r="W506" s="107">
        <f t="shared" si="269"/>
        <v>0</v>
      </c>
      <c r="X506" s="107">
        <f t="shared" si="269"/>
        <v>0</v>
      </c>
      <c r="Y506" s="107">
        <f t="shared" si="269"/>
        <v>0</v>
      </c>
      <c r="Z506" s="107">
        <f t="shared" si="269"/>
        <v>0</v>
      </c>
      <c r="AA506" s="107">
        <f t="shared" si="269"/>
        <v>0</v>
      </c>
      <c r="AB506" s="107">
        <f t="shared" si="269"/>
        <v>0</v>
      </c>
      <c r="AC506" s="107">
        <f t="shared" si="269"/>
        <v>0</v>
      </c>
      <c r="AD506" s="107">
        <f t="shared" si="269"/>
        <v>0</v>
      </c>
      <c r="AE506" s="107"/>
      <c r="AF506" s="107">
        <f>AF135+AF140+AF144+AF147+AF150+AF153+AF211+AF216+AF220+AF223+AF226+AF229+AF249+AF254+AF258+AF261+AF264+AF267+AF287+AF292+AF296+AF299+AF302+AF305</f>
        <v>0</v>
      </c>
      <c r="AG506" s="91">
        <f>SUM(F506:AF506)</f>
        <v>17139518.898522083</v>
      </c>
      <c r="AH506" s="28" t="str">
        <f t="shared" si="264"/>
        <v>ok</v>
      </c>
      <c r="AJ506" s="113"/>
      <c r="AK506" s="113"/>
      <c r="AL506" s="113"/>
      <c r="AM506" s="113"/>
      <c r="AN506" s="113"/>
      <c r="AO506" s="113"/>
    </row>
    <row r="507" spans="1:41" x14ac:dyDescent="0.25">
      <c r="A507" s="14" t="s">
        <v>0</v>
      </c>
      <c r="D507" s="31"/>
      <c r="E507" s="111">
        <f>SUM(E502:E506)</f>
        <v>94527181.260000035</v>
      </c>
      <c r="F507" s="111">
        <f t="shared" ref="F507:R507" si="270">SUM(F502:F506)</f>
        <v>51183053.602891482</v>
      </c>
      <c r="G507" s="111">
        <f t="shared" si="270"/>
        <v>6753230.7056259457</v>
      </c>
      <c r="H507" s="111">
        <f t="shared" si="270"/>
        <v>1681285.5294716656</v>
      </c>
      <c r="I507" s="111">
        <f t="shared" si="270"/>
        <v>19033841.370188825</v>
      </c>
      <c r="J507" s="111">
        <f t="shared" si="270"/>
        <v>12768580.189999999</v>
      </c>
      <c r="K507" s="111">
        <f t="shared" si="270"/>
        <v>2063695.6931041244</v>
      </c>
      <c r="L507" s="111">
        <f t="shared" si="270"/>
        <v>1043494.1687179847</v>
      </c>
      <c r="M507" s="111">
        <f t="shared" si="270"/>
        <v>0</v>
      </c>
      <c r="N507" s="111">
        <f t="shared" si="270"/>
        <v>0</v>
      </c>
      <c r="O507" s="111">
        <f t="shared" si="270"/>
        <v>0</v>
      </c>
      <c r="P507" s="111">
        <f t="shared" si="270"/>
        <v>0</v>
      </c>
      <c r="Q507" s="111">
        <f t="shared" si="270"/>
        <v>0</v>
      </c>
      <c r="R507" s="111">
        <f t="shared" si="270"/>
        <v>0</v>
      </c>
      <c r="S507" s="132">
        <f t="shared" ref="S507:AG507" si="271">SUM(S502:S506)</f>
        <v>0</v>
      </c>
      <c r="T507" s="132">
        <f t="shared" si="271"/>
        <v>0</v>
      </c>
      <c r="U507" s="132">
        <f t="shared" si="271"/>
        <v>0</v>
      </c>
      <c r="V507" s="132">
        <f t="shared" si="271"/>
        <v>0</v>
      </c>
      <c r="W507" s="132">
        <f t="shared" si="271"/>
        <v>0</v>
      </c>
      <c r="X507" s="132">
        <f t="shared" si="271"/>
        <v>0</v>
      </c>
      <c r="Y507" s="132">
        <f t="shared" si="271"/>
        <v>0</v>
      </c>
      <c r="Z507" s="132">
        <f t="shared" si="271"/>
        <v>0</v>
      </c>
      <c r="AA507" s="132">
        <f t="shared" si="271"/>
        <v>0</v>
      </c>
      <c r="AB507" s="132">
        <f t="shared" si="271"/>
        <v>0</v>
      </c>
      <c r="AC507" s="132">
        <f t="shared" si="271"/>
        <v>0</v>
      </c>
      <c r="AD507" s="132">
        <f t="shared" si="271"/>
        <v>0</v>
      </c>
      <c r="AE507" s="132">
        <f t="shared" si="271"/>
        <v>0</v>
      </c>
      <c r="AF507" s="132">
        <f t="shared" si="271"/>
        <v>0</v>
      </c>
      <c r="AG507" s="111">
        <f t="shared" si="271"/>
        <v>94527181.260000035</v>
      </c>
      <c r="AH507" s="28" t="str">
        <f t="shared" si="264"/>
        <v>ok</v>
      </c>
      <c r="AJ507" s="113"/>
      <c r="AK507" s="113"/>
      <c r="AL507" s="113"/>
      <c r="AM507" s="113"/>
      <c r="AN507" s="113"/>
      <c r="AO507" s="113"/>
    </row>
    <row r="509" spans="1:41" x14ac:dyDescent="0.25">
      <c r="A509" s="13" t="s">
        <v>697</v>
      </c>
      <c r="E509" s="91"/>
    </row>
    <row r="510" spans="1:41" x14ac:dyDescent="0.25">
      <c r="AJ510" s="32"/>
      <c r="AK510" s="112"/>
      <c r="AL510" s="32"/>
      <c r="AM510" s="32"/>
      <c r="AN510" s="32"/>
      <c r="AO510" s="32"/>
    </row>
    <row r="511" spans="1:41" x14ac:dyDescent="0.25">
      <c r="A511" s="14" t="s">
        <v>645</v>
      </c>
      <c r="D511" s="91"/>
      <c r="E511" s="91">
        <f>E502</f>
        <v>18054874.878003754</v>
      </c>
      <c r="F511" s="91">
        <f t="shared" ref="F511:AF511" si="272">F502</f>
        <v>10099468.83766523</v>
      </c>
      <c r="G511" s="91">
        <f t="shared" si="272"/>
        <v>988113.4852732037</v>
      </c>
      <c r="H511" s="91">
        <f t="shared" si="272"/>
        <v>280988.3819749598</v>
      </c>
      <c r="I511" s="91">
        <f t="shared" si="272"/>
        <v>4063056.8211343409</v>
      </c>
      <c r="J511" s="91">
        <f t="shared" si="272"/>
        <v>2003014.98</v>
      </c>
      <c r="K511" s="91">
        <f t="shared" si="272"/>
        <v>512634.30999052391</v>
      </c>
      <c r="L511" s="91">
        <f t="shared" si="272"/>
        <v>107598.06196549475</v>
      </c>
      <c r="M511" s="91">
        <f t="shared" si="272"/>
        <v>0</v>
      </c>
      <c r="N511" s="91">
        <f t="shared" si="272"/>
        <v>0</v>
      </c>
      <c r="O511" s="91">
        <f t="shared" si="272"/>
        <v>0</v>
      </c>
      <c r="P511" s="91">
        <f t="shared" si="272"/>
        <v>0</v>
      </c>
      <c r="Q511" s="91">
        <f t="shared" si="272"/>
        <v>0</v>
      </c>
      <c r="R511" s="91">
        <f t="shared" si="272"/>
        <v>0</v>
      </c>
      <c r="S511" s="91">
        <f t="shared" si="272"/>
        <v>0</v>
      </c>
      <c r="T511" s="91">
        <f t="shared" si="272"/>
        <v>0</v>
      </c>
      <c r="U511" s="91">
        <f t="shared" si="272"/>
        <v>0</v>
      </c>
      <c r="V511" s="91">
        <f t="shared" si="272"/>
        <v>0</v>
      </c>
      <c r="W511" s="91">
        <f t="shared" si="272"/>
        <v>0</v>
      </c>
      <c r="X511" s="91">
        <f t="shared" si="272"/>
        <v>0</v>
      </c>
      <c r="Y511" s="91">
        <f t="shared" si="272"/>
        <v>0</v>
      </c>
      <c r="Z511" s="91">
        <f t="shared" si="272"/>
        <v>0</v>
      </c>
      <c r="AA511" s="91">
        <f t="shared" si="272"/>
        <v>0</v>
      </c>
      <c r="AB511" s="91">
        <f t="shared" si="272"/>
        <v>0</v>
      </c>
      <c r="AC511" s="91">
        <f t="shared" si="272"/>
        <v>0</v>
      </c>
      <c r="AD511" s="91">
        <f t="shared" si="272"/>
        <v>0</v>
      </c>
      <c r="AE511" s="91">
        <f t="shared" si="272"/>
        <v>0</v>
      </c>
      <c r="AF511" s="91">
        <f t="shared" si="272"/>
        <v>0</v>
      </c>
      <c r="AG511" s="91">
        <f t="shared" ref="AG511:AG516" si="273">SUM(F511:AF511)</f>
        <v>18054874.878003754</v>
      </c>
      <c r="AH511" s="28" t="str">
        <f t="shared" ref="AH511:AH516" si="274">IF(ABS(E511-AG511)&lt;0.01,"ok","err")</f>
        <v>ok</v>
      </c>
      <c r="AJ511" s="113"/>
      <c r="AK511" s="113"/>
      <c r="AL511" s="113"/>
      <c r="AM511" s="113"/>
      <c r="AN511" s="113"/>
      <c r="AO511" s="113"/>
    </row>
    <row r="512" spans="1:41" x14ac:dyDescent="0.25">
      <c r="A512" s="14" t="s">
        <v>646</v>
      </c>
      <c r="D512" s="91"/>
      <c r="E512" s="91">
        <f t="shared" ref="E512:L512" si="275">E503+E358+E359+E360+E361+E368</f>
        <v>39734808.031866737</v>
      </c>
      <c r="F512" s="91">
        <f t="shared" si="275"/>
        <v>18067866.540608253</v>
      </c>
      <c r="G512" s="91">
        <f t="shared" si="275"/>
        <v>1280117.3116732696</v>
      </c>
      <c r="H512" s="91">
        <f t="shared" si="275"/>
        <v>614406.13241406542</v>
      </c>
      <c r="I512" s="91">
        <f t="shared" si="275"/>
        <v>9049969.5750249196</v>
      </c>
      <c r="J512" s="91">
        <f t="shared" si="275"/>
        <v>9431281.9255764969</v>
      </c>
      <c r="K512" s="91">
        <f t="shared" si="275"/>
        <v>961148.14974724757</v>
      </c>
      <c r="L512" s="91">
        <f t="shared" si="275"/>
        <v>330018.39682248409</v>
      </c>
      <c r="M512" s="91">
        <f t="shared" ref="M512:AF512" si="276">M503+M358+M359+M360+M361+M367</f>
        <v>0</v>
      </c>
      <c r="N512" s="91">
        <f t="shared" si="276"/>
        <v>0</v>
      </c>
      <c r="O512" s="91">
        <f t="shared" si="276"/>
        <v>0</v>
      </c>
      <c r="P512" s="91">
        <f t="shared" si="276"/>
        <v>0</v>
      </c>
      <c r="Q512" s="91">
        <f t="shared" si="276"/>
        <v>0</v>
      </c>
      <c r="R512" s="91">
        <f t="shared" si="276"/>
        <v>0</v>
      </c>
      <c r="S512" s="91">
        <f t="shared" si="276"/>
        <v>0</v>
      </c>
      <c r="T512" s="91">
        <f t="shared" si="276"/>
        <v>0</v>
      </c>
      <c r="U512" s="91">
        <f t="shared" si="276"/>
        <v>0</v>
      </c>
      <c r="V512" s="91">
        <f t="shared" si="276"/>
        <v>0</v>
      </c>
      <c r="W512" s="91">
        <f t="shared" si="276"/>
        <v>0</v>
      </c>
      <c r="X512" s="91">
        <f t="shared" si="276"/>
        <v>0</v>
      </c>
      <c r="Y512" s="91">
        <f t="shared" si="276"/>
        <v>0</v>
      </c>
      <c r="Z512" s="91">
        <f t="shared" si="276"/>
        <v>0</v>
      </c>
      <c r="AA512" s="91">
        <f t="shared" si="276"/>
        <v>0</v>
      </c>
      <c r="AB512" s="91">
        <f t="shared" si="276"/>
        <v>0</v>
      </c>
      <c r="AC512" s="91">
        <f t="shared" si="276"/>
        <v>0</v>
      </c>
      <c r="AD512" s="91">
        <f t="shared" si="276"/>
        <v>0</v>
      </c>
      <c r="AE512" s="91">
        <f t="shared" si="276"/>
        <v>0</v>
      </c>
      <c r="AF512" s="91">
        <f t="shared" si="276"/>
        <v>0</v>
      </c>
      <c r="AG512" s="91">
        <f t="shared" si="273"/>
        <v>39734808.031866737</v>
      </c>
      <c r="AH512" s="28" t="str">
        <f t="shared" si="274"/>
        <v>ok</v>
      </c>
      <c r="AJ512" s="113"/>
      <c r="AK512" s="113"/>
      <c r="AL512" s="113"/>
      <c r="AM512" s="113"/>
      <c r="AN512" s="113"/>
      <c r="AO512" s="113"/>
    </row>
    <row r="513" spans="1:41" x14ac:dyDescent="0.25">
      <c r="A513" s="14" t="s">
        <v>892</v>
      </c>
      <c r="D513" s="91"/>
      <c r="E513" s="91">
        <f t="shared" ref="E513:T513" si="277">E504</f>
        <v>0</v>
      </c>
      <c r="F513" s="91">
        <f t="shared" si="277"/>
        <v>0</v>
      </c>
      <c r="G513" s="91">
        <f t="shared" si="277"/>
        <v>0</v>
      </c>
      <c r="H513" s="91">
        <f t="shared" si="277"/>
        <v>0</v>
      </c>
      <c r="I513" s="91">
        <f t="shared" si="277"/>
        <v>0</v>
      </c>
      <c r="J513" s="91">
        <f t="shared" si="277"/>
        <v>0</v>
      </c>
      <c r="K513" s="91">
        <f t="shared" si="277"/>
        <v>0</v>
      </c>
      <c r="L513" s="91">
        <f t="shared" si="277"/>
        <v>0</v>
      </c>
      <c r="M513" s="91">
        <f t="shared" si="277"/>
        <v>0</v>
      </c>
      <c r="N513" s="91">
        <f t="shared" si="277"/>
        <v>0</v>
      </c>
      <c r="O513" s="91">
        <f t="shared" si="277"/>
        <v>0</v>
      </c>
      <c r="P513" s="91">
        <f t="shared" si="277"/>
        <v>0</v>
      </c>
      <c r="Q513" s="91">
        <f t="shared" si="277"/>
        <v>0</v>
      </c>
      <c r="R513" s="91">
        <f t="shared" si="277"/>
        <v>0</v>
      </c>
      <c r="S513" s="91">
        <f t="shared" si="277"/>
        <v>0</v>
      </c>
      <c r="T513" s="91">
        <f t="shared" si="277"/>
        <v>0</v>
      </c>
      <c r="U513" s="91">
        <f t="shared" ref="U513:AF513" si="278">U504</f>
        <v>0</v>
      </c>
      <c r="V513" s="91">
        <f t="shared" si="278"/>
        <v>0</v>
      </c>
      <c r="W513" s="91">
        <f t="shared" si="278"/>
        <v>0</v>
      </c>
      <c r="X513" s="91">
        <f t="shared" si="278"/>
        <v>0</v>
      </c>
      <c r="Y513" s="91">
        <f t="shared" si="278"/>
        <v>0</v>
      </c>
      <c r="Z513" s="91">
        <f t="shared" si="278"/>
        <v>0</v>
      </c>
      <c r="AA513" s="91">
        <f t="shared" si="278"/>
        <v>0</v>
      </c>
      <c r="AB513" s="91">
        <f t="shared" si="278"/>
        <v>0</v>
      </c>
      <c r="AC513" s="91">
        <f t="shared" si="278"/>
        <v>0</v>
      </c>
      <c r="AD513" s="91">
        <f t="shared" si="278"/>
        <v>0</v>
      </c>
      <c r="AE513" s="91">
        <f t="shared" si="278"/>
        <v>0</v>
      </c>
      <c r="AF513" s="91">
        <f t="shared" si="278"/>
        <v>0</v>
      </c>
      <c r="AG513" s="91">
        <f t="shared" si="273"/>
        <v>0</v>
      </c>
      <c r="AH513" s="28" t="str">
        <f t="shared" si="274"/>
        <v>ok</v>
      </c>
      <c r="AJ513" s="113"/>
      <c r="AK513" s="113"/>
      <c r="AL513" s="113"/>
      <c r="AM513" s="113"/>
      <c r="AN513" s="113"/>
      <c r="AO513" s="113"/>
    </row>
    <row r="514" spans="1:41" x14ac:dyDescent="0.25">
      <c r="A514" s="14" t="s">
        <v>647</v>
      </c>
      <c r="D514" s="91"/>
      <c r="E514" s="91">
        <f>E505+E380+(E362+E363+E364+E365+E366+E367+E369+E370+E371+E372+E373+E374+E375+E376+E377+E378)*$D505</f>
        <v>6822052.1169160726</v>
      </c>
      <c r="F514" s="91">
        <f t="shared" ref="F514:L514" si="279">F505+F380+(F362+F363+F364+F365+F366+F367+F369+F370+F371+F372+F373+F374+F375+F376+F377+F378)*$D505</f>
        <v>4299982.8366362406</v>
      </c>
      <c r="G514" s="91">
        <f t="shared" si="279"/>
        <v>214058.62224424715</v>
      </c>
      <c r="H514" s="91">
        <f t="shared" si="279"/>
        <v>160221.46716282269</v>
      </c>
      <c r="I514" s="91">
        <f t="shared" si="279"/>
        <v>1893909.1449403102</v>
      </c>
      <c r="J514" s="91">
        <f t="shared" si="279"/>
        <v>0</v>
      </c>
      <c r="K514" s="91">
        <f t="shared" si="279"/>
        <v>216675.05643825786</v>
      </c>
      <c r="L514" s="91">
        <f t="shared" si="279"/>
        <v>37204.989494194619</v>
      </c>
      <c r="M514" s="91">
        <f t="shared" ref="M514:AF514" si="280">M505+M380+(M362+M363+M364+M365+M366+M367+M369+M370+M371+M372+M373+M374+M375+M376+M377)*$D505</f>
        <v>0</v>
      </c>
      <c r="N514" s="91">
        <f t="shared" si="280"/>
        <v>0</v>
      </c>
      <c r="O514" s="91">
        <f t="shared" si="280"/>
        <v>0</v>
      </c>
      <c r="P514" s="91">
        <f t="shared" si="280"/>
        <v>0</v>
      </c>
      <c r="Q514" s="91">
        <f t="shared" si="280"/>
        <v>0</v>
      </c>
      <c r="R514" s="91">
        <f t="shared" si="280"/>
        <v>0</v>
      </c>
      <c r="S514" s="91">
        <f t="shared" si="280"/>
        <v>0</v>
      </c>
      <c r="T514" s="91">
        <f t="shared" si="280"/>
        <v>0</v>
      </c>
      <c r="U514" s="91">
        <f t="shared" si="280"/>
        <v>0</v>
      </c>
      <c r="V514" s="91">
        <f t="shared" si="280"/>
        <v>0</v>
      </c>
      <c r="W514" s="91">
        <f t="shared" si="280"/>
        <v>0</v>
      </c>
      <c r="X514" s="91">
        <f t="shared" si="280"/>
        <v>0</v>
      </c>
      <c r="Y514" s="91">
        <f t="shared" si="280"/>
        <v>0</v>
      </c>
      <c r="Z514" s="91">
        <f t="shared" si="280"/>
        <v>0</v>
      </c>
      <c r="AA514" s="91">
        <f t="shared" si="280"/>
        <v>0</v>
      </c>
      <c r="AB514" s="91">
        <f t="shared" si="280"/>
        <v>0</v>
      </c>
      <c r="AC514" s="91">
        <f t="shared" si="280"/>
        <v>0</v>
      </c>
      <c r="AD514" s="91">
        <f t="shared" si="280"/>
        <v>0</v>
      </c>
      <c r="AE514" s="91">
        <f t="shared" si="280"/>
        <v>0</v>
      </c>
      <c r="AF514" s="91">
        <f t="shared" si="280"/>
        <v>0</v>
      </c>
      <c r="AG514" s="91">
        <f t="shared" si="273"/>
        <v>6822052.1169160726</v>
      </c>
      <c r="AH514" s="28" t="str">
        <f t="shared" si="274"/>
        <v>ok</v>
      </c>
      <c r="AJ514" s="113"/>
      <c r="AK514" s="113"/>
      <c r="AL514" s="113"/>
      <c r="AM514" s="113"/>
      <c r="AN514" s="113"/>
      <c r="AO514" s="113"/>
    </row>
    <row r="515" spans="1:41" x14ac:dyDescent="0.25">
      <c r="A515" s="14" t="s">
        <v>648</v>
      </c>
      <c r="D515" s="91"/>
      <c r="E515" s="91">
        <f>E506+(E362+E363+E364+E365+E366+E367+E369+E370+E371+E372+E373+E374+E375+E376+E377+E378)*$D506</f>
        <v>17542398.01378898</v>
      </c>
      <c r="F515" s="91">
        <f t="shared" ref="F515:L515" si="281">F506+(F362+F363+F364+F365+F366+F367+F369+F370+F371+F372+F373+F374+F375+F376+F377+F378)*$D506</f>
        <v>13104064.06224403</v>
      </c>
      <c r="G515" s="91">
        <f t="shared" si="281"/>
        <v>2886084.9186017574</v>
      </c>
      <c r="H515" s="91">
        <f t="shared" si="281"/>
        <v>400193.38883575884</v>
      </c>
      <c r="I515" s="91">
        <f t="shared" si="281"/>
        <v>702908.47713414952</v>
      </c>
      <c r="J515" s="91">
        <f t="shared" si="281"/>
        <v>0</v>
      </c>
      <c r="K515" s="91">
        <f t="shared" si="281"/>
        <v>5747.3052456651803</v>
      </c>
      <c r="L515" s="91">
        <f t="shared" si="281"/>
        <v>443399.86172762158</v>
      </c>
      <c r="M515" s="91">
        <f t="shared" ref="M515:AF515" si="282">M506+(M362+M363+M364+M365+M366+M367+M369+M370+M371+M372+M373+M374+M375+M376+M377)*$D506</f>
        <v>0</v>
      </c>
      <c r="N515" s="91">
        <f t="shared" si="282"/>
        <v>0</v>
      </c>
      <c r="O515" s="91">
        <f t="shared" si="282"/>
        <v>0</v>
      </c>
      <c r="P515" s="91">
        <f t="shared" si="282"/>
        <v>0</v>
      </c>
      <c r="Q515" s="91">
        <f t="shared" si="282"/>
        <v>0</v>
      </c>
      <c r="R515" s="91">
        <f t="shared" si="282"/>
        <v>0</v>
      </c>
      <c r="S515" s="91">
        <f t="shared" si="282"/>
        <v>0</v>
      </c>
      <c r="T515" s="91">
        <f t="shared" si="282"/>
        <v>0</v>
      </c>
      <c r="U515" s="91">
        <f t="shared" si="282"/>
        <v>0</v>
      </c>
      <c r="V515" s="91">
        <f t="shared" si="282"/>
        <v>0</v>
      </c>
      <c r="W515" s="91">
        <f t="shared" si="282"/>
        <v>0</v>
      </c>
      <c r="X515" s="91">
        <f t="shared" si="282"/>
        <v>0</v>
      </c>
      <c r="Y515" s="91">
        <f t="shared" si="282"/>
        <v>0</v>
      </c>
      <c r="Z515" s="91">
        <f t="shared" si="282"/>
        <v>0</v>
      </c>
      <c r="AA515" s="91">
        <f t="shared" si="282"/>
        <v>0</v>
      </c>
      <c r="AB515" s="91">
        <f t="shared" si="282"/>
        <v>0</v>
      </c>
      <c r="AC515" s="91">
        <f t="shared" si="282"/>
        <v>0</v>
      </c>
      <c r="AD515" s="91">
        <f t="shared" si="282"/>
        <v>0</v>
      </c>
      <c r="AE515" s="91">
        <f t="shared" si="282"/>
        <v>0</v>
      </c>
      <c r="AF515" s="91">
        <f t="shared" si="282"/>
        <v>0</v>
      </c>
      <c r="AG515" s="91">
        <f t="shared" si="273"/>
        <v>17542398.01378898</v>
      </c>
      <c r="AH515" s="28" t="str">
        <f t="shared" si="274"/>
        <v>ok</v>
      </c>
      <c r="AJ515" s="113"/>
      <c r="AK515" s="113"/>
      <c r="AL515" s="113"/>
      <c r="AM515" s="113"/>
      <c r="AN515" s="113"/>
      <c r="AO515" s="113"/>
    </row>
    <row r="516" spans="1:41" x14ac:dyDescent="0.25">
      <c r="A516" s="14" t="s">
        <v>0</v>
      </c>
      <c r="E516" s="111">
        <f>SUM(E511:E515)</f>
        <v>82154133.040575549</v>
      </c>
      <c r="F516" s="111">
        <f t="shared" ref="F516:AF516" si="283">SUM(F511:F515)</f>
        <v>45571382.277153753</v>
      </c>
      <c r="G516" s="111">
        <f t="shared" si="283"/>
        <v>5368374.3377924785</v>
      </c>
      <c r="H516" s="111">
        <f t="shared" si="283"/>
        <v>1455809.3703876068</v>
      </c>
      <c r="I516" s="111">
        <f t="shared" si="283"/>
        <v>15709844.01823372</v>
      </c>
      <c r="J516" s="111">
        <f t="shared" si="283"/>
        <v>11434296.905576497</v>
      </c>
      <c r="K516" s="111">
        <f t="shared" si="283"/>
        <v>1696204.8214216945</v>
      </c>
      <c r="L516" s="111">
        <f t="shared" si="283"/>
        <v>918221.31000979501</v>
      </c>
      <c r="M516" s="111">
        <f t="shared" si="283"/>
        <v>0</v>
      </c>
      <c r="N516" s="111">
        <f t="shared" si="283"/>
        <v>0</v>
      </c>
      <c r="O516" s="111">
        <f t="shared" si="283"/>
        <v>0</v>
      </c>
      <c r="P516" s="111">
        <f t="shared" si="283"/>
        <v>0</v>
      </c>
      <c r="Q516" s="111">
        <f t="shared" si="283"/>
        <v>0</v>
      </c>
      <c r="R516" s="111">
        <f t="shared" si="283"/>
        <v>0</v>
      </c>
      <c r="S516" s="114">
        <f t="shared" si="283"/>
        <v>0</v>
      </c>
      <c r="T516" s="114">
        <f t="shared" si="283"/>
        <v>0</v>
      </c>
      <c r="U516" s="114">
        <f t="shared" si="283"/>
        <v>0</v>
      </c>
      <c r="V516" s="114">
        <f t="shared" si="283"/>
        <v>0</v>
      </c>
      <c r="W516" s="114">
        <f t="shared" si="283"/>
        <v>0</v>
      </c>
      <c r="X516" s="114">
        <f t="shared" si="283"/>
        <v>0</v>
      </c>
      <c r="Y516" s="114">
        <f t="shared" si="283"/>
        <v>0</v>
      </c>
      <c r="Z516" s="114">
        <f t="shared" si="283"/>
        <v>0</v>
      </c>
      <c r="AA516" s="114">
        <f t="shared" si="283"/>
        <v>0</v>
      </c>
      <c r="AB516" s="114">
        <f t="shared" si="283"/>
        <v>0</v>
      </c>
      <c r="AC516" s="114">
        <f t="shared" si="283"/>
        <v>0</v>
      </c>
      <c r="AD516" s="114">
        <f t="shared" si="283"/>
        <v>0</v>
      </c>
      <c r="AE516" s="114">
        <f t="shared" si="283"/>
        <v>0</v>
      </c>
      <c r="AF516" s="114">
        <f t="shared" si="283"/>
        <v>0</v>
      </c>
      <c r="AG516" s="91">
        <f t="shared" si="273"/>
        <v>82154133.040575549</v>
      </c>
      <c r="AH516" s="28" t="str">
        <f t="shared" si="274"/>
        <v>ok</v>
      </c>
      <c r="AJ516" s="113"/>
      <c r="AK516" s="113"/>
      <c r="AL516" s="113"/>
      <c r="AM516" s="113"/>
      <c r="AN516" s="113"/>
      <c r="AO516" s="113"/>
    </row>
    <row r="517" spans="1:41" x14ac:dyDescent="0.25">
      <c r="D517" s="23" t="s">
        <v>1173</v>
      </c>
      <c r="E517" s="91">
        <f>E516-E507</f>
        <v>-12373048.219424486</v>
      </c>
      <c r="F517" s="91"/>
    </row>
    <row r="518" spans="1:41" x14ac:dyDescent="0.25">
      <c r="A518" s="13" t="s">
        <v>76</v>
      </c>
      <c r="D518" s="14" t="s">
        <v>1174</v>
      </c>
      <c r="E518" s="230">
        <f>E517-E382</f>
        <v>0</v>
      </c>
      <c r="F518" s="91"/>
      <c r="G518" s="91"/>
      <c r="H518" s="91"/>
      <c r="I518" s="91"/>
      <c r="J518" s="91"/>
      <c r="K518" s="91"/>
    </row>
    <row r="520" spans="1:41" x14ac:dyDescent="0.25">
      <c r="A520" s="14" t="s">
        <v>894</v>
      </c>
      <c r="E520" s="91">
        <f t="shared" ref="E520:R520" si="284">E85</f>
        <v>0</v>
      </c>
      <c r="F520" s="91">
        <f t="shared" si="284"/>
        <v>0</v>
      </c>
      <c r="G520" s="91">
        <f t="shared" si="284"/>
        <v>0</v>
      </c>
      <c r="H520" s="91">
        <f t="shared" si="284"/>
        <v>0</v>
      </c>
      <c r="I520" s="91">
        <f t="shared" si="284"/>
        <v>0</v>
      </c>
      <c r="J520" s="91">
        <f t="shared" si="284"/>
        <v>0</v>
      </c>
      <c r="K520" s="91">
        <f t="shared" si="284"/>
        <v>0</v>
      </c>
      <c r="L520" s="91">
        <f t="shared" si="284"/>
        <v>0</v>
      </c>
      <c r="M520" s="91">
        <f t="shared" si="284"/>
        <v>0</v>
      </c>
      <c r="N520" s="91">
        <f t="shared" si="284"/>
        <v>0</v>
      </c>
      <c r="O520" s="91">
        <f t="shared" si="284"/>
        <v>0</v>
      </c>
      <c r="P520" s="91">
        <f t="shared" si="284"/>
        <v>0</v>
      </c>
      <c r="Q520" s="91">
        <f t="shared" si="284"/>
        <v>0</v>
      </c>
      <c r="R520" s="91">
        <f t="shared" si="284"/>
        <v>0</v>
      </c>
      <c r="AG520" s="91">
        <f>SUM(F520:AF520)</f>
        <v>0</v>
      </c>
      <c r="AH520" s="28" t="str">
        <f>IF(ABS(E520-AG520)&lt;0.01,"ok","err")</f>
        <v>ok</v>
      </c>
    </row>
    <row r="521" spans="1:41" x14ac:dyDescent="0.25">
      <c r="A521" s="14" t="s">
        <v>895</v>
      </c>
      <c r="E521" s="91">
        <f t="shared" ref="E521:R521" si="285">E86</f>
        <v>0</v>
      </c>
      <c r="F521" s="91">
        <f t="shared" si="285"/>
        <v>0</v>
      </c>
      <c r="G521" s="91">
        <f t="shared" si="285"/>
        <v>0</v>
      </c>
      <c r="H521" s="91">
        <f t="shared" si="285"/>
        <v>0</v>
      </c>
      <c r="I521" s="91">
        <f t="shared" si="285"/>
        <v>0</v>
      </c>
      <c r="J521" s="91">
        <f t="shared" si="285"/>
        <v>0</v>
      </c>
      <c r="K521" s="91">
        <f t="shared" si="285"/>
        <v>0</v>
      </c>
      <c r="L521" s="91">
        <f t="shared" si="285"/>
        <v>0</v>
      </c>
      <c r="M521" s="91">
        <f t="shared" si="285"/>
        <v>0</v>
      </c>
      <c r="N521" s="91">
        <f t="shared" si="285"/>
        <v>0</v>
      </c>
      <c r="O521" s="91">
        <f t="shared" si="285"/>
        <v>0</v>
      </c>
      <c r="P521" s="91">
        <f t="shared" si="285"/>
        <v>0</v>
      </c>
      <c r="Q521" s="91">
        <f t="shared" si="285"/>
        <v>0</v>
      </c>
      <c r="R521" s="91">
        <f t="shared" si="285"/>
        <v>0</v>
      </c>
      <c r="AG521" s="91"/>
      <c r="AH521" s="28"/>
    </row>
    <row r="522" spans="1:41" x14ac:dyDescent="0.25">
      <c r="A522" s="14" t="s">
        <v>892</v>
      </c>
      <c r="E522" s="91">
        <f t="shared" ref="E522:R522" si="286">E90</f>
        <v>0</v>
      </c>
      <c r="F522" s="91">
        <f t="shared" si="286"/>
        <v>0</v>
      </c>
      <c r="G522" s="91">
        <f t="shared" si="286"/>
        <v>0</v>
      </c>
      <c r="H522" s="91">
        <f t="shared" si="286"/>
        <v>0</v>
      </c>
      <c r="I522" s="91">
        <f t="shared" si="286"/>
        <v>0</v>
      </c>
      <c r="J522" s="91">
        <f t="shared" si="286"/>
        <v>0</v>
      </c>
      <c r="K522" s="91">
        <f t="shared" si="286"/>
        <v>0</v>
      </c>
      <c r="L522" s="91">
        <f t="shared" si="286"/>
        <v>0</v>
      </c>
      <c r="M522" s="91">
        <f t="shared" si="286"/>
        <v>0</v>
      </c>
      <c r="N522" s="91">
        <f t="shared" si="286"/>
        <v>0</v>
      </c>
      <c r="O522" s="91">
        <f t="shared" si="286"/>
        <v>0</v>
      </c>
      <c r="P522" s="91">
        <f t="shared" si="286"/>
        <v>0</v>
      </c>
      <c r="Q522" s="91">
        <f t="shared" si="286"/>
        <v>0</v>
      </c>
      <c r="R522" s="91">
        <f t="shared" si="286"/>
        <v>0</v>
      </c>
      <c r="AG522" s="91">
        <f>SUM(F522:AF522)</f>
        <v>0</v>
      </c>
      <c r="AH522" s="28" t="str">
        <f>IF(ABS(E522-AG522)&lt;0.01,"ok","err")</f>
        <v>ok</v>
      </c>
    </row>
    <row r="523" spans="1:41" x14ac:dyDescent="0.25">
      <c r="A523" s="14" t="s">
        <v>647</v>
      </c>
      <c r="E523" s="91">
        <f t="shared" ref="E523:AF523" si="287">E93+E96+E101</f>
        <v>60015214.761475012</v>
      </c>
      <c r="F523" s="91">
        <f t="shared" si="287"/>
        <v>37735910.532472134</v>
      </c>
      <c r="G523" s="91">
        <f t="shared" si="287"/>
        <v>2015994.5417837426</v>
      </c>
      <c r="H523" s="91">
        <f t="shared" si="287"/>
        <v>1359487.499659217</v>
      </c>
      <c r="I523" s="91">
        <f t="shared" si="287"/>
        <v>16653219.526644869</v>
      </c>
      <c r="J523" s="91">
        <f t="shared" si="287"/>
        <v>0</v>
      </c>
      <c r="K523" s="91">
        <f t="shared" si="287"/>
        <v>1933596.0010950491</v>
      </c>
      <c r="L523" s="91">
        <f t="shared" si="287"/>
        <v>317006.65981999575</v>
      </c>
      <c r="M523" s="91">
        <f t="shared" si="287"/>
        <v>0</v>
      </c>
      <c r="N523" s="91">
        <f t="shared" si="287"/>
        <v>0</v>
      </c>
      <c r="O523" s="91">
        <f t="shared" si="287"/>
        <v>0</v>
      </c>
      <c r="P523" s="91">
        <f t="shared" si="287"/>
        <v>0</v>
      </c>
      <c r="Q523" s="91">
        <f t="shared" si="287"/>
        <v>0</v>
      </c>
      <c r="R523" s="91">
        <f t="shared" si="287"/>
        <v>0</v>
      </c>
      <c r="S523" s="114">
        <f t="shared" si="287"/>
        <v>0</v>
      </c>
      <c r="T523" s="114">
        <f t="shared" si="287"/>
        <v>0</v>
      </c>
      <c r="U523" s="114">
        <f t="shared" si="287"/>
        <v>0</v>
      </c>
      <c r="V523" s="114">
        <f t="shared" si="287"/>
        <v>0</v>
      </c>
      <c r="W523" s="114">
        <f t="shared" si="287"/>
        <v>0</v>
      </c>
      <c r="X523" s="114">
        <f t="shared" si="287"/>
        <v>0</v>
      </c>
      <c r="Y523" s="114">
        <f t="shared" si="287"/>
        <v>0</v>
      </c>
      <c r="Z523" s="114">
        <f t="shared" si="287"/>
        <v>0</v>
      </c>
      <c r="AA523" s="114">
        <f t="shared" si="287"/>
        <v>0</v>
      </c>
      <c r="AB523" s="114">
        <f t="shared" si="287"/>
        <v>0</v>
      </c>
      <c r="AC523" s="114">
        <f t="shared" si="287"/>
        <v>0</v>
      </c>
      <c r="AD523" s="114">
        <f t="shared" si="287"/>
        <v>0</v>
      </c>
      <c r="AE523" s="114">
        <f t="shared" si="287"/>
        <v>0</v>
      </c>
      <c r="AF523" s="114">
        <f t="shared" si="287"/>
        <v>0</v>
      </c>
      <c r="AG523" s="91">
        <f>SUM(F523:AF523)</f>
        <v>60015214.761475012</v>
      </c>
      <c r="AH523" s="28" t="str">
        <f>IF(ABS(E523-AG523)&lt;0.01,"ok","err")</f>
        <v>ok</v>
      </c>
    </row>
    <row r="524" spans="1:41" x14ac:dyDescent="0.25">
      <c r="A524" s="14" t="s">
        <v>648</v>
      </c>
      <c r="E524" s="42">
        <f t="shared" ref="E524:AD524" si="288">E97+E102+E106+E109+E112+E115</f>
        <v>85745486.077178851</v>
      </c>
      <c r="F524" s="42">
        <f t="shared" si="288"/>
        <v>60880489.618993811</v>
      </c>
      <c r="G524" s="42">
        <f t="shared" si="288"/>
        <v>14572516.371474737</v>
      </c>
      <c r="H524" s="42">
        <f t="shared" si="288"/>
        <v>2297003.9275868614</v>
      </c>
      <c r="I524" s="42">
        <f t="shared" si="288"/>
        <v>4266779.23169298</v>
      </c>
      <c r="J524" s="42">
        <f t="shared" si="288"/>
        <v>0</v>
      </c>
      <c r="K524" s="42">
        <f t="shared" si="288"/>
        <v>11158.813222448767</v>
      </c>
      <c r="L524" s="42">
        <f t="shared" si="288"/>
        <v>3717538.1142080235</v>
      </c>
      <c r="M524" s="42">
        <f t="shared" si="288"/>
        <v>0</v>
      </c>
      <c r="N524" s="42">
        <f t="shared" si="288"/>
        <v>0</v>
      </c>
      <c r="O524" s="42">
        <f t="shared" si="288"/>
        <v>0</v>
      </c>
      <c r="P524" s="42">
        <f t="shared" si="288"/>
        <v>0</v>
      </c>
      <c r="Q524" s="42">
        <f t="shared" si="288"/>
        <v>0</v>
      </c>
      <c r="R524" s="42">
        <f t="shared" si="288"/>
        <v>0</v>
      </c>
      <c r="S524" s="107">
        <f t="shared" si="288"/>
        <v>0</v>
      </c>
      <c r="T524" s="107">
        <f t="shared" si="288"/>
        <v>0</v>
      </c>
      <c r="U524" s="107">
        <f t="shared" si="288"/>
        <v>0</v>
      </c>
      <c r="V524" s="107">
        <f t="shared" si="288"/>
        <v>0</v>
      </c>
      <c r="W524" s="107">
        <f t="shared" si="288"/>
        <v>0</v>
      </c>
      <c r="X524" s="107">
        <f t="shared" si="288"/>
        <v>0</v>
      </c>
      <c r="Y524" s="107">
        <f t="shared" si="288"/>
        <v>0</v>
      </c>
      <c r="Z524" s="107">
        <f t="shared" si="288"/>
        <v>0</v>
      </c>
      <c r="AA524" s="107">
        <f t="shared" si="288"/>
        <v>0</v>
      </c>
      <c r="AB524" s="107">
        <f t="shared" si="288"/>
        <v>0</v>
      </c>
      <c r="AC524" s="107">
        <f t="shared" si="288"/>
        <v>0</v>
      </c>
      <c r="AD524" s="107">
        <f t="shared" si="288"/>
        <v>0</v>
      </c>
      <c r="AE524" s="107"/>
      <c r="AF524" s="107">
        <f>AF97+AF102+AF106+AF109+AF112+AF115</f>
        <v>0</v>
      </c>
      <c r="AG524" s="91">
        <f>SUM(F524:AF524)</f>
        <v>85745486.077178881</v>
      </c>
      <c r="AH524" s="28" t="str">
        <f>IF(ABS(E524-AG524)&lt;0.01,"ok","err")</f>
        <v>ok</v>
      </c>
    </row>
    <row r="525" spans="1:41" x14ac:dyDescent="0.25">
      <c r="A525" s="14" t="s">
        <v>0</v>
      </c>
      <c r="E525" s="111">
        <f>SUM(E520:E524)</f>
        <v>145760700.83865386</v>
      </c>
      <c r="F525" s="111">
        <f t="shared" ref="F525:R525" si="289">SUM(F520:F524)</f>
        <v>98616400.151465952</v>
      </c>
      <c r="G525" s="111">
        <f t="shared" si="289"/>
        <v>16588510.91325848</v>
      </c>
      <c r="H525" s="111">
        <f t="shared" si="289"/>
        <v>3656491.4272460784</v>
      </c>
      <c r="I525" s="111">
        <f t="shared" si="289"/>
        <v>20919998.758337848</v>
      </c>
      <c r="J525" s="111">
        <f t="shared" si="289"/>
        <v>0</v>
      </c>
      <c r="K525" s="111">
        <f t="shared" si="289"/>
        <v>1944754.8143174979</v>
      </c>
      <c r="L525" s="111">
        <f t="shared" si="289"/>
        <v>4034544.774028019</v>
      </c>
      <c r="M525" s="111">
        <f t="shared" si="289"/>
        <v>0</v>
      </c>
      <c r="N525" s="111">
        <f t="shared" si="289"/>
        <v>0</v>
      </c>
      <c r="O525" s="111">
        <f t="shared" si="289"/>
        <v>0</v>
      </c>
      <c r="P525" s="111">
        <f t="shared" si="289"/>
        <v>0</v>
      </c>
      <c r="Q525" s="111">
        <f t="shared" si="289"/>
        <v>0</v>
      </c>
      <c r="R525" s="111">
        <f t="shared" si="289"/>
        <v>0</v>
      </c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11">
        <f>SUM(F525:AF525)</f>
        <v>145760700.83865389</v>
      </c>
      <c r="AH525" s="28" t="str">
        <f>IF(ABS(E525-AG525)&lt;0.01,"ok","err")</f>
        <v>ok</v>
      </c>
    </row>
    <row r="527" spans="1:41" x14ac:dyDescent="0.25"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K527" s="50"/>
    </row>
    <row r="528" spans="1:41" x14ac:dyDescent="0.25">
      <c r="A528" s="13" t="s">
        <v>760</v>
      </c>
      <c r="C528" s="201">
        <v>3.4558492691015096E-2</v>
      </c>
      <c r="R528" s="46"/>
    </row>
    <row r="529" spans="1:37" x14ac:dyDescent="0.25">
      <c r="A529" s="14" t="s">
        <v>894</v>
      </c>
      <c r="E529" s="91">
        <f>E511+(E520*$C$528)</f>
        <v>18054874.878003754</v>
      </c>
      <c r="F529" s="91">
        <f t="shared" ref="F529:R529" si="290">F511+(F520*$C$528)</f>
        <v>10099468.83766523</v>
      </c>
      <c r="G529" s="91">
        <f t="shared" si="290"/>
        <v>988113.4852732037</v>
      </c>
      <c r="H529" s="91">
        <f t="shared" si="290"/>
        <v>280988.3819749598</v>
      </c>
      <c r="I529" s="91">
        <f t="shared" si="290"/>
        <v>4063056.8211343409</v>
      </c>
      <c r="J529" s="91">
        <f t="shared" si="290"/>
        <v>2003014.98</v>
      </c>
      <c r="K529" s="91">
        <f t="shared" si="290"/>
        <v>512634.30999052391</v>
      </c>
      <c r="L529" s="91">
        <f t="shared" si="290"/>
        <v>107598.06196549475</v>
      </c>
      <c r="M529" s="91">
        <f t="shared" si="290"/>
        <v>0</v>
      </c>
      <c r="N529" s="91">
        <f t="shared" si="290"/>
        <v>0</v>
      </c>
      <c r="O529" s="91">
        <f t="shared" si="290"/>
        <v>0</v>
      </c>
      <c r="P529" s="91">
        <f t="shared" si="290"/>
        <v>0</v>
      </c>
      <c r="Q529" s="91">
        <f t="shared" si="290"/>
        <v>0</v>
      </c>
      <c r="R529" s="91">
        <f t="shared" si="290"/>
        <v>0</v>
      </c>
      <c r="S529" s="100">
        <f>S511</f>
        <v>0</v>
      </c>
    </row>
    <row r="530" spans="1:37" x14ac:dyDescent="0.25">
      <c r="A530" s="14" t="s">
        <v>895</v>
      </c>
      <c r="E530" s="91">
        <f>E512+(E521*$C$528)</f>
        <v>39734808.031866737</v>
      </c>
      <c r="F530" s="91">
        <f t="shared" ref="F530:R530" si="291">F512+(F521*$C$528)</f>
        <v>18067866.540608253</v>
      </c>
      <c r="G530" s="91">
        <f t="shared" si="291"/>
        <v>1280117.3116732696</v>
      </c>
      <c r="H530" s="91">
        <f t="shared" si="291"/>
        <v>614406.13241406542</v>
      </c>
      <c r="I530" s="91">
        <f t="shared" si="291"/>
        <v>9049969.5750249196</v>
      </c>
      <c r="J530" s="91">
        <f t="shared" si="291"/>
        <v>9431281.9255764969</v>
      </c>
      <c r="K530" s="91">
        <f t="shared" si="291"/>
        <v>961148.14974724757</v>
      </c>
      <c r="L530" s="91">
        <f t="shared" si="291"/>
        <v>330018.39682248409</v>
      </c>
      <c r="M530" s="91">
        <f t="shared" si="291"/>
        <v>0</v>
      </c>
      <c r="N530" s="91">
        <f t="shared" si="291"/>
        <v>0</v>
      </c>
      <c r="O530" s="91">
        <f t="shared" si="291"/>
        <v>0</v>
      </c>
      <c r="P530" s="91">
        <f t="shared" si="291"/>
        <v>0</v>
      </c>
      <c r="Q530" s="91">
        <f t="shared" si="291"/>
        <v>0</v>
      </c>
      <c r="R530" s="91">
        <f t="shared" si="291"/>
        <v>0</v>
      </c>
      <c r="S530" s="100">
        <f>S512</f>
        <v>0</v>
      </c>
    </row>
    <row r="531" spans="1:37" x14ac:dyDescent="0.25">
      <c r="A531" s="14" t="s">
        <v>892</v>
      </c>
      <c r="E531" s="91">
        <f>E513+(E522*$C$528)</f>
        <v>0</v>
      </c>
      <c r="F531" s="91">
        <f t="shared" ref="F531:R531" si="292">F513+(F522*$C$528)</f>
        <v>0</v>
      </c>
      <c r="G531" s="91">
        <f t="shared" si="292"/>
        <v>0</v>
      </c>
      <c r="H531" s="91">
        <f t="shared" si="292"/>
        <v>0</v>
      </c>
      <c r="I531" s="91">
        <f t="shared" si="292"/>
        <v>0</v>
      </c>
      <c r="J531" s="91">
        <f t="shared" si="292"/>
        <v>0</v>
      </c>
      <c r="K531" s="91">
        <f t="shared" si="292"/>
        <v>0</v>
      </c>
      <c r="L531" s="91">
        <f t="shared" si="292"/>
        <v>0</v>
      </c>
      <c r="M531" s="91">
        <f t="shared" si="292"/>
        <v>0</v>
      </c>
      <c r="N531" s="91">
        <f t="shared" si="292"/>
        <v>0</v>
      </c>
      <c r="O531" s="91">
        <f t="shared" si="292"/>
        <v>0</v>
      </c>
      <c r="P531" s="91">
        <f t="shared" si="292"/>
        <v>0</v>
      </c>
      <c r="Q531" s="91">
        <f t="shared" si="292"/>
        <v>0</v>
      </c>
      <c r="R531" s="91">
        <f t="shared" si="292"/>
        <v>0</v>
      </c>
    </row>
    <row r="532" spans="1:37" x14ac:dyDescent="0.25">
      <c r="A532" s="14" t="s">
        <v>647</v>
      </c>
      <c r="E532" s="91">
        <f>E514+(E523*$C$528)</f>
        <v>8896087.4776002076</v>
      </c>
      <c r="F532" s="91">
        <f t="shared" ref="F532:R532" si="293">F514+(F523*$C$528)</f>
        <v>5604079.0249614781</v>
      </c>
      <c r="G532" s="91">
        <f t="shared" si="293"/>
        <v>283728.35488160694</v>
      </c>
      <c r="H532" s="91">
        <f t="shared" si="293"/>
        <v>207203.30598332212</v>
      </c>
      <c r="I532" s="91">
        <f t="shared" si="293"/>
        <v>2469419.3102337369</v>
      </c>
      <c r="J532" s="91">
        <f t="shared" si="293"/>
        <v>0</v>
      </c>
      <c r="K532" s="91">
        <f t="shared" si="293"/>
        <v>283497.21970947715</v>
      </c>
      <c r="L532" s="91">
        <f t="shared" si="293"/>
        <v>48160.261830587049</v>
      </c>
      <c r="M532" s="91">
        <f t="shared" si="293"/>
        <v>0</v>
      </c>
      <c r="N532" s="91">
        <f t="shared" si="293"/>
        <v>0</v>
      </c>
      <c r="O532" s="91">
        <f t="shared" si="293"/>
        <v>0</v>
      </c>
      <c r="P532" s="91">
        <f t="shared" si="293"/>
        <v>0</v>
      </c>
      <c r="Q532" s="91">
        <f t="shared" si="293"/>
        <v>0</v>
      </c>
      <c r="R532" s="91">
        <f t="shared" si="293"/>
        <v>0</v>
      </c>
      <c r="S532" s="100">
        <f>S514+(S524*$C$528)</f>
        <v>0</v>
      </c>
    </row>
    <row r="533" spans="1:37" x14ac:dyDescent="0.25">
      <c r="A533" s="14" t="s">
        <v>648</v>
      </c>
      <c r="E533" s="91">
        <f>E515+(E524*$C$528)</f>
        <v>20505632.767674699</v>
      </c>
      <c r="F533" s="91">
        <f t="shared" ref="F533:R533" si="294">F515+(F524*$C$528)</f>
        <v>15208002.017767448</v>
      </c>
      <c r="G533" s="91">
        <f t="shared" si="294"/>
        <v>3389689.1191150649</v>
      </c>
      <c r="H533" s="91">
        <f t="shared" si="294"/>
        <v>479574.38227850234</v>
      </c>
      <c r="I533" s="91">
        <f t="shared" si="294"/>
        <v>850361.93602678634</v>
      </c>
      <c r="J533" s="91">
        <f t="shared" si="294"/>
        <v>0</v>
      </c>
      <c r="K533" s="91">
        <f t="shared" si="294"/>
        <v>6132.9370108535786</v>
      </c>
      <c r="L533" s="91">
        <f t="shared" si="294"/>
        <v>571872.37547604961</v>
      </c>
      <c r="M533" s="91">
        <f t="shared" si="294"/>
        <v>0</v>
      </c>
      <c r="N533" s="91">
        <f t="shared" si="294"/>
        <v>0</v>
      </c>
      <c r="O533" s="91">
        <f t="shared" si="294"/>
        <v>0</v>
      </c>
      <c r="P533" s="91">
        <f t="shared" si="294"/>
        <v>0</v>
      </c>
      <c r="Q533" s="91">
        <f t="shared" si="294"/>
        <v>0</v>
      </c>
      <c r="R533" s="91">
        <f t="shared" si="294"/>
        <v>0</v>
      </c>
      <c r="S533" s="100">
        <f>S515+(S525*$C$528)</f>
        <v>0</v>
      </c>
    </row>
    <row r="534" spans="1:37" x14ac:dyDescent="0.25">
      <c r="A534" s="14" t="s">
        <v>0</v>
      </c>
      <c r="C534" s="23"/>
      <c r="E534" s="111">
        <f>SUM(E529:E533)</f>
        <v>87191403.155145407</v>
      </c>
      <c r="F534" s="111">
        <f t="shared" ref="F534:R534" si="295">SUM(F529:F533)</f>
        <v>48979416.421002403</v>
      </c>
      <c r="G534" s="111">
        <f t="shared" si="295"/>
        <v>5941648.2709431453</v>
      </c>
      <c r="H534" s="111">
        <f t="shared" si="295"/>
        <v>1582172.2026508497</v>
      </c>
      <c r="I534" s="111">
        <f t="shared" si="295"/>
        <v>16432807.642419783</v>
      </c>
      <c r="J534" s="111">
        <f t="shared" si="295"/>
        <v>11434296.905576497</v>
      </c>
      <c r="K534" s="111">
        <f t="shared" si="295"/>
        <v>1763412.6164581021</v>
      </c>
      <c r="L534" s="111">
        <f t="shared" si="295"/>
        <v>1057649.0960946155</v>
      </c>
      <c r="M534" s="111">
        <f t="shared" si="295"/>
        <v>0</v>
      </c>
      <c r="N534" s="111">
        <f t="shared" si="295"/>
        <v>0</v>
      </c>
      <c r="O534" s="111">
        <f t="shared" si="295"/>
        <v>0</v>
      </c>
      <c r="P534" s="111">
        <f t="shared" si="295"/>
        <v>0</v>
      </c>
      <c r="Q534" s="111">
        <f t="shared" si="295"/>
        <v>0</v>
      </c>
      <c r="R534" s="111">
        <f t="shared" si="295"/>
        <v>0</v>
      </c>
      <c r="S534" s="100">
        <f>SUM(S529:S533)</f>
        <v>0</v>
      </c>
    </row>
    <row r="535" spans="1:37" ht="13.8" x14ac:dyDescent="0.25">
      <c r="C535" s="91">
        <v>87191403.631812066</v>
      </c>
      <c r="D535" s="11" t="s">
        <v>1144</v>
      </c>
      <c r="E535" s="192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K535" s="50"/>
    </row>
    <row r="536" spans="1:37" ht="13.8" x14ac:dyDescent="0.25">
      <c r="C536" s="91">
        <f>C535-E534</f>
        <v>0.476666659116745</v>
      </c>
      <c r="D536" s="11" t="s">
        <v>1145</v>
      </c>
      <c r="E536" s="91"/>
    </row>
    <row r="537" spans="1:37" x14ac:dyDescent="0.25">
      <c r="E537" s="91"/>
    </row>
    <row r="538" spans="1:37" x14ac:dyDescent="0.25">
      <c r="A538" s="13" t="s">
        <v>649</v>
      </c>
    </row>
    <row r="540" spans="1:37" x14ac:dyDescent="0.25">
      <c r="A540" s="14" t="s">
        <v>1004</v>
      </c>
      <c r="F540" s="99">
        <f t="shared" ref="F540:H543" si="296">F511/F$420</f>
        <v>3.0749246242036631E-2</v>
      </c>
      <c r="G540" s="99">
        <f t="shared" si="296"/>
        <v>2.6478630455095652E-2</v>
      </c>
      <c r="H540" s="99">
        <f t="shared" si="296"/>
        <v>2.4125772247668743E-2</v>
      </c>
      <c r="I540" s="24">
        <f>I511/I$435</f>
        <v>7.1632204417898775</v>
      </c>
      <c r="J540" s="24"/>
      <c r="K540" s="24">
        <f>K511/K$435</f>
        <v>8.3858596646947845</v>
      </c>
      <c r="M540" s="99" t="e">
        <f>M511/M$420</f>
        <v>#DIV/0!</v>
      </c>
      <c r="N540" s="38" t="e">
        <f>N511/N$420</f>
        <v>#DIV/0!</v>
      </c>
      <c r="O540" s="38" t="e">
        <f>O511/O$420</f>
        <v>#DIV/0!</v>
      </c>
      <c r="P540" s="38" t="e">
        <f>P511/P$420</f>
        <v>#DIV/0!</v>
      </c>
      <c r="Q540" s="38" t="e">
        <f>Q511/Q$420</f>
        <v>#DIV/0!</v>
      </c>
      <c r="R540" s="24" t="e">
        <f>R511/R$435</f>
        <v>#DIV/0!</v>
      </c>
      <c r="S540" s="131" t="e">
        <f>S511/S$420</f>
        <v>#DIV/0!</v>
      </c>
      <c r="T540" s="131">
        <f>T502/1251.6</f>
        <v>0</v>
      </c>
      <c r="U540" s="131" t="e">
        <f>U502/U423</f>
        <v>#DIV/0!</v>
      </c>
      <c r="V540" s="131" t="e">
        <f>V502/V423</f>
        <v>#DIV/0!</v>
      </c>
      <c r="W540" s="131" t="e">
        <f>W502/W423</f>
        <v>#DIV/0!</v>
      </c>
      <c r="X540" s="127" t="e">
        <f>X502/X420</f>
        <v>#DIV/0!</v>
      </c>
      <c r="Y540" s="131" t="e">
        <f>Y502/Y423</f>
        <v>#DIV/0!</v>
      </c>
      <c r="Z540" s="134">
        <f>Z502/3624.9</f>
        <v>0</v>
      </c>
      <c r="AA540" s="135">
        <f>AA502/9725.8</f>
        <v>0</v>
      </c>
      <c r="AB540" s="135">
        <f>AB502/12443</f>
        <v>0</v>
      </c>
      <c r="AC540" s="135">
        <f>AC502/9726</f>
        <v>0</v>
      </c>
      <c r="AD540" s="135">
        <f>AD502/10680</f>
        <v>0</v>
      </c>
      <c r="AE540" s="135"/>
      <c r="AF540" s="135"/>
    </row>
    <row r="541" spans="1:37" x14ac:dyDescent="0.25">
      <c r="A541" s="14" t="s">
        <v>896</v>
      </c>
      <c r="F541" s="99">
        <f t="shared" si="296"/>
        <v>5.501014818259034E-2</v>
      </c>
      <c r="G541" s="99">
        <f t="shared" si="296"/>
        <v>3.4303502320480087E-2</v>
      </c>
      <c r="H541" s="99">
        <f t="shared" si="296"/>
        <v>5.2753150553796549E-2</v>
      </c>
      <c r="I541" s="38">
        <f t="shared" ref="I541:S541" si="297">I512/I$420</f>
        <v>5.3309988398735096E-2</v>
      </c>
      <c r="J541" s="24"/>
      <c r="K541" s="38">
        <f t="shared" ref="K541" si="298">K512/K$420</f>
        <v>5.2783847367329363E-2</v>
      </c>
      <c r="M541" s="99" t="e">
        <f>M512/M$420</f>
        <v>#DIV/0!</v>
      </c>
      <c r="N541" s="38" t="e">
        <f t="shared" si="297"/>
        <v>#DIV/0!</v>
      </c>
      <c r="O541" s="38" t="e">
        <f t="shared" si="297"/>
        <v>#DIV/0!</v>
      </c>
      <c r="P541" s="38" t="e">
        <f t="shared" si="297"/>
        <v>#DIV/0!</v>
      </c>
      <c r="Q541" s="38" t="e">
        <f t="shared" si="297"/>
        <v>#DIV/0!</v>
      </c>
      <c r="R541" s="38" t="e">
        <f t="shared" si="297"/>
        <v>#DIV/0!</v>
      </c>
      <c r="S541" s="131" t="e">
        <f t="shared" si="297"/>
        <v>#DIV/0!</v>
      </c>
      <c r="T541" s="131" t="e">
        <f>T503/T$420</f>
        <v>#DIV/0!</v>
      </c>
      <c r="U541" s="131" t="e">
        <f>U503/U$423</f>
        <v>#DIV/0!</v>
      </c>
      <c r="V541" s="131" t="e">
        <f>V503/V$423</f>
        <v>#DIV/0!</v>
      </c>
      <c r="W541" s="131" t="e">
        <f>W503/W$423</f>
        <v>#DIV/0!</v>
      </c>
      <c r="X541" s="127" t="e">
        <f>X503/X$420</f>
        <v>#DIV/0!</v>
      </c>
      <c r="Y541" s="131" t="e">
        <f>Y503/Y$423</f>
        <v>#DIV/0!</v>
      </c>
      <c r="Z541" s="100" t="e">
        <f>Z503/Z$420</f>
        <v>#DIV/0!</v>
      </c>
      <c r="AA541" s="100" t="e">
        <f>AA503/AA$420</f>
        <v>#DIV/0!</v>
      </c>
      <c r="AB541" s="100" t="e">
        <f>AB503/AB$420</f>
        <v>#DIV/0!</v>
      </c>
      <c r="AC541" s="100" t="e">
        <f>AC503/AC$420</f>
        <v>#DIV/0!</v>
      </c>
      <c r="AD541" s="100" t="e">
        <f>AD503/AD$420</f>
        <v>#DIV/0!</v>
      </c>
    </row>
    <row r="542" spans="1:37" x14ac:dyDescent="0.25">
      <c r="A542" s="14" t="s">
        <v>1005</v>
      </c>
      <c r="F542" s="99">
        <f t="shared" si="296"/>
        <v>0</v>
      </c>
      <c r="G542" s="99">
        <f t="shared" si="296"/>
        <v>0</v>
      </c>
      <c r="H542" s="99">
        <f t="shared" si="296"/>
        <v>0</v>
      </c>
      <c r="I542" s="48">
        <f t="shared" ref="I542:I543" si="299">I513/I$435</f>
        <v>0</v>
      </c>
      <c r="J542" s="24"/>
      <c r="K542" s="48">
        <f t="shared" ref="K542" si="300">K513/K$435</f>
        <v>0</v>
      </c>
      <c r="M542" s="99" t="e">
        <f>M513/M$420</f>
        <v>#DIV/0!</v>
      </c>
      <c r="N542" s="99" t="e">
        <f t="shared" ref="N542:Q542" si="301">N513/N$420</f>
        <v>#DIV/0!</v>
      </c>
      <c r="O542" s="99" t="e">
        <f t="shared" si="301"/>
        <v>#DIV/0!</v>
      </c>
      <c r="P542" s="99" t="e">
        <f t="shared" si="301"/>
        <v>#DIV/0!</v>
      </c>
      <c r="Q542" s="99" t="e">
        <f t="shared" si="301"/>
        <v>#DIV/0!</v>
      </c>
      <c r="R542" s="48" t="e">
        <f>R513/R$435</f>
        <v>#DIV/0!</v>
      </c>
      <c r="S542" s="131"/>
      <c r="T542" s="131"/>
      <c r="U542" s="131"/>
      <c r="V542" s="131"/>
      <c r="W542" s="131"/>
      <c r="X542" s="127"/>
      <c r="Y542" s="131"/>
    </row>
    <row r="543" spans="1:37" x14ac:dyDescent="0.25">
      <c r="A543" s="14" t="s">
        <v>1006</v>
      </c>
      <c r="F543" s="99">
        <f t="shared" si="296"/>
        <v>1.3091899505363047E-2</v>
      </c>
      <c r="G543" s="99">
        <f t="shared" si="296"/>
        <v>5.7361621297630574E-3</v>
      </c>
      <c r="H543" s="99">
        <f t="shared" si="296"/>
        <v>1.375667776293351E-2</v>
      </c>
      <c r="I543" s="24">
        <f t="shared" si="299"/>
        <v>3.3389857191664056</v>
      </c>
      <c r="J543" s="24"/>
      <c r="K543" s="24">
        <f t="shared" ref="K543" si="302">K514/K$435</f>
        <v>3.5444498753207525</v>
      </c>
      <c r="M543" s="99" t="e">
        <f>M514/M$420</f>
        <v>#DIV/0!</v>
      </c>
      <c r="N543" s="38" t="e">
        <f>N514/N$420</f>
        <v>#DIV/0!</v>
      </c>
      <c r="O543" s="38" t="e">
        <f>O514/O$420</f>
        <v>#DIV/0!</v>
      </c>
      <c r="P543" s="38" t="e">
        <f>P514/P$420</f>
        <v>#DIV/0!</v>
      </c>
      <c r="Q543" s="38" t="e">
        <f>Q514/Q$420</f>
        <v>#DIV/0!</v>
      </c>
      <c r="R543" s="24" t="e">
        <f>R514/R$435</f>
        <v>#DIV/0!</v>
      </c>
      <c r="S543" s="131" t="e">
        <f>S514/S$420</f>
        <v>#DIV/0!</v>
      </c>
      <c r="T543" s="131">
        <f>T505/1251.6</f>
        <v>0</v>
      </c>
      <c r="U543" s="131" t="e">
        <f>U505/U423</f>
        <v>#DIV/0!</v>
      </c>
      <c r="V543" s="131" t="e">
        <f>V505/V423</f>
        <v>#DIV/0!</v>
      </c>
      <c r="W543" s="131" t="e">
        <f>W505/W423</f>
        <v>#DIV/0!</v>
      </c>
      <c r="X543" s="127" t="e">
        <f>X505/X420</f>
        <v>#DIV/0!</v>
      </c>
      <c r="Y543" s="131" t="e">
        <f>Y505/Y423</f>
        <v>#DIV/0!</v>
      </c>
      <c r="Z543" s="134">
        <f>Z505/12877</f>
        <v>0</v>
      </c>
      <c r="AA543" s="135">
        <f>AA505/11922</f>
        <v>0</v>
      </c>
      <c r="AB543" s="135">
        <f>AB505/14745</f>
        <v>0</v>
      </c>
      <c r="AC543" s="135">
        <f>AC505/10526</f>
        <v>0</v>
      </c>
      <c r="AD543" s="135">
        <f>AD505/11459</f>
        <v>0</v>
      </c>
      <c r="AE543" s="135"/>
      <c r="AF543" s="135"/>
    </row>
    <row r="544" spans="1:37" s="24" customFormat="1" x14ac:dyDescent="0.25">
      <c r="A544" s="24" t="s">
        <v>897</v>
      </c>
      <c r="D544" s="48"/>
      <c r="F544" s="48">
        <f t="shared" ref="F544:S544" si="303">F515/F423</f>
        <v>44.52681674995253</v>
      </c>
      <c r="G544" s="48">
        <f t="shared" ref="G544:H544" si="304">G515/G423</f>
        <v>49.648803003642826</v>
      </c>
      <c r="H544" s="48">
        <f t="shared" si="304"/>
        <v>64.798152337396189</v>
      </c>
      <c r="I544" s="24">
        <f t="shared" si="303"/>
        <v>90.627704633077556</v>
      </c>
      <c r="K544" s="24">
        <f t="shared" ref="K544" si="305">K515/K423</f>
        <v>478.94210380543171</v>
      </c>
      <c r="L544" s="14"/>
      <c r="M544" s="48" t="e">
        <f t="shared" ref="M544" si="306">M515/M423</f>
        <v>#DIV/0!</v>
      </c>
      <c r="N544" s="24" t="e">
        <f t="shared" si="303"/>
        <v>#DIV/0!</v>
      </c>
      <c r="O544" s="24" t="e">
        <f t="shared" si="303"/>
        <v>#DIV/0!</v>
      </c>
      <c r="P544" s="24" t="e">
        <f t="shared" si="303"/>
        <v>#DIV/0!</v>
      </c>
      <c r="Q544" s="24" t="e">
        <f t="shared" si="303"/>
        <v>#DIV/0!</v>
      </c>
      <c r="R544" s="24" t="e">
        <f t="shared" si="303"/>
        <v>#DIV/0!</v>
      </c>
      <c r="S544" s="131" t="e">
        <f t="shared" si="303"/>
        <v>#DIV/0!</v>
      </c>
      <c r="T544" s="131" t="e">
        <f t="shared" ref="T544:AD544" si="307">T506/T423</f>
        <v>#DIV/0!</v>
      </c>
      <c r="U544" s="131" t="e">
        <f t="shared" si="307"/>
        <v>#DIV/0!</v>
      </c>
      <c r="V544" s="131" t="e">
        <f t="shared" si="307"/>
        <v>#DIV/0!</v>
      </c>
      <c r="W544" s="131" t="e">
        <f t="shared" si="307"/>
        <v>#DIV/0!</v>
      </c>
      <c r="X544" s="131" t="e">
        <f t="shared" si="307"/>
        <v>#DIV/0!</v>
      </c>
      <c r="Y544" s="131" t="e">
        <f t="shared" si="307"/>
        <v>#DIV/0!</v>
      </c>
      <c r="Z544" s="131" t="e">
        <f t="shared" si="307"/>
        <v>#DIV/0!</v>
      </c>
      <c r="AA544" s="131" t="e">
        <f t="shared" si="307"/>
        <v>#DIV/0!</v>
      </c>
      <c r="AB544" s="131" t="e">
        <f t="shared" si="307"/>
        <v>#DIV/0!</v>
      </c>
      <c r="AC544" s="131" t="e">
        <f t="shared" si="307"/>
        <v>#DIV/0!</v>
      </c>
      <c r="AD544" s="131" t="e">
        <f t="shared" si="307"/>
        <v>#DIV/0!</v>
      </c>
      <c r="AE544" s="131"/>
      <c r="AF544" s="131"/>
    </row>
    <row r="545" spans="1:37" x14ac:dyDescent="0.25">
      <c r="J545" s="24"/>
    </row>
    <row r="546" spans="1:37" x14ac:dyDescent="0.25">
      <c r="J546" s="24"/>
    </row>
    <row r="547" spans="1:37" x14ac:dyDescent="0.25">
      <c r="A547" s="13" t="s">
        <v>650</v>
      </c>
      <c r="J547" s="24"/>
    </row>
    <row r="548" spans="1:37" x14ac:dyDescent="0.25">
      <c r="A548" s="13"/>
      <c r="J548" s="24"/>
    </row>
    <row r="549" spans="1:37" x14ac:dyDescent="0.25">
      <c r="A549" s="14" t="s">
        <v>1004</v>
      </c>
      <c r="F549" s="99">
        <f t="shared" ref="F549:H552" si="308">F520/F$420</f>
        <v>0</v>
      </c>
      <c r="G549" s="99">
        <f t="shared" si="308"/>
        <v>0</v>
      </c>
      <c r="H549" s="99">
        <f t="shared" si="308"/>
        <v>0</v>
      </c>
      <c r="I549" s="48">
        <f>I520/I$435</f>
        <v>0</v>
      </c>
      <c r="J549" s="24"/>
      <c r="K549" s="48">
        <f>K520/K$435</f>
        <v>0</v>
      </c>
      <c r="M549" s="99" t="e">
        <f>M520/M$420</f>
        <v>#DIV/0!</v>
      </c>
      <c r="N549" s="99" t="e">
        <f t="shared" ref="N549:Q549" si="309">N520/N$420</f>
        <v>#DIV/0!</v>
      </c>
      <c r="O549" s="99" t="e">
        <f t="shared" si="309"/>
        <v>#DIV/0!</v>
      </c>
      <c r="P549" s="99" t="e">
        <f t="shared" si="309"/>
        <v>#DIV/0!</v>
      </c>
      <c r="Q549" s="99" t="e">
        <f t="shared" si="309"/>
        <v>#DIV/0!</v>
      </c>
      <c r="R549" s="48" t="e">
        <f>R520/R$435</f>
        <v>#DIV/0!</v>
      </c>
    </row>
    <row r="550" spans="1:37" x14ac:dyDescent="0.25">
      <c r="A550" s="14" t="s">
        <v>896</v>
      </c>
      <c r="F550" s="99">
        <f t="shared" si="308"/>
        <v>0</v>
      </c>
      <c r="G550" s="99">
        <f t="shared" si="308"/>
        <v>0</v>
      </c>
      <c r="H550" s="99">
        <f t="shared" si="308"/>
        <v>0</v>
      </c>
      <c r="I550" s="99">
        <f>I521/I$420</f>
        <v>0</v>
      </c>
      <c r="J550" s="24"/>
      <c r="K550" s="99">
        <f>K521/K$420</f>
        <v>0</v>
      </c>
      <c r="M550" s="99" t="e">
        <f>M521/M$420</f>
        <v>#DIV/0!</v>
      </c>
      <c r="N550" s="99" t="e">
        <f t="shared" ref="N550:Q550" si="310">N521/N$420</f>
        <v>#DIV/0!</v>
      </c>
      <c r="O550" s="99" t="e">
        <f t="shared" si="310"/>
        <v>#DIV/0!</v>
      </c>
      <c r="P550" s="99" t="e">
        <f t="shared" si="310"/>
        <v>#DIV/0!</v>
      </c>
      <c r="Q550" s="99" t="e">
        <f t="shared" si="310"/>
        <v>#DIV/0!</v>
      </c>
      <c r="R550" s="99" t="e">
        <f>R521/R$420</f>
        <v>#DIV/0!</v>
      </c>
    </row>
    <row r="551" spans="1:37" x14ac:dyDescent="0.25">
      <c r="A551" s="14" t="s">
        <v>1005</v>
      </c>
      <c r="F551" s="99">
        <f t="shared" si="308"/>
        <v>0</v>
      </c>
      <c r="G551" s="99">
        <f t="shared" si="308"/>
        <v>0</v>
      </c>
      <c r="H551" s="99">
        <f t="shared" si="308"/>
        <v>0</v>
      </c>
      <c r="I551" s="48">
        <f t="shared" ref="I551:I552" si="311">I522/I$435</f>
        <v>0</v>
      </c>
      <c r="J551" s="24"/>
      <c r="K551" s="48">
        <f t="shared" ref="K551" si="312">K522/K$435</f>
        <v>0</v>
      </c>
      <c r="M551" s="99" t="e">
        <f>M522/M$420</f>
        <v>#DIV/0!</v>
      </c>
      <c r="N551" s="99" t="e">
        <f t="shared" ref="N551:Q551" si="313">N522/N$420</f>
        <v>#DIV/0!</v>
      </c>
      <c r="O551" s="99" t="e">
        <f t="shared" si="313"/>
        <v>#DIV/0!</v>
      </c>
      <c r="P551" s="99" t="e">
        <f t="shared" si="313"/>
        <v>#DIV/0!</v>
      </c>
      <c r="Q551" s="99" t="e">
        <f t="shared" si="313"/>
        <v>#DIV/0!</v>
      </c>
      <c r="R551" s="48" t="e">
        <f>R522/R$435</f>
        <v>#DIV/0!</v>
      </c>
    </row>
    <row r="552" spans="1:37" x14ac:dyDescent="0.25">
      <c r="A552" s="14" t="s">
        <v>1006</v>
      </c>
      <c r="F552" s="99">
        <f t="shared" si="308"/>
        <v>0.11489226055166445</v>
      </c>
      <c r="G552" s="99">
        <f t="shared" si="308"/>
        <v>5.4022918689974511E-2</v>
      </c>
      <c r="H552" s="99">
        <f t="shared" si="308"/>
        <v>0.11672612781995291</v>
      </c>
      <c r="I552" s="48">
        <f t="shared" si="311"/>
        <v>29.359836149565048</v>
      </c>
      <c r="J552" s="24"/>
      <c r="K552" s="48">
        <f t="shared" ref="K552" si="314">K523/K$435</f>
        <v>31.63047107342042</v>
      </c>
      <c r="M552" s="99" t="e">
        <f>M523/M$420</f>
        <v>#DIV/0!</v>
      </c>
      <c r="N552" s="99" t="e">
        <f t="shared" ref="N552:Q552" si="315">N523/N$420</f>
        <v>#DIV/0!</v>
      </c>
      <c r="O552" s="99" t="e">
        <f t="shared" si="315"/>
        <v>#DIV/0!</v>
      </c>
      <c r="P552" s="99" t="e">
        <f t="shared" si="315"/>
        <v>#DIV/0!</v>
      </c>
      <c r="Q552" s="99" t="e">
        <f t="shared" si="315"/>
        <v>#DIV/0!</v>
      </c>
      <c r="R552" s="48" t="e">
        <f>R523/R$435</f>
        <v>#DIV/0!</v>
      </c>
      <c r="S552" s="131">
        <f>S523/5037.7</f>
        <v>0</v>
      </c>
      <c r="T552" s="131">
        <f>T523/1251.6</f>
        <v>0</v>
      </c>
      <c r="U552" s="131" t="e">
        <f>U523/U423</f>
        <v>#DIV/0!</v>
      </c>
      <c r="V552" s="131" t="e">
        <f>V523/V423</f>
        <v>#DIV/0!</v>
      </c>
      <c r="W552" s="131" t="e">
        <f>W523/W423</f>
        <v>#DIV/0!</v>
      </c>
      <c r="X552" s="131" t="e">
        <f>X523/X423</f>
        <v>#DIV/0!</v>
      </c>
      <c r="Y552" s="131" t="e">
        <f>Y523/Y423</f>
        <v>#DIV/0!</v>
      </c>
      <c r="Z552" s="136">
        <f>Z523/12877</f>
        <v>0</v>
      </c>
      <c r="AA552" s="135">
        <f>AA523/11922</f>
        <v>0</v>
      </c>
      <c r="AB552" s="135">
        <f>AB523/14745</f>
        <v>0</v>
      </c>
      <c r="AC552" s="135">
        <f>AC523/10526</f>
        <v>0</v>
      </c>
      <c r="AD552" s="135">
        <f>AD523/11459</f>
        <v>0</v>
      </c>
      <c r="AE552" s="135"/>
      <c r="AF552" s="135"/>
    </row>
    <row r="553" spans="1:37" x14ac:dyDescent="0.25">
      <c r="A553" s="14" t="s">
        <v>897</v>
      </c>
      <c r="F553" s="48">
        <f t="shared" ref="F553:M553" si="316">F524/F$423</f>
        <v>206.86821981608247</v>
      </c>
      <c r="G553" s="48">
        <f t="shared" si="316"/>
        <v>250.68839448606118</v>
      </c>
      <c r="H553" s="48">
        <f t="shared" si="316"/>
        <v>371.9242110730022</v>
      </c>
      <c r="I553" s="48">
        <f t="shared" si="316"/>
        <v>550.12625473091543</v>
      </c>
      <c r="J553" s="24"/>
      <c r="K553" s="48">
        <f t="shared" si="316"/>
        <v>929.9011018707306</v>
      </c>
      <c r="M553" s="48" t="e">
        <f t="shared" si="316"/>
        <v>#DIV/0!</v>
      </c>
      <c r="N553" s="48" t="e">
        <f t="shared" ref="N553:Q553" si="317">N524/N$423</f>
        <v>#DIV/0!</v>
      </c>
      <c r="O553" s="48" t="e">
        <f t="shared" si="317"/>
        <v>#DIV/0!</v>
      </c>
      <c r="P553" s="48" t="e">
        <f t="shared" si="317"/>
        <v>#DIV/0!</v>
      </c>
      <c r="Q553" s="48" t="e">
        <f t="shared" si="317"/>
        <v>#DIV/0!</v>
      </c>
      <c r="R553" s="48" t="e">
        <f>R524/R$423</f>
        <v>#DIV/0!</v>
      </c>
      <c r="S553" s="131" t="e">
        <f t="shared" ref="S553:AD553" si="318">S524/S$423</f>
        <v>#DIV/0!</v>
      </c>
      <c r="T553" s="131" t="e">
        <f t="shared" si="318"/>
        <v>#DIV/0!</v>
      </c>
      <c r="U553" s="131" t="e">
        <f t="shared" si="318"/>
        <v>#DIV/0!</v>
      </c>
      <c r="V553" s="131" t="e">
        <f t="shared" si="318"/>
        <v>#DIV/0!</v>
      </c>
      <c r="W553" s="131" t="e">
        <f t="shared" si="318"/>
        <v>#DIV/0!</v>
      </c>
      <c r="X553" s="131" t="e">
        <f t="shared" si="318"/>
        <v>#DIV/0!</v>
      </c>
      <c r="Y553" s="131" t="e">
        <f t="shared" si="318"/>
        <v>#DIV/0!</v>
      </c>
      <c r="Z553" s="137" t="e">
        <f t="shared" si="318"/>
        <v>#DIV/0!</v>
      </c>
      <c r="AA553" s="137" t="e">
        <f t="shared" si="318"/>
        <v>#DIV/0!</v>
      </c>
      <c r="AB553" s="137" t="e">
        <f t="shared" si="318"/>
        <v>#DIV/0!</v>
      </c>
      <c r="AC553" s="137" t="e">
        <f t="shared" si="318"/>
        <v>#DIV/0!</v>
      </c>
      <c r="AD553" s="137" t="e">
        <f t="shared" si="318"/>
        <v>#DIV/0!</v>
      </c>
      <c r="AE553" s="137"/>
      <c r="AF553" s="137"/>
    </row>
    <row r="554" spans="1:37" x14ac:dyDescent="0.25">
      <c r="J554" s="24"/>
    </row>
    <row r="555" spans="1:37" x14ac:dyDescent="0.25">
      <c r="J555" s="2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K555" s="50"/>
    </row>
    <row r="556" spans="1:37" x14ac:dyDescent="0.25">
      <c r="A556" s="26" t="s">
        <v>667</v>
      </c>
      <c r="B556" s="138"/>
      <c r="C556" s="14" t="s">
        <v>903</v>
      </c>
      <c r="F556" s="47">
        <f t="shared" ref="F556:K556" si="319">F394</f>
        <v>1.3065551371203247E-2</v>
      </c>
      <c r="G556" s="47">
        <f t="shared" si="319"/>
        <v>-5.2209090093005062E-2</v>
      </c>
      <c r="H556" s="47">
        <f t="shared" si="319"/>
        <v>-1.7853293392733199E-2</v>
      </c>
      <c r="I556" s="47">
        <f t="shared" si="319"/>
        <v>3.2024951464523818E-2</v>
      </c>
      <c r="J556" s="24"/>
      <c r="K556" s="47">
        <f t="shared" si="319"/>
        <v>1.5450226343884734E-2</v>
      </c>
      <c r="M556" s="47" t="e">
        <f t="shared" ref="M556:R556" si="320">M394</f>
        <v>#DIV/0!</v>
      </c>
      <c r="N556" s="47" t="e">
        <f t="shared" si="320"/>
        <v>#DIV/0!</v>
      </c>
      <c r="O556" s="47" t="e">
        <f t="shared" si="320"/>
        <v>#DIV/0!</v>
      </c>
      <c r="P556" s="47" t="e">
        <f t="shared" si="320"/>
        <v>#DIV/0!</v>
      </c>
      <c r="Q556" s="47" t="e">
        <f t="shared" si="320"/>
        <v>#DIV/0!</v>
      </c>
      <c r="R556" s="47" t="e">
        <f t="shared" si="320"/>
        <v>#DIV/0!</v>
      </c>
    </row>
    <row r="557" spans="1:37" x14ac:dyDescent="0.25">
      <c r="A557" s="13"/>
      <c r="J557" s="24"/>
    </row>
    <row r="558" spans="1:37" x14ac:dyDescent="0.25">
      <c r="A558" s="13" t="s">
        <v>762</v>
      </c>
      <c r="J558" s="24"/>
    </row>
    <row r="559" spans="1:37" x14ac:dyDescent="0.25">
      <c r="A559" s="14" t="s">
        <v>1007</v>
      </c>
      <c r="F559" s="124">
        <f t="shared" ref="F559:M559" si="321">F540</f>
        <v>3.0749246242036631E-2</v>
      </c>
      <c r="G559" s="124">
        <f t="shared" si="321"/>
        <v>2.6478630455095652E-2</v>
      </c>
      <c r="H559" s="124">
        <f t="shared" si="321"/>
        <v>2.4125772247668743E-2</v>
      </c>
      <c r="I559" s="24">
        <f t="shared" si="321"/>
        <v>7.1632204417898775</v>
      </c>
      <c r="J559" s="24"/>
      <c r="K559" s="24">
        <f t="shared" si="321"/>
        <v>8.3858596646947845</v>
      </c>
      <c r="M559" s="124" t="e">
        <f t="shared" si="321"/>
        <v>#DIV/0!</v>
      </c>
      <c r="N559" s="124" t="e">
        <f t="shared" ref="N559:S559" si="322">N540</f>
        <v>#DIV/0!</v>
      </c>
      <c r="O559" s="124" t="e">
        <f t="shared" si="322"/>
        <v>#DIV/0!</v>
      </c>
      <c r="P559" s="124" t="e">
        <f t="shared" si="322"/>
        <v>#DIV/0!</v>
      </c>
      <c r="Q559" s="124" t="e">
        <f t="shared" si="322"/>
        <v>#DIV/0!</v>
      </c>
      <c r="R559" s="24" t="e">
        <f>R540</f>
        <v>#DIV/0!</v>
      </c>
      <c r="S559" s="139" t="e">
        <f t="shared" si="322"/>
        <v>#DIV/0!</v>
      </c>
      <c r="T559" s="139" t="e">
        <f>#REF!</f>
        <v>#REF!</v>
      </c>
      <c r="U559" s="139" t="e">
        <f>#REF!</f>
        <v>#REF!</v>
      </c>
      <c r="V559" s="139" t="e">
        <f>#REF!</f>
        <v>#REF!</v>
      </c>
      <c r="W559" s="139" t="e">
        <f>#REF!</f>
        <v>#REF!</v>
      </c>
      <c r="X559" s="139" t="e">
        <f>#REF!</f>
        <v>#REF!</v>
      </c>
      <c r="Y559" s="139" t="e">
        <f>#REF!</f>
        <v>#REF!</v>
      </c>
      <c r="Z559" s="139" t="e">
        <f>#REF!</f>
        <v>#REF!</v>
      </c>
      <c r="AA559" s="139" t="e">
        <f>#REF!</f>
        <v>#REF!</v>
      </c>
      <c r="AB559" s="139" t="e">
        <f>#REF!</f>
        <v>#REF!</v>
      </c>
      <c r="AC559" s="139" t="e">
        <f>#REF!</f>
        <v>#REF!</v>
      </c>
      <c r="AD559" s="139" t="e">
        <f>#REF!</f>
        <v>#REF!</v>
      </c>
      <c r="AE559" s="139" t="e">
        <f>#REF!</f>
        <v>#REF!</v>
      </c>
      <c r="AF559" s="139" t="e">
        <f>#REF!</f>
        <v>#REF!</v>
      </c>
    </row>
    <row r="560" spans="1:37" x14ac:dyDescent="0.25">
      <c r="A560" s="14" t="s">
        <v>1008</v>
      </c>
      <c r="F560" s="124">
        <f>(F520*F394)/F$420</f>
        <v>0</v>
      </c>
      <c r="G560" s="124">
        <f>(G520*G394)/G$420</f>
        <v>0</v>
      </c>
      <c r="H560" s="124">
        <f>(H520*H394)/H$420</f>
        <v>0</v>
      </c>
      <c r="I560" s="48">
        <f>(I520*I394)/I$435</f>
        <v>0</v>
      </c>
      <c r="J560" s="24"/>
      <c r="K560" s="48">
        <f>(K520*K394)/K$435</f>
        <v>0</v>
      </c>
      <c r="M560" s="124" t="e">
        <f>(M520*M394)/M$420</f>
        <v>#DIV/0!</v>
      </c>
      <c r="N560" s="124" t="e">
        <f>(N520*N394)/N$420</f>
        <v>#DIV/0!</v>
      </c>
      <c r="O560" s="124" t="e">
        <f>(O520*O394)/O$420</f>
        <v>#DIV/0!</v>
      </c>
      <c r="P560" s="124" t="e">
        <f>(P520*P394)/P$420</f>
        <v>#DIV/0!</v>
      </c>
      <c r="Q560" s="124" t="e">
        <f>(Q520*Q394)/Q$420</f>
        <v>#DIV/0!</v>
      </c>
      <c r="R560" s="48" t="e">
        <f>(R520*R394)/R$435</f>
        <v>#DIV/0!</v>
      </c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</row>
    <row r="561" spans="1:37" x14ac:dyDescent="0.25">
      <c r="A561" s="14" t="s">
        <v>898</v>
      </c>
      <c r="F561" s="124">
        <f t="shared" ref="F561:S561" si="323">F541</f>
        <v>5.501014818259034E-2</v>
      </c>
      <c r="G561" s="124">
        <f t="shared" ref="G561:H561" si="324">G541</f>
        <v>3.4303502320480087E-2</v>
      </c>
      <c r="H561" s="124">
        <f t="shared" si="324"/>
        <v>5.2753150553796549E-2</v>
      </c>
      <c r="I561" s="124">
        <f t="shared" si="323"/>
        <v>5.3309988398735096E-2</v>
      </c>
      <c r="J561" s="24"/>
      <c r="K561" s="124">
        <f t="shared" ref="K561" si="325">K541</f>
        <v>5.2783847367329363E-2</v>
      </c>
      <c r="M561" s="124" t="e">
        <f t="shared" ref="M561" si="326">M541</f>
        <v>#DIV/0!</v>
      </c>
      <c r="N561" s="124" t="e">
        <f t="shared" si="323"/>
        <v>#DIV/0!</v>
      </c>
      <c r="O561" s="124" t="e">
        <f t="shared" si="323"/>
        <v>#DIV/0!</v>
      </c>
      <c r="P561" s="124" t="e">
        <f t="shared" si="323"/>
        <v>#DIV/0!</v>
      </c>
      <c r="Q561" s="124" t="e">
        <f t="shared" si="323"/>
        <v>#DIV/0!</v>
      </c>
      <c r="R561" s="124" t="e">
        <f t="shared" si="323"/>
        <v>#DIV/0!</v>
      </c>
      <c r="S561" s="139" t="e">
        <f t="shared" si="323"/>
        <v>#DIV/0!</v>
      </c>
      <c r="T561" s="139" t="e">
        <f>#REF!</f>
        <v>#REF!</v>
      </c>
      <c r="U561" s="139" t="e">
        <f>#REF!</f>
        <v>#REF!</v>
      </c>
      <c r="V561" s="139" t="e">
        <f>#REF!</f>
        <v>#REF!</v>
      </c>
      <c r="W561" s="139" t="e">
        <f>#REF!</f>
        <v>#REF!</v>
      </c>
      <c r="X561" s="139" t="e">
        <f>#REF!</f>
        <v>#REF!</v>
      </c>
      <c r="Y561" s="139" t="e">
        <f>#REF!</f>
        <v>#REF!</v>
      </c>
      <c r="Z561" s="139" t="e">
        <f>#REF!</f>
        <v>#REF!</v>
      </c>
      <c r="AA561" s="139" t="e">
        <f>#REF!</f>
        <v>#REF!</v>
      </c>
      <c r="AB561" s="139" t="e">
        <f>#REF!</f>
        <v>#REF!</v>
      </c>
      <c r="AC561" s="139" t="e">
        <f>#REF!</f>
        <v>#REF!</v>
      </c>
      <c r="AD561" s="139" t="e">
        <f>#REF!</f>
        <v>#REF!</v>
      </c>
      <c r="AE561" s="139" t="e">
        <f>#REF!</f>
        <v>#REF!</v>
      </c>
      <c r="AF561" s="139" t="e">
        <f>#REF!</f>
        <v>#REF!</v>
      </c>
    </row>
    <row r="562" spans="1:37" x14ac:dyDescent="0.25">
      <c r="A562" s="14" t="s">
        <v>899</v>
      </c>
      <c r="F562" s="124">
        <f t="shared" ref="F562:K562" si="327">(F521*F394)/F$420</f>
        <v>0</v>
      </c>
      <c r="G562" s="124">
        <f t="shared" si="327"/>
        <v>0</v>
      </c>
      <c r="H562" s="124">
        <f t="shared" si="327"/>
        <v>0</v>
      </c>
      <c r="I562" s="124">
        <f t="shared" si="327"/>
        <v>0</v>
      </c>
      <c r="J562" s="24"/>
      <c r="K562" s="124">
        <f t="shared" si="327"/>
        <v>0</v>
      </c>
      <c r="M562" s="124" t="e">
        <f t="shared" ref="M562:R562" si="328">(M521*M394)/M$420</f>
        <v>#DIV/0!</v>
      </c>
      <c r="N562" s="124" t="e">
        <f t="shared" si="328"/>
        <v>#DIV/0!</v>
      </c>
      <c r="O562" s="124" t="e">
        <f t="shared" si="328"/>
        <v>#DIV/0!</v>
      </c>
      <c r="P562" s="124" t="e">
        <f t="shared" si="328"/>
        <v>#DIV/0!</v>
      </c>
      <c r="Q562" s="124" t="e">
        <f t="shared" si="328"/>
        <v>#DIV/0!</v>
      </c>
      <c r="R562" s="124" t="e">
        <f t="shared" si="328"/>
        <v>#DIV/0!</v>
      </c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</row>
    <row r="563" spans="1:37" x14ac:dyDescent="0.25">
      <c r="F563" s="124"/>
      <c r="G563" s="124"/>
      <c r="H563" s="124"/>
      <c r="I563" s="124"/>
      <c r="J563" s="24"/>
      <c r="K563" s="124"/>
      <c r="M563" s="124"/>
      <c r="N563" s="124"/>
      <c r="O563" s="124"/>
      <c r="P563" s="124"/>
      <c r="Q563" s="124"/>
      <c r="R563" s="124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</row>
    <row r="564" spans="1:37" x14ac:dyDescent="0.25">
      <c r="A564" s="13" t="s">
        <v>892</v>
      </c>
      <c r="F564" s="124"/>
      <c r="G564" s="124"/>
      <c r="H564" s="124"/>
      <c r="I564" s="124"/>
      <c r="J564" s="24"/>
      <c r="K564" s="124"/>
      <c r="M564" s="124"/>
      <c r="N564" s="124"/>
      <c r="O564" s="124"/>
      <c r="P564" s="124"/>
      <c r="Q564" s="124"/>
      <c r="R564" s="124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</row>
    <row r="565" spans="1:37" x14ac:dyDescent="0.25">
      <c r="A565" s="14" t="s">
        <v>1009</v>
      </c>
      <c r="F565" s="124">
        <f t="shared" ref="F565:R565" si="329">F542</f>
        <v>0</v>
      </c>
      <c r="G565" s="124">
        <f t="shared" ref="G565:H565" si="330">G542</f>
        <v>0</v>
      </c>
      <c r="H565" s="124">
        <f t="shared" si="330"/>
        <v>0</v>
      </c>
      <c r="I565" s="48">
        <f t="shared" si="329"/>
        <v>0</v>
      </c>
      <c r="J565" s="24"/>
      <c r="K565" s="48">
        <f t="shared" ref="K565" si="331">K542</f>
        <v>0</v>
      </c>
      <c r="M565" s="124" t="e">
        <f t="shared" ref="M565" si="332">M542</f>
        <v>#DIV/0!</v>
      </c>
      <c r="N565" s="124" t="e">
        <f t="shared" si="329"/>
        <v>#DIV/0!</v>
      </c>
      <c r="O565" s="124" t="e">
        <f t="shared" si="329"/>
        <v>#DIV/0!</v>
      </c>
      <c r="P565" s="124" t="e">
        <f t="shared" si="329"/>
        <v>#DIV/0!</v>
      </c>
      <c r="Q565" s="124" t="e">
        <f t="shared" si="329"/>
        <v>#DIV/0!</v>
      </c>
      <c r="R565" s="48" t="e">
        <f t="shared" si="329"/>
        <v>#DIV/0!</v>
      </c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</row>
    <row r="566" spans="1:37" s="74" customFormat="1" ht="15" x14ac:dyDescent="0.25">
      <c r="A566" s="74" t="s">
        <v>1010</v>
      </c>
      <c r="E566" s="140"/>
      <c r="F566" s="141">
        <f>(F522*F394)/F$420</f>
        <v>0</v>
      </c>
      <c r="G566" s="141">
        <f>(G522*G394)/G$420</f>
        <v>0</v>
      </c>
      <c r="H566" s="141">
        <f>(H522*H394)/H$420</f>
        <v>0</v>
      </c>
      <c r="I566" s="202">
        <f>(I522*I394)/I$435</f>
        <v>0</v>
      </c>
      <c r="J566" s="24"/>
      <c r="K566" s="202">
        <f>(K522*K394)/K$435</f>
        <v>0</v>
      </c>
      <c r="L566" s="14"/>
      <c r="M566" s="141" t="e">
        <f>(M522*M394)/M$420</f>
        <v>#DIV/0!</v>
      </c>
      <c r="N566" s="141" t="e">
        <f>(N522*N394)/N$420</f>
        <v>#DIV/0!</v>
      </c>
      <c r="O566" s="141" t="e">
        <f>(O522*O394)/O$420</f>
        <v>#DIV/0!</v>
      </c>
      <c r="P566" s="141" t="e">
        <f>(P522*P394)/P$420</f>
        <v>#DIV/0!</v>
      </c>
      <c r="Q566" s="141" t="e">
        <f>(Q522*Q394)/Q$420</f>
        <v>#DIV/0!</v>
      </c>
      <c r="R566" s="202" t="e">
        <f>(R522*R394)/R$435</f>
        <v>#DIV/0!</v>
      </c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K566" s="143"/>
    </row>
    <row r="567" spans="1:37" x14ac:dyDescent="0.25">
      <c r="B567" s="14" t="s">
        <v>1011</v>
      </c>
      <c r="F567" s="144">
        <f>F566+F565</f>
        <v>0</v>
      </c>
      <c r="G567" s="144">
        <f>G566+G565</f>
        <v>0</v>
      </c>
      <c r="H567" s="144">
        <f>H566+H565</f>
        <v>0</v>
      </c>
      <c r="I567" s="48">
        <f t="shared" ref="I567:R567" si="333">I566+I565</f>
        <v>0</v>
      </c>
      <c r="J567" s="24"/>
      <c r="K567" s="48">
        <f t="shared" ref="K567" si="334">K566+K565</f>
        <v>0</v>
      </c>
      <c r="M567" s="144" t="e">
        <f>M566+M565</f>
        <v>#DIV/0!</v>
      </c>
      <c r="N567" s="144" t="e">
        <f t="shared" si="333"/>
        <v>#DIV/0!</v>
      </c>
      <c r="O567" s="144" t="e">
        <f t="shared" si="333"/>
        <v>#DIV/0!</v>
      </c>
      <c r="P567" s="144" t="e">
        <f t="shared" si="333"/>
        <v>#DIV/0!</v>
      </c>
      <c r="Q567" s="144" t="e">
        <f t="shared" si="333"/>
        <v>#DIV/0!</v>
      </c>
      <c r="R567" s="48" t="e">
        <f t="shared" si="333"/>
        <v>#DIV/0!</v>
      </c>
    </row>
    <row r="568" spans="1:37" x14ac:dyDescent="0.25">
      <c r="J568" s="24"/>
      <c r="P568" s="24"/>
    </row>
    <row r="569" spans="1:37" x14ac:dyDescent="0.25">
      <c r="A569" s="13" t="s">
        <v>668</v>
      </c>
      <c r="J569" s="24"/>
      <c r="P569" s="24"/>
    </row>
    <row r="570" spans="1:37" x14ac:dyDescent="0.25">
      <c r="A570" s="14" t="s">
        <v>1012</v>
      </c>
      <c r="F570" s="124">
        <f t="shared" ref="F570:S570" si="335">F543</f>
        <v>1.3091899505363047E-2</v>
      </c>
      <c r="G570" s="124">
        <f t="shared" ref="G570:H570" si="336">G543</f>
        <v>5.7361621297630574E-3</v>
      </c>
      <c r="H570" s="124">
        <f t="shared" si="336"/>
        <v>1.375667776293351E-2</v>
      </c>
      <c r="I570" s="24">
        <f t="shared" si="335"/>
        <v>3.3389857191664056</v>
      </c>
      <c r="J570" s="24"/>
      <c r="K570" s="24">
        <f t="shared" ref="K570" si="337">K543</f>
        <v>3.5444498753207525</v>
      </c>
      <c r="M570" s="124" t="e">
        <f t="shared" ref="M570" si="338">M543</f>
        <v>#DIV/0!</v>
      </c>
      <c r="N570" s="124" t="e">
        <f t="shared" si="335"/>
        <v>#DIV/0!</v>
      </c>
      <c r="O570" s="124" t="e">
        <f t="shared" si="335"/>
        <v>#DIV/0!</v>
      </c>
      <c r="P570" s="124" t="e">
        <f t="shared" si="335"/>
        <v>#DIV/0!</v>
      </c>
      <c r="Q570" s="124" t="e">
        <f t="shared" si="335"/>
        <v>#DIV/0!</v>
      </c>
      <c r="R570" s="24" t="e">
        <f t="shared" si="335"/>
        <v>#DIV/0!</v>
      </c>
      <c r="S570" s="139" t="e">
        <f t="shared" si="335"/>
        <v>#DIV/0!</v>
      </c>
      <c r="T570" s="139" t="e">
        <f>#REF!</f>
        <v>#REF!</v>
      </c>
      <c r="U570" s="139" t="e">
        <f>#REF!</f>
        <v>#REF!</v>
      </c>
      <c r="V570" s="139" t="e">
        <f>#REF!</f>
        <v>#REF!</v>
      </c>
      <c r="W570" s="139" t="e">
        <f>#REF!</f>
        <v>#REF!</v>
      </c>
      <c r="X570" s="139" t="e">
        <f>#REF!</f>
        <v>#REF!</v>
      </c>
      <c r="Y570" s="139" t="e">
        <f>#REF!</f>
        <v>#REF!</v>
      </c>
      <c r="Z570" s="139" t="e">
        <f>#REF!</f>
        <v>#REF!</v>
      </c>
      <c r="AA570" s="139" t="e">
        <f>#REF!</f>
        <v>#REF!</v>
      </c>
      <c r="AB570" s="139" t="e">
        <f>#REF!</f>
        <v>#REF!</v>
      </c>
      <c r="AC570" s="139" t="e">
        <f>#REF!</f>
        <v>#REF!</v>
      </c>
      <c r="AD570" s="139" t="e">
        <f>#REF!</f>
        <v>#REF!</v>
      </c>
      <c r="AE570" s="139" t="e">
        <f>#REF!</f>
        <v>#REF!</v>
      </c>
      <c r="AF570" s="139" t="e">
        <f>#REF!</f>
        <v>#REF!</v>
      </c>
    </row>
    <row r="571" spans="1:37" ht="15" x14ac:dyDescent="0.4">
      <c r="A571" s="74" t="s">
        <v>1013</v>
      </c>
      <c r="E571" s="124"/>
      <c r="F571" s="145">
        <f>(F523*F394)/F$420</f>
        <v>1.5011307323914401E-3</v>
      </c>
      <c r="G571" s="145">
        <f>(G523*G394)/G$420</f>
        <v>-2.820487428971966E-3</v>
      </c>
      <c r="H571" s="145">
        <f>(H523*H394)/H$420</f>
        <v>-2.0839458065672963E-3</v>
      </c>
      <c r="I571" s="149">
        <f>(I523*I394)/I$435</f>
        <v>0.94024732769619257</v>
      </c>
      <c r="J571" s="24"/>
      <c r="K571" s="149">
        <f>(K523*K394)/K$435</f>
        <v>0.48869793744804418</v>
      </c>
      <c r="M571" s="145" t="e">
        <f>(M523*M394)/M$420</f>
        <v>#DIV/0!</v>
      </c>
      <c r="N571" s="145" t="e">
        <f>(N523*N394)/N$420</f>
        <v>#DIV/0!</v>
      </c>
      <c r="O571" s="145" t="e">
        <f>(O523*O394)/O$420</f>
        <v>#DIV/0!</v>
      </c>
      <c r="P571" s="145" t="e">
        <f>(P523*P394)/P$420</f>
        <v>#DIV/0!</v>
      </c>
      <c r="Q571" s="145" t="e">
        <f>(Q523*Q394)/Q$420</f>
        <v>#DIV/0!</v>
      </c>
      <c r="R571" s="149" t="e">
        <f>(R523*R394)/R$435</f>
        <v>#DIV/0!</v>
      </c>
      <c r="S571" s="146" t="e">
        <f>(S523*S394)/S$420</f>
        <v>#DIV/0!</v>
      </c>
      <c r="T571" s="146" t="e">
        <f>(#REF!*T330)/1026.4</f>
        <v>#REF!</v>
      </c>
      <c r="U571" s="146" t="e">
        <f>(#REF!*U330)/11504</f>
        <v>#REF!</v>
      </c>
      <c r="V571" s="146" t="e">
        <f>(#REF!*V330)/7284</f>
        <v>#REF!</v>
      </c>
      <c r="W571" s="146" t="e">
        <f>(#REF!*W330)/320.47</f>
        <v>#REF!</v>
      </c>
      <c r="X571" s="146" t="e">
        <f>(#REF!*X330)/26669</f>
        <v>#REF!</v>
      </c>
      <c r="Y571" s="146" t="e">
        <f>(#REF!*Y330)/68503</f>
        <v>#REF!</v>
      </c>
      <c r="Z571" s="146" t="e">
        <f>(#REF!*Z330)/Z$420</f>
        <v>#REF!</v>
      </c>
      <c r="AA571" s="146" t="e">
        <f>(#REF!*AA330)/17492.7</f>
        <v>#REF!</v>
      </c>
      <c r="AB571" s="146" t="e">
        <f>(#REF!*AB330)/10846</f>
        <v>#REF!</v>
      </c>
      <c r="AC571" s="146" t="e">
        <f>(#REF!*AC330)/12274</f>
        <v>#REF!</v>
      </c>
      <c r="AD571" s="146" t="e">
        <f>(#REF!*AD330)/10405</f>
        <v>#REF!</v>
      </c>
      <c r="AE571" s="146" t="e">
        <f>(#REF!*AE330)/12044</f>
        <v>#REF!</v>
      </c>
      <c r="AF571" s="146" t="e">
        <f>(#REF!*#REF!)/AF$433/12</f>
        <v>#REF!</v>
      </c>
    </row>
    <row r="572" spans="1:37" x14ac:dyDescent="0.25">
      <c r="B572" s="14" t="s">
        <v>1014</v>
      </c>
      <c r="F572" s="124">
        <f>F570+F571</f>
        <v>1.4593030237754488E-2</v>
      </c>
      <c r="G572" s="124">
        <f>G570+G571</f>
        <v>2.9156747007910914E-3</v>
      </c>
      <c r="H572" s="124">
        <f>H570+H571</f>
        <v>1.1672731956366214E-2</v>
      </c>
      <c r="I572" s="24">
        <f t="shared" ref="I572:AF572" si="339">I570+I571</f>
        <v>4.2792330468625979</v>
      </c>
      <c r="J572" s="24"/>
      <c r="K572" s="24">
        <f t="shared" ref="K572" si="340">K570+K571</f>
        <v>4.0331478127687967</v>
      </c>
      <c r="M572" s="124" t="e">
        <f>M570+M571</f>
        <v>#DIV/0!</v>
      </c>
      <c r="N572" s="124" t="e">
        <f t="shared" si="339"/>
        <v>#DIV/0!</v>
      </c>
      <c r="O572" s="124" t="e">
        <f t="shared" si="339"/>
        <v>#DIV/0!</v>
      </c>
      <c r="P572" s="124" t="e">
        <f t="shared" si="339"/>
        <v>#DIV/0!</v>
      </c>
      <c r="Q572" s="124" t="e">
        <f t="shared" si="339"/>
        <v>#DIV/0!</v>
      </c>
      <c r="R572" s="24" t="e">
        <f t="shared" si="339"/>
        <v>#DIV/0!</v>
      </c>
      <c r="S572" s="139" t="e">
        <f t="shared" si="339"/>
        <v>#DIV/0!</v>
      </c>
      <c r="T572" s="139" t="e">
        <f t="shared" si="339"/>
        <v>#REF!</v>
      </c>
      <c r="U572" s="139" t="e">
        <f t="shared" si="339"/>
        <v>#REF!</v>
      </c>
      <c r="V572" s="139" t="e">
        <f t="shared" si="339"/>
        <v>#REF!</v>
      </c>
      <c r="W572" s="139" t="e">
        <f t="shared" si="339"/>
        <v>#REF!</v>
      </c>
      <c r="X572" s="139" t="e">
        <f t="shared" si="339"/>
        <v>#REF!</v>
      </c>
      <c r="Y572" s="139" t="e">
        <f t="shared" si="339"/>
        <v>#REF!</v>
      </c>
      <c r="Z572" s="139" t="e">
        <f t="shared" si="339"/>
        <v>#REF!</v>
      </c>
      <c r="AA572" s="139" t="e">
        <f t="shared" si="339"/>
        <v>#REF!</v>
      </c>
      <c r="AB572" s="139" t="e">
        <f t="shared" si="339"/>
        <v>#REF!</v>
      </c>
      <c r="AC572" s="139" t="e">
        <f t="shared" si="339"/>
        <v>#REF!</v>
      </c>
      <c r="AD572" s="139" t="e">
        <f t="shared" si="339"/>
        <v>#REF!</v>
      </c>
      <c r="AE572" s="139" t="e">
        <f t="shared" si="339"/>
        <v>#REF!</v>
      </c>
      <c r="AF572" s="139" t="e">
        <f t="shared" si="339"/>
        <v>#REF!</v>
      </c>
    </row>
    <row r="573" spans="1:37" x14ac:dyDescent="0.25">
      <c r="J573" s="24"/>
    </row>
    <row r="574" spans="1:37" x14ac:dyDescent="0.25">
      <c r="A574" s="13" t="s">
        <v>669</v>
      </c>
      <c r="J574" s="24"/>
    </row>
    <row r="575" spans="1:37" x14ac:dyDescent="0.25">
      <c r="A575" s="14" t="s">
        <v>670</v>
      </c>
      <c r="F575" s="46">
        <f t="shared" ref="F575:S575" si="341">F544</f>
        <v>44.52681674995253</v>
      </c>
      <c r="G575" s="46">
        <f t="shared" ref="G575:H575" si="342">G544</f>
        <v>49.648803003642826</v>
      </c>
      <c r="H575" s="46">
        <f t="shared" si="342"/>
        <v>64.798152337396189</v>
      </c>
      <c r="I575" s="46">
        <f t="shared" si="341"/>
        <v>90.627704633077556</v>
      </c>
      <c r="J575" s="24"/>
      <c r="K575" s="46">
        <f t="shared" ref="K575" si="343">K544</f>
        <v>478.94210380543171</v>
      </c>
      <c r="M575" s="46" t="e">
        <f t="shared" ref="M575" si="344">M544</f>
        <v>#DIV/0!</v>
      </c>
      <c r="N575" s="46" t="e">
        <f t="shared" si="341"/>
        <v>#DIV/0!</v>
      </c>
      <c r="O575" s="46" t="e">
        <f t="shared" si="341"/>
        <v>#DIV/0!</v>
      </c>
      <c r="P575" s="46" t="e">
        <f t="shared" si="341"/>
        <v>#DIV/0!</v>
      </c>
      <c r="Q575" s="46" t="e">
        <f t="shared" si="341"/>
        <v>#DIV/0!</v>
      </c>
      <c r="R575" s="46" t="e">
        <f t="shared" si="341"/>
        <v>#DIV/0!</v>
      </c>
      <c r="S575" s="147" t="e">
        <f t="shared" si="341"/>
        <v>#DIV/0!</v>
      </c>
      <c r="T575" s="147" t="e">
        <f>#REF!</f>
        <v>#REF!</v>
      </c>
      <c r="U575" s="147" t="e">
        <f>#REF!</f>
        <v>#REF!</v>
      </c>
      <c r="V575" s="147" t="e">
        <f>#REF!</f>
        <v>#REF!</v>
      </c>
      <c r="W575" s="147" t="e">
        <f>#REF!</f>
        <v>#REF!</v>
      </c>
      <c r="X575" s="147" t="e">
        <f>#REF!</f>
        <v>#REF!</v>
      </c>
      <c r="Y575" s="147" t="e">
        <f>#REF!</f>
        <v>#REF!</v>
      </c>
      <c r="Z575" s="147" t="e">
        <f>#REF!</f>
        <v>#REF!</v>
      </c>
      <c r="AA575" s="147" t="e">
        <f>#REF!</f>
        <v>#REF!</v>
      </c>
      <c r="AB575" s="147" t="e">
        <f>#REF!</f>
        <v>#REF!</v>
      </c>
      <c r="AC575" s="147" t="e">
        <f>#REF!</f>
        <v>#REF!</v>
      </c>
      <c r="AD575" s="147" t="e">
        <f>#REF!</f>
        <v>#REF!</v>
      </c>
      <c r="AE575" s="147" t="e">
        <f>#REF!</f>
        <v>#REF!</v>
      </c>
      <c r="AF575" s="147" t="e">
        <f>#REF!</f>
        <v>#REF!</v>
      </c>
    </row>
    <row r="576" spans="1:37" ht="15" x14ac:dyDescent="0.4">
      <c r="A576" s="14" t="s">
        <v>671</v>
      </c>
      <c r="E576" s="46"/>
      <c r="F576" s="148">
        <f t="shared" ref="F576:K576" si="345">(F524*F394)/F423</f>
        <v>2.7028473530763915</v>
      </c>
      <c r="G576" s="148">
        <f t="shared" si="345"/>
        <v>-13.088212972993562</v>
      </c>
      <c r="H576" s="148">
        <f t="shared" si="345"/>
        <v>-6.6400720601471379</v>
      </c>
      <c r="I576" s="149">
        <f t="shared" si="345"/>
        <v>17.617766607117833</v>
      </c>
      <c r="J576" s="24"/>
      <c r="K576" s="149">
        <f t="shared" si="345"/>
        <v>14.367182501330603</v>
      </c>
      <c r="M576" s="148" t="e">
        <f t="shared" ref="M576:S576" si="346">(M524*M394)/M423</f>
        <v>#DIV/0!</v>
      </c>
      <c r="N576" s="149" t="e">
        <f t="shared" si="346"/>
        <v>#DIV/0!</v>
      </c>
      <c r="O576" s="149" t="e">
        <f t="shared" si="346"/>
        <v>#DIV/0!</v>
      </c>
      <c r="P576" s="149" t="e">
        <f t="shared" si="346"/>
        <v>#DIV/0!</v>
      </c>
      <c r="Q576" s="149" t="e">
        <f t="shared" si="346"/>
        <v>#DIV/0!</v>
      </c>
      <c r="R576" s="149" t="e">
        <f t="shared" si="346"/>
        <v>#DIV/0!</v>
      </c>
      <c r="S576" s="150" t="e">
        <f t="shared" si="346"/>
        <v>#DIV/0!</v>
      </c>
      <c r="T576" s="150" t="e">
        <f>(#REF!*T330)/T423</f>
        <v>#REF!</v>
      </c>
      <c r="U576" s="150" t="e">
        <f>(#REF!*U330)/U423</f>
        <v>#REF!</v>
      </c>
      <c r="V576" s="150" t="e">
        <f>(#REF!*V330)/V423</f>
        <v>#REF!</v>
      </c>
      <c r="W576" s="150" t="e">
        <f>(#REF!*W330)/W423</f>
        <v>#REF!</v>
      </c>
      <c r="X576" s="150" t="e">
        <f>(#REF!*X330)/X423</f>
        <v>#REF!</v>
      </c>
      <c r="Y576" s="150" t="e">
        <f>(#REF!*Y330)/Y423</f>
        <v>#REF!</v>
      </c>
      <c r="Z576" s="150" t="e">
        <f>(#REF!*Z330)/Z423</f>
        <v>#REF!</v>
      </c>
      <c r="AA576" s="150" t="e">
        <f>(#REF!*AA330)/AA423</f>
        <v>#REF!</v>
      </c>
      <c r="AB576" s="150" t="e">
        <f>(#REF!*AB330)/AB423</f>
        <v>#REF!</v>
      </c>
      <c r="AC576" s="150" t="e">
        <f>(#REF!*AC330)/AC423</f>
        <v>#REF!</v>
      </c>
      <c r="AD576" s="150" t="e">
        <f>(#REF!*AD330)/AD423</f>
        <v>#REF!</v>
      </c>
      <c r="AE576" s="150" t="e">
        <f>(#REF!*AE330)/AE423</f>
        <v>#REF!</v>
      </c>
      <c r="AF576" s="150" t="e">
        <f>(#REF!*#REF!)/#REF!</f>
        <v>#REF!</v>
      </c>
    </row>
    <row r="577" spans="1:37" x14ac:dyDescent="0.25">
      <c r="B577" s="14" t="s">
        <v>672</v>
      </c>
      <c r="F577" s="46">
        <f>F575+F576</f>
        <v>47.229664103028924</v>
      </c>
      <c r="G577" s="46">
        <f>G575+G576</f>
        <v>36.560590030649266</v>
      </c>
      <c r="H577" s="46">
        <f>H575+H576</f>
        <v>58.158080277249049</v>
      </c>
      <c r="I577" s="46">
        <f t="shared" ref="I577:AF577" si="347">I575+I576</f>
        <v>108.24547124019539</v>
      </c>
      <c r="J577" s="24"/>
      <c r="K577" s="46">
        <f t="shared" ref="K577" si="348">K575+K576</f>
        <v>493.30928630676232</v>
      </c>
      <c r="M577" s="46" t="e">
        <f>M575+M576</f>
        <v>#DIV/0!</v>
      </c>
      <c r="N577" s="46" t="e">
        <f t="shared" si="347"/>
        <v>#DIV/0!</v>
      </c>
      <c r="O577" s="46" t="e">
        <f t="shared" si="347"/>
        <v>#DIV/0!</v>
      </c>
      <c r="P577" s="46" t="e">
        <f t="shared" si="347"/>
        <v>#DIV/0!</v>
      </c>
      <c r="Q577" s="46" t="e">
        <f t="shared" si="347"/>
        <v>#DIV/0!</v>
      </c>
      <c r="R577" s="46" t="e">
        <f t="shared" si="347"/>
        <v>#DIV/0!</v>
      </c>
      <c r="S577" s="147" t="e">
        <f t="shared" si="347"/>
        <v>#DIV/0!</v>
      </c>
      <c r="T577" s="147" t="e">
        <f t="shared" si="347"/>
        <v>#REF!</v>
      </c>
      <c r="U577" s="147" t="e">
        <f t="shared" si="347"/>
        <v>#REF!</v>
      </c>
      <c r="V577" s="147" t="e">
        <f t="shared" si="347"/>
        <v>#REF!</v>
      </c>
      <c r="W577" s="147" t="e">
        <f t="shared" si="347"/>
        <v>#REF!</v>
      </c>
      <c r="X577" s="147" t="e">
        <f t="shared" si="347"/>
        <v>#REF!</v>
      </c>
      <c r="Y577" s="147" t="e">
        <f t="shared" si="347"/>
        <v>#REF!</v>
      </c>
      <c r="Z577" s="147" t="e">
        <f t="shared" si="347"/>
        <v>#REF!</v>
      </c>
      <c r="AA577" s="147" t="e">
        <f t="shared" si="347"/>
        <v>#REF!</v>
      </c>
      <c r="AB577" s="147" t="e">
        <f t="shared" si="347"/>
        <v>#REF!</v>
      </c>
      <c r="AC577" s="147" t="e">
        <f t="shared" si="347"/>
        <v>#REF!</v>
      </c>
      <c r="AD577" s="147" t="e">
        <f t="shared" si="347"/>
        <v>#REF!</v>
      </c>
      <c r="AE577" s="147" t="e">
        <f t="shared" si="347"/>
        <v>#REF!</v>
      </c>
      <c r="AF577" s="147" t="e">
        <f t="shared" si="347"/>
        <v>#REF!</v>
      </c>
    </row>
    <row r="578" spans="1:37" x14ac:dyDescent="0.25">
      <c r="J578" s="24"/>
    </row>
    <row r="579" spans="1:37" x14ac:dyDescent="0.25">
      <c r="J579" s="24"/>
    </row>
    <row r="580" spans="1:37" x14ac:dyDescent="0.25">
      <c r="J580" s="24"/>
    </row>
    <row r="581" spans="1:37" x14ac:dyDescent="0.25">
      <c r="A581" s="26" t="s">
        <v>673</v>
      </c>
      <c r="B581" s="138"/>
      <c r="C581" s="151">
        <f>E394</f>
        <v>1.0586888993711862E-2</v>
      </c>
      <c r="F581" s="47">
        <f t="shared" ref="F581:R581" si="349">$C$581</f>
        <v>1.0586888993711862E-2</v>
      </c>
      <c r="G581" s="47">
        <f t="shared" si="349"/>
        <v>1.0586888993711862E-2</v>
      </c>
      <c r="H581" s="47">
        <f t="shared" si="349"/>
        <v>1.0586888993711862E-2</v>
      </c>
      <c r="I581" s="47">
        <f t="shared" si="349"/>
        <v>1.0586888993711862E-2</v>
      </c>
      <c r="J581" s="24"/>
      <c r="K581" s="47">
        <f t="shared" si="349"/>
        <v>1.0586888993711862E-2</v>
      </c>
      <c r="M581" s="47">
        <f t="shared" si="349"/>
        <v>1.0586888993711862E-2</v>
      </c>
      <c r="N581" s="47">
        <f t="shared" si="349"/>
        <v>1.0586888993711862E-2</v>
      </c>
      <c r="O581" s="47">
        <f t="shared" si="349"/>
        <v>1.0586888993711862E-2</v>
      </c>
      <c r="P581" s="47">
        <f t="shared" si="349"/>
        <v>1.0586888993711862E-2</v>
      </c>
      <c r="Q581" s="47">
        <f t="shared" si="349"/>
        <v>1.0586888993711862E-2</v>
      </c>
      <c r="R581" s="47">
        <f t="shared" si="349"/>
        <v>1.0586888993711862E-2</v>
      </c>
    </row>
    <row r="582" spans="1:37" x14ac:dyDescent="0.25">
      <c r="A582" s="13"/>
      <c r="J582" s="24"/>
    </row>
    <row r="583" spans="1:37" x14ac:dyDescent="0.25">
      <c r="A583" s="13" t="s">
        <v>762</v>
      </c>
      <c r="J583" s="24"/>
    </row>
    <row r="584" spans="1:37" x14ac:dyDescent="0.25">
      <c r="A584" s="14" t="s">
        <v>1007</v>
      </c>
      <c r="F584" s="124">
        <f t="shared" ref="F584:M584" si="350">F559</f>
        <v>3.0749246242036631E-2</v>
      </c>
      <c r="G584" s="124">
        <f t="shared" si="350"/>
        <v>2.6478630455095652E-2</v>
      </c>
      <c r="H584" s="124">
        <f t="shared" si="350"/>
        <v>2.4125772247668743E-2</v>
      </c>
      <c r="I584" s="48">
        <f t="shared" si="350"/>
        <v>7.1632204417898775</v>
      </c>
      <c r="J584" s="24"/>
      <c r="K584" s="48">
        <f t="shared" si="350"/>
        <v>8.3858596646947845</v>
      </c>
      <c r="M584" s="124" t="e">
        <f t="shared" si="350"/>
        <v>#DIV/0!</v>
      </c>
      <c r="N584" s="124" t="e">
        <f t="shared" ref="N584:Q584" si="351">N559</f>
        <v>#DIV/0!</v>
      </c>
      <c r="O584" s="124" t="e">
        <f t="shared" si="351"/>
        <v>#DIV/0!</v>
      </c>
      <c r="P584" s="124" t="e">
        <f t="shared" si="351"/>
        <v>#DIV/0!</v>
      </c>
      <c r="Q584" s="124" t="e">
        <f t="shared" si="351"/>
        <v>#DIV/0!</v>
      </c>
      <c r="R584" s="48" t="e">
        <f>R559</f>
        <v>#DIV/0!</v>
      </c>
      <c r="S584" s="139" t="e">
        <f t="shared" ref="S584:AE584" si="352">S540</f>
        <v>#DIV/0!</v>
      </c>
      <c r="T584" s="139">
        <f t="shared" si="352"/>
        <v>0</v>
      </c>
      <c r="U584" s="139" t="e">
        <f t="shared" si="352"/>
        <v>#DIV/0!</v>
      </c>
      <c r="V584" s="139" t="e">
        <f t="shared" si="352"/>
        <v>#DIV/0!</v>
      </c>
      <c r="W584" s="139" t="e">
        <f t="shared" si="352"/>
        <v>#DIV/0!</v>
      </c>
      <c r="X584" s="139" t="e">
        <f t="shared" si="352"/>
        <v>#DIV/0!</v>
      </c>
      <c r="Y584" s="139" t="e">
        <f t="shared" si="352"/>
        <v>#DIV/0!</v>
      </c>
      <c r="Z584" s="139">
        <f t="shared" si="352"/>
        <v>0</v>
      </c>
      <c r="AA584" s="139">
        <f t="shared" si="352"/>
        <v>0</v>
      </c>
      <c r="AB584" s="139">
        <f t="shared" si="352"/>
        <v>0</v>
      </c>
      <c r="AC584" s="139">
        <f t="shared" si="352"/>
        <v>0</v>
      </c>
      <c r="AD584" s="139">
        <f t="shared" si="352"/>
        <v>0</v>
      </c>
      <c r="AE584" s="139">
        <f t="shared" si="352"/>
        <v>0</v>
      </c>
      <c r="AF584" s="139" t="e">
        <f>#REF!</f>
        <v>#REF!</v>
      </c>
    </row>
    <row r="585" spans="1:37" x14ac:dyDescent="0.25">
      <c r="A585" s="14" t="s">
        <v>1008</v>
      </c>
      <c r="E585" s="152"/>
      <c r="F585" s="124">
        <f>(F520*$E$394)/F$420</f>
        <v>0</v>
      </c>
      <c r="G585" s="124">
        <f>(G520*$E$394)/G$420</f>
        <v>0</v>
      </c>
      <c r="H585" s="124">
        <f>(H520*$E$394)/H$420</f>
        <v>0</v>
      </c>
      <c r="I585" s="48">
        <f>(I520*$E$394)/I$435</f>
        <v>0</v>
      </c>
      <c r="J585" s="24"/>
      <c r="K585" s="48">
        <f>(K520*$E$394)/K$435</f>
        <v>0</v>
      </c>
      <c r="M585" s="124" t="e">
        <f>(M520*$E$394)/M$420</f>
        <v>#DIV/0!</v>
      </c>
      <c r="N585" s="124" t="e">
        <f>(N520*$E$394)/N$420</f>
        <v>#DIV/0!</v>
      </c>
      <c r="O585" s="124" t="e">
        <f>(O520*$E$394)/O$420</f>
        <v>#DIV/0!</v>
      </c>
      <c r="P585" s="124" t="e">
        <f>(P520*$E$394)/P$420</f>
        <v>#DIV/0!</v>
      </c>
      <c r="Q585" s="124" t="e">
        <f>(Q520*$E$394)/Q$420</f>
        <v>#DIV/0!</v>
      </c>
      <c r="R585" s="48" t="e">
        <f>(R520*$E$394)/R$435</f>
        <v>#DIV/0!</v>
      </c>
      <c r="S585" s="139" t="e">
        <f t="shared" ref="S585:AE585" si="353">S541</f>
        <v>#DIV/0!</v>
      </c>
      <c r="T585" s="139" t="e">
        <f t="shared" si="353"/>
        <v>#DIV/0!</v>
      </c>
      <c r="U585" s="139" t="e">
        <f t="shared" si="353"/>
        <v>#DIV/0!</v>
      </c>
      <c r="V585" s="139" t="e">
        <f t="shared" si="353"/>
        <v>#DIV/0!</v>
      </c>
      <c r="W585" s="139" t="e">
        <f t="shared" si="353"/>
        <v>#DIV/0!</v>
      </c>
      <c r="X585" s="139" t="e">
        <f t="shared" si="353"/>
        <v>#DIV/0!</v>
      </c>
      <c r="Y585" s="139" t="e">
        <f t="shared" si="353"/>
        <v>#DIV/0!</v>
      </c>
      <c r="Z585" s="139" t="e">
        <f t="shared" si="353"/>
        <v>#DIV/0!</v>
      </c>
      <c r="AA585" s="139" t="e">
        <f t="shared" si="353"/>
        <v>#DIV/0!</v>
      </c>
      <c r="AB585" s="139" t="e">
        <f t="shared" si="353"/>
        <v>#DIV/0!</v>
      </c>
      <c r="AC585" s="139" t="e">
        <f t="shared" si="353"/>
        <v>#DIV/0!</v>
      </c>
      <c r="AD585" s="139" t="e">
        <f t="shared" si="353"/>
        <v>#DIV/0!</v>
      </c>
      <c r="AE585" s="139">
        <f t="shared" si="353"/>
        <v>0</v>
      </c>
      <c r="AF585" s="139" t="e">
        <f>#REF!</f>
        <v>#REF!</v>
      </c>
    </row>
    <row r="586" spans="1:37" x14ac:dyDescent="0.25">
      <c r="A586" s="14" t="s">
        <v>898</v>
      </c>
      <c r="F586" s="124">
        <f t="shared" ref="F586:M586" si="354">F561</f>
        <v>5.501014818259034E-2</v>
      </c>
      <c r="G586" s="124">
        <f t="shared" si="354"/>
        <v>3.4303502320480087E-2</v>
      </c>
      <c r="H586" s="124">
        <f t="shared" si="354"/>
        <v>5.2753150553796549E-2</v>
      </c>
      <c r="I586" s="124">
        <f t="shared" si="354"/>
        <v>5.3309988398735096E-2</v>
      </c>
      <c r="J586" s="24"/>
      <c r="K586" s="124">
        <f t="shared" si="354"/>
        <v>5.2783847367329363E-2</v>
      </c>
      <c r="M586" s="124" t="e">
        <f t="shared" si="354"/>
        <v>#DIV/0!</v>
      </c>
      <c r="N586" s="124" t="e">
        <f t="shared" ref="N586:Q586" si="355">N561</f>
        <v>#DIV/0!</v>
      </c>
      <c r="O586" s="124" t="e">
        <f t="shared" si="355"/>
        <v>#DIV/0!</v>
      </c>
      <c r="P586" s="124" t="e">
        <f t="shared" si="355"/>
        <v>#DIV/0!</v>
      </c>
      <c r="Q586" s="124" t="e">
        <f t="shared" si="355"/>
        <v>#DIV/0!</v>
      </c>
      <c r="R586" s="124" t="e">
        <f>R561</f>
        <v>#DIV/0!</v>
      </c>
      <c r="S586" s="139">
        <f>S566</f>
        <v>0</v>
      </c>
      <c r="T586" s="139" t="e">
        <f>#REF!</f>
        <v>#REF!</v>
      </c>
      <c r="U586" s="139" t="e">
        <f>#REF!</f>
        <v>#REF!</v>
      </c>
      <c r="V586" s="139" t="e">
        <f>#REF!</f>
        <v>#REF!</v>
      </c>
      <c r="W586" s="139" t="e">
        <f>#REF!</f>
        <v>#REF!</v>
      </c>
      <c r="X586" s="139" t="e">
        <f>#REF!</f>
        <v>#REF!</v>
      </c>
      <c r="Y586" s="139" t="e">
        <f>#REF!</f>
        <v>#REF!</v>
      </c>
      <c r="Z586" s="139" t="e">
        <f>#REF!</f>
        <v>#REF!</v>
      </c>
      <c r="AA586" s="139" t="e">
        <f>#REF!</f>
        <v>#REF!</v>
      </c>
      <c r="AB586" s="139" t="e">
        <f>#REF!</f>
        <v>#REF!</v>
      </c>
      <c r="AC586" s="139" t="e">
        <f>#REF!</f>
        <v>#REF!</v>
      </c>
      <c r="AD586" s="139" t="e">
        <f>#REF!</f>
        <v>#REF!</v>
      </c>
      <c r="AE586" s="139" t="e">
        <f>#REF!</f>
        <v>#REF!</v>
      </c>
      <c r="AF586" s="139" t="e">
        <f>#REF!</f>
        <v>#REF!</v>
      </c>
    </row>
    <row r="587" spans="1:37" x14ac:dyDescent="0.25">
      <c r="A587" s="14" t="s">
        <v>899</v>
      </c>
      <c r="D587" s="124"/>
      <c r="F587" s="124">
        <f t="shared" ref="F587:K587" si="356">(F521*$E$394)/F$420</f>
        <v>0</v>
      </c>
      <c r="G587" s="124">
        <f t="shared" si="356"/>
        <v>0</v>
      </c>
      <c r="H587" s="124">
        <f t="shared" si="356"/>
        <v>0</v>
      </c>
      <c r="I587" s="49">
        <f t="shared" si="356"/>
        <v>0</v>
      </c>
      <c r="J587" s="24"/>
      <c r="K587" s="49">
        <f t="shared" si="356"/>
        <v>0</v>
      </c>
      <c r="M587" s="124" t="e">
        <f t="shared" ref="M587:R587" si="357">(M521*$E$394)/M$420</f>
        <v>#DIV/0!</v>
      </c>
      <c r="N587" s="124" t="e">
        <f t="shared" si="357"/>
        <v>#DIV/0!</v>
      </c>
      <c r="O587" s="124" t="e">
        <f t="shared" si="357"/>
        <v>#DIV/0!</v>
      </c>
      <c r="P587" s="124" t="e">
        <f t="shared" si="357"/>
        <v>#DIV/0!</v>
      </c>
      <c r="Q587" s="124" t="e">
        <f t="shared" si="357"/>
        <v>#DIV/0!</v>
      </c>
      <c r="R587" s="49" t="e">
        <f t="shared" si="357"/>
        <v>#DIV/0!</v>
      </c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</row>
    <row r="588" spans="1:37" x14ac:dyDescent="0.25">
      <c r="F588" s="124"/>
      <c r="G588" s="124"/>
      <c r="H588" s="124"/>
      <c r="I588" s="124"/>
      <c r="J588" s="24"/>
      <c r="K588" s="124"/>
      <c r="M588" s="124"/>
      <c r="N588" s="124"/>
      <c r="O588" s="124"/>
      <c r="P588" s="124"/>
      <c r="Q588" s="124"/>
      <c r="R588" s="124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</row>
    <row r="589" spans="1:37" x14ac:dyDescent="0.25">
      <c r="A589" s="13" t="s">
        <v>892</v>
      </c>
      <c r="F589" s="124"/>
      <c r="G589" s="124"/>
      <c r="H589" s="124"/>
      <c r="I589" s="124"/>
      <c r="J589" s="24"/>
      <c r="K589" s="124"/>
      <c r="M589" s="124"/>
      <c r="N589" s="124"/>
      <c r="O589" s="124"/>
      <c r="P589" s="124"/>
      <c r="Q589" s="124"/>
      <c r="R589" s="124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</row>
    <row r="590" spans="1:37" x14ac:dyDescent="0.25">
      <c r="A590" s="14" t="s">
        <v>1009</v>
      </c>
      <c r="F590" s="124">
        <f t="shared" ref="F590:M590" si="358">F565</f>
        <v>0</v>
      </c>
      <c r="G590" s="124">
        <f t="shared" si="358"/>
        <v>0</v>
      </c>
      <c r="H590" s="124">
        <f t="shared" si="358"/>
        <v>0</v>
      </c>
      <c r="I590" s="48">
        <f t="shared" si="358"/>
        <v>0</v>
      </c>
      <c r="J590" s="24"/>
      <c r="K590" s="48">
        <f t="shared" si="358"/>
        <v>0</v>
      </c>
      <c r="M590" s="124" t="e">
        <f t="shared" si="358"/>
        <v>#DIV/0!</v>
      </c>
      <c r="N590" s="124" t="e">
        <f t="shared" ref="N590:Q590" si="359">N565</f>
        <v>#DIV/0!</v>
      </c>
      <c r="O590" s="124" t="e">
        <f t="shared" si="359"/>
        <v>#DIV/0!</v>
      </c>
      <c r="P590" s="124" t="e">
        <f t="shared" si="359"/>
        <v>#DIV/0!</v>
      </c>
      <c r="Q590" s="124" t="e">
        <f t="shared" si="359"/>
        <v>#DIV/0!</v>
      </c>
      <c r="R590" s="48" t="e">
        <f>R565</f>
        <v>#DIV/0!</v>
      </c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</row>
    <row r="591" spans="1:37" s="74" customFormat="1" ht="15" x14ac:dyDescent="0.4">
      <c r="A591" s="74" t="s">
        <v>1010</v>
      </c>
      <c r="D591" s="140"/>
      <c r="F591" s="145">
        <f>(F522*$E$394)/F$420</f>
        <v>0</v>
      </c>
      <c r="G591" s="145">
        <f>(G522*$E$394)/G$420</f>
        <v>0</v>
      </c>
      <c r="H591" s="145">
        <f>(H522*$E$394)/H$420</f>
        <v>0</v>
      </c>
      <c r="I591" s="148">
        <f>(I522*$E$394)/I$435</f>
        <v>0</v>
      </c>
      <c r="J591" s="24"/>
      <c r="K591" s="148">
        <f>(K522*$E$394)/K$435</f>
        <v>0</v>
      </c>
      <c r="L591" s="14"/>
      <c r="M591" s="145" t="e">
        <f>(M522*$E$394)/M$420</f>
        <v>#DIV/0!</v>
      </c>
      <c r="N591" s="145" t="e">
        <f>(N522*$E$394)/N$420</f>
        <v>#DIV/0!</v>
      </c>
      <c r="O591" s="145" t="e">
        <f>(O522*$E$394)/O$420</f>
        <v>#DIV/0!</v>
      </c>
      <c r="P591" s="145" t="e">
        <f>(P522*$E$394)/P$420</f>
        <v>#DIV/0!</v>
      </c>
      <c r="Q591" s="145" t="e">
        <f>(Q522*$E$394)/Q$420</f>
        <v>#DIV/0!</v>
      </c>
      <c r="R591" s="148" t="e">
        <f>(R522*$E$394)/R$435</f>
        <v>#DIV/0!</v>
      </c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K591" s="143"/>
    </row>
    <row r="592" spans="1:37" x14ac:dyDescent="0.25">
      <c r="B592" s="14" t="s">
        <v>1011</v>
      </c>
      <c r="F592" s="124">
        <f>F590+F591</f>
        <v>0</v>
      </c>
      <c r="G592" s="124">
        <f>G590+G591</f>
        <v>0</v>
      </c>
      <c r="H592" s="124">
        <f>H590+H591</f>
        <v>0</v>
      </c>
      <c r="I592" s="48">
        <f t="shared" ref="I592:R592" si="360">I590+I591</f>
        <v>0</v>
      </c>
      <c r="J592" s="24"/>
      <c r="K592" s="48">
        <f t="shared" ref="K592" si="361">K590+K591</f>
        <v>0</v>
      </c>
      <c r="M592" s="124" t="e">
        <f>M590+M591</f>
        <v>#DIV/0!</v>
      </c>
      <c r="N592" s="124" t="e">
        <f t="shared" si="360"/>
        <v>#DIV/0!</v>
      </c>
      <c r="O592" s="124" t="e">
        <f t="shared" si="360"/>
        <v>#DIV/0!</v>
      </c>
      <c r="P592" s="124" t="e">
        <f t="shared" si="360"/>
        <v>#DIV/0!</v>
      </c>
      <c r="Q592" s="124" t="e">
        <f t="shared" si="360"/>
        <v>#DIV/0!</v>
      </c>
      <c r="R592" s="48" t="e">
        <f t="shared" si="360"/>
        <v>#DIV/0!</v>
      </c>
    </row>
    <row r="593" spans="1:32" x14ac:dyDescent="0.25">
      <c r="J593" s="24"/>
      <c r="P593" s="24"/>
    </row>
    <row r="594" spans="1:32" x14ac:dyDescent="0.25">
      <c r="A594" s="13" t="s">
        <v>668</v>
      </c>
      <c r="J594" s="24"/>
      <c r="P594" s="24"/>
    </row>
    <row r="595" spans="1:32" x14ac:dyDescent="0.25">
      <c r="A595" s="14" t="s">
        <v>1012</v>
      </c>
      <c r="F595" s="124">
        <f t="shared" ref="F595:S595" si="362">F543</f>
        <v>1.3091899505363047E-2</v>
      </c>
      <c r="G595" s="124">
        <f t="shared" ref="G595:H595" si="363">G543</f>
        <v>5.7361621297630574E-3</v>
      </c>
      <c r="H595" s="124">
        <f t="shared" si="363"/>
        <v>1.375667776293351E-2</v>
      </c>
      <c r="I595" s="24">
        <f t="shared" si="362"/>
        <v>3.3389857191664056</v>
      </c>
      <c r="J595" s="24"/>
      <c r="K595" s="24">
        <f t="shared" ref="K595" si="364">K543</f>
        <v>3.5444498753207525</v>
      </c>
      <c r="M595" s="124" t="e">
        <f t="shared" ref="M595" si="365">M543</f>
        <v>#DIV/0!</v>
      </c>
      <c r="N595" s="124" t="e">
        <f t="shared" si="362"/>
        <v>#DIV/0!</v>
      </c>
      <c r="O595" s="124" t="e">
        <f t="shared" si="362"/>
        <v>#DIV/0!</v>
      </c>
      <c r="P595" s="124" t="e">
        <f t="shared" si="362"/>
        <v>#DIV/0!</v>
      </c>
      <c r="Q595" s="124" t="e">
        <f t="shared" si="362"/>
        <v>#DIV/0!</v>
      </c>
      <c r="R595" s="24" t="e">
        <f t="shared" si="362"/>
        <v>#DIV/0!</v>
      </c>
      <c r="S595" s="139" t="e">
        <f t="shared" si="362"/>
        <v>#DIV/0!</v>
      </c>
      <c r="T595" s="139" t="e">
        <f>#REF!</f>
        <v>#REF!</v>
      </c>
      <c r="U595" s="139" t="e">
        <f>#REF!</f>
        <v>#REF!</v>
      </c>
      <c r="V595" s="139" t="e">
        <f>#REF!</f>
        <v>#REF!</v>
      </c>
      <c r="W595" s="139" t="e">
        <f>#REF!</f>
        <v>#REF!</v>
      </c>
      <c r="X595" s="139" t="e">
        <f>#REF!</f>
        <v>#REF!</v>
      </c>
      <c r="Y595" s="139" t="e">
        <f>#REF!</f>
        <v>#REF!</v>
      </c>
      <c r="Z595" s="139" t="e">
        <f>#REF!</f>
        <v>#REF!</v>
      </c>
      <c r="AA595" s="139" t="e">
        <f>#REF!</f>
        <v>#REF!</v>
      </c>
      <c r="AB595" s="139" t="e">
        <f>#REF!</f>
        <v>#REF!</v>
      </c>
      <c r="AC595" s="139" t="e">
        <f>#REF!</f>
        <v>#REF!</v>
      </c>
      <c r="AD595" s="139" t="e">
        <f>#REF!</f>
        <v>#REF!</v>
      </c>
      <c r="AE595" s="139" t="e">
        <f>#REF!</f>
        <v>#REF!</v>
      </c>
      <c r="AF595" s="139" t="e">
        <f>#REF!</f>
        <v>#REF!</v>
      </c>
    </row>
    <row r="596" spans="1:32" ht="15" x14ac:dyDescent="0.4">
      <c r="A596" s="74" t="s">
        <v>1013</v>
      </c>
      <c r="D596" s="152"/>
      <c r="F596" s="145">
        <f>(F523*$E$394)/F420</f>
        <v>1.2163516086970917E-3</v>
      </c>
      <c r="G596" s="145">
        <f>(G523*$E$394)/G420</f>
        <v>5.7193464328708199E-4</v>
      </c>
      <c r="H596" s="145">
        <f>(H523*$E$394)/H420</f>
        <v>1.2357665578956634E-3</v>
      </c>
      <c r="I596" s="149">
        <f>(I523*$E$394)/I435</f>
        <v>0.31082932618901382</v>
      </c>
      <c r="J596" s="24"/>
      <c r="K596" s="149">
        <f>(K523*$E$394)/K435</f>
        <v>0.33486828607311608</v>
      </c>
      <c r="M596" s="145" t="e">
        <f>(M523*$E$394)/M420</f>
        <v>#DIV/0!</v>
      </c>
      <c r="N596" s="145" t="e">
        <f>(N523*$E$394)/N420</f>
        <v>#DIV/0!</v>
      </c>
      <c r="O596" s="145" t="e">
        <f>(O523*$E$394)/O420</f>
        <v>#DIV/0!</v>
      </c>
      <c r="P596" s="145" t="e">
        <f>(P523*$E$394)/P420</f>
        <v>#DIV/0!</v>
      </c>
      <c r="Q596" s="145" t="e">
        <f>(Q523*$E$394)/Q420</f>
        <v>#DIV/0!</v>
      </c>
      <c r="R596" s="149" t="e">
        <f>(R523*$E$394)/R435</f>
        <v>#DIV/0!</v>
      </c>
      <c r="S596" s="146" t="e">
        <f>(S523*$E$394)/S420</f>
        <v>#DIV/0!</v>
      </c>
      <c r="T596" s="146" t="e">
        <f>(#REF!*$E$330)/1026.4</f>
        <v>#REF!</v>
      </c>
      <c r="U596" s="146" t="e">
        <f>(#REF!*$E$330)/11504</f>
        <v>#REF!</v>
      </c>
      <c r="V596" s="146" t="e">
        <f>(#REF!*$E$330)/7284</f>
        <v>#REF!</v>
      </c>
      <c r="W596" s="146" t="e">
        <f>(#REF!*$E$330)/320.47</f>
        <v>#REF!</v>
      </c>
      <c r="X596" s="146" t="e">
        <f>(#REF!*$E$330)/26669</f>
        <v>#REF!</v>
      </c>
      <c r="Y596" s="146" t="e">
        <f>(#REF!*$E$330)/68503</f>
        <v>#REF!</v>
      </c>
      <c r="Z596" s="146" t="e">
        <f>(#REF!*$E$330)/Z420</f>
        <v>#REF!</v>
      </c>
      <c r="AA596" s="146" t="e">
        <f>(#REF!*$E$330)/17492.7</f>
        <v>#REF!</v>
      </c>
      <c r="AB596" s="146" t="e">
        <f>(#REF!*$E$330)/10846</f>
        <v>#REF!</v>
      </c>
      <c r="AC596" s="146" t="e">
        <f>(#REF!*$E$330)/12274</f>
        <v>#REF!</v>
      </c>
      <c r="AD596" s="146" t="e">
        <f>(#REF!*$E$330)/10405</f>
        <v>#REF!</v>
      </c>
      <c r="AE596" s="146" t="e">
        <f>(#REF!*$E$330)/120444</f>
        <v>#REF!</v>
      </c>
      <c r="AF596" s="146" t="e">
        <f>(#REF!*$E$330)/AF500/12</f>
        <v>#REF!</v>
      </c>
    </row>
    <row r="597" spans="1:32" x14ac:dyDescent="0.25">
      <c r="B597" s="14" t="s">
        <v>1014</v>
      </c>
      <c r="F597" s="124">
        <f t="shared" ref="F597:AF597" si="366">F595+F596</f>
        <v>1.4308251114060139E-2</v>
      </c>
      <c r="G597" s="124">
        <f t="shared" ref="G597:H597" si="367">G595+G596</f>
        <v>6.3080967730501395E-3</v>
      </c>
      <c r="H597" s="124">
        <f t="shared" si="367"/>
        <v>1.4992444320829173E-2</v>
      </c>
      <c r="I597" s="24">
        <f t="shared" si="366"/>
        <v>3.6498150453554192</v>
      </c>
      <c r="J597" s="24"/>
      <c r="K597" s="24">
        <f t="shared" ref="K597" si="368">K595+K596</f>
        <v>3.8793181613938685</v>
      </c>
      <c r="M597" s="124" t="e">
        <f t="shared" ref="M597" si="369">M595+M596</f>
        <v>#DIV/0!</v>
      </c>
      <c r="N597" s="124" t="e">
        <f t="shared" si="366"/>
        <v>#DIV/0!</v>
      </c>
      <c r="O597" s="124" t="e">
        <f t="shared" si="366"/>
        <v>#DIV/0!</v>
      </c>
      <c r="P597" s="124" t="e">
        <f t="shared" si="366"/>
        <v>#DIV/0!</v>
      </c>
      <c r="Q597" s="124" t="e">
        <f t="shared" si="366"/>
        <v>#DIV/0!</v>
      </c>
      <c r="R597" s="24" t="e">
        <f t="shared" si="366"/>
        <v>#DIV/0!</v>
      </c>
      <c r="S597" s="139" t="e">
        <f t="shared" si="366"/>
        <v>#DIV/0!</v>
      </c>
      <c r="T597" s="139" t="e">
        <f t="shared" si="366"/>
        <v>#REF!</v>
      </c>
      <c r="U597" s="139" t="e">
        <f t="shared" si="366"/>
        <v>#REF!</v>
      </c>
      <c r="V597" s="139" t="e">
        <f t="shared" si="366"/>
        <v>#REF!</v>
      </c>
      <c r="W597" s="139" t="e">
        <f t="shared" si="366"/>
        <v>#REF!</v>
      </c>
      <c r="X597" s="139" t="e">
        <f t="shared" si="366"/>
        <v>#REF!</v>
      </c>
      <c r="Y597" s="139" t="e">
        <f t="shared" si="366"/>
        <v>#REF!</v>
      </c>
      <c r="Z597" s="139" t="e">
        <f t="shared" si="366"/>
        <v>#REF!</v>
      </c>
      <c r="AA597" s="139" t="e">
        <f t="shared" si="366"/>
        <v>#REF!</v>
      </c>
      <c r="AB597" s="139" t="e">
        <f t="shared" si="366"/>
        <v>#REF!</v>
      </c>
      <c r="AC597" s="139" t="e">
        <f t="shared" si="366"/>
        <v>#REF!</v>
      </c>
      <c r="AD597" s="139" t="e">
        <f t="shared" si="366"/>
        <v>#REF!</v>
      </c>
      <c r="AE597" s="139" t="e">
        <f t="shared" si="366"/>
        <v>#REF!</v>
      </c>
      <c r="AF597" s="139" t="e">
        <f t="shared" si="366"/>
        <v>#REF!</v>
      </c>
    </row>
    <row r="598" spans="1:32" x14ac:dyDescent="0.25">
      <c r="J598" s="24"/>
    </row>
    <row r="599" spans="1:32" x14ac:dyDescent="0.25">
      <c r="A599" s="13" t="s">
        <v>669</v>
      </c>
      <c r="J599" s="24"/>
    </row>
    <row r="600" spans="1:32" x14ac:dyDescent="0.25">
      <c r="A600" s="14" t="s">
        <v>670</v>
      </c>
      <c r="F600" s="46">
        <f t="shared" ref="F600:S600" si="370">F544</f>
        <v>44.52681674995253</v>
      </c>
      <c r="G600" s="46">
        <f t="shared" ref="G600:H600" si="371">G544</f>
        <v>49.648803003642826</v>
      </c>
      <c r="H600" s="46">
        <f t="shared" si="371"/>
        <v>64.798152337396189</v>
      </c>
      <c r="I600" s="46">
        <f t="shared" si="370"/>
        <v>90.627704633077556</v>
      </c>
      <c r="J600" s="24"/>
      <c r="K600" s="46">
        <f t="shared" ref="K600" si="372">K544</f>
        <v>478.94210380543171</v>
      </c>
      <c r="M600" s="46" t="e">
        <f t="shared" ref="M600" si="373">M544</f>
        <v>#DIV/0!</v>
      </c>
      <c r="N600" s="46" t="e">
        <f t="shared" si="370"/>
        <v>#DIV/0!</v>
      </c>
      <c r="O600" s="46" t="e">
        <f t="shared" si="370"/>
        <v>#DIV/0!</v>
      </c>
      <c r="P600" s="46" t="e">
        <f t="shared" si="370"/>
        <v>#DIV/0!</v>
      </c>
      <c r="Q600" s="46" t="e">
        <f t="shared" si="370"/>
        <v>#DIV/0!</v>
      </c>
      <c r="R600" s="46" t="e">
        <f t="shared" si="370"/>
        <v>#DIV/0!</v>
      </c>
      <c r="S600" s="147" t="e">
        <f t="shared" si="370"/>
        <v>#DIV/0!</v>
      </c>
      <c r="T600" s="147" t="e">
        <f>#REF!</f>
        <v>#REF!</v>
      </c>
      <c r="U600" s="147" t="e">
        <f>#REF!</f>
        <v>#REF!</v>
      </c>
      <c r="V600" s="147" t="e">
        <f>#REF!</f>
        <v>#REF!</v>
      </c>
      <c r="W600" s="147" t="e">
        <f>#REF!</f>
        <v>#REF!</v>
      </c>
      <c r="X600" s="147" t="e">
        <f>#REF!</f>
        <v>#REF!</v>
      </c>
      <c r="Y600" s="147" t="e">
        <f>#REF!</f>
        <v>#REF!</v>
      </c>
      <c r="Z600" s="147" t="e">
        <f>#REF!</f>
        <v>#REF!</v>
      </c>
      <c r="AA600" s="147" t="e">
        <f>#REF!</f>
        <v>#REF!</v>
      </c>
      <c r="AB600" s="147" t="e">
        <f>#REF!</f>
        <v>#REF!</v>
      </c>
      <c r="AC600" s="147" t="e">
        <f>#REF!</f>
        <v>#REF!</v>
      </c>
      <c r="AD600" s="147" t="e">
        <f>#REF!</f>
        <v>#REF!</v>
      </c>
      <c r="AE600" s="147" t="e">
        <f>#REF!</f>
        <v>#REF!</v>
      </c>
      <c r="AF600" s="147" t="e">
        <f>#REF!</f>
        <v>#REF!</v>
      </c>
    </row>
    <row r="601" spans="1:32" ht="15" x14ac:dyDescent="0.4">
      <c r="A601" s="14" t="s">
        <v>671</v>
      </c>
      <c r="D601" s="46"/>
      <c r="F601" s="148">
        <f t="shared" ref="F601:AF601" si="374">(F524*$E$394)/F423</f>
        <v>2.1900908795196496</v>
      </c>
      <c r="G601" s="148">
        <f t="shared" ref="G601:H601" si="375">(G524*$E$394)/G423</f>
        <v>2.654010204435779</v>
      </c>
      <c r="H601" s="148">
        <f t="shared" si="375"/>
        <v>3.9375203367037339</v>
      </c>
      <c r="I601" s="149">
        <f t="shared" si="374"/>
        <v>5.8241255913626562</v>
      </c>
      <c r="J601" s="24"/>
      <c r="K601" s="149">
        <f t="shared" ref="K601" si="376">(K524*$E$394)/K423</f>
        <v>9.8447597406357712</v>
      </c>
      <c r="M601" s="148" t="e">
        <f t="shared" ref="M601" si="377">(M524*$E$394)/M423</f>
        <v>#DIV/0!</v>
      </c>
      <c r="N601" s="149" t="e">
        <f t="shared" si="374"/>
        <v>#DIV/0!</v>
      </c>
      <c r="O601" s="149" t="e">
        <f t="shared" si="374"/>
        <v>#DIV/0!</v>
      </c>
      <c r="P601" s="149" t="e">
        <f t="shared" si="374"/>
        <v>#DIV/0!</v>
      </c>
      <c r="Q601" s="149" t="e">
        <f t="shared" si="374"/>
        <v>#DIV/0!</v>
      </c>
      <c r="R601" s="149" t="e">
        <f t="shared" si="374"/>
        <v>#DIV/0!</v>
      </c>
      <c r="S601" s="150" t="e">
        <f t="shared" si="374"/>
        <v>#DIV/0!</v>
      </c>
      <c r="T601" s="150" t="e">
        <f t="shared" si="374"/>
        <v>#DIV/0!</v>
      </c>
      <c r="U601" s="150" t="e">
        <f t="shared" si="374"/>
        <v>#DIV/0!</v>
      </c>
      <c r="V601" s="150" t="e">
        <f t="shared" si="374"/>
        <v>#DIV/0!</v>
      </c>
      <c r="W601" s="150" t="e">
        <f t="shared" si="374"/>
        <v>#DIV/0!</v>
      </c>
      <c r="X601" s="150" t="e">
        <f t="shared" si="374"/>
        <v>#DIV/0!</v>
      </c>
      <c r="Y601" s="150" t="e">
        <f t="shared" si="374"/>
        <v>#DIV/0!</v>
      </c>
      <c r="Z601" s="150" t="e">
        <f t="shared" si="374"/>
        <v>#DIV/0!</v>
      </c>
      <c r="AA601" s="150" t="e">
        <f t="shared" si="374"/>
        <v>#DIV/0!</v>
      </c>
      <c r="AB601" s="150" t="e">
        <f t="shared" si="374"/>
        <v>#DIV/0!</v>
      </c>
      <c r="AC601" s="150" t="e">
        <f t="shared" si="374"/>
        <v>#DIV/0!</v>
      </c>
      <c r="AD601" s="150" t="e">
        <f t="shared" si="374"/>
        <v>#DIV/0!</v>
      </c>
      <c r="AE601" s="150" t="e">
        <f t="shared" si="374"/>
        <v>#DIV/0!</v>
      </c>
      <c r="AF601" s="150" t="e">
        <f t="shared" si="374"/>
        <v>#DIV/0!</v>
      </c>
    </row>
    <row r="602" spans="1:32" x14ac:dyDescent="0.25">
      <c r="B602" s="14" t="s">
        <v>672</v>
      </c>
      <c r="F602" s="46">
        <f t="shared" ref="F602:AF602" si="378">F600+F601</f>
        <v>46.716907629472182</v>
      </c>
      <c r="G602" s="46">
        <f t="shared" ref="G602:H602" si="379">G600+G601</f>
        <v>52.302813208078604</v>
      </c>
      <c r="H602" s="46">
        <f t="shared" si="379"/>
        <v>68.735672674099916</v>
      </c>
      <c r="I602" s="46">
        <f t="shared" si="378"/>
        <v>96.451830224440215</v>
      </c>
      <c r="J602" s="24"/>
      <c r="K602" s="46">
        <f t="shared" ref="K602" si="380">K600+K601</f>
        <v>488.78686354606748</v>
      </c>
      <c r="M602" s="46" t="e">
        <f t="shared" ref="M602" si="381">M600+M601</f>
        <v>#DIV/0!</v>
      </c>
      <c r="N602" s="46" t="e">
        <f t="shared" si="378"/>
        <v>#DIV/0!</v>
      </c>
      <c r="O602" s="46" t="e">
        <f t="shared" si="378"/>
        <v>#DIV/0!</v>
      </c>
      <c r="P602" s="46" t="e">
        <f t="shared" si="378"/>
        <v>#DIV/0!</v>
      </c>
      <c r="Q602" s="46" t="e">
        <f t="shared" si="378"/>
        <v>#DIV/0!</v>
      </c>
      <c r="R602" s="46" t="e">
        <f t="shared" si="378"/>
        <v>#DIV/0!</v>
      </c>
      <c r="S602" s="147" t="e">
        <f t="shared" si="378"/>
        <v>#DIV/0!</v>
      </c>
      <c r="T602" s="147" t="e">
        <f t="shared" si="378"/>
        <v>#REF!</v>
      </c>
      <c r="U602" s="147" t="e">
        <f t="shared" si="378"/>
        <v>#REF!</v>
      </c>
      <c r="V602" s="147" t="e">
        <f t="shared" si="378"/>
        <v>#REF!</v>
      </c>
      <c r="W602" s="147" t="e">
        <f t="shared" si="378"/>
        <v>#REF!</v>
      </c>
      <c r="X602" s="147" t="e">
        <f t="shared" si="378"/>
        <v>#REF!</v>
      </c>
      <c r="Y602" s="147" t="e">
        <f t="shared" si="378"/>
        <v>#REF!</v>
      </c>
      <c r="Z602" s="147" t="e">
        <f t="shared" si="378"/>
        <v>#REF!</v>
      </c>
      <c r="AA602" s="147" t="e">
        <f t="shared" si="378"/>
        <v>#REF!</v>
      </c>
      <c r="AB602" s="147" t="e">
        <f t="shared" si="378"/>
        <v>#REF!</v>
      </c>
      <c r="AC602" s="147" t="e">
        <f t="shared" si="378"/>
        <v>#REF!</v>
      </c>
      <c r="AD602" s="147" t="e">
        <f t="shared" si="378"/>
        <v>#REF!</v>
      </c>
      <c r="AE602" s="147" t="e">
        <f t="shared" si="378"/>
        <v>#REF!</v>
      </c>
      <c r="AF602" s="147" t="e">
        <f t="shared" si="378"/>
        <v>#REF!</v>
      </c>
    </row>
    <row r="603" spans="1:32" x14ac:dyDescent="0.25">
      <c r="J603" s="24"/>
    </row>
    <row r="604" spans="1:32" x14ac:dyDescent="0.25">
      <c r="J604" s="24"/>
    </row>
    <row r="605" spans="1:32" x14ac:dyDescent="0.25">
      <c r="J605" s="24"/>
    </row>
    <row r="606" spans="1:32" x14ac:dyDescent="0.25">
      <c r="J606" s="24"/>
    </row>
    <row r="607" spans="1:32" x14ac:dyDescent="0.25">
      <c r="A607" s="26" t="s">
        <v>698</v>
      </c>
      <c r="C607" s="151">
        <f>C528</f>
        <v>3.4558492691015096E-2</v>
      </c>
      <c r="F607" s="68">
        <f>$C$528</f>
        <v>3.4558492691015096E-2</v>
      </c>
      <c r="G607" s="68">
        <f t="shared" ref="G607:S607" si="382">$C$528</f>
        <v>3.4558492691015096E-2</v>
      </c>
      <c r="H607" s="153">
        <f t="shared" si="382"/>
        <v>3.4558492691015096E-2</v>
      </c>
      <c r="I607" s="153">
        <f t="shared" si="382"/>
        <v>3.4558492691015096E-2</v>
      </c>
      <c r="J607" s="24"/>
      <c r="K607" s="153">
        <f t="shared" si="382"/>
        <v>3.4558492691015096E-2</v>
      </c>
      <c r="M607" s="153">
        <f t="shared" si="382"/>
        <v>3.4558492691015096E-2</v>
      </c>
      <c r="N607" s="153">
        <f t="shared" si="382"/>
        <v>3.4558492691015096E-2</v>
      </c>
      <c r="O607" s="153">
        <f t="shared" si="382"/>
        <v>3.4558492691015096E-2</v>
      </c>
      <c r="P607" s="153">
        <f t="shared" si="382"/>
        <v>3.4558492691015096E-2</v>
      </c>
      <c r="Q607" s="153">
        <f t="shared" si="382"/>
        <v>3.4558492691015096E-2</v>
      </c>
      <c r="R607" s="153">
        <f t="shared" si="382"/>
        <v>3.4558492691015096E-2</v>
      </c>
      <c r="S607" s="154">
        <f t="shared" si="382"/>
        <v>3.4558492691015096E-2</v>
      </c>
      <c r="T607" s="154">
        <v>0.2</v>
      </c>
      <c r="U607" s="154">
        <v>0.2</v>
      </c>
      <c r="V607" s="154">
        <v>0.08</v>
      </c>
      <c r="W607" s="154">
        <v>0.08</v>
      </c>
      <c r="X607" s="154">
        <v>0.2</v>
      </c>
      <c r="Y607" s="154">
        <v>0.08</v>
      </c>
      <c r="Z607" s="154">
        <v>0.08</v>
      </c>
      <c r="AA607" s="154">
        <v>0.08</v>
      </c>
      <c r="AB607" s="154">
        <v>0.08</v>
      </c>
      <c r="AC607" s="154">
        <v>0.08</v>
      </c>
      <c r="AD607" s="154">
        <v>0.08</v>
      </c>
      <c r="AE607" s="154">
        <v>0.08</v>
      </c>
      <c r="AF607" s="154">
        <v>0.08</v>
      </c>
    </row>
    <row r="608" spans="1:32" x14ac:dyDescent="0.25">
      <c r="A608" s="13"/>
      <c r="J608" s="24"/>
    </row>
    <row r="609" spans="1:37" x14ac:dyDescent="0.25">
      <c r="A609" s="13" t="s">
        <v>762</v>
      </c>
      <c r="J609" s="24"/>
    </row>
    <row r="610" spans="1:37" x14ac:dyDescent="0.25">
      <c r="A610" s="14" t="s">
        <v>1007</v>
      </c>
      <c r="F610" s="124">
        <f t="shared" ref="F610:M610" si="383">F559</f>
        <v>3.0749246242036631E-2</v>
      </c>
      <c r="G610" s="124">
        <f t="shared" si="383"/>
        <v>2.6478630455095652E-2</v>
      </c>
      <c r="H610" s="124">
        <f t="shared" si="383"/>
        <v>2.4125772247668743E-2</v>
      </c>
      <c r="I610" s="48">
        <f t="shared" si="383"/>
        <v>7.1632204417898775</v>
      </c>
      <c r="J610" s="24"/>
      <c r="K610" s="48">
        <f t="shared" si="383"/>
        <v>8.3858596646947845</v>
      </c>
      <c r="M610" s="124" t="e">
        <f t="shared" si="383"/>
        <v>#DIV/0!</v>
      </c>
      <c r="N610" s="124" t="e">
        <f t="shared" ref="N610:Q610" si="384">N559</f>
        <v>#DIV/0!</v>
      </c>
      <c r="O610" s="124" t="e">
        <f t="shared" si="384"/>
        <v>#DIV/0!</v>
      </c>
      <c r="P610" s="124" t="e">
        <f t="shared" si="384"/>
        <v>#DIV/0!</v>
      </c>
      <c r="Q610" s="124" t="e">
        <f t="shared" si="384"/>
        <v>#DIV/0!</v>
      </c>
      <c r="R610" s="48" t="e">
        <f>R559</f>
        <v>#DIV/0!</v>
      </c>
      <c r="S610" s="139" t="e">
        <f t="shared" ref="S610:AF610" si="385">S584</f>
        <v>#DIV/0!</v>
      </c>
      <c r="T610" s="139">
        <f t="shared" si="385"/>
        <v>0</v>
      </c>
      <c r="U610" s="139" t="e">
        <f t="shared" si="385"/>
        <v>#DIV/0!</v>
      </c>
      <c r="V610" s="139" t="e">
        <f t="shared" si="385"/>
        <v>#DIV/0!</v>
      </c>
      <c r="W610" s="139" t="e">
        <f t="shared" si="385"/>
        <v>#DIV/0!</v>
      </c>
      <c r="X610" s="139" t="e">
        <f t="shared" si="385"/>
        <v>#DIV/0!</v>
      </c>
      <c r="Y610" s="139" t="e">
        <f t="shared" si="385"/>
        <v>#DIV/0!</v>
      </c>
      <c r="Z610" s="139">
        <f t="shared" si="385"/>
        <v>0</v>
      </c>
      <c r="AA610" s="139">
        <f t="shared" si="385"/>
        <v>0</v>
      </c>
      <c r="AB610" s="139">
        <f t="shared" si="385"/>
        <v>0</v>
      </c>
      <c r="AC610" s="139">
        <f t="shared" si="385"/>
        <v>0</v>
      </c>
      <c r="AD610" s="139">
        <f t="shared" si="385"/>
        <v>0</v>
      </c>
      <c r="AE610" s="139">
        <f t="shared" si="385"/>
        <v>0</v>
      </c>
      <c r="AF610" s="139" t="e">
        <f t="shared" si="385"/>
        <v>#REF!</v>
      </c>
    </row>
    <row r="611" spans="1:37" x14ac:dyDescent="0.25">
      <c r="A611" s="14" t="s">
        <v>1008</v>
      </c>
      <c r="D611" s="124"/>
      <c r="F611" s="124">
        <f>(F520*$C$528)/F$420</f>
        <v>0</v>
      </c>
      <c r="G611" s="124">
        <f>(G520*$C$528)/G$420</f>
        <v>0</v>
      </c>
      <c r="H611" s="124">
        <f>(H520*$C$528)/H$420</f>
        <v>0</v>
      </c>
      <c r="I611" s="48">
        <f>(I520*$C$528)/I$435</f>
        <v>0</v>
      </c>
      <c r="J611" s="24"/>
      <c r="K611" s="48">
        <f>(K520*$C$528)/K$435</f>
        <v>0</v>
      </c>
      <c r="M611" s="124" t="e">
        <f>(M520*$C$528)/M$420</f>
        <v>#DIV/0!</v>
      </c>
      <c r="N611" s="124" t="e">
        <f>(N520*$C$528)/N$420</f>
        <v>#DIV/0!</v>
      </c>
      <c r="O611" s="124" t="e">
        <f>(O520*$C$528)/O$420</f>
        <v>#DIV/0!</v>
      </c>
      <c r="P611" s="124" t="e">
        <f>(P520*$C$528)/P$420</f>
        <v>#DIV/0!</v>
      </c>
      <c r="Q611" s="124" t="e">
        <f>(Q520*$C$528)/Q$420</f>
        <v>#DIV/0!</v>
      </c>
      <c r="R611" s="48" t="e">
        <f>(R520*$C$528)/R$435</f>
        <v>#DIV/0!</v>
      </c>
      <c r="S611" s="139" t="e">
        <f t="shared" ref="S611:AF611" si="386">S585</f>
        <v>#DIV/0!</v>
      </c>
      <c r="T611" s="139" t="e">
        <f t="shared" si="386"/>
        <v>#DIV/0!</v>
      </c>
      <c r="U611" s="139" t="e">
        <f t="shared" si="386"/>
        <v>#DIV/0!</v>
      </c>
      <c r="V611" s="139" t="e">
        <f t="shared" si="386"/>
        <v>#DIV/0!</v>
      </c>
      <c r="W611" s="139" t="e">
        <f t="shared" si="386"/>
        <v>#DIV/0!</v>
      </c>
      <c r="X611" s="139" t="e">
        <f t="shared" si="386"/>
        <v>#DIV/0!</v>
      </c>
      <c r="Y611" s="139" t="e">
        <f t="shared" si="386"/>
        <v>#DIV/0!</v>
      </c>
      <c r="Z611" s="139" t="e">
        <f t="shared" si="386"/>
        <v>#DIV/0!</v>
      </c>
      <c r="AA611" s="139" t="e">
        <f t="shared" si="386"/>
        <v>#DIV/0!</v>
      </c>
      <c r="AB611" s="139" t="e">
        <f t="shared" si="386"/>
        <v>#DIV/0!</v>
      </c>
      <c r="AC611" s="139" t="e">
        <f t="shared" si="386"/>
        <v>#DIV/0!</v>
      </c>
      <c r="AD611" s="139" t="e">
        <f t="shared" si="386"/>
        <v>#DIV/0!</v>
      </c>
      <c r="AE611" s="139">
        <f t="shared" si="386"/>
        <v>0</v>
      </c>
      <c r="AF611" s="139" t="e">
        <f t="shared" si="386"/>
        <v>#REF!</v>
      </c>
    </row>
    <row r="612" spans="1:37" x14ac:dyDescent="0.25">
      <c r="A612" s="14" t="s">
        <v>898</v>
      </c>
      <c r="F612" s="124">
        <f t="shared" ref="F612:M612" si="387">F561</f>
        <v>5.501014818259034E-2</v>
      </c>
      <c r="G612" s="124">
        <f t="shared" si="387"/>
        <v>3.4303502320480087E-2</v>
      </c>
      <c r="H612" s="124">
        <f t="shared" si="387"/>
        <v>5.2753150553796549E-2</v>
      </c>
      <c r="I612" s="124">
        <f t="shared" si="387"/>
        <v>5.3309988398735096E-2</v>
      </c>
      <c r="J612" s="24"/>
      <c r="K612" s="124">
        <f t="shared" si="387"/>
        <v>5.2783847367329363E-2</v>
      </c>
      <c r="M612" s="124" t="e">
        <f t="shared" si="387"/>
        <v>#DIV/0!</v>
      </c>
      <c r="N612" s="124" t="e">
        <f t="shared" ref="N612:Q612" si="388">N561</f>
        <v>#DIV/0!</v>
      </c>
      <c r="O612" s="124" t="e">
        <f t="shared" si="388"/>
        <v>#DIV/0!</v>
      </c>
      <c r="P612" s="124" t="e">
        <f t="shared" si="388"/>
        <v>#DIV/0!</v>
      </c>
      <c r="Q612" s="124" t="e">
        <f t="shared" si="388"/>
        <v>#DIV/0!</v>
      </c>
      <c r="R612" s="124" t="e">
        <f>R561</f>
        <v>#DIV/0!</v>
      </c>
      <c r="S612" s="139">
        <f>S592</f>
        <v>0</v>
      </c>
      <c r="T612" s="139" t="e">
        <f>#REF!</f>
        <v>#REF!</v>
      </c>
      <c r="U612" s="139" t="e">
        <f>#REF!</f>
        <v>#REF!</v>
      </c>
      <c r="V612" s="139" t="e">
        <f>#REF!</f>
        <v>#REF!</v>
      </c>
      <c r="W612" s="139" t="e">
        <f>#REF!</f>
        <v>#REF!</v>
      </c>
      <c r="X612" s="139" t="e">
        <f>#REF!</f>
        <v>#REF!</v>
      </c>
      <c r="Y612" s="139" t="e">
        <f>#REF!</f>
        <v>#REF!</v>
      </c>
      <c r="Z612" s="139" t="e">
        <f>#REF!</f>
        <v>#REF!</v>
      </c>
      <c r="AA612" s="139" t="e">
        <f>#REF!</f>
        <v>#REF!</v>
      </c>
      <c r="AB612" s="139" t="e">
        <f>#REF!</f>
        <v>#REF!</v>
      </c>
      <c r="AC612" s="139" t="e">
        <f>#REF!</f>
        <v>#REF!</v>
      </c>
      <c r="AD612" s="139" t="e">
        <f>#REF!</f>
        <v>#REF!</v>
      </c>
      <c r="AE612" s="139" t="e">
        <f>#REF!</f>
        <v>#REF!</v>
      </c>
      <c r="AF612" s="139" t="e">
        <f>#REF!</f>
        <v>#REF!</v>
      </c>
    </row>
    <row r="613" spans="1:37" x14ac:dyDescent="0.25">
      <c r="A613" s="14" t="s">
        <v>899</v>
      </c>
      <c r="D613" s="124"/>
      <c r="F613" s="124">
        <f t="shared" ref="F613:R613" si="389">(F521*$C$528)/F$420</f>
        <v>0</v>
      </c>
      <c r="G613" s="124">
        <f t="shared" ref="G613:H613" si="390">(G521*$C$528)/G$420</f>
        <v>0</v>
      </c>
      <c r="H613" s="124">
        <f t="shared" si="390"/>
        <v>0</v>
      </c>
      <c r="I613" s="124">
        <f t="shared" si="389"/>
        <v>0</v>
      </c>
      <c r="J613" s="24"/>
      <c r="K613" s="124">
        <f t="shared" ref="K613" si="391">(K521*$C$528)/K$420</f>
        <v>0</v>
      </c>
      <c r="M613" s="124" t="e">
        <f t="shared" ref="M613" si="392">(M521*$C$528)/M$420</f>
        <v>#DIV/0!</v>
      </c>
      <c r="N613" s="124" t="e">
        <f t="shared" si="389"/>
        <v>#DIV/0!</v>
      </c>
      <c r="O613" s="124" t="e">
        <f t="shared" si="389"/>
        <v>#DIV/0!</v>
      </c>
      <c r="P613" s="124" t="e">
        <f t="shared" si="389"/>
        <v>#DIV/0!</v>
      </c>
      <c r="Q613" s="124" t="e">
        <f t="shared" si="389"/>
        <v>#DIV/0!</v>
      </c>
      <c r="R613" s="124" t="e">
        <f t="shared" si="389"/>
        <v>#DIV/0!</v>
      </c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</row>
    <row r="614" spans="1:37" x14ac:dyDescent="0.25">
      <c r="E614" s="124"/>
      <c r="F614" s="124"/>
      <c r="G614" s="124"/>
      <c r="H614" s="124"/>
      <c r="I614" s="124"/>
      <c r="J614" s="24"/>
      <c r="K614" s="124"/>
      <c r="M614" s="124"/>
      <c r="N614" s="124"/>
      <c r="O614" s="124"/>
      <c r="P614" s="124"/>
      <c r="Q614" s="124"/>
      <c r="R614" s="124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</row>
    <row r="615" spans="1:37" x14ac:dyDescent="0.25">
      <c r="A615" s="13" t="s">
        <v>892</v>
      </c>
      <c r="F615" s="124"/>
      <c r="G615" s="124"/>
      <c r="H615" s="124"/>
      <c r="I615" s="124"/>
      <c r="J615" s="24"/>
      <c r="K615" s="124"/>
      <c r="M615" s="124"/>
      <c r="N615" s="124"/>
      <c r="O615" s="124"/>
      <c r="P615" s="124"/>
      <c r="Q615" s="124"/>
      <c r="R615" s="124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</row>
    <row r="616" spans="1:37" x14ac:dyDescent="0.25">
      <c r="A616" s="14" t="s">
        <v>1009</v>
      </c>
      <c r="F616" s="124">
        <f t="shared" ref="F616:M616" si="393">F565</f>
        <v>0</v>
      </c>
      <c r="G616" s="124">
        <f t="shared" si="393"/>
        <v>0</v>
      </c>
      <c r="H616" s="124">
        <f t="shared" si="393"/>
        <v>0</v>
      </c>
      <c r="I616" s="48">
        <f t="shared" si="393"/>
        <v>0</v>
      </c>
      <c r="J616" s="24"/>
      <c r="K616" s="48">
        <f t="shared" si="393"/>
        <v>0</v>
      </c>
      <c r="M616" s="124" t="e">
        <f t="shared" si="393"/>
        <v>#DIV/0!</v>
      </c>
      <c r="N616" s="124" t="e">
        <f t="shared" ref="N616:Q616" si="394">N565</f>
        <v>#DIV/0!</v>
      </c>
      <c r="O616" s="124" t="e">
        <f t="shared" si="394"/>
        <v>#DIV/0!</v>
      </c>
      <c r="P616" s="124" t="e">
        <f t="shared" si="394"/>
        <v>#DIV/0!</v>
      </c>
      <c r="Q616" s="124" t="e">
        <f t="shared" si="394"/>
        <v>#DIV/0!</v>
      </c>
      <c r="R616" s="48" t="e">
        <f>R565</f>
        <v>#DIV/0!</v>
      </c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</row>
    <row r="617" spans="1:37" s="74" customFormat="1" ht="15" x14ac:dyDescent="0.4">
      <c r="A617" s="74" t="s">
        <v>1010</v>
      </c>
      <c r="D617" s="124"/>
      <c r="F617" s="145">
        <f>(F522*$C$528)/F$420</f>
        <v>0</v>
      </c>
      <c r="G617" s="145">
        <f>(G522*$C$528)/G$420</f>
        <v>0</v>
      </c>
      <c r="H617" s="145">
        <f>(H522*$C$528)/H$420</f>
        <v>0</v>
      </c>
      <c r="I617" s="148">
        <f>(I522*$C$528)/I$435</f>
        <v>0</v>
      </c>
      <c r="J617" s="24"/>
      <c r="K617" s="148">
        <f>(K522*$C$528)/K$435</f>
        <v>0</v>
      </c>
      <c r="L617" s="14"/>
      <c r="M617" s="145" t="e">
        <f>(M522*$C$528)/M$420</f>
        <v>#DIV/0!</v>
      </c>
      <c r="N617" s="145" t="e">
        <f>(N522*$C$528)/N$420</f>
        <v>#DIV/0!</v>
      </c>
      <c r="O617" s="145" t="e">
        <f>(O522*$C$528)/O$420</f>
        <v>#DIV/0!</v>
      </c>
      <c r="P617" s="145" t="e">
        <f>(P522*$C$528)/P$420</f>
        <v>#DIV/0!</v>
      </c>
      <c r="Q617" s="145" t="e">
        <f>(Q522*$C$528)/Q$420</f>
        <v>#DIV/0!</v>
      </c>
      <c r="R617" s="148" t="e">
        <f>(R522*$C$528)/R$435</f>
        <v>#DIV/0!</v>
      </c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K617" s="143"/>
    </row>
    <row r="618" spans="1:37" x14ac:dyDescent="0.25">
      <c r="B618" s="14" t="s">
        <v>1011</v>
      </c>
      <c r="F618" s="124">
        <f>F616+F617</f>
        <v>0</v>
      </c>
      <c r="G618" s="124">
        <f>G616+G617</f>
        <v>0</v>
      </c>
      <c r="H618" s="124">
        <f>H616+H617</f>
        <v>0</v>
      </c>
      <c r="I618" s="48">
        <f t="shared" ref="I618:R618" si="395">I616+I617</f>
        <v>0</v>
      </c>
      <c r="J618" s="24"/>
      <c r="K618" s="48">
        <f t="shared" ref="K618" si="396">K616+K617</f>
        <v>0</v>
      </c>
      <c r="M618" s="124" t="e">
        <f>M616+M617</f>
        <v>#DIV/0!</v>
      </c>
      <c r="N618" s="124" t="e">
        <f t="shared" si="395"/>
        <v>#DIV/0!</v>
      </c>
      <c r="O618" s="124" t="e">
        <f t="shared" si="395"/>
        <v>#DIV/0!</v>
      </c>
      <c r="P618" s="124" t="e">
        <f t="shared" si="395"/>
        <v>#DIV/0!</v>
      </c>
      <c r="Q618" s="124" t="e">
        <f t="shared" si="395"/>
        <v>#DIV/0!</v>
      </c>
      <c r="R618" s="48" t="e">
        <f t="shared" si="395"/>
        <v>#DIV/0!</v>
      </c>
    </row>
    <row r="619" spans="1:37" x14ac:dyDescent="0.25">
      <c r="F619" s="124"/>
      <c r="G619" s="124"/>
      <c r="H619" s="124"/>
      <c r="I619" s="155"/>
      <c r="J619" s="24"/>
      <c r="K619" s="155"/>
      <c r="M619" s="124"/>
      <c r="N619" s="124"/>
      <c r="O619" s="124"/>
      <c r="P619" s="124"/>
      <c r="Q619" s="124"/>
      <c r="R619" s="124"/>
    </row>
    <row r="620" spans="1:37" x14ac:dyDescent="0.25">
      <c r="A620" s="13" t="s">
        <v>668</v>
      </c>
      <c r="J620" s="24"/>
      <c r="P620" s="24"/>
    </row>
    <row r="621" spans="1:37" x14ac:dyDescent="0.25">
      <c r="A621" s="14" t="s">
        <v>1012</v>
      </c>
      <c r="F621" s="124">
        <f>F570</f>
        <v>1.3091899505363047E-2</v>
      </c>
      <c r="G621" s="124">
        <f>G570</f>
        <v>5.7361621297630574E-3</v>
      </c>
      <c r="H621" s="124">
        <f>H570</f>
        <v>1.375667776293351E-2</v>
      </c>
      <c r="I621" s="24">
        <f t="shared" ref="I621:AE621" si="397">I595</f>
        <v>3.3389857191664056</v>
      </c>
      <c r="J621" s="24"/>
      <c r="K621" s="24">
        <f t="shared" ref="K621" si="398">K595</f>
        <v>3.5444498753207525</v>
      </c>
      <c r="M621" s="124" t="e">
        <f>M570</f>
        <v>#DIV/0!</v>
      </c>
      <c r="N621" s="124" t="e">
        <f t="shared" si="397"/>
        <v>#DIV/0!</v>
      </c>
      <c r="O621" s="124" t="e">
        <f t="shared" si="397"/>
        <v>#DIV/0!</v>
      </c>
      <c r="P621" s="124" t="e">
        <f t="shared" si="397"/>
        <v>#DIV/0!</v>
      </c>
      <c r="Q621" s="124" t="e">
        <f t="shared" si="397"/>
        <v>#DIV/0!</v>
      </c>
      <c r="R621" s="24" t="e">
        <f t="shared" si="397"/>
        <v>#DIV/0!</v>
      </c>
      <c r="S621" s="139" t="e">
        <f t="shared" si="397"/>
        <v>#DIV/0!</v>
      </c>
      <c r="T621" s="139" t="e">
        <f t="shared" si="397"/>
        <v>#REF!</v>
      </c>
      <c r="U621" s="139" t="e">
        <f t="shared" si="397"/>
        <v>#REF!</v>
      </c>
      <c r="V621" s="139" t="e">
        <f t="shared" si="397"/>
        <v>#REF!</v>
      </c>
      <c r="W621" s="139" t="e">
        <f t="shared" si="397"/>
        <v>#REF!</v>
      </c>
      <c r="X621" s="139" t="e">
        <f t="shared" si="397"/>
        <v>#REF!</v>
      </c>
      <c r="Y621" s="139" t="e">
        <f t="shared" si="397"/>
        <v>#REF!</v>
      </c>
      <c r="Z621" s="139" t="e">
        <f t="shared" si="397"/>
        <v>#REF!</v>
      </c>
      <c r="AA621" s="139" t="e">
        <f t="shared" si="397"/>
        <v>#REF!</v>
      </c>
      <c r="AB621" s="139" t="e">
        <f t="shared" si="397"/>
        <v>#REF!</v>
      </c>
      <c r="AC621" s="139" t="e">
        <f t="shared" si="397"/>
        <v>#REF!</v>
      </c>
      <c r="AD621" s="139" t="e">
        <f t="shared" si="397"/>
        <v>#REF!</v>
      </c>
      <c r="AE621" s="139" t="e">
        <f t="shared" si="397"/>
        <v>#REF!</v>
      </c>
      <c r="AF621" s="139">
        <f>AF543</f>
        <v>0</v>
      </c>
    </row>
    <row r="622" spans="1:37" ht="15" x14ac:dyDescent="0.4">
      <c r="A622" s="74" t="s">
        <v>1013</v>
      </c>
      <c r="D622" s="124"/>
      <c r="F622" s="145">
        <f>(F523*F607)/F420</f>
        <v>3.9705033465288978E-3</v>
      </c>
      <c r="G622" s="145">
        <f>(G523*G607)/G420</f>
        <v>1.8669506406947868E-3</v>
      </c>
      <c r="H622" s="145">
        <f>(H523*H607)/H420</f>
        <v>4.0338790351163358E-3</v>
      </c>
      <c r="I622" s="149">
        <f>(I523*I607)/I435</f>
        <v>1.0146316829841446</v>
      </c>
      <c r="J622" s="24"/>
      <c r="K622" s="149">
        <f>(K523*K607)/K435</f>
        <v>1.093101403404164</v>
      </c>
      <c r="M622" s="145" t="e">
        <f>(M523*M607)/M420</f>
        <v>#DIV/0!</v>
      </c>
      <c r="N622" s="145" t="e">
        <f>(N523*N607)/N420</f>
        <v>#DIV/0!</v>
      </c>
      <c r="O622" s="145" t="e">
        <f>(O523*O607)/O420</f>
        <v>#DIV/0!</v>
      </c>
      <c r="P622" s="145" t="e">
        <f>(P523*P607)/P420</f>
        <v>#DIV/0!</v>
      </c>
      <c r="Q622" s="145" t="e">
        <f>(Q523*Q607)/Q420</f>
        <v>#DIV/0!</v>
      </c>
      <c r="R622" s="149" t="e">
        <f>(R523*R607)/R435</f>
        <v>#DIV/0!</v>
      </c>
      <c r="S622" s="146" t="e">
        <f t="shared" ref="S622:AF622" si="399">(S523*S607)/S420</f>
        <v>#DIV/0!</v>
      </c>
      <c r="T622" s="146" t="e">
        <f t="shared" si="399"/>
        <v>#DIV/0!</v>
      </c>
      <c r="U622" s="146" t="e">
        <f t="shared" si="399"/>
        <v>#DIV/0!</v>
      </c>
      <c r="V622" s="146" t="e">
        <f t="shared" si="399"/>
        <v>#DIV/0!</v>
      </c>
      <c r="W622" s="146" t="e">
        <f t="shared" si="399"/>
        <v>#DIV/0!</v>
      </c>
      <c r="X622" s="146" t="e">
        <f t="shared" si="399"/>
        <v>#DIV/0!</v>
      </c>
      <c r="Y622" s="146" t="e">
        <f t="shared" si="399"/>
        <v>#DIV/0!</v>
      </c>
      <c r="Z622" s="146" t="e">
        <f t="shared" si="399"/>
        <v>#DIV/0!</v>
      </c>
      <c r="AA622" s="146" t="e">
        <f t="shared" si="399"/>
        <v>#DIV/0!</v>
      </c>
      <c r="AB622" s="146" t="e">
        <f t="shared" si="399"/>
        <v>#DIV/0!</v>
      </c>
      <c r="AC622" s="146" t="e">
        <f t="shared" si="399"/>
        <v>#DIV/0!</v>
      </c>
      <c r="AD622" s="146" t="e">
        <f t="shared" si="399"/>
        <v>#DIV/0!</v>
      </c>
      <c r="AE622" s="146" t="e">
        <f t="shared" si="399"/>
        <v>#DIV/0!</v>
      </c>
      <c r="AF622" s="146" t="e">
        <f t="shared" si="399"/>
        <v>#DIV/0!</v>
      </c>
    </row>
    <row r="623" spans="1:37" x14ac:dyDescent="0.25">
      <c r="B623" s="14" t="s">
        <v>1014</v>
      </c>
      <c r="F623" s="124">
        <f t="shared" ref="F623:AF623" si="400">F621+F622</f>
        <v>1.7062402851891943E-2</v>
      </c>
      <c r="G623" s="124">
        <f t="shared" ref="G623:H623" si="401">G621+G622</f>
        <v>7.6031127704578438E-3</v>
      </c>
      <c r="H623" s="124">
        <f t="shared" si="401"/>
        <v>1.7790556798049847E-2</v>
      </c>
      <c r="I623" s="24">
        <f>I621+I622</f>
        <v>4.35361740215055</v>
      </c>
      <c r="J623" s="24"/>
      <c r="K623" s="24">
        <f>K621+K622</f>
        <v>4.6375512787249162</v>
      </c>
      <c r="M623" s="124" t="e">
        <f t="shared" ref="M623" si="402">M621+M622</f>
        <v>#DIV/0!</v>
      </c>
      <c r="N623" s="124" t="e">
        <f t="shared" si="400"/>
        <v>#DIV/0!</v>
      </c>
      <c r="O623" s="124" t="e">
        <f>O621+O622</f>
        <v>#DIV/0!</v>
      </c>
      <c r="P623" s="24" t="e">
        <f t="shared" si="400"/>
        <v>#DIV/0!</v>
      </c>
      <c r="Q623" s="124" t="e">
        <f t="shared" si="400"/>
        <v>#DIV/0!</v>
      </c>
      <c r="R623" s="24" t="e">
        <f>R621+R622</f>
        <v>#DIV/0!</v>
      </c>
      <c r="S623" s="139" t="e">
        <f t="shared" si="400"/>
        <v>#DIV/0!</v>
      </c>
      <c r="T623" s="139" t="e">
        <f t="shared" si="400"/>
        <v>#REF!</v>
      </c>
      <c r="U623" s="139" t="e">
        <f t="shared" si="400"/>
        <v>#REF!</v>
      </c>
      <c r="V623" s="139" t="e">
        <f t="shared" si="400"/>
        <v>#REF!</v>
      </c>
      <c r="W623" s="139" t="e">
        <f t="shared" si="400"/>
        <v>#REF!</v>
      </c>
      <c r="X623" s="139" t="e">
        <f t="shared" si="400"/>
        <v>#REF!</v>
      </c>
      <c r="Y623" s="139" t="e">
        <f t="shared" si="400"/>
        <v>#REF!</v>
      </c>
      <c r="Z623" s="139" t="e">
        <f t="shared" si="400"/>
        <v>#REF!</v>
      </c>
      <c r="AA623" s="139" t="e">
        <f t="shared" si="400"/>
        <v>#REF!</v>
      </c>
      <c r="AB623" s="139" t="e">
        <f t="shared" si="400"/>
        <v>#REF!</v>
      </c>
      <c r="AC623" s="139" t="e">
        <f t="shared" si="400"/>
        <v>#REF!</v>
      </c>
      <c r="AD623" s="139" t="e">
        <f t="shared" si="400"/>
        <v>#REF!</v>
      </c>
      <c r="AE623" s="139" t="e">
        <f t="shared" si="400"/>
        <v>#REF!</v>
      </c>
      <c r="AF623" s="139" t="e">
        <f t="shared" si="400"/>
        <v>#DIV/0!</v>
      </c>
    </row>
    <row r="624" spans="1:37" x14ac:dyDescent="0.25">
      <c r="J624" s="24"/>
    </row>
    <row r="625" spans="1:37" x14ac:dyDescent="0.25">
      <c r="A625" s="13" t="s">
        <v>669</v>
      </c>
      <c r="J625" s="24"/>
    </row>
    <row r="626" spans="1:37" x14ac:dyDescent="0.25">
      <c r="A626" s="14" t="s">
        <v>670</v>
      </c>
      <c r="F626" s="46">
        <f t="shared" ref="F626:AE626" si="403">F600</f>
        <v>44.52681674995253</v>
      </c>
      <c r="G626" s="46">
        <f t="shared" ref="G626:H626" si="404">G600</f>
        <v>49.648803003642826</v>
      </c>
      <c r="H626" s="46">
        <f t="shared" si="404"/>
        <v>64.798152337396189</v>
      </c>
      <c r="I626" s="46">
        <f t="shared" si="403"/>
        <v>90.627704633077556</v>
      </c>
      <c r="J626" s="24"/>
      <c r="K626" s="46">
        <f t="shared" ref="K626" si="405">K600</f>
        <v>478.94210380543171</v>
      </c>
      <c r="M626" s="46" t="e">
        <f t="shared" ref="M626" si="406">M600</f>
        <v>#DIV/0!</v>
      </c>
      <c r="N626" s="46" t="e">
        <f t="shared" si="403"/>
        <v>#DIV/0!</v>
      </c>
      <c r="O626" s="46" t="e">
        <f t="shared" si="403"/>
        <v>#DIV/0!</v>
      </c>
      <c r="P626" s="46" t="e">
        <f t="shared" si="403"/>
        <v>#DIV/0!</v>
      </c>
      <c r="Q626" s="46" t="e">
        <f t="shared" si="403"/>
        <v>#DIV/0!</v>
      </c>
      <c r="R626" s="46" t="e">
        <f t="shared" si="403"/>
        <v>#DIV/0!</v>
      </c>
      <c r="S626" s="147" t="e">
        <f t="shared" si="403"/>
        <v>#DIV/0!</v>
      </c>
      <c r="T626" s="147" t="e">
        <f t="shared" si="403"/>
        <v>#REF!</v>
      </c>
      <c r="U626" s="147" t="e">
        <f t="shared" si="403"/>
        <v>#REF!</v>
      </c>
      <c r="V626" s="147" t="e">
        <f t="shared" si="403"/>
        <v>#REF!</v>
      </c>
      <c r="W626" s="147" t="e">
        <f t="shared" si="403"/>
        <v>#REF!</v>
      </c>
      <c r="X626" s="147" t="e">
        <f t="shared" si="403"/>
        <v>#REF!</v>
      </c>
      <c r="Y626" s="147" t="e">
        <f t="shared" si="403"/>
        <v>#REF!</v>
      </c>
      <c r="Z626" s="147" t="e">
        <f t="shared" si="403"/>
        <v>#REF!</v>
      </c>
      <c r="AA626" s="147" t="e">
        <f t="shared" si="403"/>
        <v>#REF!</v>
      </c>
      <c r="AB626" s="147" t="e">
        <f t="shared" si="403"/>
        <v>#REF!</v>
      </c>
      <c r="AC626" s="147" t="e">
        <f t="shared" si="403"/>
        <v>#REF!</v>
      </c>
      <c r="AD626" s="147" t="e">
        <f t="shared" si="403"/>
        <v>#REF!</v>
      </c>
      <c r="AE626" s="147" t="e">
        <f t="shared" si="403"/>
        <v>#REF!</v>
      </c>
      <c r="AF626" s="147">
        <f>AF544</f>
        <v>0</v>
      </c>
    </row>
    <row r="627" spans="1:37" ht="15" x14ac:dyDescent="0.4">
      <c r="A627" s="14" t="s">
        <v>671</v>
      </c>
      <c r="D627" s="48"/>
      <c r="F627" s="148">
        <f t="shared" ref="F627:AF627" si="407">(F524*F$607)/F423</f>
        <v>7.1490538625173903</v>
      </c>
      <c r="G627" s="148">
        <f t="shared" ref="G627:H627" si="408">(G524*G$607)/G423</f>
        <v>8.6634130485688541</v>
      </c>
      <c r="H627" s="148">
        <f t="shared" si="408"/>
        <v>12.853140129977902</v>
      </c>
      <c r="I627" s="149">
        <f t="shared" si="407"/>
        <v>19.011534153253848</v>
      </c>
      <c r="J627" s="24"/>
      <c r="K627" s="149">
        <f t="shared" ref="K627" si="409">(K524*K$607)/K423</f>
        <v>32.13598043236653</v>
      </c>
      <c r="M627" s="148" t="e">
        <f t="shared" ref="M627" si="410">(M524*M$607)/M423</f>
        <v>#DIV/0!</v>
      </c>
      <c r="N627" s="149" t="e">
        <f t="shared" si="407"/>
        <v>#DIV/0!</v>
      </c>
      <c r="O627" s="149" t="e">
        <f t="shared" si="407"/>
        <v>#DIV/0!</v>
      </c>
      <c r="P627" s="149" t="e">
        <f t="shared" si="407"/>
        <v>#DIV/0!</v>
      </c>
      <c r="Q627" s="149" t="e">
        <f t="shared" si="407"/>
        <v>#DIV/0!</v>
      </c>
      <c r="R627" s="149" t="e">
        <f t="shared" si="407"/>
        <v>#DIV/0!</v>
      </c>
      <c r="S627" s="150" t="e">
        <f t="shared" si="407"/>
        <v>#DIV/0!</v>
      </c>
      <c r="T627" s="150" t="e">
        <f t="shared" si="407"/>
        <v>#DIV/0!</v>
      </c>
      <c r="U627" s="150" t="e">
        <f t="shared" si="407"/>
        <v>#DIV/0!</v>
      </c>
      <c r="V627" s="150" t="e">
        <f t="shared" si="407"/>
        <v>#DIV/0!</v>
      </c>
      <c r="W627" s="150" t="e">
        <f t="shared" si="407"/>
        <v>#DIV/0!</v>
      </c>
      <c r="X627" s="150" t="e">
        <f t="shared" si="407"/>
        <v>#DIV/0!</v>
      </c>
      <c r="Y627" s="150" t="e">
        <f t="shared" si="407"/>
        <v>#DIV/0!</v>
      </c>
      <c r="Z627" s="150" t="e">
        <f t="shared" si="407"/>
        <v>#DIV/0!</v>
      </c>
      <c r="AA627" s="150" t="e">
        <f t="shared" si="407"/>
        <v>#DIV/0!</v>
      </c>
      <c r="AB627" s="150" t="e">
        <f t="shared" si="407"/>
        <v>#DIV/0!</v>
      </c>
      <c r="AC627" s="150" t="e">
        <f t="shared" si="407"/>
        <v>#DIV/0!</v>
      </c>
      <c r="AD627" s="150" t="e">
        <f t="shared" si="407"/>
        <v>#DIV/0!</v>
      </c>
      <c r="AE627" s="150" t="e">
        <f t="shared" si="407"/>
        <v>#DIV/0!</v>
      </c>
      <c r="AF627" s="150" t="e">
        <f t="shared" si="407"/>
        <v>#DIV/0!</v>
      </c>
    </row>
    <row r="628" spans="1:37" x14ac:dyDescent="0.25">
      <c r="B628" s="14" t="s">
        <v>672</v>
      </c>
      <c r="F628" s="46">
        <f t="shared" ref="F628:AF628" si="411">F626+F627</f>
        <v>51.675870612469922</v>
      </c>
      <c r="G628" s="46">
        <f t="shared" ref="G628:H628" si="412">G626+G627</f>
        <v>58.312216052211681</v>
      </c>
      <c r="H628" s="46">
        <f t="shared" si="412"/>
        <v>77.651292467374091</v>
      </c>
      <c r="I628" s="46">
        <f t="shared" si="411"/>
        <v>109.6392387863314</v>
      </c>
      <c r="J628" s="24"/>
      <c r="K628" s="46">
        <f t="shared" ref="K628" si="413">K626+K627</f>
        <v>511.07808423779824</v>
      </c>
      <c r="M628" s="46" t="e">
        <f t="shared" ref="M628" si="414">M626+M627</f>
        <v>#DIV/0!</v>
      </c>
      <c r="N628" s="46" t="e">
        <f t="shared" si="411"/>
        <v>#DIV/0!</v>
      </c>
      <c r="O628" s="46" t="e">
        <f>O626+O627</f>
        <v>#DIV/0!</v>
      </c>
      <c r="P628" s="46" t="e">
        <f t="shared" si="411"/>
        <v>#DIV/0!</v>
      </c>
      <c r="Q628" s="46" t="e">
        <f t="shared" si="411"/>
        <v>#DIV/0!</v>
      </c>
      <c r="R628" s="46" t="e">
        <f t="shared" si="411"/>
        <v>#DIV/0!</v>
      </c>
      <c r="S628" s="147" t="e">
        <f t="shared" si="411"/>
        <v>#DIV/0!</v>
      </c>
      <c r="T628" s="147" t="e">
        <f t="shared" si="411"/>
        <v>#REF!</v>
      </c>
      <c r="U628" s="147" t="e">
        <f t="shared" si="411"/>
        <v>#REF!</v>
      </c>
      <c r="V628" s="147" t="e">
        <f t="shared" si="411"/>
        <v>#REF!</v>
      </c>
      <c r="W628" s="147" t="e">
        <f t="shared" si="411"/>
        <v>#REF!</v>
      </c>
      <c r="X628" s="147" t="e">
        <f t="shared" si="411"/>
        <v>#REF!</v>
      </c>
      <c r="Y628" s="147" t="e">
        <f t="shared" si="411"/>
        <v>#REF!</v>
      </c>
      <c r="Z628" s="147" t="e">
        <f t="shared" si="411"/>
        <v>#REF!</v>
      </c>
      <c r="AA628" s="147" t="e">
        <f t="shared" si="411"/>
        <v>#REF!</v>
      </c>
      <c r="AB628" s="147" t="e">
        <f t="shared" si="411"/>
        <v>#REF!</v>
      </c>
      <c r="AC628" s="147" t="e">
        <f t="shared" si="411"/>
        <v>#REF!</v>
      </c>
      <c r="AD628" s="147" t="e">
        <f t="shared" si="411"/>
        <v>#REF!</v>
      </c>
      <c r="AE628" s="147" t="e">
        <f t="shared" si="411"/>
        <v>#REF!</v>
      </c>
      <c r="AF628" s="147" t="e">
        <f t="shared" si="411"/>
        <v>#DIV/0!</v>
      </c>
    </row>
    <row r="629" spans="1:37" x14ac:dyDescent="0.25">
      <c r="F629" s="46"/>
      <c r="G629" s="46"/>
      <c r="H629" s="46"/>
      <c r="I629" s="46"/>
      <c r="J629" s="24"/>
      <c r="K629" s="46"/>
      <c r="M629" s="46"/>
      <c r="N629" s="46"/>
      <c r="O629" s="46"/>
      <c r="P629" s="46"/>
      <c r="Q629" s="46"/>
      <c r="R629" s="46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</row>
    <row r="630" spans="1:37" x14ac:dyDescent="0.25">
      <c r="J630" s="24"/>
    </row>
    <row r="631" spans="1:37" x14ac:dyDescent="0.25">
      <c r="J631" s="2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K631" s="50"/>
    </row>
    <row r="632" spans="1:37" x14ac:dyDescent="0.25">
      <c r="A632" s="26" t="s">
        <v>876</v>
      </c>
      <c r="F632" s="155"/>
      <c r="J632" s="24"/>
      <c r="K632" s="155"/>
      <c r="Q632" s="46"/>
      <c r="R632" s="46"/>
      <c r="S632" s="9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K632" s="50"/>
    </row>
    <row r="633" spans="1:37" x14ac:dyDescent="0.25">
      <c r="J633" s="2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K633" s="50"/>
    </row>
    <row r="634" spans="1:37" x14ac:dyDescent="0.25">
      <c r="A634" s="13" t="s">
        <v>877</v>
      </c>
      <c r="E634" s="47">
        <f>E330</f>
        <v>1.3733570355262268E-2</v>
      </c>
      <c r="F634" s="156">
        <f t="shared" ref="F634:K634" si="415">F394</f>
        <v>1.3065551371203247E-2</v>
      </c>
      <c r="G634" s="156">
        <f t="shared" si="415"/>
        <v>-5.2209090093005062E-2</v>
      </c>
      <c r="H634" s="156">
        <f t="shared" si="415"/>
        <v>-1.7853293392733199E-2</v>
      </c>
      <c r="I634" s="156">
        <f t="shared" si="415"/>
        <v>3.2024951464523818E-2</v>
      </c>
      <c r="J634" s="24"/>
      <c r="K634" s="156">
        <f t="shared" si="415"/>
        <v>1.5450226343884734E-2</v>
      </c>
      <c r="M634" s="156" t="e">
        <f t="shared" ref="M634:R634" si="416">M394</f>
        <v>#DIV/0!</v>
      </c>
      <c r="N634" s="156" t="e">
        <f t="shared" si="416"/>
        <v>#DIV/0!</v>
      </c>
      <c r="O634" s="156" t="e">
        <f t="shared" si="416"/>
        <v>#DIV/0!</v>
      </c>
      <c r="P634" s="156" t="e">
        <f t="shared" si="416"/>
        <v>#DIV/0!</v>
      </c>
      <c r="Q634" s="156" t="e">
        <f t="shared" si="416"/>
        <v>#DIV/0!</v>
      </c>
      <c r="R634" s="156" t="e">
        <f t="shared" si="416"/>
        <v>#DIV/0!</v>
      </c>
      <c r="S634" s="156">
        <f>S315</f>
        <v>0</v>
      </c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K634" s="50"/>
    </row>
    <row r="635" spans="1:37" x14ac:dyDescent="0.25">
      <c r="F635" s="156"/>
      <c r="G635" s="156"/>
      <c r="H635" s="156"/>
      <c r="I635" s="156"/>
      <c r="J635" s="24"/>
      <c r="K635" s="156"/>
      <c r="M635" s="156"/>
      <c r="S635" s="75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K635" s="50"/>
    </row>
    <row r="636" spans="1:37" x14ac:dyDescent="0.25">
      <c r="B636" s="14" t="s">
        <v>878</v>
      </c>
      <c r="F636" s="157">
        <f t="shared" ref="F636:R636" si="417">F577</f>
        <v>47.229664103028924</v>
      </c>
      <c r="G636" s="157">
        <f t="shared" ref="G636:H636" si="418">G577</f>
        <v>36.560590030649266</v>
      </c>
      <c r="H636" s="157">
        <f t="shared" si="418"/>
        <v>58.158080277249049</v>
      </c>
      <c r="I636" s="157">
        <f t="shared" si="417"/>
        <v>108.24547124019539</v>
      </c>
      <c r="J636" s="24"/>
      <c r="K636" s="157">
        <f t="shared" ref="K636" si="419">K577</f>
        <v>493.30928630676232</v>
      </c>
      <c r="M636" s="157" t="e">
        <f t="shared" ref="M636" si="420">M577</f>
        <v>#DIV/0!</v>
      </c>
      <c r="N636" s="157" t="e">
        <f t="shared" si="417"/>
        <v>#DIV/0!</v>
      </c>
      <c r="O636" s="157" t="e">
        <f t="shared" si="417"/>
        <v>#DIV/0!</v>
      </c>
      <c r="P636" s="157" t="e">
        <f t="shared" si="417"/>
        <v>#DIV/0!</v>
      </c>
      <c r="Q636" s="157" t="e">
        <f t="shared" si="417"/>
        <v>#DIV/0!</v>
      </c>
      <c r="R636" s="157" t="e">
        <f t="shared" si="417"/>
        <v>#DIV/0!</v>
      </c>
      <c r="S636" s="157">
        <f>S578</f>
        <v>0</v>
      </c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K636" s="50"/>
    </row>
    <row r="637" spans="1:37" x14ac:dyDescent="0.25">
      <c r="B637" s="14" t="s">
        <v>761</v>
      </c>
      <c r="F637" s="158">
        <f>F559+F560+F561+F562+F567+F572</f>
        <v>0.10035242466238146</v>
      </c>
      <c r="G637" s="158">
        <f>G559+G560+G561+G562+G567+G572</f>
        <v>6.369780747636683E-2</v>
      </c>
      <c r="H637" s="158">
        <f>H559+H560+H561+H562+H567+H572</f>
        <v>8.8551654757831513E-2</v>
      </c>
      <c r="I637" s="158">
        <f>I561+I562</f>
        <v>5.3309988398735096E-2</v>
      </c>
      <c r="J637" s="24"/>
      <c r="K637" s="158">
        <f>K561+K562</f>
        <v>5.2783847367329363E-2</v>
      </c>
      <c r="M637" s="158" t="e">
        <f>M559+M560+M561+M562+M567+M572</f>
        <v>#DIV/0!</v>
      </c>
      <c r="N637" s="158" t="e">
        <f>N559+N560+N561+N562+N567+N572</f>
        <v>#DIV/0!</v>
      </c>
      <c r="O637" s="158" t="e">
        <f>O559+O560+O561+O562+O567+O572</f>
        <v>#DIV/0!</v>
      </c>
      <c r="P637" s="158" t="e">
        <f>P559+P560+P561+P562+P567+P572</f>
        <v>#DIV/0!</v>
      </c>
      <c r="Q637" s="158" t="e">
        <f>Q559+Q560+Q561+Q562+Q567+Q572</f>
        <v>#DIV/0!</v>
      </c>
      <c r="R637" s="158" t="e">
        <f>R561+R562</f>
        <v>#DIV/0!</v>
      </c>
      <c r="S637" s="158" t="e">
        <f>S561+S566+S571+S572</f>
        <v>#DIV/0!</v>
      </c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K637" s="50"/>
    </row>
    <row r="638" spans="1:37" x14ac:dyDescent="0.25">
      <c r="B638" s="14" t="s">
        <v>879</v>
      </c>
      <c r="F638" s="157">
        <v>0</v>
      </c>
      <c r="G638" s="157">
        <v>0</v>
      </c>
      <c r="H638" s="157">
        <v>0</v>
      </c>
      <c r="I638" s="157">
        <f>I559+I560+I567+I572</f>
        <v>11.442453488652475</v>
      </c>
      <c r="J638" s="24"/>
      <c r="K638" s="157">
        <f>K559+K560+K567+K572</f>
        <v>12.41900747746358</v>
      </c>
      <c r="M638" s="157">
        <v>0</v>
      </c>
      <c r="N638" s="157">
        <v>0</v>
      </c>
      <c r="O638" s="157">
        <v>0</v>
      </c>
      <c r="P638" s="157">
        <v>0</v>
      </c>
      <c r="Q638" s="157">
        <v>0</v>
      </c>
      <c r="R638" s="157" t="e">
        <f>R559+R560+R567+R572</f>
        <v>#DIV/0!</v>
      </c>
      <c r="S638" s="157">
        <v>0</v>
      </c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K638" s="50"/>
    </row>
    <row r="639" spans="1:37" x14ac:dyDescent="0.25">
      <c r="F639" s="27"/>
      <c r="G639" s="27"/>
      <c r="H639" s="27"/>
      <c r="I639" s="27"/>
      <c r="J639" s="24"/>
      <c r="K639" s="27"/>
      <c r="M639" s="27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K639" s="50"/>
    </row>
    <row r="640" spans="1:37" x14ac:dyDescent="0.25">
      <c r="A640" s="13" t="s">
        <v>880</v>
      </c>
      <c r="E640" s="47">
        <f>E394</f>
        <v>1.0586888993711862E-2</v>
      </c>
      <c r="F640" s="156">
        <f>E640</f>
        <v>1.0586888993711862E-2</v>
      </c>
      <c r="G640" s="156">
        <f t="shared" ref="G640:M640" si="421">F640</f>
        <v>1.0586888993711862E-2</v>
      </c>
      <c r="H640" s="156">
        <f t="shared" si="421"/>
        <v>1.0586888993711862E-2</v>
      </c>
      <c r="I640" s="156">
        <f t="shared" si="421"/>
        <v>1.0586888993711862E-2</v>
      </c>
      <c r="J640" s="24"/>
      <c r="K640" s="156">
        <f t="shared" si="421"/>
        <v>0</v>
      </c>
      <c r="M640" s="156">
        <f t="shared" si="421"/>
        <v>0</v>
      </c>
      <c r="N640" s="156">
        <f t="shared" ref="N640:R640" si="422">M640</f>
        <v>0</v>
      </c>
      <c r="O640" s="156">
        <f t="shared" si="422"/>
        <v>0</v>
      </c>
      <c r="P640" s="156">
        <f t="shared" si="422"/>
        <v>0</v>
      </c>
      <c r="Q640" s="156">
        <f t="shared" si="422"/>
        <v>0</v>
      </c>
      <c r="R640" s="156">
        <f t="shared" si="422"/>
        <v>0</v>
      </c>
      <c r="S640" s="156">
        <f>$E$392</f>
        <v>145760700.83865386</v>
      </c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K640" s="50"/>
    </row>
    <row r="641" spans="1:37" x14ac:dyDescent="0.25">
      <c r="F641" s="156"/>
      <c r="G641" s="156"/>
      <c r="H641" s="156"/>
      <c r="I641" s="156"/>
      <c r="J641" s="24"/>
      <c r="K641" s="156"/>
      <c r="M641" s="156"/>
      <c r="N641" s="156"/>
      <c r="O641" s="156"/>
      <c r="P641" s="156"/>
      <c r="Q641" s="156"/>
      <c r="R641" s="156"/>
      <c r="S641" s="156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K641" s="50"/>
    </row>
    <row r="642" spans="1:37" x14ac:dyDescent="0.25">
      <c r="B642" s="14" t="s">
        <v>878</v>
      </c>
      <c r="F642" s="157">
        <f t="shared" ref="F642:M642" si="423">F602</f>
        <v>46.716907629472182</v>
      </c>
      <c r="G642" s="157">
        <f t="shared" si="423"/>
        <v>52.302813208078604</v>
      </c>
      <c r="H642" s="157">
        <f t="shared" si="423"/>
        <v>68.735672674099916</v>
      </c>
      <c r="I642" s="157">
        <f t="shared" si="423"/>
        <v>96.451830224440215</v>
      </c>
      <c r="J642" s="24"/>
      <c r="K642" s="157">
        <f t="shared" si="423"/>
        <v>488.78686354606748</v>
      </c>
      <c r="M642" s="157" t="e">
        <f t="shared" si="423"/>
        <v>#DIV/0!</v>
      </c>
      <c r="N642" s="157" t="e">
        <f t="shared" ref="N642:S642" si="424">N602</f>
        <v>#DIV/0!</v>
      </c>
      <c r="O642" s="157" t="e">
        <f t="shared" si="424"/>
        <v>#DIV/0!</v>
      </c>
      <c r="P642" s="157" t="e">
        <f t="shared" si="424"/>
        <v>#DIV/0!</v>
      </c>
      <c r="Q642" s="157" t="e">
        <f t="shared" si="424"/>
        <v>#DIV/0!</v>
      </c>
      <c r="R642" s="157" t="e">
        <f t="shared" si="424"/>
        <v>#DIV/0!</v>
      </c>
      <c r="S642" s="157" t="e">
        <f t="shared" si="424"/>
        <v>#DIV/0!</v>
      </c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K642" s="50"/>
    </row>
    <row r="643" spans="1:37" x14ac:dyDescent="0.25">
      <c r="B643" s="14" t="s">
        <v>761</v>
      </c>
      <c r="F643" s="158">
        <f>F584+F585+F586+F587+F592+F597</f>
        <v>0.10006764553868712</v>
      </c>
      <c r="G643" s="158">
        <f>G584+G585+G586+G587+G592+G597</f>
        <v>6.7090229548625882E-2</v>
      </c>
      <c r="H643" s="158">
        <f>H584+H585+H586+H587+H592+H597</f>
        <v>9.1871367122294476E-2</v>
      </c>
      <c r="I643" s="158">
        <f>I586+I587</f>
        <v>5.3309988398735096E-2</v>
      </c>
      <c r="J643" s="24"/>
      <c r="K643" s="158">
        <f>K586+K587</f>
        <v>5.2783847367329363E-2</v>
      </c>
      <c r="M643" s="158" t="e">
        <f>M584+M585+M586+M587+M592+M597</f>
        <v>#DIV/0!</v>
      </c>
      <c r="N643" s="158" t="e">
        <f>N584+N585+N586+N587+N592+N597</f>
        <v>#DIV/0!</v>
      </c>
      <c r="O643" s="158" t="e">
        <f>O584+O585+O586+O587+O592+O597</f>
        <v>#DIV/0!</v>
      </c>
      <c r="P643" s="158" t="e">
        <f>P584+P585+P586+P587+P592+P597</f>
        <v>#DIV/0!</v>
      </c>
      <c r="Q643" s="158" t="e">
        <f>Q584+Q585+Q586+Q587+Q592+Q597</f>
        <v>#DIV/0!</v>
      </c>
      <c r="R643" s="158" t="e">
        <f>R586+R587</f>
        <v>#DIV/0!</v>
      </c>
      <c r="S643" s="158" t="e">
        <f>S584+S585+S595+S596</f>
        <v>#DIV/0!</v>
      </c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K643" s="50"/>
    </row>
    <row r="644" spans="1:37" x14ac:dyDescent="0.25">
      <c r="B644" s="14" t="s">
        <v>879</v>
      </c>
      <c r="F644" s="157">
        <v>0</v>
      </c>
      <c r="G644" s="157">
        <v>0</v>
      </c>
      <c r="H644" s="157">
        <v>0</v>
      </c>
      <c r="I644" s="157">
        <f>I584+I585+I592+I597</f>
        <v>10.813035487145296</v>
      </c>
      <c r="J644" s="24"/>
      <c r="K644" s="157">
        <f>K584+K585+K592+K597</f>
        <v>12.265177826088653</v>
      </c>
      <c r="M644" s="157">
        <v>0</v>
      </c>
      <c r="N644" s="157">
        <v>0</v>
      </c>
      <c r="O644" s="157">
        <v>0</v>
      </c>
      <c r="P644" s="157">
        <v>0</v>
      </c>
      <c r="Q644" s="157">
        <v>0</v>
      </c>
      <c r="R644" s="157" t="e">
        <f>R584+R585+R592+R597</f>
        <v>#DIV/0!</v>
      </c>
      <c r="S644" s="157">
        <v>0</v>
      </c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 t="s">
        <v>946</v>
      </c>
      <c r="AK644" s="50"/>
    </row>
    <row r="645" spans="1:37" x14ac:dyDescent="0.25">
      <c r="F645" s="27"/>
      <c r="G645" s="27"/>
      <c r="H645" s="27"/>
      <c r="I645" s="27"/>
      <c r="J645" s="24"/>
      <c r="K645" s="27"/>
      <c r="M645" s="27"/>
      <c r="N645" s="27"/>
      <c r="O645" s="27"/>
      <c r="P645" s="27"/>
      <c r="Q645" s="27"/>
      <c r="R645" s="27"/>
      <c r="S645" s="27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K645" s="50"/>
    </row>
    <row r="646" spans="1:37" x14ac:dyDescent="0.25">
      <c r="A646" s="13" t="s">
        <v>881</v>
      </c>
      <c r="E646" s="47">
        <f>C528</f>
        <v>3.4558492691015096E-2</v>
      </c>
      <c r="F646" s="156">
        <f>E646</f>
        <v>3.4558492691015096E-2</v>
      </c>
      <c r="G646" s="156">
        <f t="shared" ref="G646:M646" si="425">F646</f>
        <v>3.4558492691015096E-2</v>
      </c>
      <c r="H646" s="156">
        <f t="shared" si="425"/>
        <v>3.4558492691015096E-2</v>
      </c>
      <c r="I646" s="156">
        <f t="shared" si="425"/>
        <v>3.4558492691015096E-2</v>
      </c>
      <c r="J646" s="24"/>
      <c r="K646" s="156">
        <f t="shared" si="425"/>
        <v>0</v>
      </c>
      <c r="M646" s="156">
        <f t="shared" si="425"/>
        <v>0</v>
      </c>
      <c r="N646" s="156">
        <f t="shared" ref="N646:R646" si="426">M646</f>
        <v>0</v>
      </c>
      <c r="O646" s="156">
        <f t="shared" si="426"/>
        <v>0</v>
      </c>
      <c r="P646" s="156">
        <f t="shared" si="426"/>
        <v>0</v>
      </c>
      <c r="Q646" s="156">
        <f t="shared" si="426"/>
        <v>0</v>
      </c>
      <c r="R646" s="156">
        <f t="shared" si="426"/>
        <v>0</v>
      </c>
      <c r="S646" s="156">
        <f>$C$577</f>
        <v>0</v>
      </c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K646" s="50"/>
    </row>
    <row r="647" spans="1:37" x14ac:dyDescent="0.25">
      <c r="A647" s="13"/>
      <c r="F647" s="156"/>
      <c r="G647" s="156"/>
      <c r="H647" s="156"/>
      <c r="I647" s="156"/>
      <c r="J647" s="24"/>
      <c r="K647" s="156"/>
      <c r="M647" s="156"/>
      <c r="N647" s="156"/>
      <c r="O647" s="156"/>
      <c r="P647" s="156"/>
      <c r="Q647" s="156"/>
      <c r="R647" s="156"/>
      <c r="S647" s="156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K647" s="50"/>
    </row>
    <row r="648" spans="1:37" x14ac:dyDescent="0.25">
      <c r="B648" s="14" t="s">
        <v>878</v>
      </c>
      <c r="F648" s="157">
        <f>F628</f>
        <v>51.675870612469922</v>
      </c>
      <c r="G648" s="157">
        <f>G628</f>
        <v>58.312216052211681</v>
      </c>
      <c r="H648" s="157">
        <f>H628</f>
        <v>77.651292467374091</v>
      </c>
      <c r="I648" s="157">
        <f t="shared" ref="I648:R648" si="427">I628</f>
        <v>109.6392387863314</v>
      </c>
      <c r="J648" s="24"/>
      <c r="K648" s="157">
        <f t="shared" ref="K648" si="428">K628</f>
        <v>511.07808423779824</v>
      </c>
      <c r="M648" s="157" t="e">
        <f>M628</f>
        <v>#DIV/0!</v>
      </c>
      <c r="N648" s="157" t="e">
        <f t="shared" si="427"/>
        <v>#DIV/0!</v>
      </c>
      <c r="O648" s="157" t="e">
        <f t="shared" si="427"/>
        <v>#DIV/0!</v>
      </c>
      <c r="P648" s="157" t="e">
        <f t="shared" si="427"/>
        <v>#DIV/0!</v>
      </c>
      <c r="Q648" s="157" t="e">
        <f t="shared" si="427"/>
        <v>#DIV/0!</v>
      </c>
      <c r="R648" s="157" t="e">
        <f t="shared" si="427"/>
        <v>#DIV/0!</v>
      </c>
      <c r="S648" s="157" t="e">
        <f>S628</f>
        <v>#DIV/0!</v>
      </c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K648" s="50"/>
    </row>
    <row r="649" spans="1:37" x14ac:dyDescent="0.25">
      <c r="B649" s="14" t="s">
        <v>761</v>
      </c>
      <c r="F649" s="158">
        <f>F610+F611+F612+F613+F618+F623</f>
        <v>0.10282179727651891</v>
      </c>
      <c r="G649" s="158">
        <f>G610+G611+G612+G613+G618+G623</f>
        <v>6.8385245546033577E-2</v>
      </c>
      <c r="H649" s="158">
        <f>H610+H611+H612+H613+H618+H623</f>
        <v>9.4669479599515147E-2</v>
      </c>
      <c r="I649" s="158">
        <f>I612+I613</f>
        <v>5.3309988398735096E-2</v>
      </c>
      <c r="J649" s="24"/>
      <c r="K649" s="158">
        <f>K612+K613</f>
        <v>5.2783847367329363E-2</v>
      </c>
      <c r="M649" s="158" t="e">
        <f>M610+M611+M612+M613+M618+M623</f>
        <v>#DIV/0!</v>
      </c>
      <c r="N649" s="158" t="e">
        <f t="shared" ref="N649:Q649" si="429">N610+N611+N612+N613+N618+N623</f>
        <v>#DIV/0!</v>
      </c>
      <c r="O649" s="158" t="e">
        <f t="shared" si="429"/>
        <v>#DIV/0!</v>
      </c>
      <c r="P649" s="158" t="e">
        <f t="shared" si="429"/>
        <v>#DIV/0!</v>
      </c>
      <c r="Q649" s="158" t="e">
        <f t="shared" si="429"/>
        <v>#DIV/0!</v>
      </c>
      <c r="R649" s="158" t="e">
        <f>R612+R613</f>
        <v>#DIV/0!</v>
      </c>
      <c r="S649" s="158" t="e">
        <f>S610+S611+S621+S622</f>
        <v>#DIV/0!</v>
      </c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K649" s="50"/>
    </row>
    <row r="650" spans="1:37" x14ac:dyDescent="0.25">
      <c r="B650" s="14" t="s">
        <v>879</v>
      </c>
      <c r="F650" s="157">
        <v>0</v>
      </c>
      <c r="G650" s="157">
        <v>0</v>
      </c>
      <c r="H650" s="157">
        <v>0</v>
      </c>
      <c r="I650" s="157">
        <f>I610+I611+I618+I623</f>
        <v>11.516837843940428</v>
      </c>
      <c r="J650" s="24"/>
      <c r="K650" s="157">
        <f>K610+K611+K618+K623</f>
        <v>13.023410943419702</v>
      </c>
      <c r="M650" s="157">
        <v>0</v>
      </c>
      <c r="N650" s="157">
        <v>0</v>
      </c>
      <c r="O650" s="157">
        <v>0</v>
      </c>
      <c r="P650" s="157">
        <v>0</v>
      </c>
      <c r="Q650" s="157">
        <v>0</v>
      </c>
      <c r="R650" s="157" t="e">
        <f>R610+R611+R618+R623</f>
        <v>#DIV/0!</v>
      </c>
      <c r="S650" s="157">
        <v>0</v>
      </c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K650" s="50"/>
    </row>
    <row r="651" spans="1:37" x14ac:dyDescent="0.25">
      <c r="B651" s="27"/>
      <c r="G651" s="27"/>
      <c r="H651" s="27"/>
      <c r="I651" s="158"/>
      <c r="J651" s="24"/>
      <c r="K651" s="27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7" x14ac:dyDescent="0.25">
      <c r="J652" s="24"/>
    </row>
    <row r="653" spans="1:37" x14ac:dyDescent="0.25">
      <c r="J653" s="24"/>
    </row>
    <row r="654" spans="1:37" x14ac:dyDescent="0.25">
      <c r="J654" s="24"/>
    </row>
    <row r="655" spans="1:37" x14ac:dyDescent="0.25">
      <c r="J655" s="24"/>
    </row>
  </sheetData>
  <phoneticPr fontId="0" type="noConversion"/>
  <conditionalFormatting sqref="AH1">
    <cfRule type="cellIs" dxfId="2" priority="43" operator="equal">
      <formula>"err"</formula>
    </cfRule>
  </conditionalFormatting>
  <conditionalFormatting sqref="AH4:AH629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Roman,Bold"JACKSON PURCHASE ENERGY CORPORATION
Cost of Service Study
Class Allocation
12 Months Ended August 31, 2023</oddHeader>
    <oddFooter>&amp;RExhibit JW-5
Page &amp;P of &amp;N</oddFooter>
  </headerFooter>
  <rowBreaks count="18" manualBreakCount="18">
    <brk id="42" max="14" man="1"/>
    <brk id="80" max="14" man="1"/>
    <brk id="118" max="14" man="1"/>
    <brk id="156" max="14" man="1"/>
    <brk id="194" max="14" man="1"/>
    <brk id="232" max="14" man="1"/>
    <brk id="270" max="14" man="1"/>
    <brk id="308" max="14" man="1"/>
    <brk id="332" max="14" man="1"/>
    <brk id="395" max="14" man="1"/>
    <brk id="435" max="14" man="1"/>
    <brk id="479" max="14" man="1"/>
    <brk id="498" max="14" man="1"/>
    <brk id="536" max="14" man="1"/>
    <brk id="554" max="14" man="1"/>
    <brk id="579" max="14" man="1"/>
    <brk id="605" max="14" man="1"/>
    <brk id="630" max="14" man="1"/>
  </rowBreaks>
  <colBreaks count="3" manualBreakCount="3">
    <brk id="15" max="651" man="1"/>
    <brk id="19" max="568" man="1"/>
    <brk id="25" max="568" man="1"/>
  </colBreaks>
  <ignoredErrors>
    <ignoredError sqref="F443:M443 F464:M464 F450:M450 F471:M471 I541 I550 F585:I585 F611:I611 M621 M512 E512:F512 F497:K497 F490:J490 E457:M457 M426 M490 L497:M497 L490 F478:K478 M585 M611 I453 L453 K414 G512:L512 I413:J413 F413:H413 K541 K550 K585 K611 F368:I3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07"/>
  <sheetViews>
    <sheetView view="pageBreakPreview" topLeftCell="I1" zoomScale="75" zoomScaleNormal="75" zoomScaleSheetLayoutView="75" workbookViewId="0">
      <selection activeCell="N8" sqref="N8:Q14"/>
    </sheetView>
  </sheetViews>
  <sheetFormatPr defaultColWidth="9.109375" defaultRowHeight="13.2" x14ac:dyDescent="0.25"/>
  <cols>
    <col min="1" max="1" width="48.6640625" style="14" customWidth="1"/>
    <col min="2" max="2" width="10.33203125" style="28" customWidth="1"/>
    <col min="3" max="4" width="12.5546875" style="14" bestFit="1" customWidth="1"/>
    <col min="5" max="5" width="14.88671875" style="14" customWidth="1"/>
    <col min="6" max="6" width="15.5546875" style="14" customWidth="1"/>
    <col min="7" max="7" width="13.109375" style="14" customWidth="1"/>
    <col min="8" max="8" width="14.5546875" style="14" customWidth="1"/>
    <col min="9" max="14" width="12.5546875" style="14" customWidth="1"/>
    <col min="15" max="15" width="14.33203125" style="14" customWidth="1"/>
    <col min="16" max="16" width="14.6640625" style="14" bestFit="1" customWidth="1"/>
    <col min="17" max="17" width="15.6640625" style="14" bestFit="1" customWidth="1"/>
    <col min="18" max="19" width="15.109375" style="14" bestFit="1" customWidth="1"/>
    <col min="20" max="20" width="15.109375" style="14" customWidth="1"/>
    <col min="21" max="21" width="9.109375" style="14"/>
    <col min="22" max="22" width="11.88671875" style="14" bestFit="1" customWidth="1"/>
    <col min="23" max="23" width="14.6640625" style="14" customWidth="1"/>
    <col min="24" max="24" width="15.33203125" style="14" customWidth="1"/>
    <col min="25" max="25" width="9.109375" style="14"/>
    <col min="26" max="26" width="15.33203125" style="14" bestFit="1" customWidth="1"/>
    <col min="27" max="27" width="9.109375" style="14"/>
    <col min="28" max="28" width="12.6640625" style="14" bestFit="1" customWidth="1"/>
    <col min="29" max="16384" width="9.109375" style="14"/>
  </cols>
  <sheetData>
    <row r="1" spans="1:29" x14ac:dyDescent="0.25">
      <c r="A1" s="13" t="s">
        <v>1015</v>
      </c>
    </row>
    <row r="2" spans="1:29" x14ac:dyDescent="0.25">
      <c r="A2" s="14" t="s">
        <v>677</v>
      </c>
    </row>
    <row r="3" spans="1:29" x14ac:dyDescent="0.25">
      <c r="C3" s="159"/>
      <c r="D3" s="27"/>
      <c r="E3" s="27"/>
      <c r="F3" s="22" t="s">
        <v>722</v>
      </c>
      <c r="G3" s="22" t="s">
        <v>685</v>
      </c>
      <c r="H3" s="27"/>
      <c r="I3" s="27"/>
      <c r="J3" s="27"/>
      <c r="K3" s="27"/>
      <c r="M3" s="159"/>
      <c r="N3" s="27"/>
      <c r="O3" s="27"/>
      <c r="Q3" s="22"/>
      <c r="R3" s="22"/>
    </row>
    <row r="4" spans="1:29" x14ac:dyDescent="0.25">
      <c r="A4" s="28"/>
      <c r="C4" s="27"/>
      <c r="D4" s="27"/>
      <c r="E4" s="27"/>
      <c r="F4" s="22" t="s">
        <v>684</v>
      </c>
      <c r="G4" s="22" t="s">
        <v>684</v>
      </c>
      <c r="H4" s="22" t="s">
        <v>694</v>
      </c>
      <c r="I4" s="22" t="s">
        <v>685</v>
      </c>
      <c r="J4" s="22" t="s">
        <v>687</v>
      </c>
      <c r="K4" s="22" t="s">
        <v>688</v>
      </c>
      <c r="M4" s="27"/>
      <c r="N4" s="27"/>
      <c r="O4" s="27"/>
      <c r="P4" s="28"/>
      <c r="Q4" s="22"/>
      <c r="R4" s="22"/>
      <c r="T4" s="28"/>
    </row>
    <row r="5" spans="1:29" s="22" customFormat="1" x14ac:dyDescent="0.25">
      <c r="B5" s="58"/>
      <c r="C5" s="22" t="s">
        <v>581</v>
      </c>
      <c r="F5" s="22" t="s">
        <v>723</v>
      </c>
      <c r="G5" s="22" t="s">
        <v>12</v>
      </c>
      <c r="H5" s="22" t="s">
        <v>695</v>
      </c>
      <c r="I5" s="22" t="s">
        <v>644</v>
      </c>
      <c r="J5" s="22" t="s">
        <v>644</v>
      </c>
      <c r="K5" s="22" t="s">
        <v>644</v>
      </c>
      <c r="L5" s="14"/>
      <c r="M5" s="22" t="str">
        <f>C5</f>
        <v>Average</v>
      </c>
      <c r="O5" s="27" t="s">
        <v>904</v>
      </c>
      <c r="Q5" s="22" t="s">
        <v>904</v>
      </c>
      <c r="U5" s="14"/>
      <c r="V5" s="14"/>
      <c r="W5" s="14"/>
      <c r="X5" s="14"/>
      <c r="Y5" s="14"/>
      <c r="Z5" s="14"/>
      <c r="AA5" s="14"/>
      <c r="AB5" s="14"/>
      <c r="AC5" s="14"/>
    </row>
    <row r="6" spans="1:29" s="22" customFormat="1" x14ac:dyDescent="0.25">
      <c r="A6" s="160" t="s">
        <v>861</v>
      </c>
      <c r="B6" s="161" t="s">
        <v>869</v>
      </c>
      <c r="C6" s="21" t="s">
        <v>583</v>
      </c>
      <c r="D6" s="21" t="s">
        <v>944</v>
      </c>
      <c r="E6" s="21" t="s">
        <v>347</v>
      </c>
      <c r="F6" s="21" t="s">
        <v>10</v>
      </c>
      <c r="G6" s="21" t="s">
        <v>683</v>
      </c>
      <c r="H6" s="21" t="s">
        <v>696</v>
      </c>
      <c r="I6" s="21" t="s">
        <v>686</v>
      </c>
      <c r="J6" s="21" t="s">
        <v>686</v>
      </c>
      <c r="K6" s="21" t="s">
        <v>686</v>
      </c>
      <c r="L6" s="160" t="s">
        <v>861</v>
      </c>
      <c r="M6" s="21" t="str">
        <f t="shared" ref="M6:M25" si="0">C6</f>
        <v>Customers</v>
      </c>
      <c r="N6" s="21" t="str">
        <f t="shared" ref="N6:N14" si="1">D6</f>
        <v>kWh</v>
      </c>
      <c r="O6" s="21" t="s">
        <v>864</v>
      </c>
      <c r="P6" s="21" t="str">
        <f>E6</f>
        <v>Revenue</v>
      </c>
      <c r="Q6" s="21" t="s">
        <v>905</v>
      </c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5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9" x14ac:dyDescent="0.25">
      <c r="A8" s="130" t="str">
        <f>'Summary of Returns'!B10</f>
        <v>R - Residential</v>
      </c>
      <c r="B8" s="241" t="str">
        <f>'Summary of Returns'!C10</f>
        <v>R</v>
      </c>
      <c r="C8" s="162">
        <f>O39/12</f>
        <v>24524.666666666668</v>
      </c>
      <c r="D8" s="162">
        <f>O40</f>
        <v>328446062</v>
      </c>
      <c r="E8" s="164">
        <v>51072587.209999993</v>
      </c>
      <c r="F8" s="35">
        <f>O47</f>
        <v>2502600.7553550093</v>
      </c>
      <c r="G8" s="35">
        <f>P47</f>
        <v>260916.56959378737</v>
      </c>
      <c r="H8" s="163">
        <f>Q43</f>
        <v>122168.29574159505</v>
      </c>
      <c r="I8" s="162">
        <f>R45</f>
        <v>843041.55674455478</v>
      </c>
      <c r="J8" s="162">
        <f>S45</f>
        <v>261980.47317680425</v>
      </c>
      <c r="K8" s="162">
        <f>T45</f>
        <v>581061.08356775052</v>
      </c>
      <c r="L8" s="130" t="str">
        <f>B8</f>
        <v>R</v>
      </c>
      <c r="M8" s="162">
        <f t="shared" si="0"/>
        <v>24524.666666666668</v>
      </c>
      <c r="N8" s="162">
        <f t="shared" si="1"/>
        <v>328446062</v>
      </c>
      <c r="O8" s="68">
        <f t="shared" ref="O8:O23" si="2">D8/$D$25</f>
        <v>0.51573876863850554</v>
      </c>
      <c r="P8" s="164">
        <f t="shared" ref="P8:P23" si="3">E8</f>
        <v>51072587.209999993</v>
      </c>
      <c r="Q8" s="68">
        <f t="shared" ref="Q8:Q23" si="4">E8/$E$25</f>
        <v>0.53662475368159446</v>
      </c>
    </row>
    <row r="9" spans="1:29" x14ac:dyDescent="0.25">
      <c r="A9" s="130" t="str">
        <f>'Summary of Returns'!B11</f>
        <v>C-1 Small Commercial Single Phase</v>
      </c>
      <c r="B9" s="241" t="str">
        <f>'Summary of Returns'!C11</f>
        <v>C1</v>
      </c>
      <c r="C9" s="162">
        <f>O49/12</f>
        <v>4844.166666666667</v>
      </c>
      <c r="D9" s="162">
        <f>O50</f>
        <v>37317394</v>
      </c>
      <c r="E9" s="164">
        <v>6279828.9400000004</v>
      </c>
      <c r="F9" s="35">
        <f>O57</f>
        <v>64338.606106124353</v>
      </c>
      <c r="G9" s="35">
        <f>P57</f>
        <v>20263.207106124359</v>
      </c>
      <c r="H9" s="163">
        <f>Q53</f>
        <v>12551.002561883517</v>
      </c>
      <c r="I9" s="162">
        <f>R55</f>
        <v>82481.637822210949</v>
      </c>
      <c r="J9" s="162">
        <f>S55</f>
        <v>24939.293453062975</v>
      </c>
      <c r="K9" s="162">
        <f>T55</f>
        <v>57542.344369147977</v>
      </c>
      <c r="L9" s="130" t="str">
        <f t="shared" ref="L9:L14" si="5">B9</f>
        <v>C1</v>
      </c>
      <c r="M9" s="162">
        <f t="shared" si="0"/>
        <v>4844.166666666667</v>
      </c>
      <c r="N9" s="162">
        <f t="shared" si="1"/>
        <v>37317394</v>
      </c>
      <c r="O9" s="68">
        <f t="shared" si="2"/>
        <v>5.8597222061861576E-2</v>
      </c>
      <c r="P9" s="164">
        <f t="shared" si="3"/>
        <v>6279828.9400000004</v>
      </c>
      <c r="Q9" s="68">
        <f t="shared" si="4"/>
        <v>6.5982787287310579E-2</v>
      </c>
    </row>
    <row r="10" spans="1:29" x14ac:dyDescent="0.25">
      <c r="A10" s="130" t="str">
        <f>'Summary of Returns'!B12</f>
        <v>C-3 Small Commercial Three Phase</v>
      </c>
      <c r="B10" s="241" t="str">
        <f>'Summary of Returns'!C12</f>
        <v>C3</v>
      </c>
      <c r="C10" s="162">
        <f>O59/12</f>
        <v>514.66666666666663</v>
      </c>
      <c r="D10" s="162">
        <f>O60</f>
        <v>11646814</v>
      </c>
      <c r="E10" s="164">
        <v>1628407.99</v>
      </c>
      <c r="F10" s="35">
        <f>O67</f>
        <v>48801.795889400921</v>
      </c>
      <c r="G10" s="35">
        <f>P67</f>
        <v>4726.3968894009213</v>
      </c>
      <c r="H10" s="163">
        <f>Q63</f>
        <v>4141.5023225761524</v>
      </c>
      <c r="I10" s="162">
        <f>R65</f>
        <v>23455.182324426693</v>
      </c>
      <c r="J10" s="162">
        <f>S65</f>
        <v>6943.6605281106822</v>
      </c>
      <c r="K10" s="162">
        <f>T65</f>
        <v>16511.52179631601</v>
      </c>
      <c r="L10" s="130" t="str">
        <f t="shared" si="5"/>
        <v>C3</v>
      </c>
      <c r="M10" s="162">
        <f t="shared" si="0"/>
        <v>514.66666666666663</v>
      </c>
      <c r="N10" s="162">
        <f t="shared" si="1"/>
        <v>11646814</v>
      </c>
      <c r="O10" s="68">
        <f t="shared" si="2"/>
        <v>1.8288279890905521E-2</v>
      </c>
      <c r="P10" s="164">
        <f t="shared" si="3"/>
        <v>1628407.99</v>
      </c>
      <c r="Q10" s="68">
        <f t="shared" si="4"/>
        <v>1.7109844718338294E-2</v>
      </c>
    </row>
    <row r="11" spans="1:29" x14ac:dyDescent="0.25">
      <c r="A11" s="130" t="str">
        <f>'Summary of Returns'!B13</f>
        <v>D - Commercial and Industrial Demand &lt; 3,000 kW</v>
      </c>
      <c r="B11" s="241" t="str">
        <f>'Summary of Returns'!C13</f>
        <v>D</v>
      </c>
      <c r="C11" s="162">
        <f>O69/12</f>
        <v>646.33333333333337</v>
      </c>
      <c r="D11" s="162">
        <f>O70</f>
        <v>169761237</v>
      </c>
      <c r="E11" s="164">
        <v>19775587.860000003</v>
      </c>
      <c r="F11" s="35">
        <f>O77</f>
        <v>567210.91500000004</v>
      </c>
      <c r="G11" s="35">
        <f>P77</f>
        <v>70829.213999999993</v>
      </c>
      <c r="H11" s="163">
        <f>Q73</f>
        <v>51428.850989995924</v>
      </c>
      <c r="I11" s="162">
        <f>R75</f>
        <v>339158.99961552187</v>
      </c>
      <c r="J11" s="162">
        <f>S75</f>
        <v>80736.992935307469</v>
      </c>
      <c r="K11" s="162">
        <f>T75</f>
        <v>258422.0066802144</v>
      </c>
      <c r="L11" s="130" t="str">
        <f t="shared" si="5"/>
        <v>D</v>
      </c>
      <c r="M11" s="162">
        <f t="shared" si="0"/>
        <v>646.33333333333337</v>
      </c>
      <c r="N11" s="162">
        <f t="shared" si="1"/>
        <v>169761237</v>
      </c>
      <c r="O11" s="68">
        <f t="shared" si="2"/>
        <v>0.2665656905727477</v>
      </c>
      <c r="P11" s="164">
        <f t="shared" si="3"/>
        <v>19775587.860000003</v>
      </c>
      <c r="Q11" s="68">
        <f t="shared" si="4"/>
        <v>0.20778406859724136</v>
      </c>
    </row>
    <row r="12" spans="1:29" x14ac:dyDescent="0.25">
      <c r="A12" s="130" t="str">
        <f>'Summary of Returns'!B14</f>
        <v>D - Commercial and Industrial - DIRECT SERVED</v>
      </c>
      <c r="B12" s="241" t="str">
        <f>'Summary of Returns'!C14</f>
        <v>D</v>
      </c>
      <c r="C12" s="162">
        <f>O79/12</f>
        <v>1</v>
      </c>
      <c r="D12" s="162">
        <f>O80</f>
        <v>65082407</v>
      </c>
      <c r="E12" s="164">
        <v>12887923.620000001</v>
      </c>
      <c r="F12" s="35">
        <f>O87</f>
        <v>41749.199999999997</v>
      </c>
      <c r="G12" s="35">
        <f>P87</f>
        <v>6073.6</v>
      </c>
      <c r="H12" s="163">
        <f>Q83</f>
        <v>6073.6</v>
      </c>
      <c r="I12" s="162">
        <f>R85</f>
        <v>29224.44</v>
      </c>
      <c r="J12" s="162">
        <f>S85</f>
        <v>8655.7799999999988</v>
      </c>
      <c r="K12" s="162">
        <f>T85</f>
        <v>20568.66</v>
      </c>
      <c r="L12" s="130" t="str">
        <f t="shared" si="5"/>
        <v>D</v>
      </c>
      <c r="M12" s="162">
        <f t="shared" si="0"/>
        <v>1</v>
      </c>
      <c r="N12" s="162">
        <f t="shared" si="1"/>
        <v>65082407</v>
      </c>
      <c r="O12" s="68">
        <f t="shared" si="2"/>
        <v>0.1021949243106165</v>
      </c>
      <c r="P12" s="164">
        <f t="shared" si="3"/>
        <v>12887923.620000001</v>
      </c>
      <c r="Q12" s="68">
        <f t="shared" si="4"/>
        <v>0.13541469535531103</v>
      </c>
    </row>
    <row r="13" spans="1:29" x14ac:dyDescent="0.25">
      <c r="A13" s="130" t="str">
        <f>'Summary of Returns'!B15</f>
        <v>I-E - Large Commercial Existing</v>
      </c>
      <c r="B13" s="241" t="str">
        <f>'Summary of Returns'!C15</f>
        <v>I-E</v>
      </c>
      <c r="C13" s="162">
        <f>O89/12</f>
        <v>1</v>
      </c>
      <c r="D13" s="162">
        <f>O90</f>
        <v>18209134</v>
      </c>
      <c r="E13" s="164">
        <v>2101023.02</v>
      </c>
      <c r="F13" s="35">
        <f>O97</f>
        <v>61130.8</v>
      </c>
      <c r="G13" s="35">
        <f>P97</f>
        <v>5480</v>
      </c>
      <c r="H13" s="163">
        <f>Q93</f>
        <v>5480</v>
      </c>
      <c r="I13" s="162">
        <f>R95</f>
        <v>42791.56</v>
      </c>
      <c r="J13" s="162">
        <f>S95</f>
        <v>11153.8</v>
      </c>
      <c r="K13" s="162">
        <f>T95</f>
        <v>31637.759999999998</v>
      </c>
      <c r="L13" s="130" t="str">
        <f t="shared" si="5"/>
        <v>I-E</v>
      </c>
      <c r="M13" s="162">
        <f t="shared" si="0"/>
        <v>1</v>
      </c>
      <c r="N13" s="162">
        <f t="shared" si="1"/>
        <v>18209134</v>
      </c>
      <c r="O13" s="68">
        <f t="shared" si="2"/>
        <v>2.8592689740130132E-2</v>
      </c>
      <c r="P13" s="164">
        <f t="shared" si="3"/>
        <v>2101023.02</v>
      </c>
      <c r="Q13" s="68">
        <f t="shared" si="4"/>
        <v>2.2075657846565941E-2</v>
      </c>
    </row>
    <row r="14" spans="1:29" x14ac:dyDescent="0.25">
      <c r="A14" s="130" t="str">
        <f>'Summary of Returns'!B16</f>
        <v>OL - Outdoor Lighting</v>
      </c>
      <c r="B14" s="241" t="str">
        <f>'Summary of Returns'!C16</f>
        <v>OL</v>
      </c>
      <c r="C14" s="162">
        <f>O99/12</f>
        <v>106.41666666666667</v>
      </c>
      <c r="D14" s="162">
        <f>O100</f>
        <v>6382739</v>
      </c>
      <c r="E14" s="164">
        <v>1428385.8800000001</v>
      </c>
      <c r="F14" s="35">
        <f>O107</f>
        <v>17504.839823348695</v>
      </c>
      <c r="G14" s="35">
        <f>P107</f>
        <v>1592.7142857142858</v>
      </c>
      <c r="H14" s="163">
        <f>Q103</f>
        <v>1592.7142857142858</v>
      </c>
      <c r="I14" s="162">
        <f>R105</f>
        <v>8981.6245903737836</v>
      </c>
      <c r="J14" s="162">
        <f>S105</f>
        <v>0</v>
      </c>
      <c r="K14" s="162">
        <f>T105</f>
        <v>8981.6245903737836</v>
      </c>
      <c r="L14" s="130" t="str">
        <f t="shared" si="5"/>
        <v>OL</v>
      </c>
      <c r="M14" s="162">
        <f t="shared" si="0"/>
        <v>106.41666666666667</v>
      </c>
      <c r="N14" s="162">
        <f t="shared" si="1"/>
        <v>6382739</v>
      </c>
      <c r="O14" s="68">
        <f t="shared" si="2"/>
        <v>1.0022424785232974E-2</v>
      </c>
      <c r="P14" s="164">
        <f t="shared" si="3"/>
        <v>1428385.8800000001</v>
      </c>
      <c r="Q14" s="68">
        <f t="shared" si="4"/>
        <v>1.5008192513638427E-2</v>
      </c>
    </row>
    <row r="15" spans="1:29" hidden="1" x14ac:dyDescent="0.25">
      <c r="A15" s="130">
        <f>'Summary of Returns'!B17</f>
        <v>0</v>
      </c>
      <c r="B15" s="241">
        <f>'Summary of Returns'!C17</f>
        <v>0</v>
      </c>
      <c r="C15" s="162">
        <f>O109/12</f>
        <v>0</v>
      </c>
      <c r="D15" s="162">
        <f>O110</f>
        <v>0</v>
      </c>
      <c r="E15" s="164">
        <v>0</v>
      </c>
      <c r="F15" s="35">
        <f>O117</f>
        <v>0</v>
      </c>
      <c r="G15" s="35">
        <f>P117</f>
        <v>0</v>
      </c>
      <c r="H15" s="163">
        <f>Q113</f>
        <v>0</v>
      </c>
      <c r="I15" s="162">
        <f>R115</f>
        <v>0</v>
      </c>
      <c r="J15" s="162">
        <f>S115</f>
        <v>0</v>
      </c>
      <c r="K15" s="162">
        <f>T115</f>
        <v>0</v>
      </c>
      <c r="L15" s="130">
        <f t="shared" ref="L15" si="6">A15</f>
        <v>0</v>
      </c>
      <c r="M15" s="162">
        <f t="shared" si="0"/>
        <v>0</v>
      </c>
      <c r="N15" s="162">
        <f t="shared" ref="N15:N25" si="7">D15</f>
        <v>0</v>
      </c>
      <c r="O15" s="68">
        <f t="shared" si="2"/>
        <v>0</v>
      </c>
      <c r="P15" s="164">
        <f t="shared" si="3"/>
        <v>0</v>
      </c>
      <c r="Q15" s="68">
        <f t="shared" si="4"/>
        <v>0</v>
      </c>
    </row>
    <row r="16" spans="1:29" hidden="1" x14ac:dyDescent="0.25">
      <c r="A16" s="130">
        <f>'Summary of Returns'!B18</f>
        <v>0</v>
      </c>
      <c r="B16" s="241">
        <f>'Summary of Returns'!C18</f>
        <v>0</v>
      </c>
      <c r="C16" s="162">
        <v>0</v>
      </c>
      <c r="D16" s="162">
        <f>O120</f>
        <v>0</v>
      </c>
      <c r="E16" s="162">
        <v>0</v>
      </c>
      <c r="F16" s="35">
        <f>O127</f>
        <v>0</v>
      </c>
      <c r="G16" s="35">
        <f>P127</f>
        <v>0</v>
      </c>
      <c r="H16" s="163">
        <f>Q123</f>
        <v>0</v>
      </c>
      <c r="I16" s="162">
        <f>R125</f>
        <v>0</v>
      </c>
      <c r="J16" s="162">
        <f>S125</f>
        <v>0</v>
      </c>
      <c r="K16" s="162">
        <f>T125</f>
        <v>0</v>
      </c>
      <c r="L16" s="130">
        <f>'Summary of Returns'!L18</f>
        <v>0</v>
      </c>
      <c r="M16" s="162">
        <f t="shared" si="0"/>
        <v>0</v>
      </c>
      <c r="N16" s="162">
        <f t="shared" si="7"/>
        <v>0</v>
      </c>
      <c r="O16" s="162">
        <f t="shared" si="2"/>
        <v>0</v>
      </c>
      <c r="P16" s="164">
        <f t="shared" si="3"/>
        <v>0</v>
      </c>
      <c r="Q16" s="162">
        <f t="shared" si="4"/>
        <v>0</v>
      </c>
    </row>
    <row r="17" spans="1:23" hidden="1" x14ac:dyDescent="0.25">
      <c r="A17" s="130">
        <f>'Summary of Returns'!B19</f>
        <v>0</v>
      </c>
      <c r="B17" s="241">
        <f>'Summary of Returns'!C19</f>
        <v>0</v>
      </c>
      <c r="C17" s="162">
        <v>0</v>
      </c>
      <c r="D17" s="162">
        <f>O130</f>
        <v>0</v>
      </c>
      <c r="E17" s="162">
        <v>0</v>
      </c>
      <c r="F17" s="35">
        <f>O137</f>
        <v>0</v>
      </c>
      <c r="G17" s="35">
        <f>P137</f>
        <v>0</v>
      </c>
      <c r="H17" s="163">
        <f>Q133</f>
        <v>0</v>
      </c>
      <c r="I17" s="162">
        <f>R135</f>
        <v>0</v>
      </c>
      <c r="J17" s="162">
        <f>S135</f>
        <v>0</v>
      </c>
      <c r="K17" s="162">
        <f>T135</f>
        <v>0</v>
      </c>
      <c r="L17" s="130">
        <f>'Summary of Returns'!L19</f>
        <v>0</v>
      </c>
      <c r="M17" s="162">
        <f t="shared" si="0"/>
        <v>0</v>
      </c>
      <c r="N17" s="162">
        <f t="shared" si="7"/>
        <v>0</v>
      </c>
      <c r="O17" s="162">
        <f t="shared" si="2"/>
        <v>0</v>
      </c>
      <c r="P17" s="164">
        <f t="shared" si="3"/>
        <v>0</v>
      </c>
      <c r="Q17" s="162">
        <f t="shared" si="4"/>
        <v>0</v>
      </c>
    </row>
    <row r="18" spans="1:23" hidden="1" x14ac:dyDescent="0.25">
      <c r="A18" s="130">
        <f>'Summary of Returns'!B20</f>
        <v>0</v>
      </c>
      <c r="B18" s="241">
        <f>'Summary of Returns'!C20</f>
        <v>0</v>
      </c>
      <c r="C18" s="162">
        <v>0</v>
      </c>
      <c r="D18" s="162">
        <f>O140</f>
        <v>0</v>
      </c>
      <c r="E18" s="162">
        <v>0</v>
      </c>
      <c r="F18" s="35">
        <f>O147</f>
        <v>0</v>
      </c>
      <c r="G18" s="35">
        <f>P147</f>
        <v>0</v>
      </c>
      <c r="H18" s="162">
        <f>Q143</f>
        <v>0</v>
      </c>
      <c r="I18" s="162">
        <f>R145</f>
        <v>0</v>
      </c>
      <c r="J18" s="162">
        <f>S145</f>
        <v>0</v>
      </c>
      <c r="K18" s="162">
        <f>T145</f>
        <v>0</v>
      </c>
      <c r="L18" s="130">
        <f>'Summary of Returns'!L20</f>
        <v>0</v>
      </c>
      <c r="M18" s="162">
        <f t="shared" si="0"/>
        <v>0</v>
      </c>
      <c r="N18" s="162">
        <f t="shared" si="7"/>
        <v>0</v>
      </c>
      <c r="O18" s="162">
        <f t="shared" si="2"/>
        <v>0</v>
      </c>
      <c r="P18" s="164">
        <f t="shared" si="3"/>
        <v>0</v>
      </c>
      <c r="Q18" s="162">
        <f t="shared" si="4"/>
        <v>0</v>
      </c>
    </row>
    <row r="19" spans="1:23" hidden="1" x14ac:dyDescent="0.25">
      <c r="A19" s="130">
        <f>'Summary of Returns'!B21</f>
        <v>0</v>
      </c>
      <c r="B19" s="241">
        <f>'Summary of Returns'!C21</f>
        <v>0</v>
      </c>
      <c r="C19" s="162">
        <v>0</v>
      </c>
      <c r="D19" s="162">
        <f>O150</f>
        <v>0</v>
      </c>
      <c r="E19" s="162">
        <v>0</v>
      </c>
      <c r="F19" s="35">
        <f>O157</f>
        <v>0</v>
      </c>
      <c r="G19" s="35">
        <f>P157</f>
        <v>0</v>
      </c>
      <c r="H19" s="35">
        <f>Q153</f>
        <v>0</v>
      </c>
      <c r="I19" s="162">
        <f>R155</f>
        <v>0</v>
      </c>
      <c r="J19" s="162">
        <f>S155</f>
        <v>0</v>
      </c>
      <c r="K19" s="162">
        <f>T155</f>
        <v>0</v>
      </c>
      <c r="L19" s="130">
        <f>'Summary of Returns'!L21</f>
        <v>0</v>
      </c>
      <c r="M19" s="162">
        <f t="shared" si="0"/>
        <v>0</v>
      </c>
      <c r="N19" s="162">
        <f t="shared" si="7"/>
        <v>0</v>
      </c>
      <c r="O19" s="162">
        <f t="shared" si="2"/>
        <v>0</v>
      </c>
      <c r="P19" s="164">
        <f t="shared" si="3"/>
        <v>0</v>
      </c>
      <c r="Q19" s="162">
        <f t="shared" si="4"/>
        <v>0</v>
      </c>
    </row>
    <row r="20" spans="1:23" hidden="1" x14ac:dyDescent="0.25">
      <c r="A20" s="130">
        <f>'Summary of Returns'!B22</f>
        <v>0</v>
      </c>
      <c r="B20" s="241">
        <f>'Summary of Returns'!C22</f>
        <v>0</v>
      </c>
      <c r="C20" s="162">
        <v>0</v>
      </c>
      <c r="D20" s="162">
        <f>O160</f>
        <v>0</v>
      </c>
      <c r="E20" s="162">
        <v>0</v>
      </c>
      <c r="F20" s="35">
        <f>O167</f>
        <v>0</v>
      </c>
      <c r="G20" s="35">
        <f>P167</f>
        <v>0</v>
      </c>
      <c r="H20" s="163">
        <f>Q163</f>
        <v>0</v>
      </c>
      <c r="I20" s="162">
        <f>R165</f>
        <v>0</v>
      </c>
      <c r="J20" s="162">
        <f>S165</f>
        <v>0</v>
      </c>
      <c r="K20" s="162">
        <f>T165</f>
        <v>0</v>
      </c>
      <c r="L20" s="130">
        <f>'Summary of Returns'!L22</f>
        <v>0</v>
      </c>
      <c r="M20" s="162">
        <f t="shared" si="0"/>
        <v>0</v>
      </c>
      <c r="N20" s="162">
        <f t="shared" si="7"/>
        <v>0</v>
      </c>
      <c r="O20" s="162">
        <f t="shared" si="2"/>
        <v>0</v>
      </c>
      <c r="P20" s="164">
        <f t="shared" si="3"/>
        <v>0</v>
      </c>
      <c r="Q20" s="162">
        <f t="shared" si="4"/>
        <v>0</v>
      </c>
    </row>
    <row r="21" spans="1:23" hidden="1" x14ac:dyDescent="0.25">
      <c r="A21" s="130">
        <f>'Summary of Returns'!B23</f>
        <v>0</v>
      </c>
      <c r="B21" s="241">
        <f>'Summary of Returns'!C23</f>
        <v>0</v>
      </c>
      <c r="C21" s="162">
        <v>0</v>
      </c>
      <c r="D21" s="162">
        <f>O170</f>
        <v>0</v>
      </c>
      <c r="E21" s="162"/>
      <c r="F21" s="35">
        <f>O177</f>
        <v>0</v>
      </c>
      <c r="G21" s="35">
        <f>P177</f>
        <v>0</v>
      </c>
      <c r="H21" s="163">
        <f>Q173</f>
        <v>0</v>
      </c>
      <c r="I21" s="162">
        <f>R175</f>
        <v>0</v>
      </c>
      <c r="J21" s="162">
        <f>S175</f>
        <v>0</v>
      </c>
      <c r="K21" s="162">
        <f>T175</f>
        <v>0</v>
      </c>
      <c r="L21" s="130">
        <f>'Summary of Returns'!L23</f>
        <v>0</v>
      </c>
      <c r="M21" s="162">
        <f t="shared" si="0"/>
        <v>0</v>
      </c>
      <c r="N21" s="162">
        <f t="shared" si="7"/>
        <v>0</v>
      </c>
      <c r="O21" s="162">
        <f t="shared" si="2"/>
        <v>0</v>
      </c>
      <c r="P21" s="162">
        <f t="shared" si="3"/>
        <v>0</v>
      </c>
      <c r="Q21" s="162">
        <f t="shared" si="4"/>
        <v>0</v>
      </c>
    </row>
    <row r="22" spans="1:23" hidden="1" x14ac:dyDescent="0.25">
      <c r="A22" s="130">
        <f>'Summary of Returns'!B24</f>
        <v>0</v>
      </c>
      <c r="B22" s="241">
        <f>'Summary of Returns'!C24</f>
        <v>0</v>
      </c>
      <c r="C22" s="162">
        <v>0</v>
      </c>
      <c r="D22" s="162">
        <f>O180</f>
        <v>0</v>
      </c>
      <c r="E22" s="162"/>
      <c r="F22" s="35">
        <f>O187</f>
        <v>0</v>
      </c>
      <c r="G22" s="35">
        <f>P187</f>
        <v>0</v>
      </c>
      <c r="H22" s="163">
        <f>Q183</f>
        <v>0</v>
      </c>
      <c r="I22" s="162">
        <f>R185</f>
        <v>0</v>
      </c>
      <c r="J22" s="162">
        <f>S185</f>
        <v>0</v>
      </c>
      <c r="K22" s="162">
        <f>T185</f>
        <v>0</v>
      </c>
      <c r="L22" s="130">
        <f>'Summary of Returns'!L24</f>
        <v>0</v>
      </c>
      <c r="M22" s="162">
        <f t="shared" si="0"/>
        <v>0</v>
      </c>
      <c r="N22" s="162">
        <f t="shared" si="7"/>
        <v>0</v>
      </c>
      <c r="O22" s="162">
        <f t="shared" si="2"/>
        <v>0</v>
      </c>
      <c r="P22" s="162">
        <f t="shared" si="3"/>
        <v>0</v>
      </c>
      <c r="Q22" s="162">
        <f t="shared" si="4"/>
        <v>0</v>
      </c>
    </row>
    <row r="23" spans="1:23" hidden="1" x14ac:dyDescent="0.25">
      <c r="A23" s="130">
        <f>'Summary of Returns'!B25</f>
        <v>0</v>
      </c>
      <c r="B23" s="241">
        <f>'Summary of Returns'!C25</f>
        <v>0</v>
      </c>
      <c r="C23" s="162">
        <v>0</v>
      </c>
      <c r="D23" s="162">
        <f>O190</f>
        <v>0</v>
      </c>
      <c r="E23" s="162"/>
      <c r="F23" s="35">
        <f>O197</f>
        <v>0</v>
      </c>
      <c r="G23" s="35">
        <f>P197</f>
        <v>0</v>
      </c>
      <c r="H23" s="163">
        <f>Q193</f>
        <v>0</v>
      </c>
      <c r="I23" s="162">
        <f>R195</f>
        <v>0</v>
      </c>
      <c r="J23" s="162">
        <f>S195</f>
        <v>0</v>
      </c>
      <c r="K23" s="162">
        <f>T195</f>
        <v>0</v>
      </c>
      <c r="L23" s="130">
        <f>'Summary of Returns'!L25</f>
        <v>0</v>
      </c>
      <c r="M23" s="162">
        <f t="shared" si="0"/>
        <v>0</v>
      </c>
      <c r="N23" s="162">
        <f t="shared" si="7"/>
        <v>0</v>
      </c>
      <c r="O23" s="162">
        <f t="shared" si="2"/>
        <v>0</v>
      </c>
      <c r="P23" s="162">
        <f t="shared" si="3"/>
        <v>0</v>
      </c>
      <c r="Q23" s="162">
        <f t="shared" si="4"/>
        <v>0</v>
      </c>
    </row>
    <row r="24" spans="1:23" x14ac:dyDescent="0.25">
      <c r="A24" s="31"/>
      <c r="C24" s="162"/>
      <c r="D24" s="162"/>
      <c r="E24" s="162"/>
      <c r="F24" s="35"/>
      <c r="G24" s="35"/>
      <c r="H24" s="35"/>
      <c r="I24" s="35"/>
      <c r="J24" s="35"/>
      <c r="K24" s="35"/>
      <c r="L24" s="31"/>
      <c r="M24" s="162"/>
      <c r="N24" s="162"/>
      <c r="O24" s="162"/>
      <c r="P24" s="162"/>
      <c r="Q24" s="68"/>
    </row>
    <row r="25" spans="1:23" x14ac:dyDescent="0.25">
      <c r="A25" s="25" t="s">
        <v>0</v>
      </c>
      <c r="B25" s="242"/>
      <c r="C25" s="166">
        <f t="shared" ref="C25:K25" si="8">SUM(C8:C24)</f>
        <v>30638.250000000004</v>
      </c>
      <c r="D25" s="166">
        <f t="shared" si="8"/>
        <v>636845787</v>
      </c>
      <c r="E25" s="167">
        <f t="shared" si="8"/>
        <v>95173744.519999996</v>
      </c>
      <c r="F25" s="168">
        <f t="shared" si="8"/>
        <v>3303336.9121738835</v>
      </c>
      <c r="G25" s="168">
        <f t="shared" si="8"/>
        <v>369881.70187502686</v>
      </c>
      <c r="H25" s="168">
        <f t="shared" si="8"/>
        <v>203435.96590176495</v>
      </c>
      <c r="I25" s="168">
        <f t="shared" si="8"/>
        <v>1369135.001097088</v>
      </c>
      <c r="J25" s="168">
        <f t="shared" si="8"/>
        <v>394410.0000932854</v>
      </c>
      <c r="K25" s="168">
        <f t="shared" si="8"/>
        <v>974725.00100380287</v>
      </c>
      <c r="L25" s="25" t="s">
        <v>0</v>
      </c>
      <c r="M25" s="166">
        <f t="shared" si="0"/>
        <v>30638.250000000004</v>
      </c>
      <c r="N25" s="166">
        <f t="shared" si="7"/>
        <v>636845787</v>
      </c>
      <c r="O25" s="169">
        <f>D25/$D$25</f>
        <v>1</v>
      </c>
      <c r="P25" s="167">
        <f>E25</f>
        <v>95173744.519999996</v>
      </c>
      <c r="Q25" s="169">
        <f>E25/$E$25</f>
        <v>1</v>
      </c>
    </row>
    <row r="26" spans="1:23" x14ac:dyDescent="0.25">
      <c r="A26" s="31"/>
      <c r="C26" s="205"/>
      <c r="D26" s="205"/>
      <c r="E26" s="206"/>
      <c r="F26" s="35"/>
      <c r="G26" s="35"/>
      <c r="H26" s="35"/>
      <c r="I26" s="35"/>
      <c r="J26" s="35"/>
      <c r="K26" s="35"/>
      <c r="L26" s="31" t="s">
        <v>1148</v>
      </c>
      <c r="M26" s="205">
        <f>SUM(M8:M13)</f>
        <v>30531.833333333336</v>
      </c>
      <c r="N26" s="205"/>
      <c r="O26" s="206"/>
      <c r="P26" s="165"/>
      <c r="Q26" s="76"/>
    </row>
    <row r="27" spans="1:23" hidden="1" x14ac:dyDescent="0.25">
      <c r="A27" s="31"/>
      <c r="B27" s="28" t="s">
        <v>1188</v>
      </c>
      <c r="C27" s="50"/>
      <c r="D27" s="162"/>
      <c r="E27" s="164">
        <v>94026216.040000007</v>
      </c>
      <c r="F27" s="222"/>
      <c r="G27" s="35"/>
      <c r="H27" s="35"/>
      <c r="I27" s="35"/>
      <c r="J27" s="35"/>
      <c r="K27" s="35"/>
      <c r="L27" s="50"/>
      <c r="M27" s="162"/>
      <c r="N27" s="162"/>
      <c r="O27" s="164"/>
      <c r="P27" s="50"/>
      <c r="Q27" s="165"/>
      <c r="R27" s="165"/>
    </row>
    <row r="28" spans="1:23" hidden="1" x14ac:dyDescent="0.25">
      <c r="B28" s="28" t="s">
        <v>963</v>
      </c>
      <c r="C28" s="162"/>
      <c r="D28" s="162"/>
      <c r="E28" s="164">
        <f>E25-E27</f>
        <v>1147528.4799999893</v>
      </c>
      <c r="F28" s="214"/>
      <c r="G28" s="35"/>
      <c r="H28" s="35"/>
      <c r="I28" s="35"/>
      <c r="J28" s="35"/>
      <c r="K28" s="35"/>
      <c r="L28" s="50"/>
      <c r="M28" s="162"/>
      <c r="N28" s="162"/>
      <c r="O28" s="164"/>
      <c r="Q28" s="35"/>
    </row>
    <row r="29" spans="1:23" hidden="1" x14ac:dyDescent="0.25">
      <c r="B29" s="28" t="s">
        <v>963</v>
      </c>
      <c r="C29" s="204"/>
      <c r="D29" s="204"/>
      <c r="E29" s="204">
        <f>E28/E27</f>
        <v>1.2204346067822355E-2</v>
      </c>
      <c r="F29" s="214"/>
      <c r="G29" s="208"/>
      <c r="H29" s="35"/>
      <c r="I29" s="35"/>
      <c r="J29" s="35"/>
      <c r="K29" s="35"/>
      <c r="L29" s="50"/>
      <c r="M29" s="162"/>
      <c r="N29" s="162"/>
      <c r="O29" s="162"/>
      <c r="Q29" s="35"/>
    </row>
    <row r="30" spans="1:23" hidden="1" x14ac:dyDescent="0.25">
      <c r="C30" s="204"/>
      <c r="D30" s="204"/>
      <c r="E30" s="204"/>
      <c r="F30" s="35"/>
      <c r="G30" s="35"/>
      <c r="H30" s="35"/>
      <c r="I30" s="35"/>
      <c r="J30" s="35"/>
      <c r="K30" s="35"/>
      <c r="L30" s="50"/>
      <c r="M30" s="162"/>
      <c r="N30" s="162"/>
      <c r="O30" s="162"/>
      <c r="Q30" s="35"/>
    </row>
    <row r="31" spans="1:23" x14ac:dyDescent="0.25">
      <c r="C31" s="16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3" x14ac:dyDescent="0.25"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U32" s="130"/>
      <c r="W32" s="130"/>
    </row>
    <row r="33" spans="1:23" x14ac:dyDescent="0.25">
      <c r="A33" s="13" t="str">
        <f>A1</f>
        <v>JACKSON ENERGY COOPERATIVE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70"/>
      <c r="P33" s="170"/>
      <c r="Q33" s="170"/>
      <c r="U33" s="130"/>
      <c r="W33" s="130"/>
    </row>
    <row r="34" spans="1:23" x14ac:dyDescent="0.25">
      <c r="A34" s="14" t="s">
        <v>677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70"/>
      <c r="P34" s="170"/>
      <c r="Q34" s="170"/>
      <c r="U34" s="130"/>
      <c r="W34" s="130"/>
    </row>
    <row r="35" spans="1:23" ht="30.75" customHeight="1" x14ac:dyDescent="0.25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71" t="s">
        <v>694</v>
      </c>
    </row>
    <row r="36" spans="1:23" s="237" customFormat="1" x14ac:dyDescent="0.25">
      <c r="B36" s="243"/>
      <c r="C36" s="238">
        <f>C201</f>
        <v>-2.1682353690266609E-8</v>
      </c>
      <c r="D36" s="238">
        <f t="shared" ref="D36:N36" si="9">D201</f>
        <v>-1.1338779586367309E-5</v>
      </c>
      <c r="E36" s="238">
        <f t="shared" si="9"/>
        <v>-2.5118027406278998E-4</v>
      </c>
      <c r="F36" s="238">
        <f t="shared" si="9"/>
        <v>-9.0540110250003636E-5</v>
      </c>
      <c r="G36" s="238">
        <f t="shared" si="9"/>
        <v>-3.5086131538264453E-4</v>
      </c>
      <c r="H36" s="238">
        <f t="shared" si="9"/>
        <v>-9.0221292339265347E-5</v>
      </c>
      <c r="I36" s="238">
        <f t="shared" si="9"/>
        <v>-1.8840946722775698E-6</v>
      </c>
      <c r="J36" s="238">
        <f t="shared" si="9"/>
        <v>-1.1799565982073545E-6</v>
      </c>
      <c r="K36" s="238">
        <f t="shared" si="9"/>
        <v>-5.1803071983158588E-6</v>
      </c>
      <c r="L36" s="238">
        <f t="shared" si="9"/>
        <v>-5.3449184633791447E-8</v>
      </c>
      <c r="M36" s="238">
        <f t="shared" si="9"/>
        <v>-2.9331594123505056E-4</v>
      </c>
      <c r="N36" s="238">
        <f t="shared" si="9"/>
        <v>-1.310836523771286E-6</v>
      </c>
      <c r="O36" s="238"/>
      <c r="P36" s="239" t="s">
        <v>689</v>
      </c>
      <c r="Q36" s="240" t="s">
        <v>695</v>
      </c>
      <c r="R36" s="239" t="s">
        <v>685</v>
      </c>
      <c r="S36" s="239" t="s">
        <v>687</v>
      </c>
      <c r="T36" s="239" t="s">
        <v>688</v>
      </c>
    </row>
    <row r="37" spans="1:23" s="176" customFormat="1" ht="16.8" x14ac:dyDescent="0.55000000000000004">
      <c r="A37" s="172" t="s">
        <v>868</v>
      </c>
      <c r="B37" s="173" t="s">
        <v>869</v>
      </c>
      <c r="C37" s="174">
        <v>44927</v>
      </c>
      <c r="D37" s="174">
        <v>44958</v>
      </c>
      <c r="E37" s="174">
        <v>44986</v>
      </c>
      <c r="F37" s="174">
        <v>45017</v>
      </c>
      <c r="G37" s="174">
        <v>45047</v>
      </c>
      <c r="H37" s="174">
        <v>45078</v>
      </c>
      <c r="I37" s="174">
        <v>45108</v>
      </c>
      <c r="J37" s="174">
        <v>45139</v>
      </c>
      <c r="K37" s="174">
        <v>44805</v>
      </c>
      <c r="L37" s="174">
        <v>44835</v>
      </c>
      <c r="M37" s="174">
        <v>44866</v>
      </c>
      <c r="N37" s="174">
        <v>44896</v>
      </c>
      <c r="O37" s="175" t="s">
        <v>0</v>
      </c>
      <c r="P37" s="175" t="s">
        <v>683</v>
      </c>
      <c r="Q37" s="175" t="s">
        <v>696</v>
      </c>
      <c r="R37" s="175" t="s">
        <v>690</v>
      </c>
      <c r="S37" s="175" t="s">
        <v>690</v>
      </c>
      <c r="T37" s="175" t="s">
        <v>690</v>
      </c>
    </row>
    <row r="38" spans="1:23" x14ac:dyDescent="0.25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5">
      <c r="A39" s="15" t="str">
        <f>A8</f>
        <v>R - Residential</v>
      </c>
      <c r="B39" s="58" t="str">
        <f>B8</f>
        <v>R</v>
      </c>
      <c r="C39" s="50">
        <v>25100</v>
      </c>
      <c r="D39" s="50">
        <v>24072</v>
      </c>
      <c r="E39" s="50">
        <v>23793</v>
      </c>
      <c r="F39" s="50">
        <v>23790</v>
      </c>
      <c r="G39" s="50">
        <v>23779</v>
      </c>
      <c r="H39" s="50">
        <v>23824</v>
      </c>
      <c r="I39" s="50">
        <v>23821</v>
      </c>
      <c r="J39" s="50">
        <v>23853</v>
      </c>
      <c r="K39" s="50">
        <v>25578</v>
      </c>
      <c r="L39" s="50">
        <v>25594</v>
      </c>
      <c r="M39" s="50">
        <v>25613</v>
      </c>
      <c r="N39" s="50">
        <v>25479</v>
      </c>
      <c r="O39" s="50">
        <f>SUM(C39:N39)</f>
        <v>294296</v>
      </c>
      <c r="P39" s="50"/>
      <c r="Q39" s="35"/>
    </row>
    <row r="40" spans="1:23" x14ac:dyDescent="0.25">
      <c r="A40" s="14" t="s">
        <v>944</v>
      </c>
      <c r="C40" s="50">
        <v>34763363</v>
      </c>
      <c r="D40" s="50">
        <v>31169818</v>
      </c>
      <c r="E40" s="50">
        <v>23559010</v>
      </c>
      <c r="F40" s="50">
        <v>22774537</v>
      </c>
      <c r="G40" s="50">
        <v>19106227</v>
      </c>
      <c r="H40" s="50">
        <v>24681118</v>
      </c>
      <c r="I40" s="50">
        <v>31613277</v>
      </c>
      <c r="J40" s="50">
        <v>34941947</v>
      </c>
      <c r="K40" s="50">
        <v>33414893</v>
      </c>
      <c r="L40" s="50">
        <v>24218886</v>
      </c>
      <c r="M40" s="50">
        <v>20007686</v>
      </c>
      <c r="N40" s="50">
        <v>28195300</v>
      </c>
      <c r="O40" s="50">
        <f>SUM(C40:N40)</f>
        <v>328446062</v>
      </c>
      <c r="P40" s="170"/>
      <c r="Q40" s="170"/>
      <c r="U40" s="130"/>
      <c r="W40" s="130"/>
    </row>
    <row r="41" spans="1:23" x14ac:dyDescent="0.25">
      <c r="A41" s="14" t="s">
        <v>680</v>
      </c>
      <c r="C41" s="50">
        <f>C40/744</f>
        <v>46724.950268817207</v>
      </c>
      <c r="D41" s="48">
        <f>D40/672</f>
        <v>46383.657738095237</v>
      </c>
      <c r="E41" s="50">
        <f t="shared" ref="E41:N41" si="10">E40/744</f>
        <v>31665.336021505376</v>
      </c>
      <c r="F41" s="50">
        <f>F40/720</f>
        <v>31631.301388888889</v>
      </c>
      <c r="G41" s="50">
        <f t="shared" si="10"/>
        <v>25680.412634408603</v>
      </c>
      <c r="H41" s="48">
        <f>H40/720</f>
        <v>34279.330555555556</v>
      </c>
      <c r="I41" s="48">
        <f>I40/744</f>
        <v>42490.963709677417</v>
      </c>
      <c r="J41" s="50">
        <f t="shared" si="10"/>
        <v>46964.982526881722</v>
      </c>
      <c r="K41" s="50">
        <f>K40/720</f>
        <v>46409.573611111111</v>
      </c>
      <c r="L41" s="50">
        <f t="shared" si="10"/>
        <v>32552.266129032258</v>
      </c>
      <c r="M41" s="50">
        <f>M40/720</f>
        <v>27788.452777777777</v>
      </c>
      <c r="N41" s="50">
        <f t="shared" si="10"/>
        <v>37896.908602150535</v>
      </c>
      <c r="O41" s="50">
        <f>O40/8760</f>
        <v>37493.842694063926</v>
      </c>
      <c r="P41" s="50"/>
      <c r="Q41" s="50"/>
    </row>
    <row r="42" spans="1:23" x14ac:dyDescent="0.25">
      <c r="A42" s="14" t="s">
        <v>755</v>
      </c>
      <c r="B42" s="28" t="s">
        <v>1101</v>
      </c>
      <c r="C42" s="68">
        <v>0.58463834240245982</v>
      </c>
      <c r="D42" s="68">
        <v>0.64556061758543748</v>
      </c>
      <c r="E42" s="68">
        <v>0.51646302481767237</v>
      </c>
      <c r="F42" s="68">
        <v>0.72458689755573014</v>
      </c>
      <c r="G42" s="68">
        <v>0.39841039324327565</v>
      </c>
      <c r="H42" s="68">
        <v>0.38159652930635329</v>
      </c>
      <c r="I42" s="68">
        <v>0.42772191807178084</v>
      </c>
      <c r="J42" s="68">
        <v>0.51427310080458755</v>
      </c>
      <c r="K42" s="68">
        <v>0.43916412109059449</v>
      </c>
      <c r="L42" s="68">
        <v>0.65749061467939351</v>
      </c>
      <c r="M42" s="68">
        <v>0.36086569960240389</v>
      </c>
      <c r="N42" s="68">
        <v>0.31020248233885811</v>
      </c>
      <c r="O42" s="68"/>
      <c r="Q42" s="35"/>
    </row>
    <row r="43" spans="1:23" x14ac:dyDescent="0.25">
      <c r="A43" s="14" t="s">
        <v>756</v>
      </c>
      <c r="C43" s="50">
        <f>C41/C42</f>
        <v>79921.118544517507</v>
      </c>
      <c r="D43" s="50">
        <f t="shared" ref="D43:N43" si="11">D41/D42</f>
        <v>71850.197292985482</v>
      </c>
      <c r="E43" s="50">
        <f t="shared" si="11"/>
        <v>61311.912953854211</v>
      </c>
      <c r="F43" s="50">
        <f t="shared" si="11"/>
        <v>43654.25526681709</v>
      </c>
      <c r="G43" s="50">
        <f t="shared" si="11"/>
        <v>64457.185530116782</v>
      </c>
      <c r="H43" s="50">
        <f t="shared" si="11"/>
        <v>89831.347831875653</v>
      </c>
      <c r="I43" s="50">
        <f t="shared" si="11"/>
        <v>99342.497810800822</v>
      </c>
      <c r="J43" s="50">
        <f t="shared" si="11"/>
        <v>91323.039166163551</v>
      </c>
      <c r="K43" s="50">
        <f t="shared" si="11"/>
        <v>105677.0609945555</v>
      </c>
      <c r="L43" s="50">
        <f t="shared" si="11"/>
        <v>49509.856722297758</v>
      </c>
      <c r="M43" s="50">
        <f t="shared" si="11"/>
        <v>77004.971124700009</v>
      </c>
      <c r="N43" s="50">
        <f t="shared" si="11"/>
        <v>122168.29574159505</v>
      </c>
      <c r="O43" s="50">
        <f>SUM(C43:N43)</f>
        <v>956051.73898027942</v>
      </c>
      <c r="Q43" s="35">
        <f>MAX(C43:N43)</f>
        <v>122168.29574159505</v>
      </c>
    </row>
    <row r="44" spans="1:23" x14ac:dyDescent="0.25">
      <c r="A44" s="14" t="s">
        <v>681</v>
      </c>
      <c r="C44" s="68">
        <v>0.9</v>
      </c>
      <c r="D44" s="68">
        <v>0.9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5">
      <c r="A45" s="14" t="s">
        <v>682</v>
      </c>
      <c r="C45" s="50">
        <f>C43*C44</f>
        <v>71929.006690065755</v>
      </c>
      <c r="D45" s="50">
        <f t="shared" ref="D45:N45" si="12">D43*D44</f>
        <v>64665.177563686935</v>
      </c>
      <c r="E45" s="50">
        <f t="shared" si="12"/>
        <v>52115.126010776075</v>
      </c>
      <c r="F45" s="50">
        <f t="shared" si="12"/>
        <v>34923.404213453672</v>
      </c>
      <c r="G45" s="50">
        <f t="shared" si="12"/>
        <v>54788.607700599263</v>
      </c>
      <c r="H45" s="50">
        <f t="shared" si="12"/>
        <v>80848.213048688092</v>
      </c>
      <c r="I45" s="50">
        <f t="shared" si="12"/>
        <v>94375.372920260779</v>
      </c>
      <c r="J45" s="50">
        <f t="shared" si="12"/>
        <v>86756.887207855369</v>
      </c>
      <c r="K45" s="50">
        <f t="shared" si="12"/>
        <v>95109.354895099954</v>
      </c>
      <c r="L45" s="50">
        <f t="shared" si="12"/>
        <v>42083.378213953096</v>
      </c>
      <c r="M45" s="50">
        <f t="shared" si="12"/>
        <v>61603.976899760011</v>
      </c>
      <c r="N45" s="50">
        <f t="shared" si="12"/>
        <v>103843.05138035578</v>
      </c>
      <c r="O45" s="50">
        <f>SUM(C45:N45)</f>
        <v>843041.55674455478</v>
      </c>
      <c r="P45" s="50"/>
      <c r="Q45" s="35"/>
      <c r="R45" s="35">
        <f>O45</f>
        <v>843041.55674455478</v>
      </c>
      <c r="S45" s="35">
        <f>H45+I45+J45</f>
        <v>261980.47317680425</v>
      </c>
      <c r="T45" s="35">
        <f>R45-S45</f>
        <v>581061.08356775052</v>
      </c>
    </row>
    <row r="46" spans="1:23" x14ac:dyDescent="0.25">
      <c r="A46" s="14" t="s">
        <v>757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70"/>
      <c r="Q46" s="170"/>
      <c r="U46" s="130"/>
      <c r="W46" s="130"/>
    </row>
    <row r="47" spans="1:23" x14ac:dyDescent="0.25">
      <c r="A47" s="14" t="s">
        <v>758</v>
      </c>
      <c r="C47" s="50">
        <f>C41/C46</f>
        <v>259583.05704898448</v>
      </c>
      <c r="D47" s="50">
        <f t="shared" ref="D47:N47" si="13">D41/D46</f>
        <v>257686.98743386244</v>
      </c>
      <c r="E47" s="50">
        <f t="shared" si="13"/>
        <v>175918.53345280766</v>
      </c>
      <c r="F47" s="50">
        <f t="shared" si="13"/>
        <v>175729.45216049385</v>
      </c>
      <c r="G47" s="50">
        <f t="shared" si="13"/>
        <v>142668.95908004779</v>
      </c>
      <c r="H47" s="50">
        <f t="shared" si="13"/>
        <v>190440.725308642</v>
      </c>
      <c r="I47" s="50">
        <f t="shared" si="13"/>
        <v>236060.90949820788</v>
      </c>
      <c r="J47" s="50">
        <f t="shared" si="13"/>
        <v>260916.56959378737</v>
      </c>
      <c r="K47" s="50">
        <f t="shared" si="13"/>
        <v>257830.96450617284</v>
      </c>
      <c r="L47" s="50">
        <f t="shared" si="13"/>
        <v>180845.92293906811</v>
      </c>
      <c r="M47" s="50">
        <f t="shared" si="13"/>
        <v>154380.29320987655</v>
      </c>
      <c r="N47" s="50">
        <f t="shared" si="13"/>
        <v>210538.38112305853</v>
      </c>
      <c r="O47" s="50">
        <f>SUM(C47:N47)</f>
        <v>2502600.7553550093</v>
      </c>
      <c r="P47" s="50">
        <f>MAX(C47:N47)</f>
        <v>260916.56959378737</v>
      </c>
      <c r="Q47" s="50"/>
    </row>
    <row r="48" spans="1:23" x14ac:dyDescent="0.25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5">
      <c r="A49" s="15" t="str">
        <f>A9</f>
        <v>C-1 Small Commercial Single Phase</v>
      </c>
      <c r="B49" s="58" t="str">
        <f>B9</f>
        <v>C1</v>
      </c>
      <c r="C49" s="50">
        <v>4290</v>
      </c>
      <c r="D49" s="50">
        <v>5311</v>
      </c>
      <c r="E49" s="50">
        <v>5579</v>
      </c>
      <c r="F49" s="50">
        <v>5576</v>
      </c>
      <c r="G49" s="50">
        <v>5559</v>
      </c>
      <c r="H49" s="50">
        <v>5554</v>
      </c>
      <c r="I49" s="50">
        <v>5563</v>
      </c>
      <c r="J49" s="50">
        <v>5572</v>
      </c>
      <c r="K49" s="50">
        <v>3747</v>
      </c>
      <c r="L49" s="50">
        <v>3757</v>
      </c>
      <c r="M49" s="50">
        <v>3770</v>
      </c>
      <c r="N49" s="50">
        <v>3852</v>
      </c>
      <c r="O49" s="50">
        <f>SUM(C49:N49)</f>
        <v>58130</v>
      </c>
      <c r="P49" s="50"/>
      <c r="Q49" s="35"/>
    </row>
    <row r="50" spans="1:23" x14ac:dyDescent="0.25">
      <c r="A50" s="14" t="s">
        <v>944</v>
      </c>
      <c r="C50" s="50">
        <v>3467440</v>
      </c>
      <c r="D50" s="50">
        <v>3919757</v>
      </c>
      <c r="E50" s="50">
        <v>2991441</v>
      </c>
      <c r="F50" s="50">
        <v>2569715</v>
      </c>
      <c r="G50" s="50">
        <v>2567822</v>
      </c>
      <c r="H50" s="50">
        <v>3095264</v>
      </c>
      <c r="I50" s="50">
        <v>3689641</v>
      </c>
      <c r="J50" s="50">
        <v>3976250</v>
      </c>
      <c r="K50" s="50">
        <v>3142645</v>
      </c>
      <c r="L50" s="50">
        <v>2574457</v>
      </c>
      <c r="M50" s="50">
        <v>2426308</v>
      </c>
      <c r="N50" s="50">
        <v>2896654</v>
      </c>
      <c r="O50" s="50">
        <f>SUM(C50:N50)</f>
        <v>37317394</v>
      </c>
      <c r="P50" s="170"/>
      <c r="Q50" s="170"/>
      <c r="U50" s="130"/>
      <c r="W50" s="130"/>
    </row>
    <row r="51" spans="1:23" x14ac:dyDescent="0.25">
      <c r="A51" s="14" t="s">
        <v>680</v>
      </c>
      <c r="C51" s="50">
        <f>C50/744</f>
        <v>4660.5376344086026</v>
      </c>
      <c r="D51" s="48">
        <f>D50/672</f>
        <v>5832.9717261904761</v>
      </c>
      <c r="E51" s="50">
        <f t="shared" ref="E51:N51" si="14">E50/744</f>
        <v>4020.7540322580644</v>
      </c>
      <c r="F51" s="50">
        <f>F50/720</f>
        <v>3569.0486111111113</v>
      </c>
      <c r="G51" s="50">
        <f t="shared" si="14"/>
        <v>3451.3736559139784</v>
      </c>
      <c r="H51" s="48">
        <f>H50/720</f>
        <v>4298.9777777777781</v>
      </c>
      <c r="I51" s="48">
        <f>I50/744</f>
        <v>4959.1948924731187</v>
      </c>
      <c r="J51" s="50">
        <f t="shared" si="14"/>
        <v>5344.4220430107525</v>
      </c>
      <c r="K51" s="50">
        <f>K50/720</f>
        <v>4364.7847222222226</v>
      </c>
      <c r="L51" s="50">
        <f t="shared" si="14"/>
        <v>3460.2916666666665</v>
      </c>
      <c r="M51" s="50">
        <f>M50/720</f>
        <v>3369.8722222222223</v>
      </c>
      <c r="N51" s="50">
        <f t="shared" si="14"/>
        <v>3893.3521505376343</v>
      </c>
      <c r="O51" s="50">
        <f>O50/8760</f>
        <v>4259.9764840182652</v>
      </c>
      <c r="P51" s="50"/>
      <c r="Q51" s="50"/>
    </row>
    <row r="52" spans="1:23" x14ac:dyDescent="0.25">
      <c r="A52" s="14" t="s">
        <v>755</v>
      </c>
      <c r="C52" s="68">
        <v>0.50532120340067488</v>
      </c>
      <c r="D52" s="68">
        <f t="shared" ref="D52:N52" si="15">D42</f>
        <v>0.64556061758543748</v>
      </c>
      <c r="E52" s="68">
        <f t="shared" si="15"/>
        <v>0.51646302481767237</v>
      </c>
      <c r="F52" s="68">
        <f t="shared" si="15"/>
        <v>0.72458689755573014</v>
      </c>
      <c r="G52" s="68">
        <f t="shared" si="15"/>
        <v>0.39841039324327565</v>
      </c>
      <c r="H52" s="68">
        <f t="shared" si="15"/>
        <v>0.38159652930635329</v>
      </c>
      <c r="I52" s="68">
        <f t="shared" si="15"/>
        <v>0.42772191807178084</v>
      </c>
      <c r="J52" s="68">
        <f t="shared" si="15"/>
        <v>0.51427310080458755</v>
      </c>
      <c r="K52" s="68">
        <f t="shared" si="15"/>
        <v>0.43916412109059449</v>
      </c>
      <c r="L52" s="68">
        <f t="shared" si="15"/>
        <v>0.65749061467939351</v>
      </c>
      <c r="M52" s="68">
        <f t="shared" si="15"/>
        <v>0.36086569960240389</v>
      </c>
      <c r="N52" s="68">
        <f t="shared" si="15"/>
        <v>0.31020248233885811</v>
      </c>
      <c r="O52" s="68"/>
      <c r="Q52" s="35"/>
    </row>
    <row r="53" spans="1:23" x14ac:dyDescent="0.25">
      <c r="A53" s="14" t="s">
        <v>756</v>
      </c>
      <c r="C53" s="50">
        <f>C51/C52</f>
        <v>9222.9211896204761</v>
      </c>
      <c r="D53" s="50">
        <f t="shared" ref="D53:N53" si="16">D51/D52</f>
        <v>9035.5135788909938</v>
      </c>
      <c r="E53" s="50">
        <f t="shared" si="16"/>
        <v>7785.1730696065151</v>
      </c>
      <c r="F53" s="50">
        <f t="shared" si="16"/>
        <v>4925.6322784067524</v>
      </c>
      <c r="G53" s="50">
        <f t="shared" si="16"/>
        <v>8662.8604937183845</v>
      </c>
      <c r="H53" s="50">
        <f t="shared" si="16"/>
        <v>11265.76749949021</v>
      </c>
      <c r="I53" s="50">
        <f t="shared" si="16"/>
        <v>11594.437139975746</v>
      </c>
      <c r="J53" s="50">
        <f t="shared" si="16"/>
        <v>10392.186631284678</v>
      </c>
      <c r="K53" s="50">
        <f t="shared" si="16"/>
        <v>9938.8463506148255</v>
      </c>
      <c r="L53" s="50">
        <f t="shared" si="16"/>
        <v>5262.8761375612621</v>
      </c>
      <c r="M53" s="50">
        <f t="shared" si="16"/>
        <v>9338.3001652279345</v>
      </c>
      <c r="N53" s="50">
        <f t="shared" si="16"/>
        <v>12551.002561883517</v>
      </c>
      <c r="O53" s="50">
        <f>SUM(C53:N53)</f>
        <v>109975.5170962813</v>
      </c>
      <c r="Q53" s="35">
        <f>MAX(C53:N53)</f>
        <v>12551.002561883517</v>
      </c>
    </row>
    <row r="54" spans="1:23" x14ac:dyDescent="0.25">
      <c r="A54" s="14" t="s">
        <v>681</v>
      </c>
      <c r="C54" s="68">
        <v>0.75</v>
      </c>
      <c r="D54" s="68">
        <v>0.75</v>
      </c>
      <c r="E54" s="68">
        <v>0.75</v>
      </c>
      <c r="F54" s="68">
        <v>0.75</v>
      </c>
      <c r="G54" s="68">
        <v>0.75</v>
      </c>
      <c r="H54" s="68">
        <v>0.75</v>
      </c>
      <c r="I54" s="68">
        <v>0.75</v>
      </c>
      <c r="J54" s="68">
        <v>0.75</v>
      </c>
      <c r="K54" s="68">
        <v>0.75</v>
      </c>
      <c r="L54" s="68">
        <v>0.75</v>
      </c>
      <c r="M54" s="68">
        <v>0.75</v>
      </c>
      <c r="N54" s="68">
        <v>0.75</v>
      </c>
      <c r="O54" s="68"/>
      <c r="P54" s="50"/>
      <c r="Q54" s="35"/>
    </row>
    <row r="55" spans="1:23" x14ac:dyDescent="0.25">
      <c r="A55" s="14" t="s">
        <v>682</v>
      </c>
      <c r="C55" s="50">
        <f>C53*C54</f>
        <v>6917.1908922153571</v>
      </c>
      <c r="D55" s="50">
        <f t="shared" ref="D55:N55" si="17">D53*D54</f>
        <v>6776.6351841682454</v>
      </c>
      <c r="E55" s="50">
        <f t="shared" si="17"/>
        <v>5838.8798022048868</v>
      </c>
      <c r="F55" s="50">
        <f t="shared" si="17"/>
        <v>3694.2242088050643</v>
      </c>
      <c r="G55" s="50">
        <f t="shared" si="17"/>
        <v>6497.1453702887884</v>
      </c>
      <c r="H55" s="50">
        <f t="shared" si="17"/>
        <v>8449.325624617657</v>
      </c>
      <c r="I55" s="50">
        <f t="shared" si="17"/>
        <v>8695.8278549818097</v>
      </c>
      <c r="J55" s="50">
        <f t="shared" si="17"/>
        <v>7794.1399734635088</v>
      </c>
      <c r="K55" s="50">
        <f t="shared" si="17"/>
        <v>7454.1347629611191</v>
      </c>
      <c r="L55" s="50">
        <f t="shared" si="17"/>
        <v>3947.1571031709464</v>
      </c>
      <c r="M55" s="50">
        <f t="shared" si="17"/>
        <v>7003.7251239209509</v>
      </c>
      <c r="N55" s="50">
        <f t="shared" si="17"/>
        <v>9413.2519214126369</v>
      </c>
      <c r="O55" s="50">
        <f>SUM(C55:N55)</f>
        <v>82481.637822210949</v>
      </c>
      <c r="P55" s="50"/>
      <c r="Q55" s="35"/>
      <c r="R55" s="35">
        <f>O55</f>
        <v>82481.637822210949</v>
      </c>
      <c r="S55" s="35">
        <f>H55+I55+J55</f>
        <v>24939.293453062975</v>
      </c>
      <c r="T55" s="35">
        <f>R55-S55</f>
        <v>57542.344369147977</v>
      </c>
    </row>
    <row r="56" spans="1:23" x14ac:dyDescent="0.25">
      <c r="A56" s="14" t="s">
        <v>757</v>
      </c>
      <c r="C56" s="68">
        <v>0.23</v>
      </c>
      <c r="D56" s="68">
        <f>C56</f>
        <v>0.23</v>
      </c>
      <c r="E56" s="68">
        <f>D56</f>
        <v>0.23</v>
      </c>
      <c r="F56" s="68">
        <f t="shared" ref="F56:N56" si="18">E56</f>
        <v>0.23</v>
      </c>
      <c r="G56" s="68">
        <f t="shared" si="18"/>
        <v>0.23</v>
      </c>
      <c r="H56" s="68">
        <f t="shared" si="18"/>
        <v>0.23</v>
      </c>
      <c r="I56" s="68">
        <f t="shared" si="18"/>
        <v>0.23</v>
      </c>
      <c r="J56" s="68">
        <f t="shared" si="18"/>
        <v>0.23</v>
      </c>
      <c r="K56" s="68">
        <f t="shared" si="18"/>
        <v>0.23</v>
      </c>
      <c r="L56" s="68">
        <f t="shared" si="18"/>
        <v>0.23</v>
      </c>
      <c r="M56" s="68">
        <f t="shared" si="18"/>
        <v>0.23</v>
      </c>
      <c r="N56" s="68">
        <f t="shared" si="18"/>
        <v>0.23</v>
      </c>
      <c r="O56" s="68"/>
      <c r="P56" s="170"/>
      <c r="Q56" s="170"/>
      <c r="U56" s="130"/>
      <c r="W56" s="130"/>
    </row>
    <row r="57" spans="1:23" x14ac:dyDescent="0.25">
      <c r="A57" s="14" t="s">
        <v>758</v>
      </c>
      <c r="C57" s="50">
        <f>C51/C56</f>
        <v>20263.207106124359</v>
      </c>
      <c r="D57" s="50">
        <v>3591.71</v>
      </c>
      <c r="E57" s="50">
        <v>4071.1289999999999</v>
      </c>
      <c r="F57" s="50">
        <v>4182.01</v>
      </c>
      <c r="G57" s="50">
        <v>4113.59</v>
      </c>
      <c r="H57" s="50">
        <v>4614.7359999999999</v>
      </c>
      <c r="I57" s="50">
        <v>4315.3869999999997</v>
      </c>
      <c r="J57" s="50">
        <v>4035.087</v>
      </c>
      <c r="K57" s="50">
        <v>3944.1080000000002</v>
      </c>
      <c r="L57" s="50">
        <v>3889.9119999999998</v>
      </c>
      <c r="M57" s="50">
        <v>3650.136</v>
      </c>
      <c r="N57" s="50">
        <v>3667.5940000000001</v>
      </c>
      <c r="O57" s="50">
        <f>SUM(C57:N57)</f>
        <v>64338.606106124353</v>
      </c>
      <c r="P57" s="50">
        <f>MAX(C57:N57)</f>
        <v>20263.207106124359</v>
      </c>
      <c r="Q57" s="50"/>
    </row>
    <row r="58" spans="1:23" x14ac:dyDescent="0.25"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U58" s="130"/>
      <c r="W58" s="130"/>
    </row>
    <row r="59" spans="1:23" x14ac:dyDescent="0.25">
      <c r="A59" s="15" t="str">
        <f>A10</f>
        <v>C-3 Small Commercial Three Phase</v>
      </c>
      <c r="B59" s="58" t="str">
        <f>B10</f>
        <v>C3</v>
      </c>
      <c r="C59" s="50">
        <v>514</v>
      </c>
      <c r="D59" s="50">
        <v>516</v>
      </c>
      <c r="E59" s="50">
        <v>513</v>
      </c>
      <c r="F59" s="50">
        <v>514</v>
      </c>
      <c r="G59" s="50">
        <v>514</v>
      </c>
      <c r="H59" s="50">
        <v>516</v>
      </c>
      <c r="I59" s="50">
        <v>516</v>
      </c>
      <c r="J59" s="50">
        <v>520</v>
      </c>
      <c r="K59" s="50">
        <v>510</v>
      </c>
      <c r="L59" s="50">
        <v>513</v>
      </c>
      <c r="M59" s="50">
        <v>512</v>
      </c>
      <c r="N59" s="50">
        <v>518</v>
      </c>
      <c r="O59" s="50">
        <f>SUM(C59:N59)</f>
        <v>6176</v>
      </c>
      <c r="P59" s="50"/>
      <c r="Q59" s="35"/>
    </row>
    <row r="60" spans="1:23" x14ac:dyDescent="0.25">
      <c r="A60" s="14" t="s">
        <v>944</v>
      </c>
      <c r="C60" s="50">
        <v>984603</v>
      </c>
      <c r="D60" s="50">
        <v>854056</v>
      </c>
      <c r="E60" s="50">
        <v>906093</v>
      </c>
      <c r="F60" s="50">
        <v>789931</v>
      </c>
      <c r="G60" s="50">
        <v>934421</v>
      </c>
      <c r="H60" s="50">
        <v>1045795</v>
      </c>
      <c r="I60" s="50">
        <v>1174886</v>
      </c>
      <c r="J60" s="50">
        <v>1218336</v>
      </c>
      <c r="K60" s="50">
        <v>1060033</v>
      </c>
      <c r="L60" s="50">
        <v>906704</v>
      </c>
      <c r="M60" s="50">
        <v>816136</v>
      </c>
      <c r="N60" s="50">
        <v>955820</v>
      </c>
      <c r="O60" s="50">
        <f>SUM(C60:N60)</f>
        <v>11646814</v>
      </c>
      <c r="P60" s="170"/>
      <c r="Q60" s="170"/>
      <c r="U60" s="130"/>
      <c r="W60" s="130"/>
    </row>
    <row r="61" spans="1:23" x14ac:dyDescent="0.25">
      <c r="A61" s="14" t="s">
        <v>680</v>
      </c>
      <c r="C61" s="50">
        <f>C60/744</f>
        <v>1323.391129032258</v>
      </c>
      <c r="D61" s="48">
        <f>D60/672</f>
        <v>1270.9166666666667</v>
      </c>
      <c r="E61" s="50">
        <f t="shared" ref="E61:N61" si="19">E60/744</f>
        <v>1217.866935483871</v>
      </c>
      <c r="F61" s="50">
        <f>F60/720</f>
        <v>1097.1263888888889</v>
      </c>
      <c r="G61" s="50">
        <f t="shared" si="19"/>
        <v>1255.9422043010752</v>
      </c>
      <c r="H61" s="48">
        <f>H60/720</f>
        <v>1452.4930555555557</v>
      </c>
      <c r="I61" s="48">
        <f>I60/744</f>
        <v>1579.1478494623657</v>
      </c>
      <c r="J61" s="50">
        <f t="shared" si="19"/>
        <v>1637.5483870967741</v>
      </c>
      <c r="K61" s="50">
        <f>K60/720</f>
        <v>1472.2680555555555</v>
      </c>
      <c r="L61" s="50">
        <f t="shared" si="19"/>
        <v>1218.6881720430108</v>
      </c>
      <c r="M61" s="50">
        <f>M60/720</f>
        <v>1133.5222222222221</v>
      </c>
      <c r="N61" s="50">
        <f t="shared" si="19"/>
        <v>1284.7043010752689</v>
      </c>
      <c r="O61" s="50">
        <f>O60/8760</f>
        <v>1329.5449771689498</v>
      </c>
      <c r="P61" s="50"/>
      <c r="Q61" s="50"/>
    </row>
    <row r="62" spans="1:23" x14ac:dyDescent="0.25">
      <c r="A62" s="14" t="s">
        <v>755</v>
      </c>
      <c r="C62" s="68">
        <v>0.50532120340067488</v>
      </c>
      <c r="D62" s="68">
        <f t="shared" ref="D62:N62" si="20">D52</f>
        <v>0.64556061758543748</v>
      </c>
      <c r="E62" s="68">
        <f t="shared" si="20"/>
        <v>0.51646302481767237</v>
      </c>
      <c r="F62" s="68">
        <f t="shared" si="20"/>
        <v>0.72458689755573014</v>
      </c>
      <c r="G62" s="68">
        <f t="shared" si="20"/>
        <v>0.39841039324327565</v>
      </c>
      <c r="H62" s="68">
        <f t="shared" si="20"/>
        <v>0.38159652930635329</v>
      </c>
      <c r="I62" s="68">
        <f t="shared" si="20"/>
        <v>0.42772191807178084</v>
      </c>
      <c r="J62" s="68">
        <f t="shared" si="20"/>
        <v>0.51427310080458755</v>
      </c>
      <c r="K62" s="68">
        <f t="shared" si="20"/>
        <v>0.43916412109059449</v>
      </c>
      <c r="L62" s="68">
        <f t="shared" si="20"/>
        <v>0.65749061467939351</v>
      </c>
      <c r="M62" s="68">
        <f t="shared" si="20"/>
        <v>0.36086569960240389</v>
      </c>
      <c r="N62" s="68">
        <f t="shared" si="20"/>
        <v>0.31020248233885811</v>
      </c>
      <c r="O62" s="68"/>
      <c r="Q62" s="35"/>
    </row>
    <row r="63" spans="1:23" x14ac:dyDescent="0.25">
      <c r="A63" s="14" t="s">
        <v>756</v>
      </c>
      <c r="C63" s="50">
        <f>C61/C62</f>
        <v>2618.9107445446461</v>
      </c>
      <c r="D63" s="50">
        <f t="shared" ref="D63:N63" si="21">D61/D62</f>
        <v>1968.7022907627506</v>
      </c>
      <c r="E63" s="50">
        <f t="shared" si="21"/>
        <v>2358.0912416988926</v>
      </c>
      <c r="F63" s="50">
        <f t="shared" si="21"/>
        <v>1514.1405297140439</v>
      </c>
      <c r="G63" s="50">
        <f t="shared" si="21"/>
        <v>3152.3831345789645</v>
      </c>
      <c r="H63" s="50">
        <f t="shared" si="21"/>
        <v>3806.358140090591</v>
      </c>
      <c r="I63" s="50">
        <f t="shared" si="21"/>
        <v>3691.9965583745256</v>
      </c>
      <c r="J63" s="50">
        <f t="shared" si="21"/>
        <v>3184.1999601667021</v>
      </c>
      <c r="K63" s="50">
        <f t="shared" si="21"/>
        <v>3352.4324616943004</v>
      </c>
      <c r="L63" s="50">
        <f t="shared" si="21"/>
        <v>1853.5445903471477</v>
      </c>
      <c r="M63" s="50">
        <f t="shared" si="21"/>
        <v>3141.1193235353735</v>
      </c>
      <c r="N63" s="50">
        <f t="shared" si="21"/>
        <v>4141.5023225761524</v>
      </c>
      <c r="O63" s="50">
        <f>SUM(C63:N63)</f>
        <v>34783.381298084096</v>
      </c>
      <c r="Q63" s="35">
        <f>MAX(C63:N63)</f>
        <v>4141.5023225761524</v>
      </c>
    </row>
    <row r="64" spans="1:23" x14ac:dyDescent="0.25">
      <c r="A64" s="14" t="s">
        <v>681</v>
      </c>
      <c r="C64" s="68">
        <f>C54</f>
        <v>0.75</v>
      </c>
      <c r="D64" s="68">
        <f t="shared" ref="D64:F64" si="22">D54</f>
        <v>0.75</v>
      </c>
      <c r="E64" s="68">
        <f t="shared" si="22"/>
        <v>0.75</v>
      </c>
      <c r="F64" s="68">
        <f t="shared" si="22"/>
        <v>0.75</v>
      </c>
      <c r="G64" s="68">
        <f>G54-10%</f>
        <v>0.65</v>
      </c>
      <c r="H64" s="68">
        <f t="shared" ref="H64:N64" si="23">H54-10%</f>
        <v>0.65</v>
      </c>
      <c r="I64" s="68">
        <f t="shared" si="23"/>
        <v>0.65</v>
      </c>
      <c r="J64" s="68">
        <f t="shared" si="23"/>
        <v>0.65</v>
      </c>
      <c r="K64" s="68">
        <f t="shared" si="23"/>
        <v>0.65</v>
      </c>
      <c r="L64" s="68">
        <f t="shared" si="23"/>
        <v>0.65</v>
      </c>
      <c r="M64" s="68">
        <f t="shared" si="23"/>
        <v>0.65</v>
      </c>
      <c r="N64" s="68">
        <f t="shared" si="23"/>
        <v>0.65</v>
      </c>
      <c r="O64" s="68"/>
      <c r="P64" s="50"/>
      <c r="Q64" s="35"/>
    </row>
    <row r="65" spans="1:23" x14ac:dyDescent="0.25">
      <c r="A65" s="14" t="s">
        <v>682</v>
      </c>
      <c r="C65" s="50">
        <f>C63*C64</f>
        <v>1964.1830584084846</v>
      </c>
      <c r="D65" s="50">
        <f t="shared" ref="D65:N65" si="24">D63*D64</f>
        <v>1476.526718072063</v>
      </c>
      <c r="E65" s="50">
        <f t="shared" si="24"/>
        <v>1768.5684312741696</v>
      </c>
      <c r="F65" s="50">
        <f t="shared" si="24"/>
        <v>1135.6053972855329</v>
      </c>
      <c r="G65" s="50">
        <f t="shared" si="24"/>
        <v>2049.0490374763272</v>
      </c>
      <c r="H65" s="50">
        <f t="shared" si="24"/>
        <v>2474.1327910588843</v>
      </c>
      <c r="I65" s="50">
        <f t="shared" si="24"/>
        <v>2399.7977629434417</v>
      </c>
      <c r="J65" s="50">
        <f t="shared" si="24"/>
        <v>2069.7299741083566</v>
      </c>
      <c r="K65" s="50">
        <f t="shared" si="24"/>
        <v>2179.0811001012953</v>
      </c>
      <c r="L65" s="50">
        <f t="shared" si="24"/>
        <v>1204.803983725646</v>
      </c>
      <c r="M65" s="50">
        <f t="shared" si="24"/>
        <v>2041.7275602979928</v>
      </c>
      <c r="N65" s="50">
        <f t="shared" si="24"/>
        <v>2691.9765096744991</v>
      </c>
      <c r="O65" s="50">
        <f>SUM(C65:N65)</f>
        <v>23455.182324426693</v>
      </c>
      <c r="P65" s="50"/>
      <c r="Q65" s="35"/>
      <c r="R65" s="35">
        <f>O65</f>
        <v>23455.182324426693</v>
      </c>
      <c r="S65" s="35">
        <f>H65+I65+J65</f>
        <v>6943.6605281106822</v>
      </c>
      <c r="T65" s="35">
        <f>R65-S65</f>
        <v>16511.52179631601</v>
      </c>
    </row>
    <row r="66" spans="1:23" x14ac:dyDescent="0.25">
      <c r="A66" s="14" t="s">
        <v>757</v>
      </c>
      <c r="C66" s="68">
        <v>0.28000000000000003</v>
      </c>
      <c r="D66" s="68">
        <f>C66</f>
        <v>0.28000000000000003</v>
      </c>
      <c r="E66" s="68">
        <f>D66</f>
        <v>0.28000000000000003</v>
      </c>
      <c r="F66" s="68">
        <f t="shared" ref="F66" si="25">E66</f>
        <v>0.28000000000000003</v>
      </c>
      <c r="G66" s="68">
        <f t="shared" ref="G66" si="26">F66</f>
        <v>0.28000000000000003</v>
      </c>
      <c r="H66" s="68">
        <f t="shared" ref="H66" si="27">G66</f>
        <v>0.28000000000000003</v>
      </c>
      <c r="I66" s="68">
        <f t="shared" ref="I66" si="28">H66</f>
        <v>0.28000000000000003</v>
      </c>
      <c r="J66" s="68">
        <f t="shared" ref="J66" si="29">I66</f>
        <v>0.28000000000000003</v>
      </c>
      <c r="K66" s="68">
        <f t="shared" ref="K66" si="30">J66</f>
        <v>0.28000000000000003</v>
      </c>
      <c r="L66" s="68">
        <f t="shared" ref="L66" si="31">K66</f>
        <v>0.28000000000000003</v>
      </c>
      <c r="M66" s="68">
        <f t="shared" ref="M66" si="32">L66</f>
        <v>0.28000000000000003</v>
      </c>
      <c r="N66" s="68">
        <f t="shared" ref="N66" si="33">M66</f>
        <v>0.28000000000000003</v>
      </c>
      <c r="O66" s="68"/>
      <c r="P66" s="170"/>
      <c r="Q66" s="170"/>
      <c r="U66" s="130"/>
      <c r="W66" s="130"/>
    </row>
    <row r="67" spans="1:23" x14ac:dyDescent="0.25">
      <c r="A67" s="14" t="s">
        <v>758</v>
      </c>
      <c r="C67" s="50">
        <f>C61/C66</f>
        <v>4726.3968894009213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48801.795889400921</v>
      </c>
      <c r="P67" s="50">
        <f>MAX(C67:N67)</f>
        <v>4726.3968894009213</v>
      </c>
      <c r="Q67" s="50"/>
    </row>
    <row r="68" spans="1:23" x14ac:dyDescent="0.2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5">
      <c r="A69" s="15" t="str">
        <f>A11</f>
        <v>D - Commercial and Industrial Demand &lt; 3,000 kW</v>
      </c>
      <c r="B69" s="58" t="str">
        <f>B11</f>
        <v>D</v>
      </c>
      <c r="C69" s="50">
        <v>652</v>
      </c>
      <c r="D69" s="50">
        <v>662</v>
      </c>
      <c r="E69" s="50">
        <v>636</v>
      </c>
      <c r="F69" s="50">
        <v>637</v>
      </c>
      <c r="G69" s="50">
        <v>638</v>
      </c>
      <c r="H69" s="50">
        <v>642</v>
      </c>
      <c r="I69" s="50">
        <v>643</v>
      </c>
      <c r="J69" s="50">
        <v>645</v>
      </c>
      <c r="K69" s="50">
        <v>652</v>
      </c>
      <c r="L69" s="50">
        <v>650</v>
      </c>
      <c r="M69" s="50">
        <v>649</v>
      </c>
      <c r="N69" s="50">
        <v>650</v>
      </c>
      <c r="O69" s="50">
        <f>SUM(C69:N69)</f>
        <v>7756</v>
      </c>
      <c r="P69" s="50"/>
      <c r="Q69" s="35"/>
    </row>
    <row r="70" spans="1:23" x14ac:dyDescent="0.25">
      <c r="A70" s="14" t="s">
        <v>944</v>
      </c>
      <c r="C70" s="50">
        <v>14203709</v>
      </c>
      <c r="D70" s="50">
        <v>12639339</v>
      </c>
      <c r="E70" s="50">
        <v>13693825</v>
      </c>
      <c r="F70" s="50">
        <v>12081485</v>
      </c>
      <c r="G70" s="50">
        <v>13969547</v>
      </c>
      <c r="H70" s="50">
        <v>15960540</v>
      </c>
      <c r="I70" s="50">
        <v>16024319</v>
      </c>
      <c r="J70" s="50">
        <v>16895806</v>
      </c>
      <c r="K70" s="50">
        <v>14699379</v>
      </c>
      <c r="L70" s="50">
        <v>12317776</v>
      </c>
      <c r="M70" s="50">
        <v>12820789</v>
      </c>
      <c r="N70" s="50">
        <v>14454723</v>
      </c>
      <c r="O70" s="50">
        <f>SUM(C70:N70)</f>
        <v>169761237</v>
      </c>
      <c r="P70" s="170"/>
      <c r="Q70" s="170"/>
      <c r="U70" s="130"/>
      <c r="W70" s="130"/>
    </row>
    <row r="71" spans="1:23" x14ac:dyDescent="0.25">
      <c r="A71" s="14" t="s">
        <v>680</v>
      </c>
      <c r="C71" s="50">
        <f>C70/744</f>
        <v>19091.006720430109</v>
      </c>
      <c r="D71" s="48">
        <f>D70/672</f>
        <v>18808.540178571428</v>
      </c>
      <c r="E71" s="50">
        <f t="shared" ref="E71:N71" si="34">E70/744</f>
        <v>18405.678763440861</v>
      </c>
      <c r="F71" s="50">
        <f>F70/720</f>
        <v>16779.840277777777</v>
      </c>
      <c r="G71" s="50">
        <f t="shared" si="34"/>
        <v>18776.272849462366</v>
      </c>
      <c r="H71" s="48">
        <f>H70/720</f>
        <v>22167.416666666668</v>
      </c>
      <c r="I71" s="48">
        <f>I70/744</f>
        <v>21538.06317204301</v>
      </c>
      <c r="J71" s="50">
        <f t="shared" si="34"/>
        <v>22709.416666666668</v>
      </c>
      <c r="K71" s="50">
        <f>K70/720</f>
        <v>20415.804166666665</v>
      </c>
      <c r="L71" s="50">
        <f t="shared" si="34"/>
        <v>16556.15053763441</v>
      </c>
      <c r="M71" s="50">
        <f>M70/720</f>
        <v>17806.651388888888</v>
      </c>
      <c r="N71" s="50">
        <f t="shared" si="34"/>
        <v>19428.391129032258</v>
      </c>
      <c r="O71" s="50">
        <f>O70/8760</f>
        <v>19379.136643835616</v>
      </c>
      <c r="P71" s="50"/>
      <c r="Q71" s="50"/>
    </row>
    <row r="72" spans="1:23" x14ac:dyDescent="0.25">
      <c r="A72" s="14" t="s">
        <v>755</v>
      </c>
      <c r="C72" s="68">
        <f>C76+0.1</f>
        <v>0.52533904786937669</v>
      </c>
      <c r="D72" s="68">
        <f t="shared" ref="D72:N72" si="35">D76+0.1</f>
        <v>0.5257074989244207</v>
      </c>
      <c r="E72" s="68">
        <f t="shared" si="35"/>
        <v>0.51857105143469429</v>
      </c>
      <c r="F72" s="68">
        <f t="shared" si="35"/>
        <v>0.48881851752556549</v>
      </c>
      <c r="G72" s="68">
        <f t="shared" si="35"/>
        <v>0.365092209684303</v>
      </c>
      <c r="H72" s="68">
        <f t="shared" si="35"/>
        <v>0.94509020537119393</v>
      </c>
      <c r="I72" s="68">
        <f t="shared" si="35"/>
        <v>0.5185602733293373</v>
      </c>
      <c r="J72" s="68">
        <f t="shared" si="35"/>
        <v>0.53233974184155131</v>
      </c>
      <c r="K72" s="68">
        <f t="shared" si="35"/>
        <v>0.4954072313592911</v>
      </c>
      <c r="L72" s="68">
        <f t="shared" si="35"/>
        <v>0.46525996611413789</v>
      </c>
      <c r="M72" s="68">
        <f t="shared" si="35"/>
        <v>0.48332720250866024</v>
      </c>
      <c r="N72" s="68">
        <f t="shared" si="35"/>
        <v>0.51727945306976997</v>
      </c>
      <c r="O72" s="68"/>
      <c r="Q72" s="35"/>
    </row>
    <row r="73" spans="1:23" x14ac:dyDescent="0.25">
      <c r="A73" s="14" t="s">
        <v>756</v>
      </c>
      <c r="C73" s="50">
        <f>C71/C72</f>
        <v>36340.353525704428</v>
      </c>
      <c r="D73" s="50">
        <f t="shared" ref="D73:N73" si="36">D71/D72</f>
        <v>35777.576346262984</v>
      </c>
      <c r="E73" s="50">
        <f t="shared" si="36"/>
        <v>35493.070260129556</v>
      </c>
      <c r="F73" s="50">
        <f t="shared" si="36"/>
        <v>34327.341694661111</v>
      </c>
      <c r="G73" s="50">
        <f t="shared" si="36"/>
        <v>51428.850989995924</v>
      </c>
      <c r="H73" s="50">
        <f t="shared" si="36"/>
        <v>23455.344834475549</v>
      </c>
      <c r="I73" s="50">
        <f t="shared" si="36"/>
        <v>41534.348618264092</v>
      </c>
      <c r="J73" s="50">
        <f t="shared" si="36"/>
        <v>42659.63046100366</v>
      </c>
      <c r="K73" s="50">
        <f t="shared" si="36"/>
        <v>41210.145662690629</v>
      </c>
      <c r="L73" s="50">
        <f t="shared" si="36"/>
        <v>35584.730566680315</v>
      </c>
      <c r="M73" s="50">
        <f t="shared" si="36"/>
        <v>36841.815019856716</v>
      </c>
      <c r="N73" s="50">
        <f t="shared" si="36"/>
        <v>37558.791507637521</v>
      </c>
      <c r="O73" s="50">
        <f>SUM(C73:N73)</f>
        <v>452211.99948736245</v>
      </c>
      <c r="Q73" s="35">
        <f>MAX(C73:N73)</f>
        <v>51428.850989995924</v>
      </c>
    </row>
    <row r="74" spans="1:23" x14ac:dyDescent="0.25">
      <c r="A74" s="14" t="s">
        <v>681</v>
      </c>
      <c r="C74" s="68">
        <v>0.75</v>
      </c>
      <c r="D74" s="68">
        <v>0.75</v>
      </c>
      <c r="E74" s="68">
        <v>0.75</v>
      </c>
      <c r="F74" s="68">
        <v>0.75</v>
      </c>
      <c r="G74" s="68">
        <v>0.75</v>
      </c>
      <c r="H74" s="68">
        <v>0.75</v>
      </c>
      <c r="I74" s="68">
        <v>0.75</v>
      </c>
      <c r="J74" s="68">
        <v>0.75</v>
      </c>
      <c r="K74" s="68">
        <v>0.75</v>
      </c>
      <c r="L74" s="68">
        <v>0.75</v>
      </c>
      <c r="M74" s="68">
        <v>0.75</v>
      </c>
      <c r="N74" s="68">
        <v>0.75</v>
      </c>
      <c r="O74" s="68"/>
      <c r="P74" s="50"/>
      <c r="Q74" s="35"/>
    </row>
    <row r="75" spans="1:23" x14ac:dyDescent="0.25">
      <c r="A75" s="14" t="s">
        <v>682</v>
      </c>
      <c r="C75" s="50">
        <f>C73*C74</f>
        <v>27255.265144278321</v>
      </c>
      <c r="D75" s="50">
        <f t="shared" ref="D75:N75" si="37">D73*D74</f>
        <v>26833.182259697238</v>
      </c>
      <c r="E75" s="50">
        <f t="shared" si="37"/>
        <v>26619.802695097169</v>
      </c>
      <c r="F75" s="50">
        <f t="shared" si="37"/>
        <v>25745.506270995833</v>
      </c>
      <c r="G75" s="50">
        <f t="shared" si="37"/>
        <v>38571.638242496942</v>
      </c>
      <c r="H75" s="50">
        <f t="shared" si="37"/>
        <v>17591.508625856663</v>
      </c>
      <c r="I75" s="50">
        <f t="shared" si="37"/>
        <v>31150.761463698069</v>
      </c>
      <c r="J75" s="50">
        <f t="shared" si="37"/>
        <v>31994.722845752745</v>
      </c>
      <c r="K75" s="50">
        <f t="shared" si="37"/>
        <v>30907.609247017972</v>
      </c>
      <c r="L75" s="50">
        <f t="shared" si="37"/>
        <v>26688.547925010236</v>
      </c>
      <c r="M75" s="50">
        <f t="shared" si="37"/>
        <v>27631.361264892537</v>
      </c>
      <c r="N75" s="50">
        <f t="shared" si="37"/>
        <v>28169.093630728141</v>
      </c>
      <c r="O75" s="50">
        <f>SUM(C75:N75)</f>
        <v>339158.99961552187</v>
      </c>
      <c r="P75" s="50"/>
      <c r="Q75" s="35"/>
      <c r="R75" s="35">
        <f>O75</f>
        <v>339158.99961552187</v>
      </c>
      <c r="S75" s="35">
        <f>H75+I75+J75</f>
        <v>80736.992935307469</v>
      </c>
      <c r="T75" s="35">
        <f>R75-S75</f>
        <v>258422.0066802144</v>
      </c>
    </row>
    <row r="76" spans="1:23" x14ac:dyDescent="0.25">
      <c r="A76" s="14" t="s">
        <v>757</v>
      </c>
      <c r="C76" s="68">
        <f>C71/C77</f>
        <v>0.42533904786937665</v>
      </c>
      <c r="D76" s="68">
        <f t="shared" ref="D76:N76" si="38">D71/D77</f>
        <v>0.42570749892442067</v>
      </c>
      <c r="E76" s="68">
        <f t="shared" si="38"/>
        <v>0.41857105143469425</v>
      </c>
      <c r="F76" s="68">
        <f t="shared" si="38"/>
        <v>0.38881851752556551</v>
      </c>
      <c r="G76" s="68">
        <f t="shared" si="38"/>
        <v>0.26509220968430297</v>
      </c>
      <c r="H76" s="68">
        <f t="shared" si="38"/>
        <v>0.84509020537119395</v>
      </c>
      <c r="I76" s="68">
        <f t="shared" si="38"/>
        <v>0.41856027332933732</v>
      </c>
      <c r="J76" s="68">
        <f t="shared" si="38"/>
        <v>0.43233974184155127</v>
      </c>
      <c r="K76" s="68">
        <f t="shared" si="38"/>
        <v>0.39540723135929112</v>
      </c>
      <c r="L76" s="68">
        <f t="shared" si="38"/>
        <v>0.36525996611413791</v>
      </c>
      <c r="M76" s="68">
        <f t="shared" si="38"/>
        <v>0.38332720250866026</v>
      </c>
      <c r="N76" s="68">
        <f t="shared" si="38"/>
        <v>0.41727945306976999</v>
      </c>
      <c r="O76" s="68"/>
      <c r="P76" s="170"/>
      <c r="Q76" s="170"/>
      <c r="U76" s="130"/>
      <c r="W76" s="130"/>
    </row>
    <row r="77" spans="1:23" x14ac:dyDescent="0.25">
      <c r="A77" s="14" t="s">
        <v>758</v>
      </c>
      <c r="C77" s="50">
        <v>44884.209000000003</v>
      </c>
      <c r="D77" s="50">
        <v>44181.839</v>
      </c>
      <c r="E77" s="50">
        <v>43972.651000000005</v>
      </c>
      <c r="F77" s="50">
        <v>43155.969999999994</v>
      </c>
      <c r="G77" s="50">
        <v>70829.213999999993</v>
      </c>
      <c r="H77" s="50">
        <v>26230.828999999998</v>
      </c>
      <c r="I77" s="50">
        <v>51457.495000000003</v>
      </c>
      <c r="J77" s="50">
        <v>52526.785000000003</v>
      </c>
      <c r="K77" s="50">
        <v>51632.349000000002</v>
      </c>
      <c r="L77" s="50">
        <v>45327.032999999996</v>
      </c>
      <c r="M77" s="50">
        <v>46452.877</v>
      </c>
      <c r="N77" s="50">
        <v>46559.663999999997</v>
      </c>
      <c r="O77" s="50">
        <f>SUM(C77:N77)</f>
        <v>567210.91500000004</v>
      </c>
      <c r="P77" s="50">
        <f>MAX(C77:N77)</f>
        <v>70829.213999999993</v>
      </c>
      <c r="Q77" s="50"/>
    </row>
    <row r="78" spans="1:23" x14ac:dyDescent="0.25">
      <c r="H78" s="177"/>
    </row>
    <row r="79" spans="1:23" x14ac:dyDescent="0.25">
      <c r="A79" s="15" t="str">
        <f>A12</f>
        <v>D - Commercial and Industrial - DIRECT SERVED</v>
      </c>
      <c r="B79" s="58" t="str">
        <f>B12</f>
        <v>D</v>
      </c>
      <c r="C79" s="50">
        <v>1</v>
      </c>
      <c r="D79" s="50">
        <v>1</v>
      </c>
      <c r="E79" s="50">
        <v>1</v>
      </c>
      <c r="F79" s="50">
        <v>1</v>
      </c>
      <c r="G79" s="50">
        <v>1</v>
      </c>
      <c r="H79" s="50">
        <v>1</v>
      </c>
      <c r="I79" s="50">
        <v>1</v>
      </c>
      <c r="J79" s="50">
        <v>1</v>
      </c>
      <c r="K79" s="50">
        <v>1</v>
      </c>
      <c r="L79" s="50">
        <v>1</v>
      </c>
      <c r="M79" s="50">
        <v>1</v>
      </c>
      <c r="N79" s="50">
        <v>1</v>
      </c>
      <c r="O79" s="50">
        <f>SUM(C79:N79)</f>
        <v>12</v>
      </c>
      <c r="P79" s="50"/>
      <c r="Q79" s="35"/>
    </row>
    <row r="80" spans="1:23" x14ac:dyDescent="0.25">
      <c r="A80" s="14" t="s">
        <v>944</v>
      </c>
      <c r="C80" s="50">
        <v>5500748</v>
      </c>
      <c r="D80" s="50">
        <v>5032519</v>
      </c>
      <c r="E80" s="50">
        <v>5499739</v>
      </c>
      <c r="F80" s="50">
        <v>5580049</v>
      </c>
      <c r="G80" s="50">
        <v>5795784</v>
      </c>
      <c r="H80" s="50">
        <v>5608668</v>
      </c>
      <c r="I80" s="50">
        <v>5742306</v>
      </c>
      <c r="J80" s="50">
        <v>4496924</v>
      </c>
      <c r="K80" s="50">
        <v>5261821</v>
      </c>
      <c r="L80" s="50">
        <v>5583848</v>
      </c>
      <c r="M80" s="50">
        <v>5400001</v>
      </c>
      <c r="N80" s="50">
        <v>5580000</v>
      </c>
      <c r="O80" s="50">
        <f>SUM(C80:N80)</f>
        <v>65082407</v>
      </c>
      <c r="P80" s="170"/>
      <c r="Q80" s="170"/>
      <c r="U80" s="130"/>
      <c r="W80" s="130"/>
    </row>
    <row r="81" spans="1:23" x14ac:dyDescent="0.25">
      <c r="A81" s="14" t="s">
        <v>680</v>
      </c>
      <c r="C81" s="50">
        <f>C80/744</f>
        <v>7393.4784946236559</v>
      </c>
      <c r="D81" s="50">
        <f>D80/672</f>
        <v>7488.8675595238092</v>
      </c>
      <c r="E81" s="50">
        <f t="shared" ref="E81:N81" si="39">E80/744</f>
        <v>7392.1223118279568</v>
      </c>
      <c r="F81" s="50">
        <f>F80/720</f>
        <v>7750.0680555555555</v>
      </c>
      <c r="G81" s="50">
        <f t="shared" si="39"/>
        <v>7790.0322580645161</v>
      </c>
      <c r="H81" s="48">
        <f>H80/720</f>
        <v>7789.8166666666666</v>
      </c>
      <c r="I81" s="48">
        <f>I80/744</f>
        <v>7718.1532258064517</v>
      </c>
      <c r="J81" s="50">
        <f t="shared" si="39"/>
        <v>6044.2526881720432</v>
      </c>
      <c r="K81" s="50">
        <f>K80/720</f>
        <v>7308.0847222222219</v>
      </c>
      <c r="L81" s="50">
        <f t="shared" si="39"/>
        <v>7505.1720430107525</v>
      </c>
      <c r="M81" s="50">
        <f>M80/720</f>
        <v>7500.0013888888889</v>
      </c>
      <c r="N81" s="50">
        <f t="shared" si="39"/>
        <v>7500</v>
      </c>
      <c r="O81" s="50">
        <f>O80/8760</f>
        <v>7429.4985159817352</v>
      </c>
      <c r="P81" s="50"/>
      <c r="Q81" s="50"/>
    </row>
    <row r="82" spans="1:23" x14ac:dyDescent="0.25">
      <c r="A82" s="14" t="s">
        <v>755</v>
      </c>
      <c r="C82" s="68">
        <f>C86</f>
        <v>1.848369623655914</v>
      </c>
      <c r="D82" s="68">
        <f t="shared" ref="D82:N82" si="40">D86</f>
        <v>1.8779446209749258</v>
      </c>
      <c r="E82" s="68">
        <f t="shared" si="40"/>
        <v>2.014202264803258</v>
      </c>
      <c r="F82" s="68">
        <f t="shared" si="40"/>
        <v>2.3856639954305101</v>
      </c>
      <c r="G82" s="68">
        <f t="shared" si="40"/>
        <v>2.4881922377873118</v>
      </c>
      <c r="H82" s="68">
        <f t="shared" si="40"/>
        <v>2.3839566246378587</v>
      </c>
      <c r="I82" s="68">
        <f t="shared" si="40"/>
        <v>2.552130555454815</v>
      </c>
      <c r="J82" s="68">
        <f t="shared" si="40"/>
        <v>0.99516805324223567</v>
      </c>
      <c r="K82" s="68">
        <f t="shared" si="40"/>
        <v>2.4449932158655812</v>
      </c>
      <c r="L82" s="68">
        <f t="shared" si="40"/>
        <v>2.4749940782913704</v>
      </c>
      <c r="M82" s="68">
        <f t="shared" si="40"/>
        <v>2.9024773176814587</v>
      </c>
      <c r="N82" s="68">
        <f t="shared" si="40"/>
        <v>2.7360280169268933</v>
      </c>
      <c r="O82" s="68"/>
      <c r="Q82" s="35"/>
    </row>
    <row r="83" spans="1:23" x14ac:dyDescent="0.25">
      <c r="A83" s="14" t="s">
        <v>756</v>
      </c>
      <c r="C83" s="50">
        <f>C81/C82</f>
        <v>4000</v>
      </c>
      <c r="D83" s="50">
        <f t="shared" ref="D83:N83" si="41">D81/D82</f>
        <v>3987.8</v>
      </c>
      <c r="E83" s="50">
        <f t="shared" si="41"/>
        <v>3670</v>
      </c>
      <c r="F83" s="50">
        <f t="shared" si="41"/>
        <v>3248.6000000000004</v>
      </c>
      <c r="G83" s="50">
        <f t="shared" si="41"/>
        <v>3130.8</v>
      </c>
      <c r="H83" s="50">
        <f t="shared" si="41"/>
        <v>3267.6</v>
      </c>
      <c r="I83" s="50">
        <f t="shared" si="41"/>
        <v>3024.2</v>
      </c>
      <c r="J83" s="50">
        <f t="shared" si="41"/>
        <v>6073.6</v>
      </c>
      <c r="K83" s="50">
        <f t="shared" si="41"/>
        <v>2989</v>
      </c>
      <c r="L83" s="50">
        <f t="shared" si="41"/>
        <v>3032.4000000000005</v>
      </c>
      <c r="M83" s="50">
        <f t="shared" si="41"/>
        <v>2584</v>
      </c>
      <c r="N83" s="50">
        <f t="shared" si="41"/>
        <v>2741.2</v>
      </c>
      <c r="O83" s="50">
        <f>SUM(C83:N83)</f>
        <v>41749.199999999997</v>
      </c>
      <c r="Q83" s="35">
        <f>MAX(C83:N83)</f>
        <v>6073.6</v>
      </c>
    </row>
    <row r="84" spans="1:23" x14ac:dyDescent="0.25">
      <c r="A84" s="14" t="s">
        <v>681</v>
      </c>
      <c r="C84" s="68">
        <v>0.7</v>
      </c>
      <c r="D84" s="68">
        <f>C84</f>
        <v>0.7</v>
      </c>
      <c r="E84" s="68">
        <f t="shared" ref="E84:L84" si="42">D84</f>
        <v>0.7</v>
      </c>
      <c r="F84" s="68">
        <f t="shared" si="42"/>
        <v>0.7</v>
      </c>
      <c r="G84" s="68">
        <f t="shared" si="42"/>
        <v>0.7</v>
      </c>
      <c r="H84" s="68">
        <f t="shared" si="42"/>
        <v>0.7</v>
      </c>
      <c r="I84" s="68">
        <f t="shared" si="42"/>
        <v>0.7</v>
      </c>
      <c r="J84" s="68">
        <f t="shared" si="42"/>
        <v>0.7</v>
      </c>
      <c r="K84" s="68">
        <f t="shared" si="42"/>
        <v>0.7</v>
      </c>
      <c r="L84" s="68">
        <f t="shared" si="42"/>
        <v>0.7</v>
      </c>
      <c r="M84" s="68">
        <f>L84</f>
        <v>0.7</v>
      </c>
      <c r="N84" s="68">
        <f>M84</f>
        <v>0.7</v>
      </c>
      <c r="O84" s="68"/>
      <c r="P84" s="50"/>
      <c r="Q84" s="35"/>
    </row>
    <row r="85" spans="1:23" x14ac:dyDescent="0.25">
      <c r="A85" s="14" t="s">
        <v>682</v>
      </c>
      <c r="C85" s="50">
        <f>C83*C84</f>
        <v>2800</v>
      </c>
      <c r="D85" s="50">
        <f t="shared" ref="D85:N85" si="43">D83*D84</f>
        <v>2791.46</v>
      </c>
      <c r="E85" s="50">
        <f t="shared" si="43"/>
        <v>2569</v>
      </c>
      <c r="F85" s="50">
        <f t="shared" si="43"/>
        <v>2274.02</v>
      </c>
      <c r="G85" s="50">
        <f t="shared" si="43"/>
        <v>2191.56</v>
      </c>
      <c r="H85" s="50">
        <f t="shared" si="43"/>
        <v>2287.3199999999997</v>
      </c>
      <c r="I85" s="50">
        <f t="shared" si="43"/>
        <v>2116.9399999999996</v>
      </c>
      <c r="J85" s="50">
        <f t="shared" si="43"/>
        <v>4251.5200000000004</v>
      </c>
      <c r="K85" s="50">
        <f t="shared" si="43"/>
        <v>2092.2999999999997</v>
      </c>
      <c r="L85" s="50">
        <f t="shared" si="43"/>
        <v>2122.6800000000003</v>
      </c>
      <c r="M85" s="50">
        <f t="shared" si="43"/>
        <v>1808.8</v>
      </c>
      <c r="N85" s="50">
        <f t="shared" si="43"/>
        <v>1918.8399999999997</v>
      </c>
      <c r="O85" s="50">
        <f>SUM(C85:N85)</f>
        <v>29224.44</v>
      </c>
      <c r="P85" s="50"/>
      <c r="Q85" s="35"/>
      <c r="R85" s="35">
        <f>O85</f>
        <v>29224.44</v>
      </c>
      <c r="S85" s="35">
        <f>H85+I85+J85</f>
        <v>8655.7799999999988</v>
      </c>
      <c r="T85" s="35">
        <f>R85-S85</f>
        <v>20568.66</v>
      </c>
    </row>
    <row r="86" spans="1:23" x14ac:dyDescent="0.25">
      <c r="A86" s="14" t="s">
        <v>757</v>
      </c>
      <c r="C86" s="68">
        <f>C81/C87</f>
        <v>1.848369623655914</v>
      </c>
      <c r="D86" s="68">
        <f t="shared" ref="D86:N86" si="44">D81/D87</f>
        <v>1.8779446209749258</v>
      </c>
      <c r="E86" s="68">
        <f t="shared" si="44"/>
        <v>2.014202264803258</v>
      </c>
      <c r="F86" s="68">
        <f t="shared" si="44"/>
        <v>2.3856639954305101</v>
      </c>
      <c r="G86" s="68">
        <f t="shared" si="44"/>
        <v>2.4881922377873118</v>
      </c>
      <c r="H86" s="68">
        <f t="shared" si="44"/>
        <v>2.3839566246378587</v>
      </c>
      <c r="I86" s="68">
        <f t="shared" si="44"/>
        <v>2.552130555454815</v>
      </c>
      <c r="J86" s="68">
        <f t="shared" si="44"/>
        <v>0.99516805324223567</v>
      </c>
      <c r="K86" s="68">
        <f t="shared" si="44"/>
        <v>2.4449932158655812</v>
      </c>
      <c r="L86" s="68">
        <f t="shared" si="44"/>
        <v>2.4749940782913704</v>
      </c>
      <c r="M86" s="68">
        <f t="shared" si="44"/>
        <v>2.9024773176814587</v>
      </c>
      <c r="N86" s="68">
        <f t="shared" si="44"/>
        <v>2.7360280169268933</v>
      </c>
      <c r="O86" s="68"/>
      <c r="P86" s="170"/>
      <c r="Q86" s="170"/>
      <c r="U86" s="130"/>
      <c r="W86" s="130"/>
    </row>
    <row r="87" spans="1:23" x14ac:dyDescent="0.25">
      <c r="A87" s="14" t="s">
        <v>758</v>
      </c>
      <c r="C87" s="50">
        <v>4000</v>
      </c>
      <c r="D87" s="50">
        <v>3987.8</v>
      </c>
      <c r="E87" s="50">
        <v>3670</v>
      </c>
      <c r="F87" s="50">
        <v>3248.6</v>
      </c>
      <c r="G87" s="50">
        <v>3130.8</v>
      </c>
      <c r="H87" s="50">
        <v>3267.6</v>
      </c>
      <c r="I87" s="50">
        <v>3024.2</v>
      </c>
      <c r="J87" s="50">
        <v>6073.6</v>
      </c>
      <c r="K87" s="50">
        <v>2989</v>
      </c>
      <c r="L87" s="50">
        <v>3032.4</v>
      </c>
      <c r="M87" s="50">
        <v>2584</v>
      </c>
      <c r="N87" s="50">
        <v>2741.2</v>
      </c>
      <c r="O87" s="50">
        <f>SUM(C87:N87)</f>
        <v>41749.199999999997</v>
      </c>
      <c r="P87" s="50">
        <f>MAX(C87:N87)</f>
        <v>6073.6</v>
      </c>
      <c r="Q87" s="50"/>
    </row>
    <row r="88" spans="1:23" x14ac:dyDescent="0.25">
      <c r="H88" s="177"/>
    </row>
    <row r="89" spans="1:23" x14ac:dyDescent="0.25">
      <c r="A89" s="15" t="str">
        <f>A13</f>
        <v>I-E - Large Commercial Existing</v>
      </c>
      <c r="B89" s="58" t="str">
        <f>B13</f>
        <v>I-E</v>
      </c>
      <c r="C89" s="50">
        <v>1</v>
      </c>
      <c r="D89" s="50">
        <v>1</v>
      </c>
      <c r="E89" s="50">
        <v>1</v>
      </c>
      <c r="F89" s="50">
        <v>1</v>
      </c>
      <c r="G89" s="50">
        <v>1</v>
      </c>
      <c r="H89" s="50">
        <v>1</v>
      </c>
      <c r="I89" s="50">
        <v>1</v>
      </c>
      <c r="J89" s="50">
        <v>1</v>
      </c>
      <c r="K89" s="50">
        <v>1</v>
      </c>
      <c r="L89" s="50">
        <v>1</v>
      </c>
      <c r="M89" s="50">
        <v>1</v>
      </c>
      <c r="N89" s="50">
        <v>1</v>
      </c>
      <c r="O89" s="50">
        <f>SUM(C89:N89)</f>
        <v>12</v>
      </c>
      <c r="P89" s="50"/>
      <c r="Q89" s="35"/>
    </row>
    <row r="90" spans="1:23" x14ac:dyDescent="0.25">
      <c r="A90" s="14" t="s">
        <v>944</v>
      </c>
      <c r="C90" s="50">
        <v>1617690</v>
      </c>
      <c r="D90" s="50">
        <v>1507705</v>
      </c>
      <c r="E90" s="50">
        <v>1700527</v>
      </c>
      <c r="F90" s="50">
        <v>1196593</v>
      </c>
      <c r="G90" s="50">
        <v>1563671</v>
      </c>
      <c r="H90" s="50">
        <v>1564535</v>
      </c>
      <c r="I90" s="50">
        <v>1497836</v>
      </c>
      <c r="J90" s="50">
        <v>1840302</v>
      </c>
      <c r="K90" s="50">
        <v>1595306</v>
      </c>
      <c r="L90" s="50">
        <v>1431637</v>
      </c>
      <c r="M90" s="50">
        <v>1332671</v>
      </c>
      <c r="N90" s="50">
        <v>1360661</v>
      </c>
      <c r="O90" s="50">
        <f>SUM(C90:N90)</f>
        <v>18209134</v>
      </c>
      <c r="P90" s="170"/>
      <c r="Q90" s="170"/>
      <c r="U90" s="130"/>
      <c r="W90" s="130"/>
    </row>
    <row r="91" spans="1:23" x14ac:dyDescent="0.25">
      <c r="A91" s="14" t="s">
        <v>680</v>
      </c>
      <c r="C91" s="50">
        <f>C90/744</f>
        <v>2174.3145161290322</v>
      </c>
      <c r="D91" s="48">
        <f>D90/672</f>
        <v>2243.6086309523807</v>
      </c>
      <c r="E91" s="50">
        <f t="shared" ref="E91:N91" si="45">E90/744</f>
        <v>2285.6545698924733</v>
      </c>
      <c r="F91" s="50">
        <f>F90/720</f>
        <v>1661.9347222222223</v>
      </c>
      <c r="G91" s="50">
        <f t="shared" si="45"/>
        <v>2101.7083333333335</v>
      </c>
      <c r="H91" s="48">
        <f>H90/720</f>
        <v>2172.9652777777778</v>
      </c>
      <c r="I91" s="48">
        <f>I90/744</f>
        <v>2013.2204301075269</v>
      </c>
      <c r="J91" s="50">
        <f t="shared" si="45"/>
        <v>2473.5241935483873</v>
      </c>
      <c r="K91" s="50">
        <f>K90/720</f>
        <v>2215.7027777777776</v>
      </c>
      <c r="L91" s="50">
        <f t="shared" si="45"/>
        <v>1924.2432795698924</v>
      </c>
      <c r="M91" s="50">
        <f>M90/720</f>
        <v>1850.9319444444445</v>
      </c>
      <c r="N91" s="50">
        <f t="shared" si="45"/>
        <v>1828.8454301075269</v>
      </c>
      <c r="O91" s="50">
        <f>O90/8760</f>
        <v>2078.6682648401825</v>
      </c>
      <c r="P91" s="50"/>
      <c r="Q91" s="50"/>
    </row>
    <row r="92" spans="1:23" x14ac:dyDescent="0.25">
      <c r="A92" s="14" t="s">
        <v>755</v>
      </c>
      <c r="C92" s="68">
        <f>C96</f>
        <v>0.40611636261450157</v>
      </c>
      <c r="D92" s="68">
        <f t="shared" ref="D92:N92" si="46">D96</f>
        <v>0.42535122830261712</v>
      </c>
      <c r="E92" s="68">
        <f t="shared" si="46"/>
        <v>0.41803005477505506</v>
      </c>
      <c r="F92" s="68">
        <f t="shared" si="46"/>
        <v>0.31576507110165342</v>
      </c>
      <c r="G92" s="68">
        <f t="shared" si="46"/>
        <v>0.4220297858099063</v>
      </c>
      <c r="H92" s="68">
        <f t="shared" si="46"/>
        <v>0.40806859676577989</v>
      </c>
      <c r="I92" s="68">
        <f t="shared" si="46"/>
        <v>0.39251714371369212</v>
      </c>
      <c r="J92" s="68">
        <f t="shared" si="46"/>
        <v>0.45137302801977869</v>
      </c>
      <c r="K92" s="68">
        <f t="shared" si="46"/>
        <v>0.44729141993252935</v>
      </c>
      <c r="L92" s="68">
        <f t="shared" si="46"/>
        <v>0.42193876073788122</v>
      </c>
      <c r="M92" s="68">
        <f t="shared" si="46"/>
        <v>0.4042042156805653</v>
      </c>
      <c r="N92" s="68">
        <f t="shared" si="46"/>
        <v>0.38388862932567736</v>
      </c>
      <c r="O92" s="68"/>
      <c r="Q92" s="35"/>
    </row>
    <row r="93" spans="1:23" x14ac:dyDescent="0.25">
      <c r="A93" s="14" t="s">
        <v>756</v>
      </c>
      <c r="C93" s="50">
        <f>C91/C92</f>
        <v>5353.92</v>
      </c>
      <c r="D93" s="50">
        <f t="shared" ref="D93:N93" si="47">D91/D92</f>
        <v>5274.72</v>
      </c>
      <c r="E93" s="50">
        <f t="shared" si="47"/>
        <v>5467.68</v>
      </c>
      <c r="F93" s="50">
        <f t="shared" si="47"/>
        <v>5263.2</v>
      </c>
      <c r="G93" s="50">
        <f t="shared" si="47"/>
        <v>4980</v>
      </c>
      <c r="H93" s="50">
        <f t="shared" si="47"/>
        <v>5325</v>
      </c>
      <c r="I93" s="50">
        <f t="shared" si="47"/>
        <v>5129</v>
      </c>
      <c r="J93" s="50">
        <f t="shared" si="47"/>
        <v>5480</v>
      </c>
      <c r="K93" s="50">
        <f t="shared" si="47"/>
        <v>4953.6000000000004</v>
      </c>
      <c r="L93" s="50">
        <f t="shared" si="47"/>
        <v>4560.4799999999996</v>
      </c>
      <c r="M93" s="50">
        <f t="shared" si="47"/>
        <v>4579.2</v>
      </c>
      <c r="N93" s="50">
        <f t="shared" si="47"/>
        <v>4764</v>
      </c>
      <c r="O93" s="50">
        <f>SUM(C93:N93)</f>
        <v>61130.8</v>
      </c>
      <c r="Q93" s="35">
        <f>MAX(C93:N93)</f>
        <v>5480</v>
      </c>
    </row>
    <row r="94" spans="1:23" x14ac:dyDescent="0.25">
      <c r="A94" s="14" t="s">
        <v>681</v>
      </c>
      <c r="C94" s="68">
        <v>0.7</v>
      </c>
      <c r="D94" s="68">
        <f>C94</f>
        <v>0.7</v>
      </c>
      <c r="E94" s="68">
        <f t="shared" ref="E94:N94" si="48">D94</f>
        <v>0.7</v>
      </c>
      <c r="F94" s="68">
        <f t="shared" si="48"/>
        <v>0.7</v>
      </c>
      <c r="G94" s="68">
        <f t="shared" si="48"/>
        <v>0.7</v>
      </c>
      <c r="H94" s="68">
        <f t="shared" si="48"/>
        <v>0.7</v>
      </c>
      <c r="I94" s="68">
        <f t="shared" si="48"/>
        <v>0.7</v>
      </c>
      <c r="J94" s="68">
        <f t="shared" si="48"/>
        <v>0.7</v>
      </c>
      <c r="K94" s="68">
        <f t="shared" si="48"/>
        <v>0.7</v>
      </c>
      <c r="L94" s="68">
        <f t="shared" si="48"/>
        <v>0.7</v>
      </c>
      <c r="M94" s="68">
        <f t="shared" si="48"/>
        <v>0.7</v>
      </c>
      <c r="N94" s="68">
        <f t="shared" si="48"/>
        <v>0.7</v>
      </c>
      <c r="O94" s="68"/>
      <c r="P94" s="50"/>
      <c r="Q94" s="35"/>
    </row>
    <row r="95" spans="1:23" x14ac:dyDescent="0.25">
      <c r="A95" s="14" t="s">
        <v>682</v>
      </c>
      <c r="C95" s="50">
        <f>C93*C94</f>
        <v>3747.7439999999997</v>
      </c>
      <c r="D95" s="50">
        <f t="shared" ref="D95:N95" si="49">D93*D94</f>
        <v>3692.3040000000001</v>
      </c>
      <c r="E95" s="50">
        <f t="shared" si="49"/>
        <v>3827.3759999999997</v>
      </c>
      <c r="F95" s="50">
        <f t="shared" si="49"/>
        <v>3684.24</v>
      </c>
      <c r="G95" s="50">
        <f t="shared" si="49"/>
        <v>3486</v>
      </c>
      <c r="H95" s="50">
        <f t="shared" si="49"/>
        <v>3727.4999999999995</v>
      </c>
      <c r="I95" s="50">
        <f t="shared" si="49"/>
        <v>3590.2999999999997</v>
      </c>
      <c r="J95" s="50">
        <f t="shared" si="49"/>
        <v>3835.9999999999995</v>
      </c>
      <c r="K95" s="50">
        <f t="shared" si="49"/>
        <v>3467.52</v>
      </c>
      <c r="L95" s="50">
        <f t="shared" si="49"/>
        <v>3192.3359999999993</v>
      </c>
      <c r="M95" s="50">
        <f t="shared" si="49"/>
        <v>3205.4399999999996</v>
      </c>
      <c r="N95" s="50">
        <f t="shared" si="49"/>
        <v>3334.7999999999997</v>
      </c>
      <c r="O95" s="50">
        <f>SUM(C95:N95)</f>
        <v>42791.56</v>
      </c>
      <c r="P95" s="50"/>
      <c r="Q95" s="35"/>
      <c r="R95" s="35">
        <f>O95</f>
        <v>42791.56</v>
      </c>
      <c r="S95" s="35">
        <f>H95+I95+J95</f>
        <v>11153.8</v>
      </c>
      <c r="T95" s="35">
        <f>R95-S95</f>
        <v>31637.759999999998</v>
      </c>
    </row>
    <row r="96" spans="1:23" x14ac:dyDescent="0.25">
      <c r="A96" s="14" t="s">
        <v>757</v>
      </c>
      <c r="C96" s="68">
        <f>C91/C97</f>
        <v>0.40611636261450157</v>
      </c>
      <c r="D96" s="68">
        <f t="shared" ref="D96:N96" si="50">D91/D97</f>
        <v>0.42535122830261712</v>
      </c>
      <c r="E96" s="68">
        <f t="shared" si="50"/>
        <v>0.41803005477505506</v>
      </c>
      <c r="F96" s="68">
        <f t="shared" si="50"/>
        <v>0.31576507110165342</v>
      </c>
      <c r="G96" s="68">
        <f t="shared" si="50"/>
        <v>0.4220297858099063</v>
      </c>
      <c r="H96" s="68">
        <f t="shared" si="50"/>
        <v>0.40806859676577989</v>
      </c>
      <c r="I96" s="68">
        <f t="shared" si="50"/>
        <v>0.39251714371369212</v>
      </c>
      <c r="J96" s="68">
        <f t="shared" si="50"/>
        <v>0.45137302801977869</v>
      </c>
      <c r="K96" s="68">
        <f t="shared" si="50"/>
        <v>0.44729141993252935</v>
      </c>
      <c r="L96" s="68">
        <f t="shared" si="50"/>
        <v>0.42193876073788122</v>
      </c>
      <c r="M96" s="68">
        <f t="shared" si="50"/>
        <v>0.4042042156805653</v>
      </c>
      <c r="N96" s="68">
        <f t="shared" si="50"/>
        <v>0.38388862932567736</v>
      </c>
      <c r="O96" s="68"/>
      <c r="P96" s="170"/>
      <c r="Q96" s="170"/>
      <c r="U96" s="130"/>
      <c r="W96" s="130"/>
    </row>
    <row r="97" spans="1:23" x14ac:dyDescent="0.25">
      <c r="A97" s="14" t="s">
        <v>758</v>
      </c>
      <c r="C97" s="50">
        <v>5353.92</v>
      </c>
      <c r="D97" s="50">
        <v>5274.72</v>
      </c>
      <c r="E97" s="50">
        <v>5467.68</v>
      </c>
      <c r="F97" s="50">
        <v>5263.2</v>
      </c>
      <c r="G97" s="50">
        <v>4980</v>
      </c>
      <c r="H97" s="50">
        <v>5325</v>
      </c>
      <c r="I97" s="50">
        <v>5129</v>
      </c>
      <c r="J97" s="50">
        <v>5480</v>
      </c>
      <c r="K97" s="50">
        <v>4953.6000000000004</v>
      </c>
      <c r="L97" s="50">
        <v>4560.4799999999996</v>
      </c>
      <c r="M97" s="50">
        <v>4579.2</v>
      </c>
      <c r="N97" s="50">
        <v>4764</v>
      </c>
      <c r="O97" s="50">
        <f>SUM(C97:N97)</f>
        <v>61130.8</v>
      </c>
      <c r="P97" s="50">
        <f>MAX(C97:N97)</f>
        <v>5480</v>
      </c>
      <c r="Q97" s="50"/>
    </row>
    <row r="98" spans="1:23" ht="16.5" customHeight="1" x14ac:dyDescent="0.25">
      <c r="C98" s="50"/>
      <c r="H98" s="177"/>
      <c r="M98" s="50"/>
    </row>
    <row r="99" spans="1:23" ht="14.25" customHeight="1" x14ac:dyDescent="0.25">
      <c r="A99" s="15" t="str">
        <f>A14</f>
        <v>OL - Outdoor Lighting</v>
      </c>
      <c r="B99" s="244" t="str">
        <f>B14</f>
        <v>OL</v>
      </c>
      <c r="C99" s="50">
        <v>106</v>
      </c>
      <c r="D99" s="50">
        <v>107</v>
      </c>
      <c r="E99" s="50">
        <v>107</v>
      </c>
      <c r="F99" s="50">
        <v>107</v>
      </c>
      <c r="G99" s="50">
        <v>106</v>
      </c>
      <c r="H99" s="50">
        <v>106</v>
      </c>
      <c r="I99" s="50">
        <v>106</v>
      </c>
      <c r="J99" s="50">
        <v>104</v>
      </c>
      <c r="K99" s="50">
        <v>109</v>
      </c>
      <c r="L99" s="50">
        <v>108</v>
      </c>
      <c r="M99" s="50">
        <v>106</v>
      </c>
      <c r="N99" s="50">
        <v>105</v>
      </c>
      <c r="O99" s="50">
        <f>SUM(C99:N99)</f>
        <v>1277</v>
      </c>
      <c r="P99" s="50"/>
      <c r="Q99" s="35"/>
    </row>
    <row r="100" spans="1:23" x14ac:dyDescent="0.25">
      <c r="A100" s="14" t="s">
        <v>944</v>
      </c>
      <c r="C100" s="50">
        <v>541487</v>
      </c>
      <c r="D100" s="50">
        <v>535152</v>
      </c>
      <c r="E100" s="50">
        <v>527216</v>
      </c>
      <c r="F100" s="50">
        <v>520834</v>
      </c>
      <c r="G100" s="50">
        <v>514467</v>
      </c>
      <c r="H100" s="50">
        <v>511458</v>
      </c>
      <c r="I100" s="50">
        <v>504817</v>
      </c>
      <c r="J100" s="50">
        <v>499298</v>
      </c>
      <c r="K100" s="50">
        <v>566470</v>
      </c>
      <c r="L100" s="50">
        <v>561384</v>
      </c>
      <c r="M100" s="50">
        <v>552949</v>
      </c>
      <c r="N100" s="50">
        <v>547207</v>
      </c>
      <c r="O100" s="50">
        <f>SUM(C100:N100)</f>
        <v>6382739</v>
      </c>
      <c r="P100" s="170"/>
      <c r="Q100" s="170"/>
      <c r="U100" s="130"/>
      <c r="W100" s="130"/>
    </row>
    <row r="101" spans="1:23" x14ac:dyDescent="0.25">
      <c r="A101" s="14" t="s">
        <v>680</v>
      </c>
      <c r="C101" s="50">
        <f>C100/744</f>
        <v>727.80510752688167</v>
      </c>
      <c r="D101" s="48">
        <f>D100/672</f>
        <v>796.35714285714289</v>
      </c>
      <c r="E101" s="50">
        <f t="shared" ref="E101" si="51">E100/744</f>
        <v>708.6236559139785</v>
      </c>
      <c r="F101" s="50">
        <f>F100/720</f>
        <v>723.38055555555559</v>
      </c>
      <c r="G101" s="50">
        <f t="shared" ref="G101" si="52">G100/744</f>
        <v>691.48790322580646</v>
      </c>
      <c r="H101" s="48">
        <f>H100/720</f>
        <v>710.35833333333335</v>
      </c>
      <c r="I101" s="48">
        <f>I100/744</f>
        <v>678.51747311827955</v>
      </c>
      <c r="J101" s="50">
        <f t="shared" ref="J101" si="53">J100/744</f>
        <v>671.09946236559142</v>
      </c>
      <c r="K101" s="50">
        <f>K100/720</f>
        <v>786.76388888888891</v>
      </c>
      <c r="L101" s="50">
        <f t="shared" ref="L101" si="54">L100/744</f>
        <v>754.54838709677415</v>
      </c>
      <c r="M101" s="50">
        <f>M100/720</f>
        <v>767.98472222222222</v>
      </c>
      <c r="N101" s="50">
        <f t="shared" ref="N101" si="55">N100/744</f>
        <v>735.49327956989248</v>
      </c>
      <c r="O101" s="50">
        <f>O100/8760</f>
        <v>728.62317351598176</v>
      </c>
      <c r="P101" s="50"/>
      <c r="Q101" s="50"/>
    </row>
    <row r="102" spans="1:23" x14ac:dyDescent="0.25">
      <c r="A102" s="14" t="s">
        <v>755</v>
      </c>
      <c r="C102" s="68">
        <v>0.5</v>
      </c>
      <c r="D102" s="68">
        <f>C102</f>
        <v>0.5</v>
      </c>
      <c r="E102" s="68">
        <f t="shared" ref="E102" si="56">D102</f>
        <v>0.5</v>
      </c>
      <c r="F102" s="68">
        <f t="shared" ref="F102" si="57">E102</f>
        <v>0.5</v>
      </c>
      <c r="G102" s="68">
        <f t="shared" ref="G102" si="58">F102</f>
        <v>0.5</v>
      </c>
      <c r="H102" s="68">
        <f t="shared" ref="H102" si="59">G102</f>
        <v>0.5</v>
      </c>
      <c r="I102" s="68">
        <f t="shared" ref="I102" si="60">H102</f>
        <v>0.5</v>
      </c>
      <c r="J102" s="68">
        <f t="shared" ref="J102" si="61">I102</f>
        <v>0.5</v>
      </c>
      <c r="K102" s="68">
        <f t="shared" ref="K102" si="62">J102</f>
        <v>0.5</v>
      </c>
      <c r="L102" s="68">
        <f t="shared" ref="L102" si="63">K102</f>
        <v>0.5</v>
      </c>
      <c r="M102" s="68">
        <f t="shared" ref="M102" si="64">L102</f>
        <v>0.5</v>
      </c>
      <c r="N102" s="68">
        <f t="shared" ref="N102" si="65">M102</f>
        <v>0.5</v>
      </c>
      <c r="O102" s="68"/>
      <c r="Q102" s="35"/>
    </row>
    <row r="103" spans="1:23" x14ac:dyDescent="0.25">
      <c r="A103" s="14" t="s">
        <v>756</v>
      </c>
      <c r="C103" s="50">
        <f>C101/C102</f>
        <v>1455.6102150537633</v>
      </c>
      <c r="D103" s="50">
        <f t="shared" ref="D103:N103" si="66">D101/D102</f>
        <v>1592.7142857142858</v>
      </c>
      <c r="E103" s="50">
        <f t="shared" si="66"/>
        <v>1417.247311827957</v>
      </c>
      <c r="F103" s="50">
        <f t="shared" si="66"/>
        <v>1446.7611111111112</v>
      </c>
      <c r="G103" s="50">
        <f t="shared" si="66"/>
        <v>1382.9758064516129</v>
      </c>
      <c r="H103" s="50">
        <f t="shared" si="66"/>
        <v>1420.7166666666667</v>
      </c>
      <c r="I103" s="50">
        <f t="shared" si="66"/>
        <v>1357.0349462365591</v>
      </c>
      <c r="J103" s="50">
        <f t="shared" si="66"/>
        <v>1342.1989247311828</v>
      </c>
      <c r="K103" s="50">
        <f t="shared" si="66"/>
        <v>1573.5277777777778</v>
      </c>
      <c r="L103" s="50">
        <f t="shared" si="66"/>
        <v>1509.0967741935483</v>
      </c>
      <c r="M103" s="50">
        <f t="shared" si="66"/>
        <v>1535.9694444444444</v>
      </c>
      <c r="N103" s="50">
        <f t="shared" si="66"/>
        <v>1470.986559139785</v>
      </c>
      <c r="O103" s="50">
        <f>SUM(C103:N103)</f>
        <v>17504.839823348695</v>
      </c>
      <c r="P103" s="50"/>
      <c r="Q103" s="50">
        <f>MAX(C103:N103)</f>
        <v>1592.7142857142858</v>
      </c>
    </row>
    <row r="104" spans="1:23" x14ac:dyDescent="0.25">
      <c r="A104" s="14" t="s">
        <v>681</v>
      </c>
      <c r="C104" s="68">
        <v>1</v>
      </c>
      <c r="D104" s="68">
        <v>1</v>
      </c>
      <c r="E104" s="68">
        <v>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1</v>
      </c>
      <c r="M104" s="68">
        <v>1</v>
      </c>
      <c r="N104" s="68">
        <v>1</v>
      </c>
      <c r="O104" s="68"/>
      <c r="P104" s="50"/>
      <c r="Q104" s="35"/>
    </row>
    <row r="105" spans="1:23" x14ac:dyDescent="0.25">
      <c r="A105" s="14" t="s">
        <v>682</v>
      </c>
      <c r="C105" s="50">
        <f>C103*C104</f>
        <v>1455.6102150537633</v>
      </c>
      <c r="D105" s="50">
        <f t="shared" ref="D105:N105" si="67">D103*D104</f>
        <v>1592.7142857142858</v>
      </c>
      <c r="E105" s="50">
        <f t="shared" si="67"/>
        <v>1417.247311827957</v>
      </c>
      <c r="F105" s="50">
        <f t="shared" si="67"/>
        <v>0</v>
      </c>
      <c r="G105" s="50">
        <f t="shared" si="67"/>
        <v>0</v>
      </c>
      <c r="H105" s="50">
        <f t="shared" si="67"/>
        <v>0</v>
      </c>
      <c r="I105" s="50">
        <f t="shared" si="67"/>
        <v>0</v>
      </c>
      <c r="J105" s="50">
        <f t="shared" si="67"/>
        <v>0</v>
      </c>
      <c r="K105" s="50">
        <f t="shared" si="67"/>
        <v>0</v>
      </c>
      <c r="L105" s="50">
        <f t="shared" si="67"/>
        <v>1509.0967741935483</v>
      </c>
      <c r="M105" s="50">
        <f t="shared" si="67"/>
        <v>1535.9694444444444</v>
      </c>
      <c r="N105" s="50">
        <f t="shared" si="67"/>
        <v>1470.986559139785</v>
      </c>
      <c r="O105" s="50">
        <f>SUM(C105:N105)</f>
        <v>8981.6245903737836</v>
      </c>
      <c r="P105" s="50"/>
      <c r="Q105" s="35"/>
      <c r="R105" s="35">
        <f>O105</f>
        <v>8981.6245903737836</v>
      </c>
      <c r="S105" s="35">
        <f>H105+I105+J105</f>
        <v>0</v>
      </c>
      <c r="T105" s="35">
        <f>R105-S105</f>
        <v>8981.6245903737836</v>
      </c>
    </row>
    <row r="106" spans="1:23" x14ac:dyDescent="0.25">
      <c r="A106" s="14" t="s">
        <v>757</v>
      </c>
      <c r="C106" s="68">
        <v>0.5</v>
      </c>
      <c r="D106" s="68">
        <f>C106</f>
        <v>0.5</v>
      </c>
      <c r="E106" s="68">
        <f t="shared" ref="E106" si="68">D106</f>
        <v>0.5</v>
      </c>
      <c r="F106" s="68">
        <f t="shared" ref="F106" si="69">E106</f>
        <v>0.5</v>
      </c>
      <c r="G106" s="68">
        <f t="shared" ref="G106" si="70">F106</f>
        <v>0.5</v>
      </c>
      <c r="H106" s="68">
        <f t="shared" ref="H106" si="71">G106</f>
        <v>0.5</v>
      </c>
      <c r="I106" s="68">
        <f t="shared" ref="I106" si="72">H106</f>
        <v>0.5</v>
      </c>
      <c r="J106" s="68">
        <f t="shared" ref="J106" si="73">I106</f>
        <v>0.5</v>
      </c>
      <c r="K106" s="68">
        <f t="shared" ref="K106" si="74">J106</f>
        <v>0.5</v>
      </c>
      <c r="L106" s="68">
        <f t="shared" ref="L106" si="75">K106</f>
        <v>0.5</v>
      </c>
      <c r="M106" s="68">
        <f t="shared" ref="M106" si="76">L106</f>
        <v>0.5</v>
      </c>
      <c r="N106" s="68">
        <f t="shared" ref="N106" si="77">M106</f>
        <v>0.5</v>
      </c>
      <c r="O106" s="68"/>
      <c r="P106" s="170"/>
      <c r="Q106" s="170"/>
      <c r="U106" s="130"/>
      <c r="W106" s="130"/>
    </row>
    <row r="107" spans="1:23" x14ac:dyDescent="0.25">
      <c r="A107" s="14" t="s">
        <v>758</v>
      </c>
      <c r="C107" s="50">
        <f>C101/C106</f>
        <v>1455.6102150537633</v>
      </c>
      <c r="D107" s="50">
        <f t="shared" ref="D107:N107" si="78">D101/D106</f>
        <v>1592.7142857142858</v>
      </c>
      <c r="E107" s="50">
        <f t="shared" si="78"/>
        <v>1417.247311827957</v>
      </c>
      <c r="F107" s="50">
        <f t="shared" si="78"/>
        <v>1446.7611111111112</v>
      </c>
      <c r="G107" s="50">
        <f t="shared" si="78"/>
        <v>1382.9758064516129</v>
      </c>
      <c r="H107" s="50">
        <f t="shared" si="78"/>
        <v>1420.7166666666667</v>
      </c>
      <c r="I107" s="50">
        <f t="shared" si="78"/>
        <v>1357.0349462365591</v>
      </c>
      <c r="J107" s="50">
        <f t="shared" si="78"/>
        <v>1342.1989247311828</v>
      </c>
      <c r="K107" s="50">
        <f t="shared" si="78"/>
        <v>1573.5277777777778</v>
      </c>
      <c r="L107" s="50">
        <f t="shared" si="78"/>
        <v>1509.0967741935483</v>
      </c>
      <c r="M107" s="50">
        <f t="shared" si="78"/>
        <v>1535.9694444444444</v>
      </c>
      <c r="N107" s="50">
        <f t="shared" si="78"/>
        <v>1470.986559139785</v>
      </c>
      <c r="O107" s="50">
        <f>SUM(C107:N107)</f>
        <v>17504.839823348695</v>
      </c>
      <c r="P107" s="50">
        <f>MAX(C107:N107)</f>
        <v>1592.7142857142858</v>
      </c>
      <c r="Q107" s="50"/>
    </row>
    <row r="109" spans="1:23" hidden="1" x14ac:dyDescent="0.25">
      <c r="A109" s="223">
        <f>A15</f>
        <v>0</v>
      </c>
      <c r="B109" s="244">
        <f>B16</f>
        <v>0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>
        <f>SUM(C109:N109)</f>
        <v>0</v>
      </c>
      <c r="P109" s="50"/>
      <c r="Q109" s="35"/>
    </row>
    <row r="110" spans="1:23" hidden="1" x14ac:dyDescent="0.25">
      <c r="A110" s="14" t="s">
        <v>679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>SUM(C110:N110)</f>
        <v>0</v>
      </c>
      <c r="P110" s="170"/>
      <c r="Q110" s="170"/>
      <c r="U110" s="130"/>
      <c r="W110" s="130"/>
    </row>
    <row r="111" spans="1:23" hidden="1" x14ac:dyDescent="0.25">
      <c r="A111" s="14" t="s">
        <v>680</v>
      </c>
      <c r="C111" s="50">
        <f>C110/744</f>
        <v>0</v>
      </c>
      <c r="D111" s="48">
        <f>D110/720</f>
        <v>0</v>
      </c>
      <c r="E111" s="50">
        <f t="shared" ref="E111" si="79">E110/744</f>
        <v>0</v>
      </c>
      <c r="F111" s="50">
        <f>F110/720</f>
        <v>0</v>
      </c>
      <c r="G111" s="50">
        <f t="shared" ref="G111" si="80">G110/744</f>
        <v>0</v>
      </c>
      <c r="H111" s="48">
        <f>H110/744</f>
        <v>0</v>
      </c>
      <c r="I111" s="48">
        <f>I110/672</f>
        <v>0</v>
      </c>
      <c r="J111" s="50">
        <f t="shared" ref="J111" si="81">J110/744</f>
        <v>0</v>
      </c>
      <c r="K111" s="50">
        <f>K110/720</f>
        <v>0</v>
      </c>
      <c r="L111" s="50">
        <f t="shared" ref="L111" si="82">L110/744</f>
        <v>0</v>
      </c>
      <c r="M111" s="50">
        <f>M110/720</f>
        <v>0</v>
      </c>
      <c r="N111" s="50">
        <f t="shared" ref="N111" si="83">N110/744</f>
        <v>0</v>
      </c>
      <c r="O111" s="50">
        <f>O110/8760</f>
        <v>0</v>
      </c>
      <c r="P111" s="50"/>
      <c r="Q111" s="50"/>
    </row>
    <row r="112" spans="1:23" hidden="1" x14ac:dyDescent="0.25">
      <c r="A112" s="14" t="s">
        <v>755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hidden="1" x14ac:dyDescent="0.25">
      <c r="A113" s="14" t="s">
        <v>756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hidden="1" x14ac:dyDescent="0.25">
      <c r="A114" s="14" t="s">
        <v>681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hidden="1" x14ac:dyDescent="0.25">
      <c r="A115" s="14" t="s">
        <v>682</v>
      </c>
      <c r="C115" s="50">
        <f t="shared" ref="C115:N115" si="84">C113*C114</f>
        <v>0</v>
      </c>
      <c r="D115" s="50">
        <f t="shared" si="84"/>
        <v>0</v>
      </c>
      <c r="E115" s="50">
        <f t="shared" si="84"/>
        <v>0</v>
      </c>
      <c r="F115" s="50">
        <f t="shared" si="84"/>
        <v>0</v>
      </c>
      <c r="G115" s="50">
        <f t="shared" si="84"/>
        <v>0</v>
      </c>
      <c r="H115" s="50">
        <f t="shared" si="84"/>
        <v>0</v>
      </c>
      <c r="I115" s="50">
        <f t="shared" si="84"/>
        <v>0</v>
      </c>
      <c r="J115" s="50">
        <f t="shared" si="84"/>
        <v>0</v>
      </c>
      <c r="K115" s="50">
        <f t="shared" si="84"/>
        <v>0</v>
      </c>
      <c r="L115" s="50">
        <f t="shared" si="84"/>
        <v>0</v>
      </c>
      <c r="M115" s="50">
        <f t="shared" si="84"/>
        <v>0</v>
      </c>
      <c r="N115" s="50">
        <f t="shared" si="84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hidden="1" x14ac:dyDescent="0.25">
      <c r="A116" s="14" t="s">
        <v>757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70"/>
      <c r="Q116" s="170"/>
      <c r="U116" s="130"/>
      <c r="W116" s="130"/>
    </row>
    <row r="117" spans="1:23" hidden="1" x14ac:dyDescent="0.25">
      <c r="A117" s="14" t="s">
        <v>758</v>
      </c>
      <c r="C117" s="50">
        <f>C111/C116</f>
        <v>0</v>
      </c>
      <c r="D117" s="50">
        <f t="shared" ref="D117:N117" si="85">D111/D116</f>
        <v>0</v>
      </c>
      <c r="E117" s="50">
        <f t="shared" si="85"/>
        <v>0</v>
      </c>
      <c r="F117" s="50">
        <f t="shared" si="85"/>
        <v>0</v>
      </c>
      <c r="G117" s="50">
        <f t="shared" si="85"/>
        <v>0</v>
      </c>
      <c r="H117" s="50">
        <f t="shared" si="85"/>
        <v>0</v>
      </c>
      <c r="I117" s="50">
        <f t="shared" si="85"/>
        <v>0</v>
      </c>
      <c r="J117" s="50">
        <f t="shared" si="85"/>
        <v>0</v>
      </c>
      <c r="K117" s="50">
        <f t="shared" si="85"/>
        <v>0</v>
      </c>
      <c r="L117" s="50">
        <f t="shared" si="85"/>
        <v>0</v>
      </c>
      <c r="M117" s="50">
        <f t="shared" si="85"/>
        <v>0</v>
      </c>
      <c r="N117" s="50">
        <f t="shared" si="85"/>
        <v>0</v>
      </c>
      <c r="O117" s="50">
        <f>SUM(C117:N117)</f>
        <v>0</v>
      </c>
      <c r="P117" s="50">
        <f>MAX(C117:N117)</f>
        <v>0</v>
      </c>
      <c r="Q117" s="50"/>
    </row>
    <row r="118" spans="1:23" ht="14.25" hidden="1" customHeight="1" x14ac:dyDescent="0.25"/>
    <row r="119" spans="1:23" hidden="1" x14ac:dyDescent="0.25">
      <c r="A119" s="15">
        <f>A16</f>
        <v>0</v>
      </c>
      <c r="B119" s="58">
        <f>B16</f>
        <v>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35"/>
    </row>
    <row r="120" spans="1:23" hidden="1" x14ac:dyDescent="0.25">
      <c r="A120" s="14" t="s">
        <v>679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f>SUM(C120:N120)</f>
        <v>0</v>
      </c>
      <c r="P120" s="170"/>
      <c r="Q120" s="170"/>
      <c r="U120" s="130"/>
      <c r="W120" s="130"/>
    </row>
    <row r="121" spans="1:23" hidden="1" x14ac:dyDescent="0.25">
      <c r="A121" s="14" t="s">
        <v>680</v>
      </c>
      <c r="C121" s="50">
        <f>C120/744</f>
        <v>0</v>
      </c>
      <c r="D121" s="48">
        <f>D120/720</f>
        <v>0</v>
      </c>
      <c r="E121" s="50">
        <f t="shared" ref="E121:N121" si="86">E120/744</f>
        <v>0</v>
      </c>
      <c r="F121" s="50">
        <f>F120/720</f>
        <v>0</v>
      </c>
      <c r="G121" s="50">
        <f t="shared" si="86"/>
        <v>0</v>
      </c>
      <c r="H121" s="48">
        <f>H120/744</f>
        <v>0</v>
      </c>
      <c r="I121" s="48">
        <f>I120/672</f>
        <v>0</v>
      </c>
      <c r="J121" s="50">
        <f t="shared" si="86"/>
        <v>0</v>
      </c>
      <c r="K121" s="50">
        <f>K120/720</f>
        <v>0</v>
      </c>
      <c r="L121" s="50">
        <f t="shared" si="86"/>
        <v>0</v>
      </c>
      <c r="M121" s="50">
        <f>M120/720</f>
        <v>0</v>
      </c>
      <c r="N121" s="50">
        <f t="shared" si="86"/>
        <v>0</v>
      </c>
      <c r="O121" s="50">
        <f>O120/8760</f>
        <v>0</v>
      </c>
      <c r="P121" s="50"/>
      <c r="Q121" s="50"/>
    </row>
    <row r="122" spans="1:23" hidden="1" x14ac:dyDescent="0.25">
      <c r="A122" s="14" t="s">
        <v>755</v>
      </c>
      <c r="C122" s="68">
        <v>0</v>
      </c>
      <c r="D122" s="68">
        <v>0</v>
      </c>
      <c r="E122" s="68">
        <v>0</v>
      </c>
      <c r="F122" s="68">
        <v>0.25</v>
      </c>
      <c r="G122" s="68">
        <v>0.25</v>
      </c>
      <c r="H122" s="68">
        <v>0.25</v>
      </c>
      <c r="I122" s="68">
        <v>0.25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/>
      <c r="Q122" s="35"/>
    </row>
    <row r="123" spans="1:23" hidden="1" x14ac:dyDescent="0.25">
      <c r="A123" s="14" t="s">
        <v>756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f>SUM(C123:N123)</f>
        <v>0</v>
      </c>
      <c r="Q123" s="35">
        <f>MAX(C123:N123)</f>
        <v>0</v>
      </c>
    </row>
    <row r="124" spans="1:23" hidden="1" x14ac:dyDescent="0.25">
      <c r="A124" s="14" t="s">
        <v>681</v>
      </c>
      <c r="C124" s="68">
        <v>1</v>
      </c>
      <c r="D124" s="68">
        <v>1</v>
      </c>
      <c r="E124" s="68">
        <v>1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1</v>
      </c>
      <c r="M124" s="68">
        <v>1</v>
      </c>
      <c r="N124" s="68">
        <v>1</v>
      </c>
      <c r="O124" s="68"/>
      <c r="P124" s="50"/>
      <c r="Q124" s="35"/>
    </row>
    <row r="125" spans="1:23" hidden="1" x14ac:dyDescent="0.25">
      <c r="A125" s="14" t="s">
        <v>682</v>
      </c>
      <c r="C125" s="50">
        <f t="shared" ref="C125:N125" si="87">C123*C124</f>
        <v>0</v>
      </c>
      <c r="D125" s="50">
        <f t="shared" si="87"/>
        <v>0</v>
      </c>
      <c r="E125" s="50">
        <f t="shared" si="87"/>
        <v>0</v>
      </c>
      <c r="F125" s="50">
        <f t="shared" si="87"/>
        <v>0</v>
      </c>
      <c r="G125" s="50">
        <f t="shared" si="87"/>
        <v>0</v>
      </c>
      <c r="H125" s="50">
        <f t="shared" si="87"/>
        <v>0</v>
      </c>
      <c r="I125" s="50">
        <f t="shared" si="87"/>
        <v>0</v>
      </c>
      <c r="J125" s="50">
        <f t="shared" si="87"/>
        <v>0</v>
      </c>
      <c r="K125" s="50">
        <f t="shared" si="87"/>
        <v>0</v>
      </c>
      <c r="L125" s="50">
        <f t="shared" si="87"/>
        <v>0</v>
      </c>
      <c r="M125" s="50">
        <f t="shared" si="87"/>
        <v>0</v>
      </c>
      <c r="N125" s="50">
        <f t="shared" si="87"/>
        <v>0</v>
      </c>
      <c r="O125" s="50">
        <f>SUM(C125:N125)</f>
        <v>0</v>
      </c>
      <c r="P125" s="50"/>
      <c r="Q125" s="35"/>
      <c r="R125" s="35">
        <f>O125</f>
        <v>0</v>
      </c>
      <c r="S125" s="35">
        <f>H125+I125+J125</f>
        <v>0</v>
      </c>
      <c r="T125" s="35">
        <f>R125-S125</f>
        <v>0</v>
      </c>
    </row>
    <row r="126" spans="1:23" hidden="1" x14ac:dyDescent="0.25">
      <c r="A126" s="14" t="s">
        <v>757</v>
      </c>
      <c r="C126" s="68">
        <v>0.65</v>
      </c>
      <c r="D126" s="68">
        <v>0.65</v>
      </c>
      <c r="E126" s="68">
        <v>0.65</v>
      </c>
      <c r="F126" s="68">
        <v>0.65</v>
      </c>
      <c r="G126" s="68">
        <v>0.65</v>
      </c>
      <c r="H126" s="68">
        <v>0.65</v>
      </c>
      <c r="I126" s="68">
        <v>0.65</v>
      </c>
      <c r="J126" s="68">
        <v>0.65</v>
      </c>
      <c r="K126" s="68">
        <v>0.65</v>
      </c>
      <c r="L126" s="68">
        <v>0.65</v>
      </c>
      <c r="M126" s="68">
        <v>0.65</v>
      </c>
      <c r="N126" s="68">
        <v>0.65</v>
      </c>
      <c r="O126" s="68"/>
      <c r="P126" s="170"/>
      <c r="Q126" s="170"/>
      <c r="U126" s="130"/>
      <c r="W126" s="130"/>
    </row>
    <row r="127" spans="1:23" hidden="1" x14ac:dyDescent="0.25">
      <c r="A127" s="14" t="s">
        <v>758</v>
      </c>
      <c r="C127" s="50">
        <f>C121/C126</f>
        <v>0</v>
      </c>
      <c r="D127" s="50">
        <f t="shared" ref="D127:N127" si="88">D121/D126</f>
        <v>0</v>
      </c>
      <c r="E127" s="50">
        <f t="shared" si="88"/>
        <v>0</v>
      </c>
      <c r="F127" s="50">
        <f t="shared" si="88"/>
        <v>0</v>
      </c>
      <c r="G127" s="50">
        <f t="shared" si="88"/>
        <v>0</v>
      </c>
      <c r="H127" s="50">
        <f t="shared" si="88"/>
        <v>0</v>
      </c>
      <c r="I127" s="50">
        <f t="shared" si="88"/>
        <v>0</v>
      </c>
      <c r="J127" s="50">
        <f t="shared" si="88"/>
        <v>0</v>
      </c>
      <c r="K127" s="50">
        <f t="shared" si="88"/>
        <v>0</v>
      </c>
      <c r="L127" s="50">
        <f t="shared" si="88"/>
        <v>0</v>
      </c>
      <c r="M127" s="50">
        <f t="shared" si="88"/>
        <v>0</v>
      </c>
      <c r="N127" s="50">
        <f t="shared" si="88"/>
        <v>0</v>
      </c>
      <c r="O127" s="50">
        <f>SUM(C127:N127)</f>
        <v>0</v>
      </c>
      <c r="P127" s="50">
        <f>MAX(C127:N127)</f>
        <v>0</v>
      </c>
      <c r="Q127" s="50"/>
    </row>
    <row r="128" spans="1:23" hidden="1" x14ac:dyDescent="0.25"/>
    <row r="129" spans="1:23" hidden="1" x14ac:dyDescent="0.25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5">
      <c r="A130" s="14" t="s">
        <v>679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70"/>
      <c r="Q130" s="170"/>
      <c r="U130" s="130"/>
      <c r="W130" s="130"/>
    </row>
    <row r="131" spans="1:23" hidden="1" x14ac:dyDescent="0.25">
      <c r="A131" s="14" t="s">
        <v>680</v>
      </c>
      <c r="C131" s="50">
        <f>C130/744</f>
        <v>0</v>
      </c>
      <c r="D131" s="48">
        <f>D130/720</f>
        <v>0</v>
      </c>
      <c r="E131" s="50">
        <f t="shared" ref="E131:N131" si="89">E130/744</f>
        <v>0</v>
      </c>
      <c r="F131" s="50">
        <f>F130/720</f>
        <v>0</v>
      </c>
      <c r="G131" s="50">
        <f t="shared" si="89"/>
        <v>0</v>
      </c>
      <c r="H131" s="48">
        <f>H130/744</f>
        <v>0</v>
      </c>
      <c r="I131" s="48">
        <f>I130/672</f>
        <v>0</v>
      </c>
      <c r="J131" s="50">
        <f t="shared" si="89"/>
        <v>0</v>
      </c>
      <c r="K131" s="50">
        <f>K130/720</f>
        <v>0</v>
      </c>
      <c r="L131" s="50">
        <f t="shared" si="89"/>
        <v>0</v>
      </c>
      <c r="M131" s="50">
        <f>M130/720</f>
        <v>0</v>
      </c>
      <c r="N131" s="50">
        <f t="shared" si="89"/>
        <v>0</v>
      </c>
      <c r="O131" s="50">
        <f>O130/8760</f>
        <v>0</v>
      </c>
      <c r="P131" s="50"/>
      <c r="Q131" s="50"/>
    </row>
    <row r="132" spans="1:23" hidden="1" x14ac:dyDescent="0.25">
      <c r="A132" s="14" t="s">
        <v>755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5">
      <c r="A133" s="14" t="s">
        <v>756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5">
      <c r="A134" s="14" t="s">
        <v>681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5">
      <c r="A135" s="14" t="s">
        <v>682</v>
      </c>
      <c r="C135" s="50">
        <f t="shared" ref="C135:N135" si="90">C133*C134</f>
        <v>0</v>
      </c>
      <c r="D135" s="50">
        <f t="shared" si="90"/>
        <v>0</v>
      </c>
      <c r="E135" s="50">
        <f t="shared" si="90"/>
        <v>0</v>
      </c>
      <c r="F135" s="50">
        <f t="shared" si="90"/>
        <v>0</v>
      </c>
      <c r="G135" s="50">
        <f t="shared" si="90"/>
        <v>0</v>
      </c>
      <c r="H135" s="50">
        <f t="shared" si="90"/>
        <v>0</v>
      </c>
      <c r="I135" s="50">
        <f t="shared" si="90"/>
        <v>0</v>
      </c>
      <c r="J135" s="50">
        <f t="shared" si="90"/>
        <v>0</v>
      </c>
      <c r="K135" s="50">
        <f t="shared" si="90"/>
        <v>0</v>
      </c>
      <c r="L135" s="50">
        <f t="shared" si="90"/>
        <v>0</v>
      </c>
      <c r="M135" s="50">
        <f t="shared" si="90"/>
        <v>0</v>
      </c>
      <c r="N135" s="50">
        <f t="shared" si="90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5">
      <c r="A136" s="14" t="s">
        <v>757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70"/>
      <c r="Q136" s="170"/>
      <c r="U136" s="130"/>
      <c r="W136" s="130"/>
    </row>
    <row r="137" spans="1:23" hidden="1" x14ac:dyDescent="0.25">
      <c r="A137" s="14" t="s">
        <v>758</v>
      </c>
      <c r="C137" s="50">
        <f>C131/C136</f>
        <v>0</v>
      </c>
      <c r="D137" s="50">
        <f t="shared" ref="D137:N137" si="91">D131/D136</f>
        <v>0</v>
      </c>
      <c r="E137" s="50">
        <f t="shared" si="91"/>
        <v>0</v>
      </c>
      <c r="F137" s="50">
        <f t="shared" si="91"/>
        <v>0</v>
      </c>
      <c r="G137" s="50">
        <f t="shared" si="91"/>
        <v>0</v>
      </c>
      <c r="H137" s="50">
        <f t="shared" si="91"/>
        <v>0</v>
      </c>
      <c r="I137" s="50">
        <f t="shared" si="91"/>
        <v>0</v>
      </c>
      <c r="J137" s="50">
        <f t="shared" si="91"/>
        <v>0</v>
      </c>
      <c r="K137" s="50">
        <f t="shared" si="91"/>
        <v>0</v>
      </c>
      <c r="L137" s="50">
        <f t="shared" si="91"/>
        <v>0</v>
      </c>
      <c r="M137" s="50">
        <f t="shared" si="91"/>
        <v>0</v>
      </c>
      <c r="N137" s="50">
        <f t="shared" si="91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5">
      <c r="L138" s="50"/>
    </row>
    <row r="139" spans="1:23" hidden="1" x14ac:dyDescent="0.25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5">
      <c r="A140" s="14" t="s">
        <v>679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70"/>
      <c r="Q140" s="170"/>
      <c r="U140" s="130"/>
      <c r="W140" s="130"/>
    </row>
    <row r="141" spans="1:23" hidden="1" x14ac:dyDescent="0.25">
      <c r="A141" s="14" t="s">
        <v>680</v>
      </c>
      <c r="C141" s="50">
        <f>C140/744</f>
        <v>0</v>
      </c>
      <c r="D141" s="48">
        <f>D140/720</f>
        <v>0</v>
      </c>
      <c r="E141" s="50">
        <f t="shared" ref="E141:N141" si="92">E140/744</f>
        <v>0</v>
      </c>
      <c r="F141" s="50">
        <f>F140/720</f>
        <v>0</v>
      </c>
      <c r="G141" s="50">
        <f t="shared" si="92"/>
        <v>0</v>
      </c>
      <c r="H141" s="48">
        <f>H140/744</f>
        <v>0</v>
      </c>
      <c r="I141" s="48">
        <f>I140/672</f>
        <v>0</v>
      </c>
      <c r="J141" s="50">
        <f t="shared" si="92"/>
        <v>0</v>
      </c>
      <c r="K141" s="50">
        <f>K140/720</f>
        <v>0</v>
      </c>
      <c r="L141" s="50">
        <f t="shared" si="92"/>
        <v>0</v>
      </c>
      <c r="M141" s="50">
        <f>M140/720</f>
        <v>0</v>
      </c>
      <c r="N141" s="50">
        <f t="shared" si="92"/>
        <v>0</v>
      </c>
      <c r="O141" s="50">
        <f>O140/8760</f>
        <v>0</v>
      </c>
      <c r="P141" s="50"/>
      <c r="Q141" s="50"/>
    </row>
    <row r="142" spans="1:23" hidden="1" x14ac:dyDescent="0.25">
      <c r="A142" s="14" t="s">
        <v>755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5">
      <c r="A143" s="14" t="s">
        <v>756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5">
      <c r="A144" s="14" t="s">
        <v>681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5">
      <c r="A145" s="14" t="s">
        <v>682</v>
      </c>
      <c r="C145" s="50">
        <f t="shared" ref="C145:N145" si="93">C143*C144</f>
        <v>0</v>
      </c>
      <c r="D145" s="50">
        <f t="shared" si="93"/>
        <v>0</v>
      </c>
      <c r="E145" s="50">
        <f t="shared" si="93"/>
        <v>0</v>
      </c>
      <c r="F145" s="50">
        <f t="shared" si="93"/>
        <v>0</v>
      </c>
      <c r="G145" s="50">
        <f t="shared" si="93"/>
        <v>0</v>
      </c>
      <c r="H145" s="50">
        <f t="shared" si="93"/>
        <v>0</v>
      </c>
      <c r="I145" s="50">
        <f t="shared" si="93"/>
        <v>0</v>
      </c>
      <c r="J145" s="50">
        <f t="shared" si="93"/>
        <v>0</v>
      </c>
      <c r="K145" s="50">
        <f t="shared" si="93"/>
        <v>0</v>
      </c>
      <c r="L145" s="50">
        <f t="shared" si="93"/>
        <v>0</v>
      </c>
      <c r="M145" s="50">
        <f t="shared" si="93"/>
        <v>0</v>
      </c>
      <c r="N145" s="50">
        <f t="shared" si="93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5">
      <c r="A146" s="14" t="s">
        <v>757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70"/>
      <c r="Q146" s="170"/>
      <c r="U146" s="130"/>
      <c r="W146" s="130"/>
    </row>
    <row r="147" spans="1:23" hidden="1" x14ac:dyDescent="0.25">
      <c r="A147" s="14" t="s">
        <v>758</v>
      </c>
      <c r="C147" s="50">
        <f>C141/C146</f>
        <v>0</v>
      </c>
      <c r="D147" s="50">
        <f t="shared" ref="D147:N147" si="94">D141/D146</f>
        <v>0</v>
      </c>
      <c r="E147" s="50">
        <f t="shared" si="94"/>
        <v>0</v>
      </c>
      <c r="F147" s="50">
        <f t="shared" si="94"/>
        <v>0</v>
      </c>
      <c r="G147" s="50">
        <f t="shared" si="94"/>
        <v>0</v>
      </c>
      <c r="H147" s="50">
        <f t="shared" si="94"/>
        <v>0</v>
      </c>
      <c r="I147" s="50">
        <f t="shared" si="94"/>
        <v>0</v>
      </c>
      <c r="J147" s="50">
        <f t="shared" si="94"/>
        <v>0</v>
      </c>
      <c r="K147" s="50">
        <f t="shared" si="94"/>
        <v>0</v>
      </c>
      <c r="L147" s="50">
        <f t="shared" si="94"/>
        <v>0</v>
      </c>
      <c r="M147" s="50">
        <f t="shared" si="94"/>
        <v>0</v>
      </c>
      <c r="N147" s="50">
        <f t="shared" si="94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5"/>
    <row r="149" spans="1:23" hidden="1" x14ac:dyDescent="0.25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5">
      <c r="A150" s="14" t="s">
        <v>679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70"/>
      <c r="Q150" s="170"/>
      <c r="U150" s="130"/>
      <c r="W150" s="130"/>
    </row>
    <row r="151" spans="1:23" hidden="1" x14ac:dyDescent="0.25">
      <c r="A151" s="14" t="s">
        <v>680</v>
      </c>
      <c r="C151" s="50">
        <f>C150/744</f>
        <v>0</v>
      </c>
      <c r="D151" s="48">
        <f>D150/720</f>
        <v>0</v>
      </c>
      <c r="E151" s="50">
        <f t="shared" ref="E151:N151" si="95">E150/744</f>
        <v>0</v>
      </c>
      <c r="F151" s="50">
        <f>F150/720</f>
        <v>0</v>
      </c>
      <c r="G151" s="50">
        <f t="shared" si="95"/>
        <v>0</v>
      </c>
      <c r="H151" s="48">
        <f>H150/744</f>
        <v>0</v>
      </c>
      <c r="I151" s="48">
        <f>I150/672</f>
        <v>0</v>
      </c>
      <c r="J151" s="50">
        <f t="shared" si="95"/>
        <v>0</v>
      </c>
      <c r="K151" s="50">
        <f>K150/720</f>
        <v>0</v>
      </c>
      <c r="L151" s="50">
        <f t="shared" si="95"/>
        <v>0</v>
      </c>
      <c r="M151" s="50">
        <f>M150/720</f>
        <v>0</v>
      </c>
      <c r="N151" s="50">
        <f t="shared" si="95"/>
        <v>0</v>
      </c>
      <c r="O151" s="50">
        <f>O150/8760</f>
        <v>0</v>
      </c>
      <c r="P151" s="50"/>
      <c r="Q151" s="50"/>
    </row>
    <row r="152" spans="1:23" hidden="1" x14ac:dyDescent="0.25">
      <c r="A152" s="14" t="s">
        <v>755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5">
      <c r="A153" s="14" t="s">
        <v>756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5">
      <c r="A154" s="14" t="s">
        <v>681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5">
      <c r="A155" s="14" t="s">
        <v>682</v>
      </c>
      <c r="C155" s="50">
        <f t="shared" ref="C155:N155" si="96">C153*C154</f>
        <v>0</v>
      </c>
      <c r="D155" s="50">
        <f t="shared" si="96"/>
        <v>0</v>
      </c>
      <c r="E155" s="50">
        <f t="shared" si="96"/>
        <v>0</v>
      </c>
      <c r="F155" s="50">
        <f t="shared" si="96"/>
        <v>0</v>
      </c>
      <c r="G155" s="50">
        <f t="shared" si="96"/>
        <v>0</v>
      </c>
      <c r="H155" s="50">
        <f t="shared" si="96"/>
        <v>0</v>
      </c>
      <c r="I155" s="50">
        <f t="shared" si="96"/>
        <v>0</v>
      </c>
      <c r="J155" s="50">
        <f t="shared" si="96"/>
        <v>0</v>
      </c>
      <c r="K155" s="50">
        <f t="shared" si="96"/>
        <v>0</v>
      </c>
      <c r="L155" s="50">
        <f t="shared" si="96"/>
        <v>0</v>
      </c>
      <c r="M155" s="50">
        <f t="shared" si="96"/>
        <v>0</v>
      </c>
      <c r="N155" s="50">
        <f t="shared" si="96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5">
      <c r="A156" s="14" t="s">
        <v>757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70"/>
      <c r="Q156" s="170"/>
      <c r="U156" s="130"/>
      <c r="W156" s="130"/>
    </row>
    <row r="157" spans="1:23" hidden="1" x14ac:dyDescent="0.25">
      <c r="A157" s="14" t="s">
        <v>758</v>
      </c>
      <c r="C157" s="50">
        <f>C151/C156</f>
        <v>0</v>
      </c>
      <c r="D157" s="50">
        <f t="shared" ref="D157:N157" si="97">D151/D156</f>
        <v>0</v>
      </c>
      <c r="E157" s="50">
        <f t="shared" si="97"/>
        <v>0</v>
      </c>
      <c r="F157" s="50">
        <f t="shared" si="97"/>
        <v>0</v>
      </c>
      <c r="G157" s="50">
        <f t="shared" si="97"/>
        <v>0</v>
      </c>
      <c r="H157" s="50">
        <f t="shared" si="97"/>
        <v>0</v>
      </c>
      <c r="I157" s="50">
        <f t="shared" si="97"/>
        <v>0</v>
      </c>
      <c r="J157" s="50">
        <f t="shared" si="97"/>
        <v>0</v>
      </c>
      <c r="K157" s="50">
        <f t="shared" si="97"/>
        <v>0</v>
      </c>
      <c r="L157" s="50">
        <f t="shared" si="97"/>
        <v>0</v>
      </c>
      <c r="M157" s="50">
        <f t="shared" si="97"/>
        <v>0</v>
      </c>
      <c r="N157" s="50">
        <f t="shared" si="97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5"/>
    <row r="159" spans="1:23" hidden="1" x14ac:dyDescent="0.25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5">
      <c r="A160" s="14" t="s">
        <v>679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70"/>
      <c r="Q160" s="170"/>
      <c r="U160" s="130"/>
      <c r="W160" s="130"/>
    </row>
    <row r="161" spans="1:23" hidden="1" x14ac:dyDescent="0.25">
      <c r="A161" s="14" t="s">
        <v>680</v>
      </c>
      <c r="C161" s="50">
        <f>C160/744</f>
        <v>0</v>
      </c>
      <c r="D161" s="48">
        <f>D160/720</f>
        <v>0</v>
      </c>
      <c r="E161" s="50">
        <f t="shared" ref="E161:N161" si="98">E160/744</f>
        <v>0</v>
      </c>
      <c r="F161" s="50">
        <f>F160/720</f>
        <v>0</v>
      </c>
      <c r="G161" s="50">
        <f t="shared" si="98"/>
        <v>0</v>
      </c>
      <c r="H161" s="48">
        <f>H160/744</f>
        <v>0</v>
      </c>
      <c r="I161" s="48">
        <f>I160/672</f>
        <v>0</v>
      </c>
      <c r="J161" s="50">
        <f t="shared" si="98"/>
        <v>0</v>
      </c>
      <c r="K161" s="50">
        <f>K160/720</f>
        <v>0</v>
      </c>
      <c r="L161" s="50">
        <f t="shared" si="98"/>
        <v>0</v>
      </c>
      <c r="M161" s="50">
        <f>M160/720</f>
        <v>0</v>
      </c>
      <c r="N161" s="50">
        <f t="shared" si="98"/>
        <v>0</v>
      </c>
      <c r="O161" s="50">
        <f>O160/8760</f>
        <v>0</v>
      </c>
      <c r="P161" s="50"/>
      <c r="Q161" s="50"/>
    </row>
    <row r="162" spans="1:23" hidden="1" x14ac:dyDescent="0.25">
      <c r="A162" s="14" t="s">
        <v>755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5">
      <c r="A163" s="14" t="s">
        <v>756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5">
      <c r="A164" s="14" t="s">
        <v>681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5">
      <c r="A165" s="14" t="s">
        <v>682</v>
      </c>
      <c r="C165" s="50">
        <f t="shared" ref="C165:N165" si="99">C163*C164</f>
        <v>0</v>
      </c>
      <c r="D165" s="50">
        <f t="shared" si="99"/>
        <v>0</v>
      </c>
      <c r="E165" s="50">
        <f t="shared" si="99"/>
        <v>0</v>
      </c>
      <c r="F165" s="50">
        <f t="shared" si="99"/>
        <v>0</v>
      </c>
      <c r="G165" s="50">
        <f t="shared" si="99"/>
        <v>0</v>
      </c>
      <c r="H165" s="50">
        <f t="shared" si="99"/>
        <v>0</v>
      </c>
      <c r="I165" s="50">
        <f t="shared" si="99"/>
        <v>0</v>
      </c>
      <c r="J165" s="50">
        <f t="shared" si="99"/>
        <v>0</v>
      </c>
      <c r="K165" s="50">
        <f t="shared" si="99"/>
        <v>0</v>
      </c>
      <c r="L165" s="50">
        <f t="shared" si="99"/>
        <v>0</v>
      </c>
      <c r="M165" s="50">
        <f t="shared" si="99"/>
        <v>0</v>
      </c>
      <c r="N165" s="50">
        <f t="shared" si="99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5">
      <c r="A166" s="14" t="s">
        <v>757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70"/>
      <c r="Q166" s="170"/>
      <c r="U166" s="130"/>
      <c r="W166" s="130"/>
    </row>
    <row r="167" spans="1:23" hidden="1" x14ac:dyDescent="0.25">
      <c r="A167" s="14" t="s">
        <v>758</v>
      </c>
      <c r="C167" s="50">
        <f>C161/C166</f>
        <v>0</v>
      </c>
      <c r="D167" s="50">
        <f t="shared" ref="D167:N167" si="100">D161/D166</f>
        <v>0</v>
      </c>
      <c r="E167" s="50">
        <f t="shared" si="100"/>
        <v>0</v>
      </c>
      <c r="F167" s="50">
        <f t="shared" si="100"/>
        <v>0</v>
      </c>
      <c r="G167" s="50">
        <f t="shared" si="100"/>
        <v>0</v>
      </c>
      <c r="H167" s="50">
        <f t="shared" si="100"/>
        <v>0</v>
      </c>
      <c r="I167" s="50">
        <f t="shared" si="100"/>
        <v>0</v>
      </c>
      <c r="J167" s="50">
        <f t="shared" si="100"/>
        <v>0</v>
      </c>
      <c r="K167" s="50">
        <f t="shared" si="100"/>
        <v>0</v>
      </c>
      <c r="L167" s="50">
        <f t="shared" si="100"/>
        <v>0</v>
      </c>
      <c r="M167" s="50">
        <f t="shared" si="100"/>
        <v>0</v>
      </c>
      <c r="N167" s="50">
        <f t="shared" si="100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5"/>
    <row r="169" spans="1:23" hidden="1" x14ac:dyDescent="0.25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5">
      <c r="A170" s="14" t="s">
        <v>679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70"/>
      <c r="Q170" s="170"/>
      <c r="U170" s="130"/>
      <c r="W170" s="130"/>
    </row>
    <row r="171" spans="1:23" hidden="1" x14ac:dyDescent="0.25">
      <c r="A171" s="14" t="s">
        <v>680</v>
      </c>
      <c r="C171" s="50">
        <f>C170/744</f>
        <v>0</v>
      </c>
      <c r="D171" s="48">
        <f>D170/720</f>
        <v>0</v>
      </c>
      <c r="E171" s="50">
        <f t="shared" ref="E171:N171" si="101">E170/744</f>
        <v>0</v>
      </c>
      <c r="F171" s="50">
        <f>F170/720</f>
        <v>0</v>
      </c>
      <c r="G171" s="50">
        <f t="shared" si="101"/>
        <v>0</v>
      </c>
      <c r="H171" s="48">
        <f>H170/744</f>
        <v>0</v>
      </c>
      <c r="I171" s="48">
        <f>I170/672</f>
        <v>0</v>
      </c>
      <c r="J171" s="50">
        <f t="shared" si="101"/>
        <v>0</v>
      </c>
      <c r="K171" s="50">
        <f>K170/720</f>
        <v>0</v>
      </c>
      <c r="L171" s="50">
        <f t="shared" si="101"/>
        <v>0</v>
      </c>
      <c r="M171" s="50">
        <f>M170/720</f>
        <v>0</v>
      </c>
      <c r="N171" s="50">
        <f t="shared" si="101"/>
        <v>0</v>
      </c>
      <c r="O171" s="50">
        <f>O170/8760</f>
        <v>0</v>
      </c>
      <c r="P171" s="50"/>
      <c r="Q171" s="50"/>
    </row>
    <row r="172" spans="1:23" hidden="1" x14ac:dyDescent="0.25">
      <c r="A172" s="14" t="s">
        <v>755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5">
      <c r="A173" s="14" t="s">
        <v>756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5">
      <c r="A174" s="14" t="s">
        <v>681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5">
      <c r="A175" s="14" t="s">
        <v>682</v>
      </c>
      <c r="C175" s="50">
        <f t="shared" ref="C175:N175" si="102">C173*C174</f>
        <v>0</v>
      </c>
      <c r="D175" s="50">
        <f t="shared" si="102"/>
        <v>0</v>
      </c>
      <c r="E175" s="50">
        <f t="shared" si="102"/>
        <v>0</v>
      </c>
      <c r="F175" s="50">
        <f t="shared" si="102"/>
        <v>0</v>
      </c>
      <c r="G175" s="50">
        <f t="shared" si="102"/>
        <v>0</v>
      </c>
      <c r="H175" s="50">
        <f t="shared" si="102"/>
        <v>0</v>
      </c>
      <c r="I175" s="50">
        <f t="shared" si="102"/>
        <v>0</v>
      </c>
      <c r="J175" s="50">
        <f t="shared" si="102"/>
        <v>0</v>
      </c>
      <c r="K175" s="50">
        <f t="shared" si="102"/>
        <v>0</v>
      </c>
      <c r="L175" s="50">
        <f t="shared" si="102"/>
        <v>0</v>
      </c>
      <c r="M175" s="50">
        <f t="shared" si="102"/>
        <v>0</v>
      </c>
      <c r="N175" s="50">
        <f t="shared" si="102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5">
      <c r="A176" s="14" t="s">
        <v>757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70"/>
      <c r="Q176" s="170"/>
      <c r="U176" s="130"/>
      <c r="W176" s="130"/>
    </row>
    <row r="177" spans="1:23" hidden="1" x14ac:dyDescent="0.25">
      <c r="A177" s="14" t="s">
        <v>758</v>
      </c>
      <c r="C177" s="50">
        <f>C171/C176</f>
        <v>0</v>
      </c>
      <c r="D177" s="50">
        <f t="shared" ref="D177:N177" si="103">D171/D176</f>
        <v>0</v>
      </c>
      <c r="E177" s="50">
        <f t="shared" si="103"/>
        <v>0</v>
      </c>
      <c r="F177" s="50">
        <f t="shared" si="103"/>
        <v>0</v>
      </c>
      <c r="G177" s="50">
        <f t="shared" si="103"/>
        <v>0</v>
      </c>
      <c r="H177" s="50">
        <f t="shared" si="103"/>
        <v>0</v>
      </c>
      <c r="I177" s="50">
        <f t="shared" si="103"/>
        <v>0</v>
      </c>
      <c r="J177" s="50">
        <f t="shared" si="103"/>
        <v>0</v>
      </c>
      <c r="K177" s="50">
        <f t="shared" si="103"/>
        <v>0</v>
      </c>
      <c r="L177" s="50">
        <f t="shared" si="103"/>
        <v>0</v>
      </c>
      <c r="M177" s="50">
        <f t="shared" si="103"/>
        <v>0</v>
      </c>
      <c r="N177" s="50">
        <f t="shared" si="103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5"/>
    <row r="179" spans="1:23" hidden="1" x14ac:dyDescent="0.25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5">
      <c r="A180" s="14" t="s">
        <v>679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70"/>
      <c r="Q180" s="170"/>
      <c r="U180" s="130"/>
      <c r="W180" s="130"/>
    </row>
    <row r="181" spans="1:23" hidden="1" x14ac:dyDescent="0.25">
      <c r="A181" s="14" t="s">
        <v>680</v>
      </c>
      <c r="C181" s="50">
        <f>C180/744</f>
        <v>0</v>
      </c>
      <c r="D181" s="48">
        <f>D180/720</f>
        <v>0</v>
      </c>
      <c r="E181" s="50">
        <f t="shared" ref="E181:N181" si="104">E180/744</f>
        <v>0</v>
      </c>
      <c r="F181" s="50">
        <f>F180/720</f>
        <v>0</v>
      </c>
      <c r="G181" s="50">
        <f t="shared" si="104"/>
        <v>0</v>
      </c>
      <c r="H181" s="48">
        <f>H180/744</f>
        <v>0</v>
      </c>
      <c r="I181" s="48">
        <f>I180/672</f>
        <v>0</v>
      </c>
      <c r="J181" s="50">
        <f t="shared" si="104"/>
        <v>0</v>
      </c>
      <c r="K181" s="50">
        <f>K180/720</f>
        <v>0</v>
      </c>
      <c r="L181" s="50">
        <f t="shared" si="104"/>
        <v>0</v>
      </c>
      <c r="M181" s="50">
        <f>M180/720</f>
        <v>0</v>
      </c>
      <c r="N181" s="50">
        <f t="shared" si="104"/>
        <v>0</v>
      </c>
      <c r="O181" s="50">
        <f>O180/8760</f>
        <v>0</v>
      </c>
      <c r="P181" s="50"/>
      <c r="Q181" s="50"/>
    </row>
    <row r="182" spans="1:23" hidden="1" x14ac:dyDescent="0.25">
      <c r="A182" s="14" t="s">
        <v>755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5">
      <c r="A183" s="14" t="s">
        <v>756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5">
      <c r="A184" s="14" t="s">
        <v>681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5">
      <c r="A185" s="14" t="s">
        <v>682</v>
      </c>
      <c r="C185" s="50">
        <f t="shared" ref="C185:N185" si="105">C183*C184</f>
        <v>0</v>
      </c>
      <c r="D185" s="50">
        <f t="shared" si="105"/>
        <v>0</v>
      </c>
      <c r="E185" s="50">
        <f t="shared" si="105"/>
        <v>0</v>
      </c>
      <c r="F185" s="50">
        <f t="shared" si="105"/>
        <v>0</v>
      </c>
      <c r="G185" s="50">
        <f t="shared" si="105"/>
        <v>0</v>
      </c>
      <c r="H185" s="50">
        <f t="shared" si="105"/>
        <v>0</v>
      </c>
      <c r="I185" s="50">
        <f t="shared" si="105"/>
        <v>0</v>
      </c>
      <c r="J185" s="50">
        <f t="shared" si="105"/>
        <v>0</v>
      </c>
      <c r="K185" s="50">
        <f t="shared" si="105"/>
        <v>0</v>
      </c>
      <c r="L185" s="50">
        <f t="shared" si="105"/>
        <v>0</v>
      </c>
      <c r="M185" s="50">
        <f t="shared" si="105"/>
        <v>0</v>
      </c>
      <c r="N185" s="50">
        <f t="shared" si="105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5">
      <c r="A186" s="14" t="s">
        <v>757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70"/>
      <c r="Q186" s="170"/>
      <c r="U186" s="130"/>
      <c r="W186" s="130"/>
    </row>
    <row r="187" spans="1:23" hidden="1" x14ac:dyDescent="0.25">
      <c r="A187" s="14" t="s">
        <v>758</v>
      </c>
      <c r="C187" s="50">
        <f>C181/C186</f>
        <v>0</v>
      </c>
      <c r="D187" s="50">
        <f t="shared" ref="D187:N187" si="106">D181/D186</f>
        <v>0</v>
      </c>
      <c r="E187" s="50">
        <f t="shared" si="106"/>
        <v>0</v>
      </c>
      <c r="F187" s="50">
        <f t="shared" si="106"/>
        <v>0</v>
      </c>
      <c r="G187" s="50">
        <f t="shared" si="106"/>
        <v>0</v>
      </c>
      <c r="H187" s="50">
        <f t="shared" si="106"/>
        <v>0</v>
      </c>
      <c r="I187" s="50">
        <f t="shared" si="106"/>
        <v>0</v>
      </c>
      <c r="J187" s="50">
        <f t="shared" si="106"/>
        <v>0</v>
      </c>
      <c r="K187" s="50">
        <f t="shared" si="106"/>
        <v>0</v>
      </c>
      <c r="L187" s="50">
        <f t="shared" si="106"/>
        <v>0</v>
      </c>
      <c r="M187" s="50">
        <f t="shared" si="106"/>
        <v>0</v>
      </c>
      <c r="N187" s="50">
        <f t="shared" si="106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5"/>
    <row r="189" spans="1:23" hidden="1" x14ac:dyDescent="0.25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5">
      <c r="A190" s="14" t="s">
        <v>679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70"/>
      <c r="Q190" s="170"/>
      <c r="U190" s="130"/>
      <c r="W190" s="130"/>
    </row>
    <row r="191" spans="1:23" hidden="1" x14ac:dyDescent="0.25">
      <c r="A191" s="14" t="s">
        <v>680</v>
      </c>
      <c r="C191" s="50">
        <f>C190/744</f>
        <v>0</v>
      </c>
      <c r="D191" s="48">
        <f>D190/720</f>
        <v>0</v>
      </c>
      <c r="E191" s="50">
        <f t="shared" ref="E191:N191" si="107">E190/744</f>
        <v>0</v>
      </c>
      <c r="F191" s="50">
        <f>F190/720</f>
        <v>0</v>
      </c>
      <c r="G191" s="50">
        <f t="shared" si="107"/>
        <v>0</v>
      </c>
      <c r="H191" s="48">
        <f>H190/744</f>
        <v>0</v>
      </c>
      <c r="I191" s="48">
        <f>I190/672</f>
        <v>0</v>
      </c>
      <c r="J191" s="50">
        <f t="shared" si="107"/>
        <v>0</v>
      </c>
      <c r="K191" s="50">
        <f>K190/720</f>
        <v>0</v>
      </c>
      <c r="L191" s="50">
        <f t="shared" si="107"/>
        <v>0</v>
      </c>
      <c r="M191" s="50">
        <f>M190/720</f>
        <v>0</v>
      </c>
      <c r="N191" s="50">
        <f t="shared" si="107"/>
        <v>0</v>
      </c>
      <c r="O191" s="50">
        <f>O190/8760</f>
        <v>0</v>
      </c>
      <c r="P191" s="50"/>
      <c r="Q191" s="50"/>
    </row>
    <row r="192" spans="1:23" hidden="1" x14ac:dyDescent="0.25">
      <c r="A192" s="14" t="s">
        <v>755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5">
      <c r="A193" s="14" t="s">
        <v>756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5">
      <c r="A194" s="14" t="s">
        <v>681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5">
      <c r="A195" s="14" t="s">
        <v>682</v>
      </c>
      <c r="C195" s="50">
        <f t="shared" ref="C195:N195" si="108">C193*C194</f>
        <v>0</v>
      </c>
      <c r="D195" s="50">
        <f t="shared" si="108"/>
        <v>0</v>
      </c>
      <c r="E195" s="50">
        <f t="shared" si="108"/>
        <v>0</v>
      </c>
      <c r="F195" s="50">
        <f t="shared" si="108"/>
        <v>0</v>
      </c>
      <c r="G195" s="50">
        <f t="shared" si="108"/>
        <v>0</v>
      </c>
      <c r="H195" s="50">
        <f t="shared" si="108"/>
        <v>0</v>
      </c>
      <c r="I195" s="50">
        <f t="shared" si="108"/>
        <v>0</v>
      </c>
      <c r="J195" s="50">
        <f t="shared" si="108"/>
        <v>0</v>
      </c>
      <c r="K195" s="50">
        <f t="shared" si="108"/>
        <v>0</v>
      </c>
      <c r="L195" s="50">
        <f t="shared" si="108"/>
        <v>0</v>
      </c>
      <c r="M195" s="50">
        <f t="shared" si="108"/>
        <v>0</v>
      </c>
      <c r="N195" s="50">
        <f t="shared" si="108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5">
      <c r="A196" s="14" t="s">
        <v>757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70"/>
      <c r="Q196" s="170"/>
      <c r="U196" s="130"/>
      <c r="W196" s="130"/>
    </row>
    <row r="197" spans="1:23" ht="1.5" customHeight="1" x14ac:dyDescent="0.25">
      <c r="A197" s="14" t="s">
        <v>758</v>
      </c>
      <c r="C197" s="50">
        <f>C191/C196</f>
        <v>0</v>
      </c>
      <c r="D197" s="50">
        <f t="shared" ref="D197:N197" si="109">D191/D196</f>
        <v>0</v>
      </c>
      <c r="E197" s="50">
        <f t="shared" si="109"/>
        <v>0</v>
      </c>
      <c r="F197" s="50">
        <f t="shared" si="109"/>
        <v>0</v>
      </c>
      <c r="G197" s="50">
        <f t="shared" si="109"/>
        <v>0</v>
      </c>
      <c r="H197" s="50">
        <f t="shared" si="109"/>
        <v>0</v>
      </c>
      <c r="I197" s="50">
        <f t="shared" si="109"/>
        <v>0</v>
      </c>
      <c r="J197" s="50">
        <f t="shared" si="109"/>
        <v>0</v>
      </c>
      <c r="K197" s="50">
        <f t="shared" si="109"/>
        <v>0</v>
      </c>
      <c r="L197" s="50">
        <f t="shared" si="109"/>
        <v>0</v>
      </c>
      <c r="M197" s="50">
        <f t="shared" si="109"/>
        <v>0</v>
      </c>
      <c r="N197" s="50">
        <f t="shared" si="109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5">
      <c r="A199" s="14" t="s">
        <v>1099</v>
      </c>
      <c r="C199" s="50">
        <f>'Purchased Power'!C7</f>
        <v>113269</v>
      </c>
      <c r="D199" s="50">
        <f>'Purchased Power'!D7</f>
        <v>107828</v>
      </c>
      <c r="E199" s="50">
        <f>'Purchased Power'!E7</f>
        <v>94156</v>
      </c>
      <c r="F199" s="50">
        <f>'Purchased Power'!F7</f>
        <v>71457</v>
      </c>
      <c r="G199" s="50">
        <f>'Purchased Power'!G7</f>
        <v>107584</v>
      </c>
      <c r="H199" s="50">
        <f>'Purchased Power'!H7</f>
        <v>115378</v>
      </c>
      <c r="I199" s="50">
        <f>'Purchased Power'!I7</f>
        <v>142329</v>
      </c>
      <c r="J199" s="50">
        <f>'Purchased Power'!J7</f>
        <v>136703</v>
      </c>
      <c r="K199" s="50">
        <f>'Purchased Power'!K7</f>
        <v>141210</v>
      </c>
      <c r="L199" s="50">
        <f>'Purchased Power'!L7</f>
        <v>80748</v>
      </c>
      <c r="M199" s="50">
        <f>'Purchased Power'!M7</f>
        <v>104831</v>
      </c>
      <c r="N199" s="50">
        <f>'Purchased Power'!N7</f>
        <v>150842</v>
      </c>
      <c r="O199" s="50">
        <f>SUM(C199:N199)</f>
        <v>1366335</v>
      </c>
      <c r="P199" s="50"/>
      <c r="Q199" s="50"/>
      <c r="R199" s="50"/>
      <c r="S199" s="50"/>
    </row>
    <row r="200" spans="1:23" x14ac:dyDescent="0.25">
      <c r="A200" s="14" t="s">
        <v>1100</v>
      </c>
      <c r="C200" s="35">
        <f>(C45+C55+C65+C75+C95+C105+C115+C125+C135+C145+C155+C165+C175+C185+C195)</f>
        <v>113269.00000002168</v>
      </c>
      <c r="D200" s="35">
        <f t="shared" ref="D200:N200" si="110">(D45+D55+D65+D75+D85+D95+D105+D115+D125+D135+D145+D155+D165+D175+D185+D195)</f>
        <v>107828.00001133878</v>
      </c>
      <c r="E200" s="35">
        <f t="shared" si="110"/>
        <v>94156.000251180274</v>
      </c>
      <c r="F200" s="35">
        <f t="shared" si="110"/>
        <v>71457.00009054011</v>
      </c>
      <c r="G200" s="35">
        <f t="shared" si="110"/>
        <v>107584.00035086132</v>
      </c>
      <c r="H200" s="35">
        <f t="shared" si="110"/>
        <v>115378.00009022129</v>
      </c>
      <c r="I200" s="35">
        <f t="shared" si="110"/>
        <v>142329.00000188409</v>
      </c>
      <c r="J200" s="35">
        <f t="shared" si="110"/>
        <v>136703.00000117996</v>
      </c>
      <c r="K200" s="35">
        <f t="shared" si="110"/>
        <v>141210.00000518031</v>
      </c>
      <c r="L200" s="35">
        <f t="shared" si="110"/>
        <v>80748.000000053449</v>
      </c>
      <c r="M200" s="35">
        <f t="shared" si="110"/>
        <v>104831.00029331594</v>
      </c>
      <c r="N200" s="35">
        <f t="shared" si="110"/>
        <v>150842.00000131084</v>
      </c>
      <c r="O200" s="35">
        <f>SUM(C200:N200)</f>
        <v>1366335.001097088</v>
      </c>
      <c r="P200" s="165">
        <f>O200/O199</f>
        <v>1.0000000008029422</v>
      </c>
    </row>
    <row r="201" spans="1:23" x14ac:dyDescent="0.25">
      <c r="A201" s="14" t="s">
        <v>716</v>
      </c>
      <c r="C201" s="35">
        <f t="shared" ref="C201:O201" si="111">C199-C200</f>
        <v>-2.1682353690266609E-8</v>
      </c>
      <c r="D201" s="35">
        <f t="shared" si="111"/>
        <v>-1.1338779586367309E-5</v>
      </c>
      <c r="E201" s="35">
        <f t="shared" si="111"/>
        <v>-2.5118027406278998E-4</v>
      </c>
      <c r="F201" s="35">
        <f t="shared" si="111"/>
        <v>-9.0540110250003636E-5</v>
      </c>
      <c r="G201" s="35">
        <f t="shared" si="111"/>
        <v>-3.5086131538264453E-4</v>
      </c>
      <c r="H201" s="35">
        <f t="shared" si="111"/>
        <v>-9.0221292339265347E-5</v>
      </c>
      <c r="I201" s="35">
        <f t="shared" si="111"/>
        <v>-1.8840946722775698E-6</v>
      </c>
      <c r="J201" s="35">
        <f t="shared" si="111"/>
        <v>-1.1799565982073545E-6</v>
      </c>
      <c r="K201" s="35">
        <f t="shared" si="111"/>
        <v>-5.1803071983158588E-6</v>
      </c>
      <c r="L201" s="35">
        <f t="shared" si="111"/>
        <v>-5.3449184633791447E-8</v>
      </c>
      <c r="M201" s="35">
        <f t="shared" si="111"/>
        <v>-2.9331594123505056E-4</v>
      </c>
      <c r="N201" s="35">
        <f t="shared" si="111"/>
        <v>-1.310836523771286E-6</v>
      </c>
      <c r="O201" s="35">
        <f t="shared" si="111"/>
        <v>-1.0970879811793566E-3</v>
      </c>
    </row>
    <row r="203" spans="1:23" x14ac:dyDescent="0.25"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</row>
    <row r="204" spans="1:23" x14ac:dyDescent="0.25"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</row>
    <row r="205" spans="1:23" x14ac:dyDescent="0.25"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</row>
    <row r="206" spans="1:23" x14ac:dyDescent="0.25"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</row>
    <row r="207" spans="1:23" x14ac:dyDescent="0.25"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2" manualBreakCount="2">
    <brk id="32" max="19" man="1"/>
    <brk id="68" max="19" man="1"/>
  </rowBreaks>
  <colBreaks count="1" manualBreakCount="1">
    <brk id="11" max="218" man="1"/>
  </colBreaks>
  <ignoredErrors>
    <ignoredError sqref="D55:N55 D62:N63 M41 J41:L41 E41:G41 D41 H41:I41 D91:M96 D108:M108 D51:M51 D61:M61 D71:M71 D81:M81 D98:M98 D101:M10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0"/>
  <sheetViews>
    <sheetView view="pageBreakPreview" zoomScale="75" zoomScaleNormal="100" zoomScaleSheetLayoutView="75" workbookViewId="0">
      <pane xSplit="2" ySplit="4" topLeftCell="C37" activePane="bottomRight" state="frozen"/>
      <selection activeCell="K26" sqref="K26"/>
      <selection pane="topRight" activeCell="K26" sqref="K26"/>
      <selection pane="bottomLeft" activeCell="K26" sqref="K26"/>
      <selection pane="bottomRight" activeCell="I54" sqref="I54"/>
    </sheetView>
  </sheetViews>
  <sheetFormatPr defaultColWidth="9.109375" defaultRowHeight="13.2" x14ac:dyDescent="0.25"/>
  <cols>
    <col min="1" max="1" width="5.6640625" style="31" customWidth="1"/>
    <col min="2" max="2" width="28.88671875" style="14" customWidth="1"/>
    <col min="3" max="3" width="13.6640625" style="14" customWidth="1"/>
    <col min="4" max="7" width="11.33203125" style="14" bestFit="1" customWidth="1"/>
    <col min="8" max="14" width="12.88671875" style="14" bestFit="1" customWidth="1"/>
    <col min="15" max="15" width="15.109375" style="14" bestFit="1" customWidth="1"/>
    <col min="16" max="16" width="14.44140625" style="14" bestFit="1" customWidth="1"/>
    <col min="17" max="17" width="11.44140625" style="14" bestFit="1" customWidth="1"/>
    <col min="18" max="18" width="15.5546875" style="14" bestFit="1" customWidth="1"/>
    <col min="19" max="16384" width="9.109375" style="14"/>
  </cols>
  <sheetData>
    <row r="1" spans="1:18" x14ac:dyDescent="0.25">
      <c r="A1" s="15" t="s">
        <v>1016</v>
      </c>
    </row>
    <row r="2" spans="1:18" x14ac:dyDescent="0.25">
      <c r="A2" s="15" t="s">
        <v>95</v>
      </c>
    </row>
    <row r="4" spans="1:18" ht="16.8" x14ac:dyDescent="0.55000000000000004">
      <c r="A4" s="198" t="s">
        <v>952</v>
      </c>
      <c r="B4" s="63" t="s">
        <v>953</v>
      </c>
      <c r="C4" s="174">
        <v>44927</v>
      </c>
      <c r="D4" s="174">
        <v>44958</v>
      </c>
      <c r="E4" s="174">
        <v>44986</v>
      </c>
      <c r="F4" s="174">
        <v>45017</v>
      </c>
      <c r="G4" s="174">
        <v>45047</v>
      </c>
      <c r="H4" s="174">
        <v>45078</v>
      </c>
      <c r="I4" s="174">
        <v>45108</v>
      </c>
      <c r="J4" s="174">
        <v>45139</v>
      </c>
      <c r="K4" s="174">
        <v>44805</v>
      </c>
      <c r="L4" s="174">
        <v>44835</v>
      </c>
      <c r="M4" s="174">
        <v>44866</v>
      </c>
      <c r="N4" s="174">
        <v>44896</v>
      </c>
      <c r="O4" s="63" t="s">
        <v>860</v>
      </c>
      <c r="P4" s="58"/>
      <c r="R4" s="28"/>
    </row>
    <row r="5" spans="1:18" x14ac:dyDescent="0.25">
      <c r="A5" s="31">
        <v>1</v>
      </c>
      <c r="B5" s="28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58"/>
      <c r="P5" s="58"/>
      <c r="R5" s="28"/>
    </row>
    <row r="6" spans="1:18" x14ac:dyDescent="0.25">
      <c r="A6" s="31">
        <f>A5+1</f>
        <v>2</v>
      </c>
      <c r="B6" s="138" t="s">
        <v>1028</v>
      </c>
    </row>
    <row r="7" spans="1:18" x14ac:dyDescent="0.25">
      <c r="A7" s="31">
        <f t="shared" ref="A7:A60" si="0">A6+1</f>
        <v>3</v>
      </c>
      <c r="B7" s="14" t="s">
        <v>1029</v>
      </c>
      <c r="C7" s="50">
        <v>113269</v>
      </c>
      <c r="D7" s="50">
        <v>107828</v>
      </c>
      <c r="E7" s="50">
        <v>94156</v>
      </c>
      <c r="F7" s="50">
        <v>71457</v>
      </c>
      <c r="G7" s="50">
        <v>107584</v>
      </c>
      <c r="H7" s="50">
        <v>115378</v>
      </c>
      <c r="I7" s="50">
        <v>142329</v>
      </c>
      <c r="J7" s="50">
        <v>136703</v>
      </c>
      <c r="K7" s="50">
        <v>141210</v>
      </c>
      <c r="L7" s="50">
        <v>80748</v>
      </c>
      <c r="M7" s="50">
        <v>104831</v>
      </c>
      <c r="N7" s="50">
        <v>150842</v>
      </c>
      <c r="O7" s="50">
        <f>SUM(C7:N7)</f>
        <v>1366335</v>
      </c>
    </row>
    <row r="8" spans="1:18" x14ac:dyDescent="0.25">
      <c r="A8" s="31">
        <f t="shared" si="0"/>
        <v>4</v>
      </c>
      <c r="B8" s="14" t="s">
        <v>954</v>
      </c>
      <c r="C8" s="50">
        <v>53956949</v>
      </c>
      <c r="D8" s="50">
        <v>45564658</v>
      </c>
      <c r="E8" s="50">
        <v>46070195</v>
      </c>
      <c r="F8" s="50">
        <v>37471973</v>
      </c>
      <c r="G8" s="50">
        <v>44812865</v>
      </c>
      <c r="H8" s="50">
        <v>54568428</v>
      </c>
      <c r="I8" s="50">
        <v>62885389</v>
      </c>
      <c r="J8" s="50">
        <v>60695428</v>
      </c>
      <c r="K8" s="50">
        <v>49399477</v>
      </c>
      <c r="L8" s="50">
        <v>39174347</v>
      </c>
      <c r="M8" s="50">
        <v>47370858</v>
      </c>
      <c r="N8" s="50">
        <v>59597271</v>
      </c>
      <c r="O8" s="50">
        <f t="shared" ref="O8" si="1">SUM(C8:N8)</f>
        <v>601567838</v>
      </c>
    </row>
    <row r="9" spans="1:18" x14ac:dyDescent="0.25">
      <c r="A9" s="31">
        <f t="shared" si="0"/>
        <v>5</v>
      </c>
      <c r="B9" s="14" t="s">
        <v>1031</v>
      </c>
      <c r="C9" s="232">
        <v>13.805</v>
      </c>
      <c r="D9" s="232">
        <v>13.805</v>
      </c>
      <c r="E9" s="232">
        <v>13.805</v>
      </c>
      <c r="F9" s="232">
        <v>13.805</v>
      </c>
      <c r="G9" s="232">
        <v>13.805</v>
      </c>
      <c r="H9" s="232">
        <v>13.805</v>
      </c>
      <c r="I9" s="232">
        <v>13.805</v>
      </c>
      <c r="J9" s="232">
        <v>13.805</v>
      </c>
      <c r="K9" s="232">
        <v>13.805</v>
      </c>
      <c r="L9" s="232">
        <v>13.805</v>
      </c>
      <c r="M9" s="232">
        <v>13.805</v>
      </c>
      <c r="N9" s="232">
        <v>13.805</v>
      </c>
      <c r="O9" s="232">
        <f>AVERAGE(C9:N9)</f>
        <v>13.805000000000005</v>
      </c>
    </row>
    <row r="10" spans="1:18" x14ac:dyDescent="0.25">
      <c r="A10" s="31">
        <f t="shared" si="0"/>
        <v>6</v>
      </c>
      <c r="B10" s="14" t="s">
        <v>1035</v>
      </c>
      <c r="C10" s="67">
        <f>ROUND(C9*C7,2)</f>
        <v>1563678.55</v>
      </c>
      <c r="D10" s="67">
        <f t="shared" ref="D10" si="2">ROUND(D9*D7,2)</f>
        <v>1488565.54</v>
      </c>
      <c r="E10" s="67">
        <f t="shared" ref="E10" si="3">ROUND(E9*E7,2)</f>
        <v>1299823.58</v>
      </c>
      <c r="F10" s="67">
        <f t="shared" ref="F10" si="4">ROUND(F9*F7,2)</f>
        <v>986463.89</v>
      </c>
      <c r="G10" s="67">
        <f t="shared" ref="G10" si="5">ROUND(G9*G7,2)</f>
        <v>1485197.12</v>
      </c>
      <c r="H10" s="67">
        <f t="shared" ref="H10" si="6">ROUND(H9*H7,2)</f>
        <v>1592793.29</v>
      </c>
      <c r="I10" s="67">
        <f t="shared" ref="I10" si="7">ROUND(I9*I7,2)</f>
        <v>1964851.85</v>
      </c>
      <c r="J10" s="67">
        <f t="shared" ref="J10" si="8">ROUND(J9*J7,2)</f>
        <v>1887184.92</v>
      </c>
      <c r="K10" s="67">
        <f t="shared" ref="K10" si="9">ROUND(K9*K7,2)</f>
        <v>1949404.05</v>
      </c>
      <c r="L10" s="67">
        <f t="shared" ref="L10" si="10">ROUND(L9*L7,2)</f>
        <v>1114726.1399999999</v>
      </c>
      <c r="M10" s="67">
        <f t="shared" ref="M10" si="11">ROUND(M9*M7,2)</f>
        <v>1447191.96</v>
      </c>
      <c r="N10" s="67">
        <f t="shared" ref="N10" si="12">ROUND(N9*N7,2)</f>
        <v>2082373.81</v>
      </c>
      <c r="O10" s="67">
        <f t="shared" ref="O10" si="13">SUM(C10:N10)</f>
        <v>18862254.699999999</v>
      </c>
    </row>
    <row r="11" spans="1:18" x14ac:dyDescent="0.25">
      <c r="A11" s="31">
        <f t="shared" si="0"/>
        <v>7</v>
      </c>
      <c r="B11" s="14" t="s">
        <v>1030</v>
      </c>
      <c r="C11" s="232">
        <v>4.4999999999999998E-2</v>
      </c>
      <c r="D11" s="232">
        <v>4.4999999999999998E-2</v>
      </c>
      <c r="E11" s="232">
        <v>4.4999999999999998E-2</v>
      </c>
      <c r="F11" s="232">
        <v>4.4999999999999998E-2</v>
      </c>
      <c r="G11" s="232">
        <v>4.4999999999999998E-2</v>
      </c>
      <c r="H11" s="232">
        <v>4.4999999999999998E-2</v>
      </c>
      <c r="I11" s="232">
        <v>4.4999999999999998E-2</v>
      </c>
      <c r="J11" s="232">
        <v>4.4999999999999998E-2</v>
      </c>
      <c r="K11" s="232">
        <v>4.4999999999999998E-2</v>
      </c>
      <c r="L11" s="232">
        <v>4.4999999999999998E-2</v>
      </c>
      <c r="M11" s="232">
        <v>4.4999999999999998E-2</v>
      </c>
      <c r="N11" s="232">
        <v>4.4999999999999998E-2</v>
      </c>
      <c r="O11" s="232">
        <f>AVERAGE(C11:N11)</f>
        <v>4.4999999999999991E-2</v>
      </c>
    </row>
    <row r="12" spans="1:18" x14ac:dyDescent="0.25">
      <c r="A12" s="31">
        <f t="shared" si="0"/>
        <v>8</v>
      </c>
      <c r="B12" s="14" t="s">
        <v>1036</v>
      </c>
      <c r="C12" s="67">
        <f>ROUND(C11*C8,2)</f>
        <v>2428062.71</v>
      </c>
      <c r="D12" s="67">
        <f t="shared" ref="D12" si="14">ROUND(D11*D8,2)</f>
        <v>2050409.61</v>
      </c>
      <c r="E12" s="67">
        <f t="shared" ref="E12" si="15">ROUND(E11*E8,2)</f>
        <v>2073158.78</v>
      </c>
      <c r="F12" s="67">
        <f t="shared" ref="F12" si="16">ROUND(F11*F8,2)</f>
        <v>1686238.79</v>
      </c>
      <c r="G12" s="67">
        <f t="shared" ref="G12" si="17">ROUND(G11*G8,2)</f>
        <v>2016578.93</v>
      </c>
      <c r="H12" s="67">
        <f t="shared" ref="H12" si="18">ROUND(H11*H8,2)</f>
        <v>2455579.2599999998</v>
      </c>
      <c r="I12" s="67">
        <f t="shared" ref="I12" si="19">ROUND(I11*I8,2)</f>
        <v>2829842.51</v>
      </c>
      <c r="J12" s="67">
        <f t="shared" ref="J12" si="20">ROUND(J11*J8,2)</f>
        <v>2731294.26</v>
      </c>
      <c r="K12" s="67">
        <f t="shared" ref="K12" si="21">ROUND(K11*K8,2)</f>
        <v>2222976.4700000002</v>
      </c>
      <c r="L12" s="67">
        <f t="shared" ref="L12" si="22">ROUND(L11*L8,2)</f>
        <v>1762845.62</v>
      </c>
      <c r="M12" s="67">
        <f t="shared" ref="M12" si="23">ROUND(M11*M8,2)</f>
        <v>2131688.61</v>
      </c>
      <c r="N12" s="67">
        <f t="shared" ref="N12" si="24">ROUND(N11*N8,2)</f>
        <v>2681877.2000000002</v>
      </c>
      <c r="O12" s="67">
        <f t="shared" ref="O12:O19" si="25">SUM(C12:N12)</f>
        <v>27070552.75</v>
      </c>
    </row>
    <row r="13" spans="1:18" x14ac:dyDescent="0.25">
      <c r="A13" s="31">
        <f t="shared" si="0"/>
        <v>9</v>
      </c>
      <c r="B13" s="14" t="s">
        <v>1032</v>
      </c>
      <c r="C13" s="48">
        <v>-27</v>
      </c>
      <c r="D13" s="48">
        <v>-27</v>
      </c>
      <c r="E13" s="48">
        <v>-27</v>
      </c>
      <c r="F13" s="48">
        <v>-27</v>
      </c>
      <c r="G13" s="48">
        <v>-27</v>
      </c>
      <c r="H13" s="48">
        <v>-27</v>
      </c>
      <c r="I13" s="48">
        <v>-27</v>
      </c>
      <c r="J13" s="48">
        <v>-27</v>
      </c>
      <c r="K13" s="48">
        <v>-27</v>
      </c>
      <c r="L13" s="48">
        <v>-27</v>
      </c>
      <c r="M13" s="48">
        <v>-27</v>
      </c>
      <c r="N13" s="48">
        <v>-27</v>
      </c>
      <c r="O13" s="48">
        <f t="shared" si="25"/>
        <v>-324</v>
      </c>
    </row>
    <row r="14" spans="1:18" x14ac:dyDescent="0.25">
      <c r="A14" s="31">
        <f t="shared" si="0"/>
        <v>10</v>
      </c>
      <c r="B14" s="14" t="s">
        <v>1032</v>
      </c>
      <c r="C14" s="48">
        <v>33</v>
      </c>
      <c r="D14" s="48">
        <v>33</v>
      </c>
      <c r="E14" s="48">
        <v>33</v>
      </c>
      <c r="F14" s="48">
        <v>33</v>
      </c>
      <c r="G14" s="48">
        <v>33</v>
      </c>
      <c r="H14" s="48">
        <v>33</v>
      </c>
      <c r="I14" s="48">
        <v>33</v>
      </c>
      <c r="J14" s="48">
        <v>33</v>
      </c>
      <c r="K14" s="48">
        <v>33</v>
      </c>
      <c r="L14" s="48">
        <v>33</v>
      </c>
      <c r="M14" s="48">
        <v>33</v>
      </c>
      <c r="N14" s="48">
        <v>33</v>
      </c>
      <c r="O14" s="48">
        <f t="shared" si="25"/>
        <v>396</v>
      </c>
    </row>
    <row r="15" spans="1:18" x14ac:dyDescent="0.25">
      <c r="A15" s="31">
        <f t="shared" si="0"/>
        <v>11</v>
      </c>
      <c r="B15" s="14" t="s">
        <v>1037</v>
      </c>
      <c r="C15" s="67">
        <v>781620.36</v>
      </c>
      <c r="D15" s="67">
        <v>356862.4</v>
      </c>
      <c r="E15" s="67">
        <v>61089.08</v>
      </c>
      <c r="F15" s="67">
        <v>148838.68</v>
      </c>
      <c r="G15" s="67">
        <v>227111.6</v>
      </c>
      <c r="H15" s="67">
        <v>333576.8</v>
      </c>
      <c r="I15" s="67">
        <v>566974.67000000004</v>
      </c>
      <c r="J15" s="67">
        <v>462681.25</v>
      </c>
      <c r="K15" s="67">
        <v>1712185.87</v>
      </c>
      <c r="L15" s="67">
        <v>1131120.1000000001</v>
      </c>
      <c r="M15" s="67">
        <v>1113215.1599999999</v>
      </c>
      <c r="N15" s="67">
        <v>1193792.94</v>
      </c>
      <c r="O15" s="67">
        <f t="shared" si="25"/>
        <v>8089068.9100000001</v>
      </c>
    </row>
    <row r="16" spans="1:18" x14ac:dyDescent="0.25">
      <c r="A16" s="31">
        <f t="shared" si="0"/>
        <v>12</v>
      </c>
      <c r="B16" s="14" t="s">
        <v>1038</v>
      </c>
      <c r="C16" s="67">
        <v>324766.88</v>
      </c>
      <c r="D16" s="67">
        <v>274253.68</v>
      </c>
      <c r="E16" s="67">
        <v>277296.5</v>
      </c>
      <c r="F16" s="67">
        <v>225543.81</v>
      </c>
      <c r="G16" s="67">
        <v>269728.63</v>
      </c>
      <c r="H16" s="67">
        <v>328447.37</v>
      </c>
      <c r="I16" s="67">
        <v>378507.16</v>
      </c>
      <c r="J16" s="67">
        <v>365325.78</v>
      </c>
      <c r="K16" s="67">
        <v>297335.45</v>
      </c>
      <c r="L16" s="67">
        <v>235790.39</v>
      </c>
      <c r="M16" s="67">
        <v>285125.19</v>
      </c>
      <c r="N16" s="67">
        <v>358715.97</v>
      </c>
      <c r="O16" s="67">
        <f t="shared" si="25"/>
        <v>3620836.8100000005</v>
      </c>
    </row>
    <row r="17" spans="1:17" x14ac:dyDescent="0.25">
      <c r="A17" s="31">
        <f t="shared" si="0"/>
        <v>13</v>
      </c>
      <c r="B17" s="14" t="s">
        <v>1039</v>
      </c>
      <c r="C17" s="67">
        <v>542005.39</v>
      </c>
      <c r="D17" s="67">
        <v>209566.39</v>
      </c>
      <c r="E17" s="67">
        <v>173573.92</v>
      </c>
      <c r="F17" s="67">
        <v>197759.79</v>
      </c>
      <c r="G17" s="67">
        <v>251367.53</v>
      </c>
      <c r="H17" s="67">
        <v>384579.07</v>
      </c>
      <c r="I17" s="67">
        <v>427134.89</v>
      </c>
      <c r="J17" s="67">
        <v>411172.45</v>
      </c>
      <c r="K17" s="67">
        <v>189402.28</v>
      </c>
      <c r="L17" s="67">
        <v>176567.15</v>
      </c>
      <c r="M17" s="67">
        <v>164161.99</v>
      </c>
      <c r="N17" s="67">
        <v>257084.74</v>
      </c>
      <c r="O17" s="67">
        <f t="shared" si="25"/>
        <v>3384375.59</v>
      </c>
    </row>
    <row r="18" spans="1:17" x14ac:dyDescent="0.25">
      <c r="A18" s="31">
        <f t="shared" si="0"/>
        <v>14</v>
      </c>
      <c r="B18" s="14" t="s">
        <v>1040</v>
      </c>
      <c r="C18" s="67">
        <v>-211203.459</v>
      </c>
      <c r="D18" s="67">
        <v>-212372.7</v>
      </c>
      <c r="E18" s="67">
        <v>-210175.91</v>
      </c>
      <c r="F18" s="67">
        <v>-212038.25</v>
      </c>
      <c r="G18" s="67">
        <v>-224079.41</v>
      </c>
      <c r="H18" s="67">
        <v>-231746.22</v>
      </c>
      <c r="I18" s="67">
        <v>-231746.21</v>
      </c>
      <c r="J18" s="67">
        <v>-220257.78</v>
      </c>
      <c r="K18" s="67">
        <v>-339873.45</v>
      </c>
      <c r="L18" s="67">
        <v>-326571.84000000003</v>
      </c>
      <c r="M18" s="67">
        <v>-328341.53000000003</v>
      </c>
      <c r="N18" s="67">
        <v>-325048.40000000002</v>
      </c>
      <c r="O18" s="67">
        <f t="shared" si="25"/>
        <v>-3073455.1589999995</v>
      </c>
    </row>
    <row r="19" spans="1:17" x14ac:dyDescent="0.25">
      <c r="A19" s="31">
        <f t="shared" si="0"/>
        <v>15</v>
      </c>
      <c r="B19" s="203" t="s">
        <v>0</v>
      </c>
      <c r="C19" s="111">
        <f>C10+SUM(C12:C18)</f>
        <v>5428936.4309999999</v>
      </c>
      <c r="D19" s="111">
        <f t="shared" ref="D19" si="26">D10+SUM(D12:D18)</f>
        <v>4167290.9200000004</v>
      </c>
      <c r="E19" s="111">
        <f t="shared" ref="E19" si="27">E10+SUM(E12:E18)</f>
        <v>3674771.9499999997</v>
      </c>
      <c r="F19" s="111">
        <f t="shared" ref="F19" si="28">F10+SUM(F12:F18)</f>
        <v>3032812.71</v>
      </c>
      <c r="G19" s="111">
        <f t="shared" ref="G19" si="29">G10+SUM(G12:G18)</f>
        <v>4025910.3999999994</v>
      </c>
      <c r="H19" s="111">
        <f t="shared" ref="H19" si="30">H10+SUM(H12:H18)</f>
        <v>4863235.5699999994</v>
      </c>
      <c r="I19" s="111">
        <f t="shared" ref="I19" si="31">I10+SUM(I12:I18)</f>
        <v>5935570.8699999992</v>
      </c>
      <c r="J19" s="111">
        <f t="shared" ref="J19" si="32">J10+SUM(J12:J18)</f>
        <v>5637406.8800000008</v>
      </c>
      <c r="K19" s="111">
        <f t="shared" ref="K19" si="33">K10+SUM(K12:K18)</f>
        <v>6031436.6699999999</v>
      </c>
      <c r="L19" s="111">
        <f t="shared" ref="L19" si="34">L10+SUM(L12:L18)</f>
        <v>4094483.5600000005</v>
      </c>
      <c r="M19" s="111">
        <f t="shared" ref="M19" si="35">M10+SUM(M12:M18)</f>
        <v>4813047.379999999</v>
      </c>
      <c r="N19" s="111">
        <f t="shared" ref="N19" si="36">N10+SUM(N12:N18)</f>
        <v>6248802.2600000007</v>
      </c>
      <c r="O19" s="111">
        <f t="shared" si="25"/>
        <v>57953705.601000004</v>
      </c>
      <c r="Q19" s="35"/>
    </row>
    <row r="20" spans="1:17" x14ac:dyDescent="0.25">
      <c r="A20" s="31">
        <f t="shared" si="0"/>
        <v>16</v>
      </c>
    </row>
    <row r="21" spans="1:17" x14ac:dyDescent="0.25">
      <c r="A21" s="31">
        <f t="shared" si="0"/>
        <v>17</v>
      </c>
      <c r="B21" s="138" t="s">
        <v>1033</v>
      </c>
      <c r="C21" s="27" t="s">
        <v>1157</v>
      </c>
      <c r="D21" s="27" t="s">
        <v>1158</v>
      </c>
      <c r="E21" s="27" t="s">
        <v>1159</v>
      </c>
      <c r="F21" s="27" t="s">
        <v>1160</v>
      </c>
      <c r="G21" s="27" t="s">
        <v>1161</v>
      </c>
      <c r="H21" s="27" t="s">
        <v>1162</v>
      </c>
      <c r="I21" s="27" t="s">
        <v>1163</v>
      </c>
      <c r="J21" s="27" t="s">
        <v>1164</v>
      </c>
      <c r="K21" s="27" t="s">
        <v>1165</v>
      </c>
      <c r="L21" s="27" t="s">
        <v>1166</v>
      </c>
      <c r="M21" s="27" t="s">
        <v>1167</v>
      </c>
      <c r="N21" s="27" t="s">
        <v>1168</v>
      </c>
    </row>
    <row r="22" spans="1:17" x14ac:dyDescent="0.25">
      <c r="A22" s="31">
        <f t="shared" si="0"/>
        <v>18</v>
      </c>
      <c r="B22" s="14" t="s">
        <v>1034</v>
      </c>
      <c r="C22" s="50">
        <v>4000</v>
      </c>
      <c r="D22" s="50">
        <v>3987.8</v>
      </c>
      <c r="E22" s="50">
        <v>3670</v>
      </c>
      <c r="F22" s="50">
        <v>3248.6</v>
      </c>
      <c r="G22" s="50">
        <v>3130.8</v>
      </c>
      <c r="H22" s="50">
        <v>3267.6</v>
      </c>
      <c r="I22" s="50">
        <v>3024.2</v>
      </c>
      <c r="J22" s="50">
        <v>6073.6</v>
      </c>
      <c r="K22" s="50">
        <v>2989</v>
      </c>
      <c r="L22" s="50">
        <v>3032.4</v>
      </c>
      <c r="M22" s="50">
        <v>2584</v>
      </c>
      <c r="N22" s="50">
        <v>2741.2</v>
      </c>
      <c r="O22" s="50">
        <f t="shared" ref="O22:O23" si="37">SUM(C22:N22)</f>
        <v>41749.199999999997</v>
      </c>
    </row>
    <row r="23" spans="1:17" x14ac:dyDescent="0.25">
      <c r="A23" s="31">
        <f t="shared" si="0"/>
        <v>19</v>
      </c>
      <c r="B23" s="14" t="s">
        <v>1154</v>
      </c>
      <c r="C23" s="50">
        <v>7500</v>
      </c>
      <c r="D23" s="50">
        <v>7500</v>
      </c>
      <c r="E23" s="50">
        <v>7750</v>
      </c>
      <c r="F23" s="50">
        <v>8748</v>
      </c>
      <c r="G23" s="50">
        <v>8628</v>
      </c>
      <c r="H23" s="50">
        <v>8767</v>
      </c>
      <c r="I23" s="50">
        <v>8512</v>
      </c>
      <c r="J23" s="50">
        <v>9129</v>
      </c>
      <c r="K23" s="50">
        <v>8484</v>
      </c>
      <c r="L23" s="50">
        <v>7882</v>
      </c>
      <c r="M23" s="50">
        <v>7501</v>
      </c>
      <c r="N23" s="50">
        <v>7500</v>
      </c>
      <c r="O23" s="50">
        <f t="shared" si="37"/>
        <v>97901</v>
      </c>
    </row>
    <row r="24" spans="1:17" x14ac:dyDescent="0.25">
      <c r="A24" s="31">
        <f t="shared" si="0"/>
        <v>20</v>
      </c>
      <c r="B24" s="14" t="s">
        <v>1031</v>
      </c>
      <c r="C24" s="232">
        <v>10.715</v>
      </c>
      <c r="D24" s="232">
        <v>10.715</v>
      </c>
      <c r="E24" s="232">
        <v>10.715</v>
      </c>
      <c r="F24" s="232">
        <v>10.715</v>
      </c>
      <c r="G24" s="232">
        <v>10.715</v>
      </c>
      <c r="H24" s="232">
        <v>10.715</v>
      </c>
      <c r="I24" s="232">
        <v>10.715</v>
      </c>
      <c r="J24" s="232">
        <v>10.715</v>
      </c>
      <c r="K24" s="232">
        <v>10.715</v>
      </c>
      <c r="L24" s="232">
        <v>10.715</v>
      </c>
      <c r="M24" s="232">
        <v>10.715</v>
      </c>
      <c r="N24" s="232">
        <v>10.715</v>
      </c>
      <c r="O24" s="232">
        <f>AVERAGE(C24:N24)</f>
        <v>10.715000000000002</v>
      </c>
    </row>
    <row r="25" spans="1:17" x14ac:dyDescent="0.25">
      <c r="A25" s="31">
        <f t="shared" si="0"/>
        <v>21</v>
      </c>
      <c r="B25" s="14" t="s">
        <v>1185</v>
      </c>
      <c r="C25" s="67">
        <v>-53039.25</v>
      </c>
      <c r="D25" s="67">
        <v>-53039.25</v>
      </c>
      <c r="E25" s="67">
        <v>-53039.25</v>
      </c>
      <c r="F25" s="67">
        <v>-53039.25</v>
      </c>
      <c r="G25" s="67">
        <v>-53039.25</v>
      </c>
      <c r="H25" s="67">
        <v>-53039.25</v>
      </c>
      <c r="I25" s="67">
        <v>-53039.25</v>
      </c>
      <c r="J25" s="67">
        <v>-53039.25</v>
      </c>
      <c r="K25" s="67">
        <v>-53039.25</v>
      </c>
      <c r="L25" s="67">
        <v>-53039.25</v>
      </c>
      <c r="M25" s="67">
        <v>-53039.25</v>
      </c>
      <c r="N25" s="67">
        <v>-53039.25</v>
      </c>
      <c r="O25" s="67">
        <f t="shared" ref="O25" si="38">SUM(C25:N25)</f>
        <v>-636471</v>
      </c>
    </row>
    <row r="26" spans="1:17" x14ac:dyDescent="0.25">
      <c r="A26" s="31">
        <f t="shared" si="0"/>
        <v>22</v>
      </c>
      <c r="B26" s="14" t="s">
        <v>1035</v>
      </c>
      <c r="C26" s="170">
        <f>ROUND(C24*C23,2)+C25</f>
        <v>27323.25</v>
      </c>
      <c r="D26" s="170">
        <f t="shared" ref="D26:N26" si="39">ROUND(D24*D23,2)+D25</f>
        <v>27323.25</v>
      </c>
      <c r="E26" s="170">
        <f t="shared" si="39"/>
        <v>30002</v>
      </c>
      <c r="F26" s="170">
        <f t="shared" si="39"/>
        <v>40695.570000000007</v>
      </c>
      <c r="G26" s="170">
        <f t="shared" si="39"/>
        <v>39409.770000000004</v>
      </c>
      <c r="H26" s="170">
        <f t="shared" si="39"/>
        <v>40899.160000000003</v>
      </c>
      <c r="I26" s="170">
        <f t="shared" si="39"/>
        <v>38166.83</v>
      </c>
      <c r="J26" s="170">
        <f t="shared" si="39"/>
        <v>44777.990000000005</v>
      </c>
      <c r="K26" s="170">
        <f t="shared" si="39"/>
        <v>37866.81</v>
      </c>
      <c r="L26" s="170">
        <f t="shared" si="39"/>
        <v>31416.380000000005</v>
      </c>
      <c r="M26" s="170">
        <f t="shared" si="39"/>
        <v>27333.97</v>
      </c>
      <c r="N26" s="170">
        <f t="shared" si="39"/>
        <v>27323.25</v>
      </c>
      <c r="O26" s="170">
        <f t="shared" ref="O26:O27" si="40">SUM(C26:N26)</f>
        <v>412538.23</v>
      </c>
    </row>
    <row r="27" spans="1:17" x14ac:dyDescent="0.25">
      <c r="A27" s="31">
        <f t="shared" si="0"/>
        <v>23</v>
      </c>
      <c r="B27" s="14" t="s">
        <v>954</v>
      </c>
      <c r="C27" s="50">
        <v>5500748</v>
      </c>
      <c r="D27" s="50">
        <v>5032519</v>
      </c>
      <c r="E27" s="50">
        <v>5499739</v>
      </c>
      <c r="F27" s="50">
        <v>5580049</v>
      </c>
      <c r="G27" s="50">
        <v>5795784</v>
      </c>
      <c r="H27" s="50">
        <v>5608668</v>
      </c>
      <c r="I27" s="50">
        <v>5742306</v>
      </c>
      <c r="J27" s="50">
        <v>4496924</v>
      </c>
      <c r="K27" s="50">
        <v>5261821</v>
      </c>
      <c r="L27" s="50">
        <v>5583848</v>
      </c>
      <c r="M27" s="50">
        <v>5400001</v>
      </c>
      <c r="N27" s="50">
        <v>5580000</v>
      </c>
      <c r="O27" s="50">
        <f t="shared" si="40"/>
        <v>65082407</v>
      </c>
    </row>
    <row r="28" spans="1:17" x14ac:dyDescent="0.25">
      <c r="A28" s="31">
        <f t="shared" si="0"/>
        <v>24</v>
      </c>
      <c r="B28" s="14" t="s">
        <v>1030</v>
      </c>
      <c r="C28" s="99">
        <v>3.805E-2</v>
      </c>
      <c r="D28" s="99">
        <v>3.805E-2</v>
      </c>
      <c r="E28" s="99">
        <v>3.805E-2</v>
      </c>
      <c r="F28" s="99">
        <v>3.805E-2</v>
      </c>
      <c r="G28" s="99">
        <v>3.805E-2</v>
      </c>
      <c r="H28" s="99">
        <v>3.805E-2</v>
      </c>
      <c r="I28" s="99">
        <v>3.805E-2</v>
      </c>
      <c r="J28" s="99">
        <v>3.805E-2</v>
      </c>
      <c r="K28" s="99">
        <v>3.805E-2</v>
      </c>
      <c r="L28" s="99">
        <v>3.805E-2</v>
      </c>
      <c r="M28" s="99">
        <v>3.805E-2</v>
      </c>
      <c r="N28" s="99">
        <v>3.805E-2</v>
      </c>
      <c r="O28" s="99">
        <f>AVERAGE(C28:N28)</f>
        <v>3.8050000000000007E-2</v>
      </c>
    </row>
    <row r="29" spans="1:17" x14ac:dyDescent="0.25">
      <c r="A29" s="31">
        <f t="shared" si="0"/>
        <v>25</v>
      </c>
      <c r="B29" s="14" t="s">
        <v>1036</v>
      </c>
      <c r="C29" s="67">
        <f>ROUND(C28*C27,2)</f>
        <v>209303.46</v>
      </c>
      <c r="D29" s="67">
        <f t="shared" ref="D29" si="41">ROUND(D28*D27,2)</f>
        <v>191487.35</v>
      </c>
      <c r="E29" s="67">
        <f t="shared" ref="E29" si="42">ROUND(E28*E27,2)</f>
        <v>209265.07</v>
      </c>
      <c r="F29" s="67">
        <f t="shared" ref="F29" si="43">ROUND(F28*F27,2)</f>
        <v>212320.86</v>
      </c>
      <c r="G29" s="67">
        <f t="shared" ref="G29" si="44">ROUND(G28*G27,2)</f>
        <v>220529.58</v>
      </c>
      <c r="H29" s="67">
        <f t="shared" ref="H29" si="45">ROUND(H28*H27,2)</f>
        <v>213409.82</v>
      </c>
      <c r="I29" s="67">
        <f t="shared" ref="I29" si="46">ROUND(I28*I27,2)</f>
        <v>218494.74</v>
      </c>
      <c r="J29" s="67">
        <f t="shared" ref="J29" si="47">ROUND(J28*J27,2)</f>
        <v>171107.96</v>
      </c>
      <c r="K29" s="67">
        <f t="shared" ref="K29" si="48">ROUND(K28*K27,2)</f>
        <v>200212.29</v>
      </c>
      <c r="L29" s="67">
        <f t="shared" ref="L29" si="49">ROUND(L28*L27,2)</f>
        <v>212465.42</v>
      </c>
      <c r="M29" s="67">
        <f t="shared" ref="M29" si="50">ROUND(M28*M27,2)</f>
        <v>205470.04</v>
      </c>
      <c r="N29" s="67">
        <f t="shared" ref="N29" si="51">ROUND(N28*N27,2)</f>
        <v>212319</v>
      </c>
      <c r="O29" s="67">
        <f t="shared" ref="O29:O39" si="52">SUM(C29:N29)</f>
        <v>2476385.59</v>
      </c>
    </row>
    <row r="30" spans="1:17" x14ac:dyDescent="0.25">
      <c r="A30" s="31">
        <f t="shared" si="0"/>
        <v>26</v>
      </c>
      <c r="B30" s="14" t="s">
        <v>1037</v>
      </c>
      <c r="C30" s="67">
        <v>79683.839999999997</v>
      </c>
      <c r="D30" s="67">
        <v>39414.69</v>
      </c>
      <c r="E30" s="67">
        <v>7292.65</v>
      </c>
      <c r="F30" s="67">
        <v>22163.95</v>
      </c>
      <c r="G30" s="67">
        <v>29373.03</v>
      </c>
      <c r="H30" s="67">
        <v>34285.79</v>
      </c>
      <c r="I30" s="67">
        <v>51772.63</v>
      </c>
      <c r="J30" s="67">
        <v>34280.050000000003</v>
      </c>
      <c r="K30" s="67">
        <v>182374.72</v>
      </c>
      <c r="L30" s="67">
        <v>161228.03</v>
      </c>
      <c r="M30" s="67">
        <v>126900.02</v>
      </c>
      <c r="N30" s="67">
        <v>111772.98</v>
      </c>
      <c r="O30" s="67">
        <f t="shared" si="52"/>
        <v>880542.38</v>
      </c>
    </row>
    <row r="31" spans="1:17" x14ac:dyDescent="0.25">
      <c r="A31" s="31">
        <f t="shared" si="0"/>
        <v>27</v>
      </c>
      <c r="B31" s="14" t="s">
        <v>1038</v>
      </c>
      <c r="C31" s="67">
        <v>33109</v>
      </c>
      <c r="D31" s="67">
        <v>30290.73</v>
      </c>
      <c r="E31" s="67">
        <v>33102.93</v>
      </c>
      <c r="F31" s="67">
        <v>33586.31</v>
      </c>
      <c r="G31" s="67">
        <v>34884.82</v>
      </c>
      <c r="H31" s="67">
        <v>33758.57</v>
      </c>
      <c r="I31" s="67">
        <v>34562.94</v>
      </c>
      <c r="J31" s="67">
        <v>27066.99</v>
      </c>
      <c r="K31" s="67">
        <v>31670.9</v>
      </c>
      <c r="L31" s="67">
        <v>33609.18</v>
      </c>
      <c r="M31" s="67">
        <v>32502.61</v>
      </c>
      <c r="N31" s="67">
        <v>33586.019999999997</v>
      </c>
      <c r="O31" s="67">
        <f t="shared" si="52"/>
        <v>391731</v>
      </c>
    </row>
    <row r="32" spans="1:17" x14ac:dyDescent="0.25">
      <c r="A32" s="31">
        <f t="shared" si="0"/>
        <v>28</v>
      </c>
      <c r="B32" s="14" t="s">
        <v>1039</v>
      </c>
      <c r="C32" s="67">
        <v>37148.39</v>
      </c>
      <c r="D32" s="67">
        <v>14499.27</v>
      </c>
      <c r="E32" s="67">
        <v>13079.31</v>
      </c>
      <c r="F32" s="67">
        <v>20039.36</v>
      </c>
      <c r="G32" s="67">
        <v>20380.21</v>
      </c>
      <c r="H32" s="67">
        <v>26318.45</v>
      </c>
      <c r="I32" s="67">
        <v>25522.92</v>
      </c>
      <c r="J32" s="67">
        <v>20929.189999999999</v>
      </c>
      <c r="K32" s="67">
        <v>13852.28</v>
      </c>
      <c r="L32" s="67">
        <v>18250.37</v>
      </c>
      <c r="M32" s="67">
        <v>12936.02</v>
      </c>
      <c r="N32" s="67">
        <v>15669.1</v>
      </c>
      <c r="O32" s="67">
        <f t="shared" si="52"/>
        <v>238624.87000000002</v>
      </c>
    </row>
    <row r="33" spans="1:15" x14ac:dyDescent="0.25">
      <c r="A33" s="31">
        <f t="shared" si="0"/>
        <v>29</v>
      </c>
      <c r="B33" s="14" t="s">
        <v>1040</v>
      </c>
      <c r="C33" s="67">
        <v>-4446.17</v>
      </c>
      <c r="D33" s="67">
        <v>-5337.23</v>
      </c>
      <c r="E33" s="67">
        <v>-4681.33</v>
      </c>
      <c r="F33" s="67">
        <v>-5329.41</v>
      </c>
      <c r="G33" s="67">
        <v>-5421.57</v>
      </c>
      <c r="H33" s="67">
        <v>-5131.8</v>
      </c>
      <c r="I33" s="67">
        <v>-5978.3</v>
      </c>
      <c r="J33" s="67">
        <v>-5097.03</v>
      </c>
      <c r="K33" s="67">
        <v>-6443.15</v>
      </c>
      <c r="L33" s="67">
        <v>-6353.38</v>
      </c>
      <c r="M33" s="67">
        <v>-6976.47</v>
      </c>
      <c r="N33" s="67">
        <v>-6593.79</v>
      </c>
      <c r="O33" s="67">
        <f t="shared" si="52"/>
        <v>-67789.62999999999</v>
      </c>
    </row>
    <row r="34" spans="1:15" x14ac:dyDescent="0.25">
      <c r="A34" s="31">
        <f t="shared" si="0"/>
        <v>30</v>
      </c>
      <c r="B34" s="14" t="s">
        <v>1180</v>
      </c>
      <c r="C34" s="67">
        <v>178024.64</v>
      </c>
      <c r="D34" s="67">
        <v>160799.24</v>
      </c>
      <c r="E34" s="67">
        <v>178024.64</v>
      </c>
      <c r="F34" s="67">
        <v>172284.9</v>
      </c>
      <c r="G34" s="67">
        <v>178027.73</v>
      </c>
      <c r="H34" s="67">
        <v>7440</v>
      </c>
      <c r="I34" s="67">
        <v>7688</v>
      </c>
      <c r="J34" s="67">
        <v>7688</v>
      </c>
      <c r="K34" s="67">
        <v>172254</v>
      </c>
      <c r="L34" s="67">
        <v>177995.8</v>
      </c>
      <c r="M34" s="67">
        <v>172254</v>
      </c>
      <c r="N34" s="67">
        <v>177995.8</v>
      </c>
      <c r="O34" s="67">
        <f t="shared" si="52"/>
        <v>1590476.75</v>
      </c>
    </row>
    <row r="35" spans="1:15" x14ac:dyDescent="0.25">
      <c r="A35" s="31">
        <f t="shared" si="0"/>
        <v>31</v>
      </c>
      <c r="B35" s="14" t="s">
        <v>1181</v>
      </c>
      <c r="C35" s="67">
        <v>445977.75</v>
      </c>
      <c r="D35" s="67">
        <v>344041.3</v>
      </c>
      <c r="E35" s="67">
        <v>434950.21</v>
      </c>
      <c r="F35" s="67">
        <v>422606.01</v>
      </c>
      <c r="G35" s="67">
        <v>483549.73</v>
      </c>
      <c r="H35" s="67">
        <v>467760.8</v>
      </c>
      <c r="I35" s="67">
        <v>553147.53</v>
      </c>
      <c r="J35" s="67">
        <v>374931.66</v>
      </c>
      <c r="K35" s="67">
        <v>901395.03</v>
      </c>
      <c r="L35" s="67">
        <v>911535.79</v>
      </c>
      <c r="M35" s="67">
        <v>803417.69</v>
      </c>
      <c r="N35" s="67">
        <v>522336.9</v>
      </c>
      <c r="O35" s="67">
        <f t="shared" si="52"/>
        <v>6665650.4000000004</v>
      </c>
    </row>
    <row r="36" spans="1:15" x14ac:dyDescent="0.25">
      <c r="A36" s="31">
        <f t="shared" si="0"/>
        <v>32</v>
      </c>
      <c r="B36" s="14" t="s">
        <v>1182</v>
      </c>
      <c r="C36" s="67">
        <v>2197.15</v>
      </c>
      <c r="D36" s="67">
        <v>3930.93</v>
      </c>
      <c r="E36" s="67">
        <v>4726.5600000000004</v>
      </c>
      <c r="F36" s="67">
        <v>10243.450000000001</v>
      </c>
      <c r="G36" s="67">
        <v>4271.45</v>
      </c>
      <c r="H36" s="67">
        <v>-1855.02</v>
      </c>
      <c r="I36" s="67">
        <v>-2297.9499999999998</v>
      </c>
      <c r="J36" s="67">
        <v>-3236.42</v>
      </c>
      <c r="K36" s="67">
        <v>-6954.42</v>
      </c>
      <c r="L36" s="67">
        <v>-3196.36</v>
      </c>
      <c r="M36" s="67">
        <v>10175.02</v>
      </c>
      <c r="N36" s="67">
        <v>12738.68</v>
      </c>
      <c r="O36" s="67">
        <f t="shared" si="52"/>
        <v>30743.07</v>
      </c>
    </row>
    <row r="37" spans="1:15" x14ac:dyDescent="0.25">
      <c r="A37" s="31">
        <f t="shared" si="0"/>
        <v>33</v>
      </c>
      <c r="B37" s="14" t="s">
        <v>1183</v>
      </c>
      <c r="C37" s="67">
        <v>12500</v>
      </c>
      <c r="D37" s="67">
        <v>12500</v>
      </c>
      <c r="E37" s="67">
        <v>12500</v>
      </c>
      <c r="F37" s="67">
        <v>12500</v>
      </c>
      <c r="G37" s="67">
        <v>12500</v>
      </c>
      <c r="H37" s="67">
        <v>12400</v>
      </c>
      <c r="I37" s="67">
        <v>12400</v>
      </c>
      <c r="J37" s="67">
        <v>12400</v>
      </c>
      <c r="K37" s="67">
        <v>12500</v>
      </c>
      <c r="L37" s="67">
        <v>12500</v>
      </c>
      <c r="M37" s="67">
        <v>12500</v>
      </c>
      <c r="N37" s="67">
        <v>12500</v>
      </c>
      <c r="O37" s="67">
        <f t="shared" si="52"/>
        <v>149700</v>
      </c>
    </row>
    <row r="38" spans="1:15" x14ac:dyDescent="0.25">
      <c r="A38" s="31">
        <f t="shared" si="0"/>
        <v>34</v>
      </c>
      <c r="B38" s="14" t="s">
        <v>1184</v>
      </c>
      <c r="C38" s="67">
        <v>-2038.94</v>
      </c>
      <c r="D38" s="67">
        <v>2983.42</v>
      </c>
      <c r="E38" s="67">
        <v>-393.81</v>
      </c>
      <c r="F38" s="67">
        <v>1022.84</v>
      </c>
      <c r="G38" s="67">
        <v>411.86</v>
      </c>
      <c r="H38" s="67">
        <v>1418.51</v>
      </c>
      <c r="I38" s="67">
        <v>1320.38</v>
      </c>
      <c r="J38" s="67">
        <v>865.35</v>
      </c>
      <c r="K38" s="67">
        <v>-2702.76</v>
      </c>
      <c r="L38" s="67">
        <v>-2988.82</v>
      </c>
      <c r="M38" s="67">
        <v>-604.44000000000005</v>
      </c>
      <c r="N38" s="67">
        <v>683.94</v>
      </c>
      <c r="O38" s="67">
        <f t="shared" si="52"/>
        <v>-22.4699999999998</v>
      </c>
    </row>
    <row r="39" spans="1:15" x14ac:dyDescent="0.25">
      <c r="A39" s="31">
        <f t="shared" si="0"/>
        <v>35</v>
      </c>
      <c r="B39" s="14" t="s">
        <v>1186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52"/>
        <v>0</v>
      </c>
    </row>
    <row r="40" spans="1:15" x14ac:dyDescent="0.25">
      <c r="A40" s="31">
        <f t="shared" si="0"/>
        <v>36</v>
      </c>
      <c r="B40" s="203" t="s">
        <v>0</v>
      </c>
      <c r="C40" s="111">
        <f t="shared" ref="C40:O40" si="53">C26+SUM(C29:C39)</f>
        <v>1018782.3700000001</v>
      </c>
      <c r="D40" s="111">
        <f t="shared" si="53"/>
        <v>821932.95000000019</v>
      </c>
      <c r="E40" s="111">
        <f t="shared" si="53"/>
        <v>917868.23</v>
      </c>
      <c r="F40" s="111">
        <f t="shared" si="53"/>
        <v>942133.83999999985</v>
      </c>
      <c r="G40" s="111">
        <f t="shared" si="53"/>
        <v>1017916.61</v>
      </c>
      <c r="H40" s="111">
        <f t="shared" si="53"/>
        <v>830704.28</v>
      </c>
      <c r="I40" s="111">
        <f t="shared" si="53"/>
        <v>934799.72</v>
      </c>
      <c r="J40" s="111">
        <f t="shared" si="53"/>
        <v>685713.73999999987</v>
      </c>
      <c r="K40" s="111">
        <f t="shared" si="53"/>
        <v>1536025.7000000002</v>
      </c>
      <c r="L40" s="111">
        <f t="shared" si="53"/>
        <v>1546462.4099999997</v>
      </c>
      <c r="M40" s="111">
        <f t="shared" si="53"/>
        <v>1395908.46</v>
      </c>
      <c r="N40" s="111">
        <f t="shared" si="53"/>
        <v>1120331.8799999999</v>
      </c>
      <c r="O40" s="111">
        <f t="shared" si="53"/>
        <v>12768580.189999999</v>
      </c>
    </row>
    <row r="41" spans="1:15" x14ac:dyDescent="0.25">
      <c r="A41" s="31">
        <f t="shared" si="0"/>
        <v>37</v>
      </c>
    </row>
    <row r="42" spans="1:15" ht="13.8" thickBot="1" x14ac:dyDescent="0.3">
      <c r="A42" s="31">
        <f t="shared" si="0"/>
        <v>38</v>
      </c>
      <c r="B42" s="184" t="s">
        <v>860</v>
      </c>
      <c r="C42" s="188">
        <f t="shared" ref="C42:N42" si="54">C19+C40</f>
        <v>6447718.801</v>
      </c>
      <c r="D42" s="188">
        <f t="shared" si="54"/>
        <v>4989223.870000001</v>
      </c>
      <c r="E42" s="188">
        <f t="shared" si="54"/>
        <v>4592640.18</v>
      </c>
      <c r="F42" s="188">
        <f t="shared" si="54"/>
        <v>3974946.55</v>
      </c>
      <c r="G42" s="188">
        <f t="shared" si="54"/>
        <v>5043827.01</v>
      </c>
      <c r="H42" s="188">
        <f t="shared" si="54"/>
        <v>5693939.8499999996</v>
      </c>
      <c r="I42" s="188">
        <f t="shared" si="54"/>
        <v>6870370.5899999989</v>
      </c>
      <c r="J42" s="188">
        <f t="shared" si="54"/>
        <v>6323120.620000001</v>
      </c>
      <c r="K42" s="188">
        <f t="shared" si="54"/>
        <v>7567462.3700000001</v>
      </c>
      <c r="L42" s="188">
        <f t="shared" si="54"/>
        <v>5640945.9700000007</v>
      </c>
      <c r="M42" s="188">
        <f t="shared" si="54"/>
        <v>6208955.8399999989</v>
      </c>
      <c r="N42" s="188">
        <f t="shared" si="54"/>
        <v>7369134.1400000006</v>
      </c>
      <c r="O42" s="188">
        <f t="shared" ref="O42" si="55">SUM(C42:N42)</f>
        <v>70722285.790999994</v>
      </c>
    </row>
    <row r="43" spans="1:15" ht="13.8" thickTop="1" x14ac:dyDescent="0.25">
      <c r="A43" s="31">
        <f t="shared" si="0"/>
        <v>39</v>
      </c>
    </row>
    <row r="44" spans="1:15" x14ac:dyDescent="0.25">
      <c r="A44" s="31">
        <f t="shared" si="0"/>
        <v>40</v>
      </c>
      <c r="B44" s="14" t="s">
        <v>927</v>
      </c>
      <c r="C44" s="67">
        <f>C10+C26+C18+C33+0.05*(C17+C32)+C34+C37</f>
        <v>1594834.5</v>
      </c>
      <c r="D44" s="67">
        <f t="shared" ref="D44:N44" si="56">D10+D26+D18+D33+0.05*(D17+D32)+D34+D37</f>
        <v>1482681.3830000001</v>
      </c>
      <c r="E44" s="67">
        <f t="shared" si="56"/>
        <v>1314825.6414999999</v>
      </c>
      <c r="F44" s="67">
        <f t="shared" si="56"/>
        <v>1005466.6575</v>
      </c>
      <c r="G44" s="67">
        <f t="shared" si="56"/>
        <v>1499221.0270000002</v>
      </c>
      <c r="H44" s="67">
        <f t="shared" si="56"/>
        <v>1437199.3059999999</v>
      </c>
      <c r="I44" s="67">
        <f t="shared" si="56"/>
        <v>1808015.0605000001</v>
      </c>
      <c r="J44" s="67">
        <f t="shared" si="56"/>
        <v>1748301.1819999998</v>
      </c>
      <c r="K44" s="67">
        <f t="shared" si="56"/>
        <v>1835870.9880000001</v>
      </c>
      <c r="L44" s="67">
        <f t="shared" si="56"/>
        <v>1013453.976</v>
      </c>
      <c r="M44" s="67">
        <f t="shared" si="56"/>
        <v>1332816.8304999999</v>
      </c>
      <c r="N44" s="67">
        <f t="shared" si="56"/>
        <v>1982188.3620000002</v>
      </c>
      <c r="O44" s="67">
        <f t="shared" ref="O44:O47" si="57">SUM(C44:N44)</f>
        <v>18054874.914000001</v>
      </c>
    </row>
    <row r="45" spans="1:15" x14ac:dyDescent="0.25">
      <c r="A45" s="31">
        <f t="shared" si="0"/>
        <v>41</v>
      </c>
      <c r="B45" s="14" t="s">
        <v>928</v>
      </c>
      <c r="C45" s="67">
        <f>C12+C13+C14+C15+C16+C29+C30+C31+C39+0.95*(C17+C32)+C35+C36+C38</f>
        <v>4852884.301</v>
      </c>
      <c r="D45" s="67">
        <f t="shared" ref="D45:N45" si="58">D12+D13+D14+D15+D16+D29+D30+D31+D39+0.95*(D17+D32)+D35+D36+D38</f>
        <v>3506542.4870000002</v>
      </c>
      <c r="E45" s="67">
        <f t="shared" si="58"/>
        <v>3277814.5384999998</v>
      </c>
      <c r="F45" s="67">
        <f t="shared" si="58"/>
        <v>2969479.8925000001</v>
      </c>
      <c r="G45" s="67">
        <f t="shared" si="58"/>
        <v>3544605.9829999995</v>
      </c>
      <c r="H45" s="67">
        <f t="shared" si="58"/>
        <v>4256740.5439999998</v>
      </c>
      <c r="I45" s="67">
        <f t="shared" si="58"/>
        <v>5062355.5295000002</v>
      </c>
      <c r="J45" s="67">
        <f t="shared" si="58"/>
        <v>4574819.4380000001</v>
      </c>
      <c r="K45" s="67">
        <f t="shared" si="58"/>
        <v>5731591.3820000011</v>
      </c>
      <c r="L45" s="67">
        <f t="shared" si="58"/>
        <v>4627491.9939999999</v>
      </c>
      <c r="M45" s="67">
        <f t="shared" si="58"/>
        <v>4876139.0094999978</v>
      </c>
      <c r="N45" s="67">
        <f t="shared" si="58"/>
        <v>5386945.7780000009</v>
      </c>
      <c r="O45" s="67">
        <f t="shared" si="57"/>
        <v>52667410.877000004</v>
      </c>
    </row>
    <row r="46" spans="1:15" x14ac:dyDescent="0.25">
      <c r="A46" s="31">
        <f t="shared" si="0"/>
        <v>42</v>
      </c>
      <c r="B46" s="14" t="s">
        <v>929</v>
      </c>
      <c r="C46" s="67">
        <f>SUM(C44:C45)</f>
        <v>6447718.801</v>
      </c>
      <c r="D46" s="67">
        <f t="shared" ref="D46" si="59">SUM(D44:D45)</f>
        <v>4989223.87</v>
      </c>
      <c r="E46" s="67">
        <f t="shared" ref="E46" si="60">SUM(E44:E45)</f>
        <v>4592640.18</v>
      </c>
      <c r="F46" s="67">
        <f t="shared" ref="F46" si="61">SUM(F44:F45)</f>
        <v>3974946.55</v>
      </c>
      <c r="G46" s="67">
        <f t="shared" ref="G46" si="62">SUM(G44:G45)</f>
        <v>5043827.01</v>
      </c>
      <c r="H46" s="67">
        <f t="shared" ref="H46" si="63">SUM(H44:H45)</f>
        <v>5693939.8499999996</v>
      </c>
      <c r="I46" s="67">
        <f t="shared" ref="I46" si="64">SUM(I44:I45)</f>
        <v>6870370.5899999999</v>
      </c>
      <c r="J46" s="67">
        <f t="shared" ref="J46" si="65">SUM(J44:J45)</f>
        <v>6323120.6200000001</v>
      </c>
      <c r="K46" s="67">
        <f t="shared" ref="K46" si="66">SUM(K44:K45)</f>
        <v>7567462.370000001</v>
      </c>
      <c r="L46" s="67">
        <f t="shared" ref="L46" si="67">SUM(L44:L45)</f>
        <v>5640945.9699999997</v>
      </c>
      <c r="M46" s="67">
        <f t="shared" ref="M46" si="68">SUM(M44:M45)</f>
        <v>6208955.839999998</v>
      </c>
      <c r="N46" s="67">
        <f t="shared" ref="N46" si="69">SUM(N44:N45)</f>
        <v>7369134.1400000006</v>
      </c>
      <c r="O46" s="67">
        <f t="shared" si="57"/>
        <v>70722285.790999979</v>
      </c>
    </row>
    <row r="47" spans="1:15" x14ac:dyDescent="0.25">
      <c r="A47" s="31">
        <f t="shared" si="0"/>
        <v>43</v>
      </c>
      <c r="B47" s="14" t="s">
        <v>930</v>
      </c>
      <c r="C47" s="67">
        <f t="shared" ref="C47:N47" si="70">C46-C42</f>
        <v>0</v>
      </c>
      <c r="D47" s="67">
        <f t="shared" si="70"/>
        <v>0</v>
      </c>
      <c r="E47" s="67">
        <f t="shared" si="70"/>
        <v>0</v>
      </c>
      <c r="F47" s="67">
        <f t="shared" si="70"/>
        <v>0</v>
      </c>
      <c r="G47" s="67">
        <f t="shared" si="70"/>
        <v>0</v>
      </c>
      <c r="H47" s="67">
        <f t="shared" si="70"/>
        <v>0</v>
      </c>
      <c r="I47" s="67">
        <f t="shared" si="70"/>
        <v>0</v>
      </c>
      <c r="J47" s="67">
        <f t="shared" si="70"/>
        <v>0</v>
      </c>
      <c r="K47" s="67">
        <f t="shared" si="70"/>
        <v>0</v>
      </c>
      <c r="L47" s="67">
        <f t="shared" si="70"/>
        <v>0</v>
      </c>
      <c r="M47" s="67">
        <f t="shared" si="70"/>
        <v>0</v>
      </c>
      <c r="N47" s="67">
        <f t="shared" si="70"/>
        <v>0</v>
      </c>
      <c r="O47" s="67">
        <f t="shared" si="57"/>
        <v>0</v>
      </c>
    </row>
    <row r="48" spans="1:15" x14ac:dyDescent="0.25">
      <c r="A48" s="31">
        <f t="shared" si="0"/>
        <v>44</v>
      </c>
      <c r="B48" s="14" t="s">
        <v>931</v>
      </c>
      <c r="C48" s="218">
        <f>C44/C46</f>
        <v>0.24734864364008111</v>
      </c>
      <c r="D48" s="218">
        <f t="shared" ref="D48:O48" si="71">D44/D46</f>
        <v>0.2971767596790561</v>
      </c>
      <c r="E48" s="218">
        <f t="shared" si="71"/>
        <v>0.2862897135346667</v>
      </c>
      <c r="F48" s="218">
        <f t="shared" si="71"/>
        <v>0.25295098810825517</v>
      </c>
      <c r="G48" s="218">
        <f t="shared" si="71"/>
        <v>0.29723878793376785</v>
      </c>
      <c r="H48" s="218">
        <f t="shared" si="71"/>
        <v>0.25240858594598603</v>
      </c>
      <c r="I48" s="218">
        <f t="shared" si="71"/>
        <v>0.26316121333128845</v>
      </c>
      <c r="J48" s="218">
        <f t="shared" si="71"/>
        <v>0.27649340998970218</v>
      </c>
      <c r="K48" s="218">
        <f t="shared" si="71"/>
        <v>0.24260061011707415</v>
      </c>
      <c r="L48" s="218">
        <f t="shared" si="71"/>
        <v>0.17966028772298276</v>
      </c>
      <c r="M48" s="218">
        <f t="shared" si="71"/>
        <v>0.21466038168826795</v>
      </c>
      <c r="N48" s="218">
        <f t="shared" si="71"/>
        <v>0.26898524634537324</v>
      </c>
      <c r="O48" s="218">
        <f t="shared" si="71"/>
        <v>0.25529258156836382</v>
      </c>
    </row>
    <row r="49" spans="1:15" x14ac:dyDescent="0.25">
      <c r="A49" s="31">
        <f t="shared" si="0"/>
        <v>45</v>
      </c>
      <c r="B49" s="14" t="s">
        <v>932</v>
      </c>
      <c r="C49" s="218">
        <f>C45/C46</f>
        <v>0.75265135635991887</v>
      </c>
      <c r="D49" s="218">
        <f t="shared" ref="D49:O49" si="72">D45/D46</f>
        <v>0.70282324032094401</v>
      </c>
      <c r="E49" s="218">
        <f t="shared" si="72"/>
        <v>0.7137102864653333</v>
      </c>
      <c r="F49" s="218">
        <f t="shared" si="72"/>
        <v>0.74704901189174489</v>
      </c>
      <c r="G49" s="218">
        <f t="shared" si="72"/>
        <v>0.70276121206623221</v>
      </c>
      <c r="H49" s="218">
        <f t="shared" si="72"/>
        <v>0.74759141405401397</v>
      </c>
      <c r="I49" s="218">
        <f t="shared" si="72"/>
        <v>0.73683878666871161</v>
      </c>
      <c r="J49" s="218">
        <f t="shared" si="72"/>
        <v>0.72350659001029782</v>
      </c>
      <c r="K49" s="218">
        <f t="shared" si="72"/>
        <v>0.75739938988292588</v>
      </c>
      <c r="L49" s="218">
        <f t="shared" si="72"/>
        <v>0.8203397122770173</v>
      </c>
      <c r="M49" s="218">
        <f t="shared" si="72"/>
        <v>0.78533961831173205</v>
      </c>
      <c r="N49" s="218">
        <f t="shared" si="72"/>
        <v>0.73101475365462687</v>
      </c>
      <c r="O49" s="218">
        <f t="shared" si="72"/>
        <v>0.74470741843163657</v>
      </c>
    </row>
    <row r="50" spans="1:15" x14ac:dyDescent="0.25">
      <c r="A50" s="31">
        <f t="shared" si="0"/>
        <v>46</v>
      </c>
    </row>
    <row r="51" spans="1:15" x14ac:dyDescent="0.25">
      <c r="A51" s="31">
        <f t="shared" si="0"/>
        <v>47</v>
      </c>
      <c r="N51" s="14" t="s">
        <v>0</v>
      </c>
      <c r="O51" s="50">
        <f>O42</f>
        <v>70722285.790999994</v>
      </c>
    </row>
    <row r="52" spans="1:15" x14ac:dyDescent="0.25">
      <c r="A52" s="31">
        <f t="shared" si="0"/>
        <v>48</v>
      </c>
      <c r="N52" s="14" t="s">
        <v>943</v>
      </c>
      <c r="O52" s="50">
        <f>'Func &amp; Classif'!F175</f>
        <v>70722285.650000006</v>
      </c>
    </row>
    <row r="53" spans="1:15" x14ac:dyDescent="0.25">
      <c r="A53" s="31">
        <f t="shared" si="0"/>
        <v>49</v>
      </c>
      <c r="N53" s="203" t="s">
        <v>963</v>
      </c>
      <c r="O53" s="246">
        <f>O52-O51</f>
        <v>-0.14099998772144318</v>
      </c>
    </row>
    <row r="54" spans="1:15" x14ac:dyDescent="0.25">
      <c r="A54" s="31">
        <f t="shared" si="0"/>
        <v>50</v>
      </c>
    </row>
    <row r="55" spans="1:15" x14ac:dyDescent="0.25">
      <c r="A55" s="31">
        <f t="shared" si="0"/>
        <v>51</v>
      </c>
      <c r="B55" s="247" t="s">
        <v>1194</v>
      </c>
    </row>
    <row r="56" spans="1:15" x14ac:dyDescent="0.25">
      <c r="A56" s="31">
        <f t="shared" si="0"/>
        <v>52</v>
      </c>
      <c r="B56" s="14" t="s">
        <v>1193</v>
      </c>
      <c r="C56" s="35">
        <f>C8+C27</f>
        <v>59457697</v>
      </c>
      <c r="D56" s="35">
        <f t="shared" ref="D56:N56" si="73">D8+D27</f>
        <v>50597177</v>
      </c>
      <c r="E56" s="35">
        <f t="shared" si="73"/>
        <v>51569934</v>
      </c>
      <c r="F56" s="35">
        <f t="shared" si="73"/>
        <v>43052022</v>
      </c>
      <c r="G56" s="35">
        <f t="shared" si="73"/>
        <v>50608649</v>
      </c>
      <c r="H56" s="35">
        <f t="shared" si="73"/>
        <v>60177096</v>
      </c>
      <c r="I56" s="35">
        <f t="shared" si="73"/>
        <v>68627695</v>
      </c>
      <c r="J56" s="35">
        <f t="shared" si="73"/>
        <v>65192352</v>
      </c>
      <c r="K56" s="35">
        <f t="shared" si="73"/>
        <v>54661298</v>
      </c>
      <c r="L56" s="35">
        <f t="shared" si="73"/>
        <v>44758195</v>
      </c>
      <c r="M56" s="35">
        <f t="shared" si="73"/>
        <v>52770859</v>
      </c>
      <c r="N56" s="35">
        <f t="shared" si="73"/>
        <v>65177271</v>
      </c>
      <c r="O56" s="35">
        <f>O8+O27</f>
        <v>666650245</v>
      </c>
    </row>
    <row r="57" spans="1:15" x14ac:dyDescent="0.25">
      <c r="A57" s="31">
        <f t="shared" si="0"/>
        <v>53</v>
      </c>
      <c r="B57" s="14" t="s">
        <v>957</v>
      </c>
      <c r="C57" s="91">
        <f>C15+C30</f>
        <v>861304.2</v>
      </c>
      <c r="D57" s="91">
        <f t="shared" ref="D57:N57" si="74">D15+D30</f>
        <v>396277.09</v>
      </c>
      <c r="E57" s="91">
        <f t="shared" si="74"/>
        <v>68381.73</v>
      </c>
      <c r="F57" s="91">
        <f t="shared" si="74"/>
        <v>171002.63</v>
      </c>
      <c r="G57" s="91">
        <f t="shared" si="74"/>
        <v>256484.63</v>
      </c>
      <c r="H57" s="91">
        <f t="shared" si="74"/>
        <v>367862.58999999997</v>
      </c>
      <c r="I57" s="91">
        <f t="shared" si="74"/>
        <v>618747.30000000005</v>
      </c>
      <c r="J57" s="91">
        <f t="shared" si="74"/>
        <v>496961.3</v>
      </c>
      <c r="K57" s="91">
        <f t="shared" si="74"/>
        <v>1894560.59</v>
      </c>
      <c r="L57" s="91">
        <f t="shared" si="74"/>
        <v>1292348.1300000001</v>
      </c>
      <c r="M57" s="91">
        <f t="shared" si="74"/>
        <v>1240115.18</v>
      </c>
      <c r="N57" s="91">
        <f t="shared" si="74"/>
        <v>1305565.92</v>
      </c>
      <c r="O57" s="91">
        <f t="shared" ref="O57" si="75">O15+O30</f>
        <v>8969611.290000001</v>
      </c>
    </row>
    <row r="58" spans="1:15" x14ac:dyDescent="0.25">
      <c r="A58" s="31">
        <f t="shared" si="0"/>
        <v>54</v>
      </c>
      <c r="B58" s="14" t="s">
        <v>958</v>
      </c>
      <c r="C58" s="91">
        <f>C17+C32</f>
        <v>579153.78</v>
      </c>
      <c r="D58" s="91">
        <f t="shared" ref="D58:N58" si="76">D17+D32</f>
        <v>224065.66</v>
      </c>
      <c r="E58" s="91">
        <f t="shared" si="76"/>
        <v>186653.23</v>
      </c>
      <c r="F58" s="91">
        <f t="shared" si="76"/>
        <v>217799.15000000002</v>
      </c>
      <c r="G58" s="91">
        <f t="shared" si="76"/>
        <v>271747.74</v>
      </c>
      <c r="H58" s="91">
        <f t="shared" si="76"/>
        <v>410897.52</v>
      </c>
      <c r="I58" s="91">
        <f t="shared" si="76"/>
        <v>452657.81</v>
      </c>
      <c r="J58" s="91">
        <f t="shared" si="76"/>
        <v>432101.64</v>
      </c>
      <c r="K58" s="91">
        <f t="shared" si="76"/>
        <v>203254.56</v>
      </c>
      <c r="L58" s="91">
        <f t="shared" si="76"/>
        <v>194817.52</v>
      </c>
      <c r="M58" s="91">
        <f t="shared" si="76"/>
        <v>177098.00999999998</v>
      </c>
      <c r="N58" s="91">
        <f t="shared" si="76"/>
        <v>272753.83999999997</v>
      </c>
      <c r="O58" s="91">
        <f t="shared" ref="O58" si="77">O17+O32</f>
        <v>3623000.46</v>
      </c>
    </row>
    <row r="59" spans="1:15" x14ac:dyDescent="0.25">
      <c r="A59" s="31">
        <f t="shared" si="0"/>
        <v>55</v>
      </c>
      <c r="B59" s="14" t="s">
        <v>1133</v>
      </c>
      <c r="C59" s="91">
        <f>C18+C33</f>
        <v>-215649.62900000002</v>
      </c>
      <c r="D59" s="91">
        <f t="shared" ref="D59:N59" si="78">D18+D33</f>
        <v>-217709.93000000002</v>
      </c>
      <c r="E59" s="91">
        <f t="shared" si="78"/>
        <v>-214857.24</v>
      </c>
      <c r="F59" s="91">
        <f t="shared" si="78"/>
        <v>-217367.66</v>
      </c>
      <c r="G59" s="91">
        <f t="shared" si="78"/>
        <v>-229500.98</v>
      </c>
      <c r="H59" s="91">
        <f t="shared" si="78"/>
        <v>-236878.02</v>
      </c>
      <c r="I59" s="91">
        <f t="shared" si="78"/>
        <v>-237724.50999999998</v>
      </c>
      <c r="J59" s="91">
        <f t="shared" si="78"/>
        <v>-225354.81</v>
      </c>
      <c r="K59" s="91">
        <f t="shared" si="78"/>
        <v>-346316.60000000003</v>
      </c>
      <c r="L59" s="91">
        <f t="shared" si="78"/>
        <v>-332925.22000000003</v>
      </c>
      <c r="M59" s="91">
        <f t="shared" si="78"/>
        <v>-335318</v>
      </c>
      <c r="N59" s="91">
        <f t="shared" si="78"/>
        <v>-331642.19</v>
      </c>
      <c r="O59" s="91">
        <f t="shared" ref="O59" si="79">O18+O33</f>
        <v>-3141244.7889999994</v>
      </c>
    </row>
    <row r="60" spans="1:15" x14ac:dyDescent="0.25">
      <c r="A60" s="31">
        <f t="shared" si="0"/>
        <v>56</v>
      </c>
      <c r="B60" s="14" t="s">
        <v>1192</v>
      </c>
      <c r="C60" s="91">
        <f>C16+C31</f>
        <v>357875.88</v>
      </c>
      <c r="D60" s="91">
        <f t="shared" ref="D60:N60" si="80">D16+D31</f>
        <v>304544.40999999997</v>
      </c>
      <c r="E60" s="91">
        <f t="shared" si="80"/>
        <v>310399.43</v>
      </c>
      <c r="F60" s="91">
        <f t="shared" si="80"/>
        <v>259130.12</v>
      </c>
      <c r="G60" s="91">
        <f t="shared" si="80"/>
        <v>304613.45</v>
      </c>
      <c r="H60" s="91">
        <f t="shared" si="80"/>
        <v>362205.94</v>
      </c>
      <c r="I60" s="91">
        <f t="shared" si="80"/>
        <v>413070.1</v>
      </c>
      <c r="J60" s="91">
        <f t="shared" si="80"/>
        <v>392392.77</v>
      </c>
      <c r="K60" s="91">
        <f t="shared" si="80"/>
        <v>329006.35000000003</v>
      </c>
      <c r="L60" s="91">
        <f t="shared" si="80"/>
        <v>269399.57</v>
      </c>
      <c r="M60" s="91">
        <f t="shared" si="80"/>
        <v>317627.8</v>
      </c>
      <c r="N60" s="91">
        <f t="shared" si="80"/>
        <v>392301.99</v>
      </c>
      <c r="O60" s="91">
        <f t="shared" ref="O60" si="81">O16+O31</f>
        <v>4012567.8100000005</v>
      </c>
    </row>
  </sheetData>
  <phoneticPr fontId="12" type="noConversion"/>
  <pageMargins left="0.45" right="0.45" top="1.25" bottom="0.75" header="0.55000000000000004" footer="0.3"/>
  <pageSetup scale="58" orientation="landscape" r:id="rId1"/>
  <headerFooter>
    <oddFooter>&amp;RExhibit JW-7
Page &amp;P of &amp;N</oddFooter>
  </headerFooter>
  <ignoredErrors>
    <ignoredError sqref="O28 O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M47" sqref="M47"/>
    </sheetView>
  </sheetViews>
  <sheetFormatPr defaultColWidth="9.109375" defaultRowHeight="13.2" x14ac:dyDescent="0.25"/>
  <cols>
    <col min="1" max="1" width="5.5546875" style="14" customWidth="1"/>
    <col min="2" max="2" width="45.109375" style="28" customWidth="1"/>
    <col min="3" max="3" width="10.6640625" style="14" customWidth="1"/>
    <col min="4" max="4" width="13.33203125" style="14" customWidth="1"/>
    <col min="5" max="5" width="12.88671875" style="14" customWidth="1"/>
    <col min="6" max="6" width="14.88671875" style="14" customWidth="1"/>
    <col min="7" max="7" width="12.88671875" style="14" customWidth="1"/>
    <col min="8" max="8" width="12" style="14" bestFit="1" customWidth="1"/>
    <col min="9" max="9" width="9.109375" style="14" customWidth="1"/>
    <col min="10" max="10" width="4" style="14" customWidth="1"/>
    <col min="11" max="11" width="9.109375" style="14" customWidth="1"/>
    <col min="12" max="14" width="9.109375" style="14"/>
    <col min="15" max="15" width="9.109375" style="14" customWidth="1"/>
    <col min="16" max="16384" width="9.109375" style="14"/>
  </cols>
  <sheetData>
    <row r="1" spans="1:8" x14ac:dyDescent="0.25">
      <c r="A1" s="13" t="s">
        <v>1016</v>
      </c>
    </row>
    <row r="2" spans="1:8" x14ac:dyDescent="0.25">
      <c r="A2" s="13" t="s">
        <v>678</v>
      </c>
    </row>
    <row r="4" spans="1:8" ht="62.25" customHeight="1" thickBot="1" x14ac:dyDescent="0.3">
      <c r="A4" s="63" t="s">
        <v>952</v>
      </c>
      <c r="B4" s="88" t="s">
        <v>752</v>
      </c>
      <c r="C4" s="180" t="s">
        <v>870</v>
      </c>
      <c r="D4" s="82" t="s">
        <v>871</v>
      </c>
      <c r="E4" s="82" t="s">
        <v>872</v>
      </c>
      <c r="F4" s="82" t="s">
        <v>863</v>
      </c>
      <c r="G4" s="82" t="s">
        <v>873</v>
      </c>
      <c r="H4" s="83"/>
    </row>
    <row r="5" spans="1:8" x14ac:dyDescent="0.25">
      <c r="A5" s="28"/>
      <c r="B5" s="13"/>
      <c r="C5" s="58"/>
    </row>
    <row r="6" spans="1:8" x14ac:dyDescent="0.25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82">
        <f t="shared" ref="F6:F9" si="0">E6*D6</f>
        <v>6131166.666666667</v>
      </c>
      <c r="G6" s="183">
        <f t="shared" ref="G6:G11" si="1">F6/$F$32</f>
        <v>0.52203548285976176</v>
      </c>
      <c r="H6" s="183"/>
    </row>
    <row r="7" spans="1:8" x14ac:dyDescent="0.25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82">
        <f t="shared" si="0"/>
        <v>2664291.666666667</v>
      </c>
      <c r="G7" s="183">
        <f t="shared" si="1"/>
        <v>0.22684993938416931</v>
      </c>
      <c r="H7" s="183"/>
    </row>
    <row r="8" spans="1:8" x14ac:dyDescent="0.25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82">
        <f t="shared" si="0"/>
        <v>710240</v>
      </c>
      <c r="G8" s="183">
        <f t="shared" si="1"/>
        <v>6.0473071685049146E-2</v>
      </c>
      <c r="H8" s="183"/>
    </row>
    <row r="9" spans="1:8" x14ac:dyDescent="0.25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82">
        <f t="shared" si="0"/>
        <v>1680466.6666666667</v>
      </c>
      <c r="G9" s="183">
        <f t="shared" si="1"/>
        <v>0.14308259348624258</v>
      </c>
      <c r="H9" s="183"/>
    </row>
    <row r="10" spans="1:8" x14ac:dyDescent="0.25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82">
        <f>E10*D10</f>
        <v>0</v>
      </c>
      <c r="G10" s="183">
        <f t="shared" si="1"/>
        <v>0</v>
      </c>
      <c r="H10" s="183"/>
    </row>
    <row r="11" spans="1:8" x14ac:dyDescent="0.25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v>5200</v>
      </c>
      <c r="F11" s="182">
        <f>E11*D11</f>
        <v>5200</v>
      </c>
      <c r="G11" s="183">
        <f t="shared" si="1"/>
        <v>4.427517075386567E-4</v>
      </c>
      <c r="H11" s="183"/>
    </row>
    <row r="12" spans="1:8" x14ac:dyDescent="0.25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82">
        <f>E12*D12</f>
        <v>553366.66666666674</v>
      </c>
      <c r="G12" s="183">
        <f t="shared" ref="G12" si="2">F12/$F$32</f>
        <v>4.7116160877238723E-2</v>
      </c>
      <c r="H12" s="183"/>
    </row>
    <row r="13" spans="1:8" hidden="1" x14ac:dyDescent="0.25">
      <c r="A13" s="28"/>
      <c r="B13" s="14"/>
      <c r="C13" s="181"/>
      <c r="D13" s="159"/>
      <c r="E13" s="182"/>
      <c r="F13" s="182"/>
      <c r="G13" s="183"/>
      <c r="H13" s="183"/>
    </row>
    <row r="14" spans="1:8" hidden="1" x14ac:dyDescent="0.25">
      <c r="A14" s="28"/>
      <c r="B14" s="14"/>
      <c r="C14" s="28"/>
      <c r="D14" s="159"/>
      <c r="E14" s="207"/>
      <c r="F14" s="182"/>
      <c r="G14" s="183"/>
      <c r="H14" s="183"/>
    </row>
    <row r="15" spans="1:8" hidden="1" x14ac:dyDescent="0.25">
      <c r="A15" s="28"/>
      <c r="B15" s="14"/>
      <c r="C15" s="28"/>
      <c r="D15" s="159"/>
      <c r="E15" s="182"/>
      <c r="F15" s="182"/>
      <c r="G15" s="183"/>
      <c r="H15" s="183"/>
    </row>
    <row r="16" spans="1:8" hidden="1" x14ac:dyDescent="0.25">
      <c r="A16" s="28"/>
      <c r="B16" s="14"/>
      <c r="C16" s="28"/>
      <c r="D16" s="50"/>
      <c r="E16" s="170"/>
      <c r="F16" s="67"/>
      <c r="G16" s="68"/>
      <c r="H16" s="68"/>
    </row>
    <row r="17" spans="1:8" hidden="1" x14ac:dyDescent="0.25">
      <c r="A17" s="28"/>
      <c r="B17" s="14"/>
      <c r="C17" s="28"/>
      <c r="D17" s="50"/>
      <c r="E17" s="67"/>
      <c r="F17" s="67"/>
      <c r="G17" s="68"/>
      <c r="H17" s="68"/>
    </row>
    <row r="18" spans="1:8" hidden="1" x14ac:dyDescent="0.25">
      <c r="A18" s="28"/>
      <c r="B18" s="130"/>
      <c r="C18" s="28"/>
      <c r="D18" s="50"/>
      <c r="E18" s="170"/>
      <c r="F18" s="67"/>
      <c r="G18" s="68"/>
      <c r="H18" s="68"/>
    </row>
    <row r="19" spans="1:8" hidden="1" x14ac:dyDescent="0.25">
      <c r="A19" s="28"/>
      <c r="B19" s="14"/>
      <c r="C19" s="28"/>
      <c r="D19" s="50"/>
      <c r="E19" s="67"/>
      <c r="F19" s="67"/>
      <c r="G19" s="68"/>
      <c r="H19" s="68"/>
    </row>
    <row r="20" spans="1:8" hidden="1" x14ac:dyDescent="0.25">
      <c r="A20" s="28"/>
      <c r="B20" s="14"/>
      <c r="C20" s="28"/>
      <c r="D20" s="50"/>
      <c r="E20" s="170"/>
      <c r="F20" s="67"/>
      <c r="G20" s="68"/>
      <c r="H20" s="68"/>
    </row>
    <row r="21" spans="1:8" hidden="1" x14ac:dyDescent="0.25">
      <c r="A21" s="28"/>
      <c r="B21" s="14"/>
      <c r="C21" s="28"/>
      <c r="D21" s="50"/>
      <c r="E21" s="67"/>
      <c r="F21" s="67"/>
      <c r="G21" s="68"/>
      <c r="H21" s="68"/>
    </row>
    <row r="22" spans="1:8" hidden="1" x14ac:dyDescent="0.25">
      <c r="A22" s="28"/>
      <c r="B22" s="14"/>
      <c r="C22" s="28"/>
      <c r="D22" s="50"/>
      <c r="E22" s="170"/>
      <c r="F22" s="67"/>
      <c r="G22" s="68"/>
      <c r="H22" s="68"/>
    </row>
    <row r="23" spans="1:8" hidden="1" x14ac:dyDescent="0.25">
      <c r="A23" s="28"/>
      <c r="B23" s="14"/>
      <c r="C23" s="28"/>
      <c r="D23" s="50"/>
      <c r="E23" s="67"/>
      <c r="F23" s="67"/>
      <c r="G23" s="68"/>
      <c r="H23" s="68"/>
    </row>
    <row r="24" spans="1:8" hidden="1" x14ac:dyDescent="0.25">
      <c r="A24" s="28"/>
      <c r="B24" s="14"/>
      <c r="C24" s="28"/>
      <c r="D24" s="50"/>
      <c r="E24" s="170"/>
      <c r="F24" s="67"/>
      <c r="G24" s="68"/>
      <c r="H24" s="68"/>
    </row>
    <row r="25" spans="1:8" hidden="1" x14ac:dyDescent="0.25">
      <c r="A25" s="28"/>
      <c r="B25" s="14"/>
      <c r="C25" s="28"/>
      <c r="D25" s="50"/>
      <c r="E25" s="67"/>
      <c r="F25" s="67"/>
      <c r="G25" s="68"/>
      <c r="H25" s="68"/>
    </row>
    <row r="26" spans="1:8" hidden="1" x14ac:dyDescent="0.25">
      <c r="A26" s="28"/>
      <c r="B26" s="14"/>
      <c r="C26" s="28"/>
      <c r="D26" s="50"/>
      <c r="E26" s="170"/>
      <c r="F26" s="67"/>
      <c r="G26" s="68"/>
      <c r="H26" s="68"/>
    </row>
    <row r="27" spans="1:8" hidden="1" x14ac:dyDescent="0.25">
      <c r="A27" s="28"/>
      <c r="B27" s="14"/>
      <c r="C27" s="28"/>
      <c r="D27" s="50"/>
      <c r="E27" s="67"/>
      <c r="F27" s="67"/>
      <c r="G27" s="68"/>
      <c r="H27" s="68"/>
    </row>
    <row r="28" spans="1:8" hidden="1" x14ac:dyDescent="0.25">
      <c r="A28" s="28"/>
      <c r="B28" s="14"/>
      <c r="C28" s="28"/>
      <c r="D28" s="50"/>
      <c r="E28" s="170"/>
      <c r="F28" s="67"/>
      <c r="G28" s="68"/>
      <c r="H28" s="68"/>
    </row>
    <row r="29" spans="1:8" hidden="1" x14ac:dyDescent="0.25">
      <c r="A29" s="28"/>
      <c r="B29" s="14"/>
      <c r="C29" s="28"/>
      <c r="D29" s="50"/>
      <c r="E29" s="67"/>
      <c r="F29" s="67"/>
      <c r="G29" s="68"/>
      <c r="H29" s="68"/>
    </row>
    <row r="30" spans="1:8" hidden="1" x14ac:dyDescent="0.25">
      <c r="A30" s="28"/>
      <c r="B30" s="14"/>
      <c r="C30" s="28"/>
      <c r="D30" s="50"/>
      <c r="E30" s="170"/>
      <c r="F30" s="67"/>
      <c r="G30" s="68"/>
      <c r="H30" s="68"/>
    </row>
    <row r="31" spans="1:8" hidden="1" x14ac:dyDescent="0.25">
      <c r="A31" s="28"/>
      <c r="B31" s="14"/>
      <c r="C31" s="28"/>
      <c r="D31" s="50"/>
      <c r="E31" s="67"/>
      <c r="F31" s="67"/>
      <c r="G31" s="68"/>
      <c r="H31" s="68"/>
    </row>
    <row r="32" spans="1:8" ht="13.8" thickBot="1" x14ac:dyDescent="0.3">
      <c r="A32" s="28">
        <v>8</v>
      </c>
      <c r="B32" s="184" t="s">
        <v>0</v>
      </c>
      <c r="C32" s="185"/>
      <c r="D32" s="186">
        <f>SUM(D6:D31)</f>
        <v>30638.250000000004</v>
      </c>
      <c r="E32" s="187">
        <f>F32/D32</f>
        <v>383.33559086000878</v>
      </c>
      <c r="F32" s="188">
        <f>SUM(F6:F31)</f>
        <v>11744731.666666666</v>
      </c>
      <c r="G32" s="189">
        <f>SUM(G6:G31)</f>
        <v>1</v>
      </c>
      <c r="H32" s="47"/>
    </row>
    <row r="33" spans="1:16" ht="13.8" thickTop="1" x14ac:dyDescent="0.25">
      <c r="A33" s="28"/>
      <c r="B33" s="14"/>
      <c r="C33" s="190"/>
      <c r="D33" s="50"/>
    </row>
    <row r="34" spans="1:16" x14ac:dyDescent="0.25">
      <c r="B34" s="190"/>
      <c r="C34" s="50"/>
    </row>
    <row r="35" spans="1:16" x14ac:dyDescent="0.25">
      <c r="B35" s="190"/>
      <c r="C35" s="50"/>
    </row>
    <row r="36" spans="1:16" x14ac:dyDescent="0.25">
      <c r="B36" s="191"/>
      <c r="C36" s="192"/>
    </row>
    <row r="37" spans="1:16" s="13" customFormat="1" x14ac:dyDescent="0.25">
      <c r="A37" s="14"/>
      <c r="B37" s="191"/>
      <c r="C37" s="19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91"/>
      <c r="C38" s="192"/>
    </row>
    <row r="39" spans="1:16" x14ac:dyDescent="0.25">
      <c r="B39" s="190"/>
      <c r="C39" s="50"/>
    </row>
    <row r="40" spans="1:16" x14ac:dyDescent="0.25">
      <c r="B40" s="190"/>
      <c r="C40" s="50"/>
    </row>
    <row r="41" spans="1:16" x14ac:dyDescent="0.25">
      <c r="B41" s="190"/>
      <c r="C41" s="50"/>
    </row>
    <row r="42" spans="1:16" x14ac:dyDescent="0.25">
      <c r="B42" s="190"/>
      <c r="C42" s="50"/>
    </row>
    <row r="43" spans="1:16" x14ac:dyDescent="0.25">
      <c r="B43" s="190"/>
      <c r="C43" s="50"/>
    </row>
    <row r="44" spans="1:16" x14ac:dyDescent="0.25">
      <c r="B44" s="190"/>
      <c r="C44" s="50"/>
    </row>
    <row r="45" spans="1:16" x14ac:dyDescent="0.25">
      <c r="B45" s="190"/>
      <c r="C45" s="50"/>
    </row>
    <row r="46" spans="1:16" x14ac:dyDescent="0.25">
      <c r="B46" s="190"/>
      <c r="C46" s="50"/>
    </row>
    <row r="47" spans="1:16" x14ac:dyDescent="0.25">
      <c r="B47" s="190"/>
      <c r="C47" s="50"/>
    </row>
    <row r="48" spans="1:16" x14ac:dyDescent="0.25">
      <c r="B48" s="190"/>
      <c r="C48" s="50"/>
    </row>
    <row r="49" spans="2:3" x14ac:dyDescent="0.25">
      <c r="B49" s="190"/>
      <c r="C49" s="50"/>
    </row>
    <row r="50" spans="2:3" x14ac:dyDescent="0.25">
      <c r="B50" s="190"/>
      <c r="C50" s="50"/>
    </row>
    <row r="51" spans="2:3" x14ac:dyDescent="0.25">
      <c r="B51" s="190"/>
      <c r="C51" s="50"/>
    </row>
    <row r="52" spans="2:3" x14ac:dyDescent="0.25">
      <c r="B52" s="190"/>
      <c r="C52" s="50"/>
    </row>
    <row r="53" spans="2:3" x14ac:dyDescent="0.25">
      <c r="B53" s="190"/>
      <c r="C53" s="50"/>
    </row>
    <row r="54" spans="2:3" x14ac:dyDescent="0.25">
      <c r="B54" s="190"/>
      <c r="C54" s="50"/>
    </row>
    <row r="55" spans="2:3" x14ac:dyDescent="0.25">
      <c r="B55" s="190"/>
      <c r="C55" s="50"/>
    </row>
    <row r="56" spans="2:3" x14ac:dyDescent="0.25">
      <c r="B56" s="190"/>
      <c r="C56" s="50"/>
    </row>
    <row r="57" spans="2:3" x14ac:dyDescent="0.25">
      <c r="B57" s="190"/>
      <c r="C57" s="50"/>
    </row>
    <row r="58" spans="2:3" x14ac:dyDescent="0.25">
      <c r="B58" s="190"/>
      <c r="C58" s="50"/>
    </row>
    <row r="59" spans="2:3" x14ac:dyDescent="0.25">
      <c r="B59" s="190"/>
      <c r="C59" s="50"/>
    </row>
    <row r="60" spans="2:3" x14ac:dyDescent="0.25">
      <c r="B60" s="190"/>
      <c r="C60" s="50"/>
    </row>
    <row r="61" spans="2:3" x14ac:dyDescent="0.25">
      <c r="B61" s="190"/>
      <c r="C61" s="50"/>
    </row>
    <row r="62" spans="2:3" x14ac:dyDescent="0.25">
      <c r="B62" s="190"/>
      <c r="C62" s="50"/>
    </row>
    <row r="63" spans="2:3" x14ac:dyDescent="0.25">
      <c r="B63" s="190"/>
      <c r="C63" s="50"/>
    </row>
    <row r="64" spans="2:3" x14ac:dyDescent="0.25">
      <c r="B64" s="190"/>
      <c r="C64" s="50"/>
    </row>
    <row r="65" spans="2:3" x14ac:dyDescent="0.25">
      <c r="B65" s="190"/>
      <c r="C65" s="50"/>
    </row>
    <row r="66" spans="2:3" x14ac:dyDescent="0.25">
      <c r="B66" s="190"/>
      <c r="C66" s="50"/>
    </row>
    <row r="67" spans="2:3" x14ac:dyDescent="0.25">
      <c r="B67" s="190"/>
      <c r="C67" s="50"/>
    </row>
    <row r="68" spans="2:3" x14ac:dyDescent="0.25">
      <c r="B68" s="190"/>
      <c r="C68" s="50"/>
    </row>
    <row r="69" spans="2:3" x14ac:dyDescent="0.25">
      <c r="B69" s="190"/>
      <c r="C69" s="50"/>
    </row>
    <row r="70" spans="2:3" x14ac:dyDescent="0.25">
      <c r="B70" s="190"/>
      <c r="C70" s="50"/>
    </row>
    <row r="71" spans="2:3" x14ac:dyDescent="0.25">
      <c r="B71" s="190"/>
      <c r="C71" s="50"/>
    </row>
    <row r="72" spans="2:3" x14ac:dyDescent="0.25">
      <c r="B72" s="190"/>
      <c r="C72" s="50"/>
    </row>
    <row r="73" spans="2:3" x14ac:dyDescent="0.25">
      <c r="B73" s="190"/>
      <c r="C73" s="50"/>
    </row>
    <row r="74" spans="2:3" x14ac:dyDescent="0.25">
      <c r="B74" s="190"/>
      <c r="C74" s="50"/>
    </row>
    <row r="75" spans="2:3" x14ac:dyDescent="0.25">
      <c r="B75" s="190"/>
      <c r="C75" s="50"/>
    </row>
    <row r="76" spans="2:3" x14ac:dyDescent="0.25">
      <c r="B76" s="190"/>
      <c r="C76" s="50"/>
    </row>
    <row r="77" spans="2:3" x14ac:dyDescent="0.25">
      <c r="B77" s="190"/>
      <c r="C77" s="50"/>
    </row>
    <row r="78" spans="2:3" x14ac:dyDescent="0.25">
      <c r="B78" s="190"/>
      <c r="C78" s="50"/>
    </row>
    <row r="79" spans="2:3" x14ac:dyDescent="0.25">
      <c r="B79" s="190"/>
      <c r="C79" s="50"/>
    </row>
    <row r="80" spans="2:3" x14ac:dyDescent="0.25">
      <c r="B80" s="190"/>
      <c r="C80" s="50"/>
    </row>
    <row r="81" spans="2:3" x14ac:dyDescent="0.25">
      <c r="B81" s="190"/>
      <c r="C81" s="50"/>
    </row>
    <row r="82" spans="2:3" x14ac:dyDescent="0.25">
      <c r="B82" s="190"/>
      <c r="C82" s="50"/>
    </row>
    <row r="83" spans="2:3" x14ac:dyDescent="0.25">
      <c r="B83" s="190"/>
      <c r="C83" s="50"/>
    </row>
    <row r="84" spans="2:3" x14ac:dyDescent="0.25">
      <c r="B84" s="190"/>
      <c r="C84" s="50"/>
    </row>
    <row r="85" spans="2:3" x14ac:dyDescent="0.25">
      <c r="B85" s="190"/>
      <c r="C85" s="50"/>
    </row>
    <row r="86" spans="2:3" x14ac:dyDescent="0.25">
      <c r="B86" s="190"/>
      <c r="C86" s="50"/>
    </row>
    <row r="87" spans="2:3" x14ac:dyDescent="0.25">
      <c r="B87" s="193"/>
    </row>
    <row r="88" spans="2:3" x14ac:dyDescent="0.25">
      <c r="B88" s="193"/>
    </row>
    <row r="89" spans="2:3" x14ac:dyDescent="0.25">
      <c r="B89" s="193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E11" sqref="E11"/>
    </sheetView>
  </sheetViews>
  <sheetFormatPr defaultColWidth="9.109375" defaultRowHeight="13.2" x14ac:dyDescent="0.25"/>
  <cols>
    <col min="1" max="1" width="6.6640625" style="14" customWidth="1"/>
    <col min="2" max="2" width="45.88671875" style="28" bestFit="1" customWidth="1"/>
    <col min="3" max="3" width="8.44140625" style="27" customWidth="1"/>
    <col min="4" max="4" width="13.33203125" style="27" customWidth="1"/>
    <col min="5" max="5" width="12.88671875" style="27" customWidth="1"/>
    <col min="6" max="6" width="15.44140625" style="27" customWidth="1"/>
    <col min="7" max="7" width="11.88671875" style="14" customWidth="1"/>
    <col min="8" max="8" width="15.44140625" style="14" customWidth="1"/>
    <col min="9" max="9" width="15" style="14" customWidth="1"/>
    <col min="10" max="16384" width="9.109375" style="14"/>
  </cols>
  <sheetData>
    <row r="1" spans="1:7" x14ac:dyDescent="0.25">
      <c r="A1" s="13" t="s">
        <v>1016</v>
      </c>
    </row>
    <row r="2" spans="1:7" x14ac:dyDescent="0.25">
      <c r="A2" s="13" t="s">
        <v>699</v>
      </c>
    </row>
    <row r="4" spans="1:7" ht="45.75" customHeight="1" thickBot="1" x14ac:dyDescent="0.3">
      <c r="A4" s="63" t="s">
        <v>952</v>
      </c>
      <c r="B4" s="88" t="s">
        <v>752</v>
      </c>
      <c r="C4" s="180" t="s">
        <v>759</v>
      </c>
      <c r="D4" s="82" t="s">
        <v>875</v>
      </c>
      <c r="E4" s="82" t="s">
        <v>874</v>
      </c>
      <c r="F4" s="82" t="s">
        <v>862</v>
      </c>
      <c r="G4" s="82" t="s">
        <v>753</v>
      </c>
    </row>
    <row r="5" spans="1:7" x14ac:dyDescent="0.25">
      <c r="A5" s="28"/>
      <c r="B5" s="13"/>
      <c r="C5" s="58"/>
      <c r="G5" s="27"/>
    </row>
    <row r="6" spans="1:7" x14ac:dyDescent="0.25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59">
        <f>E6*D6</f>
        <v>6131166.666666667</v>
      </c>
      <c r="G6" s="183">
        <f>F6/F$33</f>
        <v>0.52203548285976176</v>
      </c>
    </row>
    <row r="7" spans="1:7" x14ac:dyDescent="0.25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59">
        <f t="shared" ref="F7:F12" si="0">E7*D7</f>
        <v>2664291.666666667</v>
      </c>
      <c r="G7" s="183">
        <f t="shared" ref="G7:G33" si="1">F7/F$33</f>
        <v>0.22684993938416931</v>
      </c>
    </row>
    <row r="8" spans="1:7" x14ac:dyDescent="0.25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59">
        <f t="shared" si="0"/>
        <v>710240</v>
      </c>
      <c r="G8" s="183">
        <f t="shared" si="1"/>
        <v>6.0473071685049146E-2</v>
      </c>
    </row>
    <row r="9" spans="1:7" x14ac:dyDescent="0.25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59">
        <f t="shared" si="0"/>
        <v>1680466.6666666667</v>
      </c>
      <c r="G9" s="183">
        <f t="shared" si="1"/>
        <v>0.14308259348624258</v>
      </c>
    </row>
    <row r="10" spans="1:7" x14ac:dyDescent="0.25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59">
        <f t="shared" si="0"/>
        <v>0</v>
      </c>
      <c r="G10" s="183">
        <f t="shared" si="1"/>
        <v>0</v>
      </c>
    </row>
    <row r="11" spans="1:7" x14ac:dyDescent="0.25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f>E9*2</f>
        <v>5200</v>
      </c>
      <c r="F11" s="159">
        <f t="shared" si="0"/>
        <v>5200</v>
      </c>
      <c r="G11" s="183">
        <f t="shared" si="1"/>
        <v>4.427517075386567E-4</v>
      </c>
    </row>
    <row r="12" spans="1:7" x14ac:dyDescent="0.25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59">
        <f t="shared" si="0"/>
        <v>553366.66666666674</v>
      </c>
      <c r="G12" s="183">
        <f t="shared" si="1"/>
        <v>4.7116160877238723E-2</v>
      </c>
    </row>
    <row r="13" spans="1:7" hidden="1" x14ac:dyDescent="0.25">
      <c r="A13" s="28"/>
      <c r="B13" s="14"/>
      <c r="C13" s="181"/>
      <c r="D13" s="159"/>
      <c r="E13" s="182"/>
      <c r="F13" s="182"/>
      <c r="G13" s="183">
        <f t="shared" si="1"/>
        <v>0</v>
      </c>
    </row>
    <row r="14" spans="1:7" hidden="1" x14ac:dyDescent="0.25">
      <c r="A14" s="28"/>
      <c r="B14" s="14"/>
      <c r="C14" s="181"/>
      <c r="D14" s="159"/>
      <c r="E14" s="182"/>
      <c r="F14" s="182"/>
      <c r="G14" s="183">
        <f t="shared" si="1"/>
        <v>0</v>
      </c>
    </row>
    <row r="15" spans="1:7" hidden="1" x14ac:dyDescent="0.25">
      <c r="A15" s="28"/>
      <c r="B15" s="14"/>
      <c r="C15" s="181"/>
      <c r="D15" s="159"/>
      <c r="E15" s="182"/>
      <c r="F15" s="182"/>
      <c r="G15" s="183">
        <f t="shared" si="1"/>
        <v>0</v>
      </c>
    </row>
    <row r="16" spans="1:7" hidden="1" x14ac:dyDescent="0.25">
      <c r="A16" s="28"/>
      <c r="B16" s="14"/>
      <c r="C16" s="28"/>
      <c r="D16" s="159"/>
      <c r="E16" s="182"/>
      <c r="F16" s="182"/>
      <c r="G16" s="183">
        <f t="shared" si="1"/>
        <v>0</v>
      </c>
    </row>
    <row r="17" spans="1:7" hidden="1" x14ac:dyDescent="0.25">
      <c r="A17" s="28"/>
      <c r="B17" s="14"/>
      <c r="C17" s="28"/>
      <c r="D17" s="159"/>
      <c r="E17" s="182"/>
      <c r="F17" s="182"/>
      <c r="G17" s="183">
        <f t="shared" si="1"/>
        <v>0</v>
      </c>
    </row>
    <row r="18" spans="1:7" hidden="1" x14ac:dyDescent="0.25">
      <c r="A18" s="28"/>
      <c r="B18" s="130"/>
      <c r="C18" s="28"/>
      <c r="D18" s="159"/>
      <c r="E18" s="182"/>
      <c r="F18" s="182"/>
      <c r="G18" s="183">
        <f t="shared" si="1"/>
        <v>0</v>
      </c>
    </row>
    <row r="19" spans="1:7" hidden="1" x14ac:dyDescent="0.25">
      <c r="A19" s="28"/>
      <c r="B19" s="14"/>
      <c r="C19" s="28"/>
      <c r="D19" s="159"/>
      <c r="E19" s="182"/>
      <c r="F19" s="182"/>
      <c r="G19" s="183">
        <f t="shared" si="1"/>
        <v>0</v>
      </c>
    </row>
    <row r="20" spans="1:7" hidden="1" x14ac:dyDescent="0.25">
      <c r="A20" s="28"/>
      <c r="B20" s="14"/>
      <c r="C20" s="28"/>
      <c r="D20" s="159"/>
      <c r="E20" s="182"/>
      <c r="F20" s="182"/>
      <c r="G20" s="183">
        <f t="shared" si="1"/>
        <v>0</v>
      </c>
    </row>
    <row r="21" spans="1:7" hidden="1" x14ac:dyDescent="0.25">
      <c r="A21" s="28"/>
      <c r="B21" s="14"/>
      <c r="C21" s="28"/>
      <c r="D21" s="159"/>
      <c r="E21" s="182"/>
      <c r="F21" s="182"/>
      <c r="G21" s="183">
        <f t="shared" si="1"/>
        <v>0</v>
      </c>
    </row>
    <row r="22" spans="1:7" hidden="1" x14ac:dyDescent="0.25">
      <c r="A22" s="28"/>
      <c r="B22" s="14"/>
      <c r="C22" s="28"/>
      <c r="D22" s="159"/>
      <c r="E22" s="182"/>
      <c r="F22" s="182"/>
      <c r="G22" s="183">
        <f t="shared" si="1"/>
        <v>0</v>
      </c>
    </row>
    <row r="23" spans="1:7" hidden="1" x14ac:dyDescent="0.25">
      <c r="A23" s="28"/>
      <c r="B23" s="14"/>
      <c r="C23" s="28"/>
      <c r="D23" s="159"/>
      <c r="E23" s="182"/>
      <c r="F23" s="182"/>
      <c r="G23" s="183">
        <f t="shared" si="1"/>
        <v>0</v>
      </c>
    </row>
    <row r="24" spans="1:7" hidden="1" x14ac:dyDescent="0.25">
      <c r="A24" s="28"/>
      <c r="B24" s="14"/>
      <c r="C24" s="28"/>
      <c r="D24" s="159"/>
      <c r="E24" s="182"/>
      <c r="F24" s="182"/>
      <c r="G24" s="183">
        <f t="shared" si="1"/>
        <v>0</v>
      </c>
    </row>
    <row r="25" spans="1:7" hidden="1" x14ac:dyDescent="0.25">
      <c r="A25" s="28"/>
      <c r="B25" s="14"/>
      <c r="C25" s="28"/>
      <c r="D25" s="159"/>
      <c r="E25" s="182"/>
      <c r="F25" s="182"/>
      <c r="G25" s="183">
        <f t="shared" si="1"/>
        <v>0</v>
      </c>
    </row>
    <row r="26" spans="1:7" hidden="1" x14ac:dyDescent="0.25">
      <c r="A26" s="28"/>
      <c r="B26" s="14"/>
      <c r="C26" s="28"/>
      <c r="D26" s="159"/>
      <c r="E26" s="182"/>
      <c r="F26" s="182"/>
      <c r="G26" s="183">
        <f t="shared" si="1"/>
        <v>0</v>
      </c>
    </row>
    <row r="27" spans="1:7" hidden="1" x14ac:dyDescent="0.25">
      <c r="A27" s="28"/>
      <c r="B27" s="14"/>
      <c r="C27" s="28"/>
      <c r="D27" s="159"/>
      <c r="E27" s="182"/>
      <c r="F27" s="182"/>
      <c r="G27" s="183">
        <f t="shared" si="1"/>
        <v>0</v>
      </c>
    </row>
    <row r="28" spans="1:7" hidden="1" x14ac:dyDescent="0.25">
      <c r="A28" s="28"/>
      <c r="B28" s="14"/>
      <c r="C28" s="28"/>
      <c r="D28" s="159"/>
      <c r="E28" s="182"/>
      <c r="F28" s="182"/>
      <c r="G28" s="183">
        <f t="shared" si="1"/>
        <v>0</v>
      </c>
    </row>
    <row r="29" spans="1:7" hidden="1" x14ac:dyDescent="0.25">
      <c r="A29" s="28"/>
      <c r="B29" s="14"/>
      <c r="C29" s="28"/>
      <c r="D29" s="159"/>
      <c r="E29" s="182"/>
      <c r="F29" s="182"/>
      <c r="G29" s="183">
        <f t="shared" si="1"/>
        <v>0</v>
      </c>
    </row>
    <row r="30" spans="1:7" hidden="1" x14ac:dyDescent="0.25">
      <c r="A30" s="28"/>
      <c r="B30" s="14"/>
      <c r="C30" s="28"/>
      <c r="D30" s="159"/>
      <c r="E30" s="182"/>
      <c r="F30" s="182"/>
      <c r="G30" s="183">
        <f t="shared" si="1"/>
        <v>0</v>
      </c>
    </row>
    <row r="31" spans="1:7" hidden="1" x14ac:dyDescent="0.25">
      <c r="A31" s="28"/>
      <c r="B31" s="14"/>
      <c r="C31" s="28"/>
      <c r="D31" s="159"/>
      <c r="E31" s="182"/>
      <c r="F31" s="182"/>
      <c r="G31" s="183">
        <f t="shared" si="1"/>
        <v>0</v>
      </c>
    </row>
    <row r="32" spans="1:7" hidden="1" x14ac:dyDescent="0.25">
      <c r="A32" s="28"/>
      <c r="B32" s="14"/>
      <c r="C32" s="28"/>
      <c r="D32" s="159"/>
      <c r="E32" s="182"/>
      <c r="F32" s="182"/>
      <c r="G32" s="183">
        <f t="shared" si="1"/>
        <v>0</v>
      </c>
    </row>
    <row r="33" spans="1:7" ht="13.8" thickBot="1" x14ac:dyDescent="0.3">
      <c r="A33" s="28">
        <v>8</v>
      </c>
      <c r="B33" s="184" t="s">
        <v>0</v>
      </c>
      <c r="C33" s="185"/>
      <c r="D33" s="194">
        <f>SUM(D6:D32)</f>
        <v>30638.250000000004</v>
      </c>
      <c r="E33" s="195">
        <f>F33/D33</f>
        <v>383.33559086000878</v>
      </c>
      <c r="F33" s="196">
        <f>SUM(F6:F32)</f>
        <v>11744731.666666666</v>
      </c>
      <c r="G33" s="231">
        <f t="shared" si="1"/>
        <v>1</v>
      </c>
    </row>
    <row r="34" spans="1:7" ht="13.8" thickTop="1" x14ac:dyDescent="0.25">
      <c r="B34" s="191"/>
      <c r="C34" s="197"/>
    </row>
    <row r="35" spans="1:7" x14ac:dyDescent="0.25">
      <c r="B35" s="191"/>
      <c r="C35" s="197"/>
    </row>
    <row r="36" spans="1:7" x14ac:dyDescent="0.25">
      <c r="B36" s="191"/>
      <c r="C36" s="197"/>
    </row>
    <row r="37" spans="1:7" x14ac:dyDescent="0.25">
      <c r="B37" s="191"/>
      <c r="C37" s="197"/>
    </row>
    <row r="38" spans="1:7" x14ac:dyDescent="0.25">
      <c r="B38" s="191"/>
      <c r="C38" s="197"/>
    </row>
    <row r="39" spans="1:7" x14ac:dyDescent="0.25">
      <c r="B39" s="191"/>
      <c r="C39" s="197"/>
    </row>
    <row r="40" spans="1:7" x14ac:dyDescent="0.25">
      <c r="B40" s="191"/>
      <c r="C40" s="197"/>
    </row>
    <row r="41" spans="1:7" x14ac:dyDescent="0.25">
      <c r="B41" s="191"/>
      <c r="C41" s="197"/>
    </row>
    <row r="42" spans="1:7" x14ac:dyDescent="0.25">
      <c r="B42" s="191"/>
      <c r="C42" s="197"/>
    </row>
    <row r="43" spans="1:7" x14ac:dyDescent="0.25">
      <c r="B43" s="191"/>
      <c r="C43" s="197"/>
    </row>
    <row r="44" spans="1:7" x14ac:dyDescent="0.25">
      <c r="B44" s="191"/>
      <c r="C44" s="197"/>
    </row>
    <row r="45" spans="1:7" x14ac:dyDescent="0.25">
      <c r="B45" s="191"/>
      <c r="C45" s="197"/>
    </row>
    <row r="46" spans="1:7" x14ac:dyDescent="0.25">
      <c r="B46" s="191"/>
      <c r="C46" s="197"/>
    </row>
    <row r="47" spans="1:7" x14ac:dyDescent="0.25">
      <c r="B47" s="191"/>
      <c r="C47" s="197"/>
    </row>
    <row r="48" spans="1:7" x14ac:dyDescent="0.25">
      <c r="B48" s="191"/>
      <c r="C48" s="197"/>
    </row>
    <row r="49" spans="2:3" x14ac:dyDescent="0.25">
      <c r="B49" s="191"/>
      <c r="C49" s="197"/>
    </row>
    <row r="50" spans="2:3" x14ac:dyDescent="0.25">
      <c r="B50" s="191"/>
      <c r="C50" s="197"/>
    </row>
    <row r="51" spans="2:3" x14ac:dyDescent="0.25">
      <c r="B51" s="191"/>
      <c r="C51" s="197"/>
    </row>
    <row r="52" spans="2:3" x14ac:dyDescent="0.25">
      <c r="B52" s="191"/>
      <c r="C52" s="197"/>
    </row>
    <row r="53" spans="2:3" x14ac:dyDescent="0.25">
      <c r="B53" s="191"/>
      <c r="C53" s="197"/>
    </row>
    <row r="54" spans="2:3" x14ac:dyDescent="0.25">
      <c r="B54" s="191"/>
      <c r="C54" s="197"/>
    </row>
    <row r="55" spans="2:3" x14ac:dyDescent="0.25">
      <c r="B55" s="191"/>
      <c r="C55" s="197"/>
    </row>
    <row r="56" spans="2:3" x14ac:dyDescent="0.25">
      <c r="B56" s="191"/>
      <c r="C56" s="197"/>
    </row>
    <row r="57" spans="2:3" x14ac:dyDescent="0.25">
      <c r="B57" s="191"/>
      <c r="C57" s="197"/>
    </row>
    <row r="58" spans="2:3" x14ac:dyDescent="0.25">
      <c r="B58" s="191"/>
      <c r="C58" s="197"/>
    </row>
    <row r="59" spans="2:3" x14ac:dyDescent="0.25">
      <c r="B59" s="191"/>
      <c r="C59" s="197"/>
    </row>
    <row r="60" spans="2:3" x14ac:dyDescent="0.25">
      <c r="B60" s="191"/>
      <c r="C60" s="197"/>
    </row>
    <row r="61" spans="2:3" x14ac:dyDescent="0.25">
      <c r="B61" s="191"/>
      <c r="C61" s="197"/>
    </row>
    <row r="62" spans="2:3" x14ac:dyDescent="0.25">
      <c r="B62" s="191"/>
      <c r="C62" s="197"/>
    </row>
    <row r="63" spans="2:3" x14ac:dyDescent="0.25">
      <c r="B63" s="191"/>
      <c r="C63" s="197"/>
    </row>
    <row r="64" spans="2:3" x14ac:dyDescent="0.25">
      <c r="B64" s="191"/>
      <c r="C64" s="197"/>
    </row>
    <row r="65" spans="2:3" x14ac:dyDescent="0.25">
      <c r="B65" s="191"/>
      <c r="C65" s="197"/>
    </row>
    <row r="66" spans="2:3" x14ac:dyDescent="0.25">
      <c r="B66" s="191"/>
      <c r="C66" s="197"/>
    </row>
    <row r="67" spans="2:3" x14ac:dyDescent="0.25">
      <c r="B67" s="191"/>
      <c r="C67" s="197"/>
    </row>
    <row r="68" spans="2:3" x14ac:dyDescent="0.25">
      <c r="B68" s="191"/>
      <c r="C68" s="197"/>
    </row>
    <row r="69" spans="2:3" x14ac:dyDescent="0.25">
      <c r="B69" s="191"/>
      <c r="C69" s="197"/>
    </row>
    <row r="70" spans="2:3" x14ac:dyDescent="0.25">
      <c r="B70" s="191"/>
      <c r="C70" s="197"/>
    </row>
    <row r="71" spans="2:3" x14ac:dyDescent="0.25">
      <c r="B71" s="191"/>
      <c r="C71" s="197"/>
    </row>
    <row r="72" spans="2:3" x14ac:dyDescent="0.25">
      <c r="B72" s="191"/>
      <c r="C72" s="197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3.8" x14ac:dyDescent="0.25"/>
  <cols>
    <col min="1" max="1" width="22" bestFit="1" customWidth="1"/>
    <col min="3" max="3" width="7" bestFit="1" customWidth="1"/>
    <col min="4" max="4" width="10.44140625" bestFit="1" customWidth="1"/>
    <col min="5" max="5" width="12" bestFit="1" customWidth="1"/>
    <col min="6" max="6" width="13.6640625" bestFit="1" customWidth="1"/>
    <col min="7" max="7" width="17.5546875" bestFit="1" customWidth="1"/>
    <col min="8" max="8" width="12.88671875" customWidth="1"/>
    <col min="9" max="9" width="14" bestFit="1" customWidth="1"/>
    <col min="10" max="10" width="22.88671875" bestFit="1" customWidth="1"/>
    <col min="11" max="11" width="15.109375" bestFit="1" customWidth="1"/>
    <col min="12" max="12" width="19.33203125" bestFit="1" customWidth="1"/>
    <col min="13" max="13" width="13.6640625" bestFit="1" customWidth="1"/>
    <col min="14" max="14" width="12" bestFit="1" customWidth="1"/>
    <col min="15" max="15" width="13.6640625" bestFit="1" customWidth="1"/>
    <col min="16" max="16" width="14.109375" bestFit="1" customWidth="1"/>
    <col min="17" max="17" width="13.88671875" customWidth="1"/>
    <col min="18" max="18" width="16.33203125" bestFit="1" customWidth="1"/>
    <col min="19" max="19" width="13.6640625" bestFit="1" customWidth="1"/>
    <col min="20" max="20" width="6.6640625" bestFit="1" customWidth="1"/>
  </cols>
  <sheetData>
    <row r="1" spans="1:38" x14ac:dyDescent="0.25">
      <c r="A1" s="1"/>
      <c r="B1" s="1"/>
      <c r="C1" s="1"/>
      <c r="D1" s="1"/>
    </row>
    <row r="2" spans="1:38" ht="55.2" x14ac:dyDescent="0.25">
      <c r="A2" s="2"/>
      <c r="B2" s="2"/>
      <c r="C2" s="5"/>
      <c r="D2" s="6" t="s">
        <v>207</v>
      </c>
      <c r="E2" s="5" t="s">
        <v>0</v>
      </c>
      <c r="F2" s="10" t="s">
        <v>714</v>
      </c>
      <c r="G2" s="10" t="s">
        <v>721</v>
      </c>
      <c r="H2" s="10" t="s">
        <v>725</v>
      </c>
      <c r="I2" s="10" t="s">
        <v>726</v>
      </c>
      <c r="J2" s="10" t="s">
        <v>727</v>
      </c>
      <c r="K2" s="10" t="s">
        <v>728</v>
      </c>
      <c r="L2" s="10" t="s">
        <v>729</v>
      </c>
      <c r="M2" s="10" t="s">
        <v>730</v>
      </c>
      <c r="N2" s="10" t="s">
        <v>717</v>
      </c>
      <c r="O2" s="10" t="s">
        <v>718</v>
      </c>
      <c r="P2" s="10" t="s">
        <v>719</v>
      </c>
      <c r="Q2" s="10" t="s">
        <v>720</v>
      </c>
      <c r="R2" s="10" t="s">
        <v>731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724</v>
      </c>
      <c r="G3" s="9" t="s">
        <v>736</v>
      </c>
      <c r="H3" s="9" t="s">
        <v>735</v>
      </c>
      <c r="I3" s="9" t="s">
        <v>733</v>
      </c>
      <c r="J3" s="9" t="s">
        <v>734</v>
      </c>
      <c r="K3" s="9" t="s">
        <v>715</v>
      </c>
      <c r="L3" s="9" t="s">
        <v>702</v>
      </c>
      <c r="M3" s="9" t="s">
        <v>737</v>
      </c>
      <c r="N3" s="9" t="s">
        <v>738</v>
      </c>
      <c r="O3" s="9" t="s">
        <v>739</v>
      </c>
      <c r="P3" s="9" t="s">
        <v>740</v>
      </c>
      <c r="Q3" s="9" t="s">
        <v>741</v>
      </c>
      <c r="R3" s="9" t="s">
        <v>732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742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743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744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3"/>
  <sheetViews>
    <sheetView view="pageBreakPreview" topLeftCell="A145" zoomScale="75" zoomScaleNormal="100" zoomScaleSheetLayoutView="75" workbookViewId="0">
      <selection activeCell="O168" sqref="O168"/>
    </sheetView>
  </sheetViews>
  <sheetFormatPr defaultColWidth="9.109375" defaultRowHeight="13.2" x14ac:dyDescent="0.25"/>
  <cols>
    <col min="1" max="1" width="3.109375" style="14" customWidth="1"/>
    <col min="2" max="2" width="33.6640625" style="14" customWidth="1"/>
    <col min="3" max="3" width="10.44140625" style="14" bestFit="1" customWidth="1"/>
    <col min="4" max="4" width="16.88671875" style="14" bestFit="1" customWidth="1"/>
    <col min="5" max="5" width="12.6640625" style="14" bestFit="1" customWidth="1"/>
    <col min="6" max="6" width="11.5546875" style="14" bestFit="1" customWidth="1"/>
    <col min="7" max="7" width="3.6640625" style="14" customWidth="1"/>
    <col min="8" max="8" width="12" style="14" bestFit="1" customWidth="1"/>
    <col min="9" max="9" width="14" style="14" bestFit="1" customWidth="1"/>
    <col min="10" max="10" width="11.33203125" style="14" customWidth="1"/>
    <col min="11" max="11" width="2.33203125" style="14" customWidth="1"/>
    <col min="12" max="12" width="6.33203125" style="28" customWidth="1"/>
    <col min="13" max="13" width="8.6640625" style="14" bestFit="1" customWidth="1"/>
    <col min="14" max="16384" width="9.109375" style="14"/>
  </cols>
  <sheetData>
    <row r="1" spans="1:13" x14ac:dyDescent="0.25">
      <c r="A1" s="13" t="s">
        <v>1016</v>
      </c>
    </row>
    <row r="2" spans="1:13" x14ac:dyDescent="0.25">
      <c r="A2" s="13" t="s">
        <v>1002</v>
      </c>
    </row>
    <row r="4" spans="1:13" x14ac:dyDescent="0.25">
      <c r="A4" s="13" t="s">
        <v>990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5">
      <c r="F5" s="58" t="s">
        <v>965</v>
      </c>
      <c r="I5" s="58" t="s">
        <v>966</v>
      </c>
    </row>
    <row r="6" spans="1:13" x14ac:dyDescent="0.25">
      <c r="C6" s="16"/>
      <c r="D6" s="58"/>
      <c r="E6" s="17"/>
      <c r="F6" s="58" t="s">
        <v>967</v>
      </c>
      <c r="H6" s="58"/>
      <c r="I6" s="58"/>
      <c r="J6" s="58"/>
      <c r="K6" s="58"/>
    </row>
    <row r="7" spans="1:13" x14ac:dyDescent="0.25">
      <c r="B7" s="18" t="s">
        <v>6</v>
      </c>
      <c r="C7" s="19" t="s">
        <v>968</v>
      </c>
      <c r="D7" s="161" t="s">
        <v>969</v>
      </c>
      <c r="E7" s="20" t="s">
        <v>970</v>
      </c>
      <c r="F7" s="161" t="s">
        <v>971</v>
      </c>
      <c r="H7" s="21" t="s">
        <v>972</v>
      </c>
      <c r="I7" s="21" t="s">
        <v>973</v>
      </c>
      <c r="J7" s="21" t="s">
        <v>974</v>
      </c>
      <c r="K7" s="22"/>
    </row>
    <row r="8" spans="1:13" x14ac:dyDescent="0.25">
      <c r="B8" s="14" t="s">
        <v>1042</v>
      </c>
      <c r="C8" s="24">
        <v>133.07</v>
      </c>
      <c r="D8" s="41">
        <v>8609.2900000000009</v>
      </c>
      <c r="E8" s="23">
        <v>72497</v>
      </c>
      <c r="F8" s="24">
        <f t="shared" ref="F8:F40" si="0">D8/E8</f>
        <v>0.11875374153413246</v>
      </c>
      <c r="G8" s="35"/>
      <c r="H8" s="24">
        <f t="shared" ref="H8:H40" si="1">F8*E8^0.5</f>
        <v>31.97476191392817</v>
      </c>
      <c r="I8" s="24">
        <f t="shared" ref="I8:I40" si="2">E8^0.5</f>
        <v>269.25266943894911</v>
      </c>
      <c r="J8" s="24">
        <f t="shared" ref="J8:J40" si="3">C8*E8^0.5</f>
        <v>35829.45272224096</v>
      </c>
      <c r="K8" s="24"/>
    </row>
    <row r="9" spans="1:13" x14ac:dyDescent="0.25">
      <c r="B9" s="14" t="s">
        <v>1045</v>
      </c>
      <c r="C9" s="24">
        <v>41.74</v>
      </c>
      <c r="D9" s="24">
        <v>428726.24</v>
      </c>
      <c r="E9" s="23">
        <v>3093766</v>
      </c>
      <c r="F9" s="24">
        <f t="shared" ref="F9:F17" si="4">D9/E9</f>
        <v>0.13857746190241924</v>
      </c>
      <c r="G9" s="35"/>
      <c r="H9" s="24">
        <f t="shared" ref="H9:H29" si="5">F9*E9^0.5</f>
        <v>243.74534701234285</v>
      </c>
      <c r="I9" s="24">
        <f t="shared" ref="I9:I29" si="6">E9^0.5</f>
        <v>1758.9104582098544</v>
      </c>
      <c r="J9" s="24">
        <f t="shared" ref="J9:J29" si="7">C9*E9^0.5</f>
        <v>73416.922525679329</v>
      </c>
      <c r="K9" s="24"/>
    </row>
    <row r="10" spans="1:13" x14ac:dyDescent="0.25">
      <c r="B10" s="14" t="s">
        <v>1043</v>
      </c>
      <c r="C10" s="24">
        <v>66.37</v>
      </c>
      <c r="D10" s="24">
        <v>5476410.5599999996</v>
      </c>
      <c r="E10" s="23">
        <v>10673477</v>
      </c>
      <c r="F10" s="24">
        <f t="shared" si="4"/>
        <v>0.51308590068634607</v>
      </c>
      <c r="G10" s="35"/>
      <c r="H10" s="24">
        <f t="shared" si="5"/>
        <v>1676.2664002794475</v>
      </c>
      <c r="I10" s="24">
        <f t="shared" si="6"/>
        <v>3267.0287724475279</v>
      </c>
      <c r="J10" s="24">
        <f t="shared" si="7"/>
        <v>216832.69962734243</v>
      </c>
      <c r="K10" s="24"/>
    </row>
    <row r="11" spans="1:13" x14ac:dyDescent="0.25">
      <c r="B11" s="14" t="s">
        <v>1044</v>
      </c>
      <c r="C11" s="24">
        <v>105.53</v>
      </c>
      <c r="D11" s="24">
        <v>1311076.1100000001</v>
      </c>
      <c r="E11" s="23">
        <v>3962526</v>
      </c>
      <c r="F11" s="24">
        <f t="shared" si="4"/>
        <v>0.33086877158660916</v>
      </c>
      <c r="G11" s="35"/>
      <c r="H11" s="24">
        <f t="shared" si="5"/>
        <v>658.63050489045077</v>
      </c>
      <c r="I11" s="24">
        <f t="shared" si="6"/>
        <v>1990.6094544133964</v>
      </c>
      <c r="J11" s="24">
        <f t="shared" si="7"/>
        <v>210069.01572424572</v>
      </c>
      <c r="K11" s="24"/>
    </row>
    <row r="12" spans="1:13" x14ac:dyDescent="0.25">
      <c r="B12" s="14" t="s">
        <v>1046</v>
      </c>
      <c r="C12" s="24">
        <v>167.8</v>
      </c>
      <c r="D12" s="24">
        <v>563372.94999999995</v>
      </c>
      <c r="E12" s="23">
        <v>2608751</v>
      </c>
      <c r="F12" s="24">
        <f t="shared" si="4"/>
        <v>0.21595504898704398</v>
      </c>
      <c r="G12" s="35"/>
      <c r="H12" s="24">
        <f t="shared" si="5"/>
        <v>348.80257025318133</v>
      </c>
      <c r="I12" s="24">
        <f t="shared" si="6"/>
        <v>1615.1628400876489</v>
      </c>
      <c r="J12" s="24">
        <f t="shared" si="7"/>
        <v>271024.32456670748</v>
      </c>
      <c r="K12" s="24"/>
    </row>
    <row r="13" spans="1:13" x14ac:dyDescent="0.25">
      <c r="B13" s="14" t="s">
        <v>1047</v>
      </c>
      <c r="C13" s="24">
        <v>211.59200000000001</v>
      </c>
      <c r="D13" s="24">
        <v>448665.54</v>
      </c>
      <c r="E13" s="23">
        <v>913858</v>
      </c>
      <c r="F13" s="24">
        <f t="shared" si="4"/>
        <v>0.49095761048215364</v>
      </c>
      <c r="G13" s="35"/>
      <c r="H13" s="24">
        <f t="shared" si="5"/>
        <v>469.33544658813605</v>
      </c>
      <c r="I13" s="24">
        <f t="shared" si="6"/>
        <v>955.95920415046999</v>
      </c>
      <c r="J13" s="24">
        <f t="shared" si="7"/>
        <v>202273.31992460627</v>
      </c>
      <c r="K13" s="24"/>
    </row>
    <row r="14" spans="1:13" x14ac:dyDescent="0.25">
      <c r="B14" s="14" t="s">
        <v>1048</v>
      </c>
      <c r="C14" s="24">
        <v>336.4</v>
      </c>
      <c r="D14" s="24">
        <v>2324844.12</v>
      </c>
      <c r="E14" s="23">
        <v>4909740</v>
      </c>
      <c r="F14" s="24">
        <f t="shared" si="4"/>
        <v>0.47351674834105273</v>
      </c>
      <c r="G14" s="35"/>
      <c r="H14" s="24">
        <f t="shared" si="5"/>
        <v>1049.2152439333963</v>
      </c>
      <c r="I14" s="24">
        <f t="shared" si="6"/>
        <v>2215.7933116606341</v>
      </c>
      <c r="J14" s="24">
        <f t="shared" si="7"/>
        <v>745392.87004263722</v>
      </c>
      <c r="K14" s="24"/>
    </row>
    <row r="15" spans="1:13" x14ac:dyDescent="0.25">
      <c r="B15" s="14" t="s">
        <v>1049</v>
      </c>
      <c r="C15" s="24">
        <v>397.5</v>
      </c>
      <c r="D15" s="24">
        <v>22645.84</v>
      </c>
      <c r="E15" s="23">
        <v>36404</v>
      </c>
      <c r="F15" s="24">
        <f t="shared" si="4"/>
        <v>0.62207010218657288</v>
      </c>
      <c r="G15" s="35"/>
      <c r="H15" s="24">
        <f t="shared" si="5"/>
        <v>118.68993218845807</v>
      </c>
      <c r="I15" s="24">
        <f t="shared" si="6"/>
        <v>190.79832284378182</v>
      </c>
      <c r="J15" s="24">
        <f t="shared" si="7"/>
        <v>75842.333330403271</v>
      </c>
      <c r="K15" s="24"/>
    </row>
    <row r="16" spans="1:13" x14ac:dyDescent="0.25">
      <c r="B16" s="14" t="s">
        <v>1050</v>
      </c>
      <c r="C16" s="24">
        <v>652.4</v>
      </c>
      <c r="D16" s="24">
        <v>61226.09</v>
      </c>
      <c r="E16" s="23">
        <v>51559</v>
      </c>
      <c r="F16" s="24">
        <f t="shared" si="4"/>
        <v>1.1874956845555575</v>
      </c>
      <c r="G16" s="35"/>
      <c r="H16" s="24">
        <f t="shared" si="5"/>
        <v>269.63997785419389</v>
      </c>
      <c r="I16" s="24">
        <f t="shared" si="6"/>
        <v>227.06606968017041</v>
      </c>
      <c r="J16" s="24">
        <f t="shared" si="7"/>
        <v>148137.90385934318</v>
      </c>
      <c r="K16" s="24"/>
    </row>
    <row r="17" spans="2:11" x14ac:dyDescent="0.25">
      <c r="B17" s="14" t="s">
        <v>1051</v>
      </c>
      <c r="C17" s="24">
        <v>26.25</v>
      </c>
      <c r="D17" s="24">
        <v>220573.3</v>
      </c>
      <c r="E17" s="23">
        <v>59897</v>
      </c>
      <c r="F17" s="24">
        <f t="shared" si="4"/>
        <v>3.6825433661118252</v>
      </c>
      <c r="G17" s="35"/>
      <c r="H17" s="24">
        <f t="shared" si="5"/>
        <v>901.26064080064725</v>
      </c>
      <c r="I17" s="24">
        <f t="shared" si="6"/>
        <v>244.73863609981976</v>
      </c>
      <c r="J17" s="24">
        <f t="shared" si="7"/>
        <v>6424.3891976202685</v>
      </c>
      <c r="K17" s="24"/>
    </row>
    <row r="18" spans="2:11" x14ac:dyDescent="0.25">
      <c r="B18" s="14" t="s">
        <v>1074</v>
      </c>
      <c r="C18" s="24">
        <v>26.25</v>
      </c>
      <c r="D18" s="24">
        <v>76258.28</v>
      </c>
      <c r="E18" s="23">
        <v>1531215</v>
      </c>
      <c r="F18" s="24">
        <v>0.44</v>
      </c>
      <c r="G18" s="35"/>
      <c r="H18" s="24">
        <f t="shared" ref="H18" si="8">F18*E18^0.5</f>
        <v>544.46599893840937</v>
      </c>
      <c r="I18" s="24">
        <f t="shared" ref="I18" si="9">E18^0.5</f>
        <v>1237.4227248600214</v>
      </c>
      <c r="J18" s="24">
        <f t="shared" ref="J18" si="10">C18*E18^0.5</f>
        <v>32482.346527575563</v>
      </c>
      <c r="K18" s="24"/>
    </row>
    <row r="19" spans="2:11" ht="12" customHeight="1" x14ac:dyDescent="0.25">
      <c r="B19" s="14" t="s">
        <v>1052</v>
      </c>
      <c r="C19" s="24">
        <v>41.74</v>
      </c>
      <c r="D19" s="24">
        <v>17302.96</v>
      </c>
      <c r="E19" s="23">
        <v>87045</v>
      </c>
      <c r="F19" s="24">
        <v>0.42</v>
      </c>
      <c r="G19" s="35"/>
      <c r="H19" s="24">
        <f t="shared" si="5"/>
        <v>123.91423647022968</v>
      </c>
      <c r="I19" s="24">
        <f t="shared" si="6"/>
        <v>295.03389635768974</v>
      </c>
      <c r="J19" s="24">
        <f t="shared" si="7"/>
        <v>12314.714833969971</v>
      </c>
      <c r="K19" s="24"/>
    </row>
    <row r="20" spans="2:11" x14ac:dyDescent="0.25">
      <c r="B20" s="14" t="s">
        <v>1073</v>
      </c>
      <c r="C20" s="24">
        <v>26.25</v>
      </c>
      <c r="D20" s="24">
        <v>160993.97</v>
      </c>
      <c r="E20" s="23">
        <v>189801</v>
      </c>
      <c r="F20" s="24">
        <v>0.27</v>
      </c>
      <c r="G20" s="35"/>
      <c r="H20" s="24">
        <f t="shared" si="5"/>
        <v>117.62862279224392</v>
      </c>
      <c r="I20" s="24">
        <f t="shared" si="6"/>
        <v>435.66156589719964</v>
      </c>
      <c r="J20" s="24">
        <f t="shared" si="7"/>
        <v>11436.116104801491</v>
      </c>
      <c r="K20" s="24"/>
    </row>
    <row r="21" spans="2:11" x14ac:dyDescent="0.25">
      <c r="B21" s="14" t="s">
        <v>1053</v>
      </c>
      <c r="C21" s="24">
        <v>67.37</v>
      </c>
      <c r="D21" s="24">
        <v>830343.06</v>
      </c>
      <c r="E21" s="23">
        <v>327569</v>
      </c>
      <c r="F21" s="24">
        <v>0.56999999999999995</v>
      </c>
      <c r="G21" s="35"/>
      <c r="H21" s="24">
        <f t="shared" si="5"/>
        <v>326.23177052518963</v>
      </c>
      <c r="I21" s="24">
        <f t="shared" si="6"/>
        <v>572.33643951787656</v>
      </c>
      <c r="J21" s="24">
        <f t="shared" si="7"/>
        <v>38558.305930319344</v>
      </c>
      <c r="K21" s="24"/>
    </row>
    <row r="22" spans="2:11" x14ac:dyDescent="0.25">
      <c r="B22" s="14" t="s">
        <v>1054</v>
      </c>
      <c r="C22" s="24">
        <v>105.53</v>
      </c>
      <c r="D22" s="24">
        <v>1826632.53</v>
      </c>
      <c r="E22" s="23">
        <v>784387</v>
      </c>
      <c r="F22" s="24">
        <v>0.87</v>
      </c>
      <c r="G22" s="35"/>
      <c r="H22" s="24">
        <f t="shared" si="5"/>
        <v>770.52094085754743</v>
      </c>
      <c r="I22" s="24">
        <f t="shared" si="6"/>
        <v>885.65625385924989</v>
      </c>
      <c r="J22" s="24">
        <f t="shared" si="7"/>
        <v>93463.304469766648</v>
      </c>
      <c r="K22" s="24"/>
    </row>
    <row r="23" spans="2:11" x14ac:dyDescent="0.25">
      <c r="B23" s="14" t="s">
        <v>1055</v>
      </c>
      <c r="C23" s="24">
        <v>133.07</v>
      </c>
      <c r="D23" s="24">
        <v>33692.22</v>
      </c>
      <c r="E23" s="23">
        <v>16823</v>
      </c>
      <c r="F23" s="24">
        <v>1.1000000000000001</v>
      </c>
      <c r="G23" s="35"/>
      <c r="H23" s="24">
        <f t="shared" si="5"/>
        <v>142.67385885297981</v>
      </c>
      <c r="I23" s="24">
        <f t="shared" si="6"/>
        <v>129.70350804816346</v>
      </c>
      <c r="J23" s="24">
        <f t="shared" si="7"/>
        <v>17259.64581596911</v>
      </c>
      <c r="K23" s="24"/>
    </row>
    <row r="24" spans="2:11" x14ac:dyDescent="0.25">
      <c r="B24" s="14" t="s">
        <v>1056</v>
      </c>
      <c r="C24" s="24">
        <v>167.8</v>
      </c>
      <c r="D24" s="24">
        <v>7802.88</v>
      </c>
      <c r="E24" s="23">
        <v>3599</v>
      </c>
      <c r="F24" s="48">
        <v>1.32</v>
      </c>
      <c r="G24" s="35"/>
      <c r="H24" s="24">
        <f t="shared" si="5"/>
        <v>79.188999236005003</v>
      </c>
      <c r="I24" s="24">
        <f t="shared" si="6"/>
        <v>59.991666087882571</v>
      </c>
      <c r="J24" s="24">
        <f t="shared" si="7"/>
        <v>10066.601569546696</v>
      </c>
      <c r="K24" s="24"/>
    </row>
    <row r="25" spans="2:11" x14ac:dyDescent="0.25">
      <c r="B25" s="14" t="s">
        <v>1057</v>
      </c>
      <c r="C25" s="24">
        <v>211.59200000000001</v>
      </c>
      <c r="D25" s="24">
        <v>102447.29</v>
      </c>
      <c r="E25" s="23">
        <v>17034</v>
      </c>
      <c r="F25" s="24">
        <v>1.45</v>
      </c>
      <c r="G25" s="35"/>
      <c r="H25" s="24">
        <f t="shared" si="5"/>
        <v>189.24583218660322</v>
      </c>
      <c r="I25" s="24">
        <f t="shared" si="6"/>
        <v>130.51436702524362</v>
      </c>
      <c r="J25" s="24">
        <f t="shared" si="7"/>
        <v>27615.795947605347</v>
      </c>
      <c r="K25" s="24"/>
    </row>
    <row r="26" spans="2:11" x14ac:dyDescent="0.25">
      <c r="B26" s="14" t="s">
        <v>1058</v>
      </c>
      <c r="C26" s="24">
        <v>336.4</v>
      </c>
      <c r="D26" s="24">
        <v>14621.7</v>
      </c>
      <c r="E26" s="23">
        <v>2314</v>
      </c>
      <c r="F26" s="24">
        <v>1.88</v>
      </c>
      <c r="G26" s="35"/>
      <c r="H26" s="24">
        <f t="shared" si="5"/>
        <v>90.435621300458806</v>
      </c>
      <c r="I26" s="24">
        <f t="shared" si="6"/>
        <v>48.104053883222775</v>
      </c>
      <c r="J26" s="24">
        <f t="shared" si="7"/>
        <v>16182.20372631614</v>
      </c>
      <c r="K26" s="24"/>
    </row>
    <row r="27" spans="2:11" x14ac:dyDescent="0.25">
      <c r="B27" s="14" t="s">
        <v>1059</v>
      </c>
      <c r="C27" s="24">
        <v>66.37</v>
      </c>
      <c r="D27" s="24">
        <v>43539.27</v>
      </c>
      <c r="E27" s="23">
        <v>2264</v>
      </c>
      <c r="F27" s="24">
        <v>1.2</v>
      </c>
      <c r="G27" s="35"/>
      <c r="H27" s="24">
        <f t="shared" si="5"/>
        <v>57.097810816177528</v>
      </c>
      <c r="I27" s="24">
        <f t="shared" si="6"/>
        <v>47.581509013481273</v>
      </c>
      <c r="J27" s="24">
        <f t="shared" si="7"/>
        <v>3157.9847532247522</v>
      </c>
      <c r="K27" s="24"/>
    </row>
    <row r="28" spans="2:11" x14ac:dyDescent="0.25">
      <c r="B28" s="14" t="s">
        <v>1060</v>
      </c>
      <c r="C28" s="24">
        <v>105.53</v>
      </c>
      <c r="D28" s="24">
        <v>94977.35</v>
      </c>
      <c r="E28" s="23">
        <v>9480</v>
      </c>
      <c r="F28" s="24">
        <v>1.3</v>
      </c>
      <c r="G28" s="35"/>
      <c r="H28" s="24">
        <f t="shared" si="5"/>
        <v>126.5748790242361</v>
      </c>
      <c r="I28" s="24">
        <f t="shared" si="6"/>
        <v>97.365291557104683</v>
      </c>
      <c r="J28" s="24">
        <f t="shared" si="7"/>
        <v>10274.959218021257</v>
      </c>
      <c r="K28" s="24"/>
    </row>
    <row r="29" spans="2:11" x14ac:dyDescent="0.25">
      <c r="B29" s="14" t="s">
        <v>1061</v>
      </c>
      <c r="C29" s="24">
        <v>133.07</v>
      </c>
      <c r="D29" s="24">
        <v>6276.53</v>
      </c>
      <c r="E29" s="23">
        <v>2826</v>
      </c>
      <c r="F29" s="24">
        <v>1.65</v>
      </c>
      <c r="G29" s="35"/>
      <c r="H29" s="24">
        <f t="shared" si="5"/>
        <v>87.714223476013274</v>
      </c>
      <c r="I29" s="24">
        <f t="shared" si="6"/>
        <v>53.160135440008048</v>
      </c>
      <c r="J29" s="24">
        <f t="shared" si="7"/>
        <v>7074.0192230018702</v>
      </c>
      <c r="K29" s="24"/>
    </row>
    <row r="30" spans="2:11" x14ac:dyDescent="0.25">
      <c r="B30" s="14" t="s">
        <v>1062</v>
      </c>
      <c r="C30" s="24">
        <v>167.8</v>
      </c>
      <c r="D30" s="24">
        <v>1731.9</v>
      </c>
      <c r="E30" s="23">
        <v>1430</v>
      </c>
      <c r="F30" s="24">
        <v>1.85</v>
      </c>
      <c r="G30" s="35"/>
      <c r="H30" s="24">
        <f t="shared" si="1"/>
        <v>69.958380484399441</v>
      </c>
      <c r="I30" s="24">
        <f t="shared" si="2"/>
        <v>37.815340802378074</v>
      </c>
      <c r="J30" s="24">
        <f t="shared" si="3"/>
        <v>6345.414186639041</v>
      </c>
      <c r="K30" s="24"/>
    </row>
    <row r="31" spans="2:11" x14ac:dyDescent="0.25">
      <c r="B31" s="14" t="s">
        <v>1063</v>
      </c>
      <c r="C31" s="24">
        <v>211.59200000000001</v>
      </c>
      <c r="D31" s="24">
        <v>54318.7</v>
      </c>
      <c r="E31" s="23">
        <v>7284</v>
      </c>
      <c r="F31" s="24">
        <v>2.0499999999999998</v>
      </c>
      <c r="G31" s="35"/>
      <c r="H31" s="24">
        <f t="shared" si="1"/>
        <v>174.96002400548531</v>
      </c>
      <c r="I31" s="24">
        <f t="shared" si="2"/>
        <v>85.346353173407479</v>
      </c>
      <c r="J31" s="24">
        <f t="shared" si="3"/>
        <v>18058.605560667638</v>
      </c>
      <c r="K31" s="24"/>
    </row>
    <row r="32" spans="2:11" x14ac:dyDescent="0.25">
      <c r="B32" s="14" t="s">
        <v>1064</v>
      </c>
      <c r="C32" s="24">
        <v>336</v>
      </c>
      <c r="D32" s="24">
        <v>62163.519999999997</v>
      </c>
      <c r="E32" s="23">
        <v>6199</v>
      </c>
      <c r="F32" s="24">
        <v>2.35</v>
      </c>
      <c r="G32" s="35"/>
      <c r="H32" s="24">
        <f t="shared" si="1"/>
        <v>185.02426192259219</v>
      </c>
      <c r="I32" s="24">
        <f t="shared" si="2"/>
        <v>78.733728477698804</v>
      </c>
      <c r="J32" s="24">
        <f t="shared" si="3"/>
        <v>26454.532768506797</v>
      </c>
      <c r="K32" s="24"/>
    </row>
    <row r="33" spans="2:11" x14ac:dyDescent="0.25">
      <c r="B33" s="14" t="s">
        <v>1065</v>
      </c>
      <c r="C33" s="24">
        <v>16.509</v>
      </c>
      <c r="D33" s="24">
        <v>17999.57</v>
      </c>
      <c r="E33" s="23">
        <v>239528</v>
      </c>
      <c r="F33" s="24">
        <f t="shared" si="0"/>
        <v>7.5145995457733539E-2</v>
      </c>
      <c r="G33" s="35"/>
      <c r="H33" s="24">
        <f t="shared" si="1"/>
        <v>36.777650896450098</v>
      </c>
      <c r="I33" s="24">
        <f t="shared" si="2"/>
        <v>489.41597848864723</v>
      </c>
      <c r="J33" s="24">
        <f t="shared" si="3"/>
        <v>8079.7683888690772</v>
      </c>
      <c r="K33" s="24"/>
    </row>
    <row r="34" spans="2:11" x14ac:dyDescent="0.25">
      <c r="B34" s="14" t="s">
        <v>1066</v>
      </c>
      <c r="C34" s="24">
        <v>500</v>
      </c>
      <c r="D34" s="24">
        <v>3167.6</v>
      </c>
      <c r="E34" s="23">
        <v>1205</v>
      </c>
      <c r="F34" s="24">
        <f t="shared" si="0"/>
        <v>2.6287136929460582</v>
      </c>
      <c r="G34" s="35"/>
      <c r="H34" s="24">
        <f t="shared" si="1"/>
        <v>91.250827359404994</v>
      </c>
      <c r="I34" s="24">
        <f t="shared" si="2"/>
        <v>34.713109915419565</v>
      </c>
      <c r="J34" s="24">
        <f t="shared" si="3"/>
        <v>17356.554957709781</v>
      </c>
      <c r="K34" s="24"/>
    </row>
    <row r="35" spans="2:11" x14ac:dyDescent="0.25">
      <c r="B35" s="14" t="s">
        <v>1067</v>
      </c>
      <c r="C35" s="24">
        <v>26.25</v>
      </c>
      <c r="D35" s="24">
        <v>72358.52</v>
      </c>
      <c r="E35" s="23">
        <v>76084</v>
      </c>
      <c r="F35" s="24">
        <v>0.38</v>
      </c>
      <c r="G35" s="35"/>
      <c r="H35" s="24">
        <f t="shared" si="1"/>
        <v>104.81664753272734</v>
      </c>
      <c r="I35" s="24">
        <f t="shared" si="2"/>
        <v>275.83328298086144</v>
      </c>
      <c r="J35" s="24">
        <f t="shared" si="3"/>
        <v>7240.6236782476126</v>
      </c>
      <c r="K35" s="24"/>
    </row>
    <row r="36" spans="2:11" x14ac:dyDescent="0.25">
      <c r="B36" s="14" t="s">
        <v>1068</v>
      </c>
      <c r="C36" s="24">
        <v>26.25</v>
      </c>
      <c r="D36" s="24">
        <v>8873.0300000000007</v>
      </c>
      <c r="E36" s="23">
        <v>173613</v>
      </c>
      <c r="F36" s="24">
        <v>0.45</v>
      </c>
      <c r="G36" s="35"/>
      <c r="H36" s="24">
        <f t="shared" si="1"/>
        <v>187.50101999722563</v>
      </c>
      <c r="I36" s="24">
        <f t="shared" si="2"/>
        <v>416.66893332716802</v>
      </c>
      <c r="J36" s="24">
        <f t="shared" si="3"/>
        <v>10937.55949983816</v>
      </c>
      <c r="K36" s="24"/>
    </row>
    <row r="37" spans="2:11" x14ac:dyDescent="0.25">
      <c r="B37" s="14" t="s">
        <v>1069</v>
      </c>
      <c r="C37" s="24">
        <v>26.25</v>
      </c>
      <c r="D37" s="24">
        <v>41.55</v>
      </c>
      <c r="E37" s="23">
        <v>2393</v>
      </c>
      <c r="F37" s="24">
        <v>0.45</v>
      </c>
      <c r="G37" s="35"/>
      <c r="H37" s="24">
        <f t="shared" si="1"/>
        <v>22.013234655543016</v>
      </c>
      <c r="I37" s="24">
        <f t="shared" si="2"/>
        <v>48.918299234540036</v>
      </c>
      <c r="J37" s="24">
        <f t="shared" si="3"/>
        <v>1284.105354906676</v>
      </c>
      <c r="K37" s="24"/>
    </row>
    <row r="38" spans="2:11" x14ac:dyDescent="0.25">
      <c r="B38" s="14" t="s">
        <v>1070</v>
      </c>
      <c r="C38" s="24">
        <v>26.25</v>
      </c>
      <c r="D38" s="24">
        <v>6237.12</v>
      </c>
      <c r="E38" s="23">
        <v>18559</v>
      </c>
      <c r="F38" s="24">
        <f t="shared" si="0"/>
        <v>0.3360698313486718</v>
      </c>
      <c r="G38" s="35"/>
      <c r="H38" s="24">
        <f t="shared" si="1"/>
        <v>45.783270596380817</v>
      </c>
      <c r="I38" s="24">
        <f t="shared" si="2"/>
        <v>136.23142075160195</v>
      </c>
      <c r="J38" s="24">
        <f t="shared" si="3"/>
        <v>3576.0747947295513</v>
      </c>
      <c r="K38" s="24"/>
    </row>
    <row r="39" spans="2:11" x14ac:dyDescent="0.25">
      <c r="B39" s="14" t="s">
        <v>1071</v>
      </c>
      <c r="C39" s="24">
        <v>20.82</v>
      </c>
      <c r="D39" s="24">
        <v>291.83999999999997</v>
      </c>
      <c r="E39" s="23">
        <v>462</v>
      </c>
      <c r="F39" s="24">
        <f t="shared" si="0"/>
        <v>0.63168831168831163</v>
      </c>
      <c r="G39" s="35"/>
      <c r="H39" s="24">
        <f t="shared" si="1"/>
        <v>13.577625598134485</v>
      </c>
      <c r="I39" s="24">
        <f t="shared" si="2"/>
        <v>21.494185260204677</v>
      </c>
      <c r="J39" s="24">
        <f t="shared" si="3"/>
        <v>447.50893711746141</v>
      </c>
      <c r="K39" s="24"/>
    </row>
    <row r="40" spans="2:11" x14ac:dyDescent="0.25">
      <c r="B40" s="14" t="s">
        <v>1072</v>
      </c>
      <c r="C40" s="24">
        <v>6.53</v>
      </c>
      <c r="D40" s="24">
        <v>87.72</v>
      </c>
      <c r="E40" s="23">
        <v>1000</v>
      </c>
      <c r="F40" s="24">
        <f t="shared" si="0"/>
        <v>8.7719999999999992E-2</v>
      </c>
      <c r="G40" s="35"/>
      <c r="H40" s="24">
        <f t="shared" si="1"/>
        <v>2.7739499634997022</v>
      </c>
      <c r="I40" s="24">
        <f t="shared" si="2"/>
        <v>31.622776601683793</v>
      </c>
      <c r="J40" s="24">
        <f t="shared" si="3"/>
        <v>206.49673120899519</v>
      </c>
      <c r="K40" s="24"/>
    </row>
    <row r="41" spans="2:11" x14ac:dyDescent="0.25">
      <c r="B41" s="25" t="s">
        <v>860</v>
      </c>
      <c r="D41" s="36">
        <f>SUM(D8:D40)</f>
        <v>14308309.149999999</v>
      </c>
      <c r="E41" s="37">
        <f>SUM(E8:E40)</f>
        <v>29884589</v>
      </c>
    </row>
    <row r="43" spans="2:11" x14ac:dyDescent="0.25">
      <c r="B43" s="18" t="s">
        <v>975</v>
      </c>
      <c r="H43" s="257" t="s">
        <v>976</v>
      </c>
      <c r="I43" s="257"/>
    </row>
    <row r="45" spans="2:11" x14ac:dyDescent="0.25">
      <c r="B45" s="14" t="s">
        <v>977</v>
      </c>
      <c r="D45" s="38">
        <f>H45</f>
        <v>2.0559292418813354E-4</v>
      </c>
      <c r="H45" s="38">
        <f t="array" ref="H45:I47">LINEST(H8:H40,I8:J40,FALSE,TRUE)</f>
        <v>2.0559292418813354E-4</v>
      </c>
      <c r="I45" s="38">
        <v>0.400226751692981</v>
      </c>
    </row>
    <row r="46" spans="2:11" x14ac:dyDescent="0.25">
      <c r="B46" s="14" t="s">
        <v>978</v>
      </c>
      <c r="D46" s="38">
        <f>I45</f>
        <v>0.400226751692981</v>
      </c>
      <c r="H46" s="38">
        <v>3.7528909587833067E-4</v>
      </c>
      <c r="I46" s="38">
        <v>6.1796884323745881E-2</v>
      </c>
    </row>
    <row r="47" spans="2:11" x14ac:dyDescent="0.25">
      <c r="B47" s="14" t="s">
        <v>979</v>
      </c>
      <c r="D47" s="39">
        <f>H47</f>
        <v>0.7890473144849911</v>
      </c>
      <c r="H47" s="38">
        <v>0.7890473144849911</v>
      </c>
      <c r="I47" s="38">
        <v>216.65171164149061</v>
      </c>
    </row>
    <row r="48" spans="2:11" x14ac:dyDescent="0.25">
      <c r="H48" s="38"/>
      <c r="I48" s="38"/>
    </row>
    <row r="49" spans="1:13" x14ac:dyDescent="0.25">
      <c r="B49" s="26" t="s">
        <v>980</v>
      </c>
      <c r="C49" s="40"/>
    </row>
    <row r="50" spans="1:13" x14ac:dyDescent="0.25">
      <c r="C50" s="40"/>
    </row>
    <row r="51" spans="1:13" x14ac:dyDescent="0.25">
      <c r="B51" s="14" t="s">
        <v>981</v>
      </c>
      <c r="C51" s="40"/>
      <c r="D51" s="35">
        <f>E41</f>
        <v>29884589</v>
      </c>
    </row>
    <row r="52" spans="1:13" x14ac:dyDescent="0.25">
      <c r="B52" s="14" t="s">
        <v>982</v>
      </c>
      <c r="C52" s="40"/>
      <c r="D52" s="41">
        <f>D46</f>
        <v>0.400226751692981</v>
      </c>
      <c r="E52" s="27"/>
      <c r="F52" s="28"/>
    </row>
    <row r="53" spans="1:13" x14ac:dyDescent="0.25">
      <c r="B53" s="14" t="s">
        <v>983</v>
      </c>
      <c r="C53" s="40"/>
      <c r="D53" s="41">
        <f>MIN(F8:F40)</f>
        <v>7.5145995457733539E-2</v>
      </c>
    </row>
    <row r="54" spans="1:13" x14ac:dyDescent="0.25">
      <c r="B54" s="14" t="s">
        <v>984</v>
      </c>
      <c r="C54" s="40"/>
      <c r="D54" s="213" t="s">
        <v>991</v>
      </c>
    </row>
    <row r="55" spans="1:13" x14ac:dyDescent="0.25">
      <c r="B55" s="14" t="s">
        <v>985</v>
      </c>
      <c r="C55" s="40"/>
      <c r="D55" s="42">
        <f>IF(D54="Z",D51*D52,D51*D53)</f>
        <v>11960611.981149791</v>
      </c>
    </row>
    <row r="56" spans="1:13" x14ac:dyDescent="0.25">
      <c r="B56" s="14" t="s">
        <v>986</v>
      </c>
      <c r="C56" s="40"/>
      <c r="D56" s="42">
        <f>D41</f>
        <v>14308309.149999999</v>
      </c>
    </row>
    <row r="57" spans="1:13" x14ac:dyDescent="0.25">
      <c r="B57" s="14" t="s">
        <v>987</v>
      </c>
      <c r="C57" s="40"/>
      <c r="D57" s="43">
        <f>D55/D56</f>
        <v>0.83592071262660639</v>
      </c>
    </row>
    <row r="58" spans="1:13" x14ac:dyDescent="0.25">
      <c r="B58" s="14" t="s">
        <v>988</v>
      </c>
      <c r="C58" s="40"/>
      <c r="D58" s="44">
        <f>D57</f>
        <v>0.83592071262660639</v>
      </c>
    </row>
    <row r="59" spans="1:13" x14ac:dyDescent="0.25">
      <c r="B59" s="14" t="s">
        <v>989</v>
      </c>
      <c r="C59" s="40"/>
      <c r="D59" s="45">
        <f>1-D58</f>
        <v>0.16407928737339361</v>
      </c>
    </row>
    <row r="61" spans="1:13" x14ac:dyDescent="0.25">
      <c r="A61" s="13" t="s">
        <v>992</v>
      </c>
      <c r="B61" s="15"/>
      <c r="D61" s="33"/>
      <c r="E61" s="33"/>
      <c r="F61" s="33"/>
      <c r="G61" s="33"/>
      <c r="H61" s="33"/>
      <c r="I61" s="33"/>
      <c r="J61" s="33"/>
      <c r="K61" s="33"/>
      <c r="L61" s="34"/>
      <c r="M61" s="33"/>
    </row>
    <row r="62" spans="1:13" x14ac:dyDescent="0.25">
      <c r="F62" s="58" t="s">
        <v>965</v>
      </c>
      <c r="I62" s="58" t="s">
        <v>966</v>
      </c>
    </row>
    <row r="63" spans="1:13" x14ac:dyDescent="0.25">
      <c r="C63" s="16"/>
      <c r="D63" s="58"/>
      <c r="E63" s="17"/>
      <c r="F63" s="58" t="s">
        <v>967</v>
      </c>
      <c r="H63" s="58"/>
      <c r="I63" s="58"/>
      <c r="J63" s="58"/>
      <c r="K63" s="58"/>
    </row>
    <row r="64" spans="1:13" x14ac:dyDescent="0.25">
      <c r="B64" s="18" t="s">
        <v>6</v>
      </c>
      <c r="C64" s="19" t="s">
        <v>968</v>
      </c>
      <c r="D64" s="161" t="s">
        <v>969</v>
      </c>
      <c r="E64" s="20" t="s">
        <v>970</v>
      </c>
      <c r="F64" s="161" t="s">
        <v>971</v>
      </c>
      <c r="H64" s="21" t="s">
        <v>972</v>
      </c>
      <c r="I64" s="21" t="s">
        <v>973</v>
      </c>
      <c r="J64" s="21" t="s">
        <v>974</v>
      </c>
      <c r="K64" s="22"/>
    </row>
    <row r="65" spans="2:11" x14ac:dyDescent="0.25">
      <c r="B65" s="14" t="s">
        <v>1094</v>
      </c>
      <c r="C65" s="24">
        <v>66.37</v>
      </c>
      <c r="D65" s="41">
        <v>6847.5</v>
      </c>
      <c r="E65" s="23">
        <v>10343</v>
      </c>
      <c r="F65" s="24">
        <f t="shared" ref="F65:F88" si="11">D65/E65</f>
        <v>0.66204196074639854</v>
      </c>
      <c r="H65" s="24">
        <f t="shared" ref="H65:H88" si="12">F65*E65^0.5</f>
        <v>67.330025443415394</v>
      </c>
      <c r="I65" s="24">
        <f t="shared" ref="I65:I88" si="13">E65^0.5</f>
        <v>101.70054080485511</v>
      </c>
      <c r="J65" s="24">
        <f t="shared" ref="J65:J88" si="14">C65*E65^0.5</f>
        <v>6749.8648932182341</v>
      </c>
      <c r="K65" s="24"/>
    </row>
    <row r="66" spans="2:11" x14ac:dyDescent="0.25">
      <c r="B66" s="14" t="s">
        <v>1095</v>
      </c>
      <c r="C66" s="24">
        <v>105.53</v>
      </c>
      <c r="D66" s="24">
        <v>5150258.83</v>
      </c>
      <c r="E66" s="23">
        <v>1881239</v>
      </c>
      <c r="F66" s="24">
        <f t="shared" si="11"/>
        <v>2.7376951200777784</v>
      </c>
      <c r="H66" s="24">
        <f t="shared" si="12"/>
        <v>3754.9751618390883</v>
      </c>
      <c r="I66" s="24">
        <f t="shared" si="13"/>
        <v>1371.5826624742674</v>
      </c>
      <c r="J66" s="24">
        <f t="shared" si="14"/>
        <v>144743.11837090945</v>
      </c>
      <c r="K66" s="24"/>
    </row>
    <row r="67" spans="2:11" x14ac:dyDescent="0.25">
      <c r="B67" s="14" t="s">
        <v>1075</v>
      </c>
      <c r="C67" s="24">
        <v>66.37</v>
      </c>
      <c r="D67" s="24">
        <v>734775.09</v>
      </c>
      <c r="E67" s="23">
        <v>603945</v>
      </c>
      <c r="F67" s="24">
        <f t="shared" si="11"/>
        <v>1.216625835133994</v>
      </c>
      <c r="H67" s="24">
        <f t="shared" si="12"/>
        <v>945.48736506994408</v>
      </c>
      <c r="I67" s="24">
        <f t="shared" si="13"/>
        <v>777.13898370883442</v>
      </c>
      <c r="J67" s="24">
        <f t="shared" si="14"/>
        <v>51578.71434875534</v>
      </c>
      <c r="K67" s="24"/>
    </row>
    <row r="68" spans="2:11" x14ac:dyDescent="0.25">
      <c r="B68" s="14" t="s">
        <v>1076</v>
      </c>
      <c r="C68" s="24">
        <v>750</v>
      </c>
      <c r="D68" s="24">
        <v>1983913.1</v>
      </c>
      <c r="E68" s="23">
        <v>134077</v>
      </c>
      <c r="F68" s="24">
        <f t="shared" si="11"/>
        <v>14.796818992071721</v>
      </c>
      <c r="H68" s="24">
        <f t="shared" si="12"/>
        <v>5418.0811212734616</v>
      </c>
      <c r="I68" s="24">
        <f t="shared" si="13"/>
        <v>366.16526323505894</v>
      </c>
      <c r="J68" s="24">
        <f t="shared" si="14"/>
        <v>274623.94742629421</v>
      </c>
      <c r="K68" s="24"/>
    </row>
    <row r="69" spans="2:11" x14ac:dyDescent="0.25">
      <c r="B69" s="14" t="s">
        <v>1077</v>
      </c>
      <c r="C69" s="24">
        <v>750</v>
      </c>
      <c r="D69" s="24">
        <v>471.06</v>
      </c>
      <c r="E69" s="23">
        <v>86</v>
      </c>
      <c r="F69" s="24">
        <f t="shared" si="11"/>
        <v>5.4774418604651167</v>
      </c>
      <c r="H69" s="24">
        <f t="shared" si="12"/>
        <v>50.795706145211703</v>
      </c>
      <c r="I69" s="24">
        <f t="shared" si="13"/>
        <v>9.2736184954957039</v>
      </c>
      <c r="J69" s="24">
        <f t="shared" si="14"/>
        <v>6955.2138716217778</v>
      </c>
      <c r="K69" s="24"/>
    </row>
    <row r="70" spans="2:11" x14ac:dyDescent="0.25">
      <c r="B70" s="14" t="s">
        <v>1078</v>
      </c>
      <c r="C70" s="24">
        <v>211.59200000000001</v>
      </c>
      <c r="D70" s="24">
        <v>840772.1</v>
      </c>
      <c r="E70" s="23">
        <v>195616</v>
      </c>
      <c r="F70" s="24">
        <f t="shared" si="11"/>
        <v>4.2980742884017662</v>
      </c>
      <c r="H70" s="24">
        <f t="shared" si="12"/>
        <v>1900.9736835147291</v>
      </c>
      <c r="I70" s="24">
        <f t="shared" si="13"/>
        <v>442.28497600529005</v>
      </c>
      <c r="J70" s="24">
        <f t="shared" si="14"/>
        <v>93583.962642911341</v>
      </c>
      <c r="K70" s="24"/>
    </row>
    <row r="71" spans="2:11" x14ac:dyDescent="0.25">
      <c r="B71" s="14" t="s">
        <v>1079</v>
      </c>
      <c r="C71" s="24">
        <v>500</v>
      </c>
      <c r="D71" s="24">
        <v>107004.63</v>
      </c>
      <c r="E71" s="23">
        <v>39451</v>
      </c>
      <c r="F71" s="24">
        <f t="shared" si="11"/>
        <v>2.7123426529112065</v>
      </c>
      <c r="H71" s="24">
        <f t="shared" si="12"/>
        <v>538.73297839280463</v>
      </c>
      <c r="I71" s="24">
        <f t="shared" si="13"/>
        <v>198.62275801126114</v>
      </c>
      <c r="J71" s="24">
        <f t="shared" si="14"/>
        <v>99311.379005630573</v>
      </c>
      <c r="K71" s="24"/>
    </row>
    <row r="72" spans="2:11" x14ac:dyDescent="0.25">
      <c r="B72" s="14" t="s">
        <v>1080</v>
      </c>
      <c r="C72" s="24">
        <v>500</v>
      </c>
      <c r="D72" s="24">
        <v>1374739.26</v>
      </c>
      <c r="E72" s="23">
        <v>124607</v>
      </c>
      <c r="F72" s="24">
        <f t="shared" si="11"/>
        <v>11.032600576211609</v>
      </c>
      <c r="H72" s="24">
        <f t="shared" si="12"/>
        <v>3894.4767494512944</v>
      </c>
      <c r="I72" s="24">
        <f t="shared" si="13"/>
        <v>352.99716712744311</v>
      </c>
      <c r="J72" s="24">
        <f t="shared" si="14"/>
        <v>176498.58356372156</v>
      </c>
      <c r="K72" s="24"/>
    </row>
    <row r="73" spans="2:11" x14ac:dyDescent="0.25">
      <c r="B73" s="14" t="s">
        <v>1081</v>
      </c>
      <c r="C73" s="24">
        <v>500</v>
      </c>
      <c r="D73" s="24">
        <v>12341.51</v>
      </c>
      <c r="E73" s="23">
        <v>2626</v>
      </c>
      <c r="F73" s="24">
        <f t="shared" si="11"/>
        <v>4.6997372429550648</v>
      </c>
      <c r="H73" s="24">
        <f t="shared" si="12"/>
        <v>240.83574107948007</v>
      </c>
      <c r="I73" s="24">
        <f t="shared" si="13"/>
        <v>51.244511901275828</v>
      </c>
      <c r="J73" s="24">
        <f t="shared" si="14"/>
        <v>25622.255950637915</v>
      </c>
      <c r="K73" s="24"/>
    </row>
    <row r="74" spans="2:11" x14ac:dyDescent="0.25">
      <c r="B74" s="14" t="s">
        <v>1082</v>
      </c>
      <c r="C74" s="24">
        <v>66.37</v>
      </c>
      <c r="D74" s="24">
        <v>2690.72</v>
      </c>
      <c r="E74" s="23">
        <v>32</v>
      </c>
      <c r="F74" s="24">
        <f t="shared" si="11"/>
        <v>84.084999999999994</v>
      </c>
      <c r="H74" s="24">
        <f t="shared" si="12"/>
        <v>475.6565895685668</v>
      </c>
      <c r="I74" s="24">
        <f t="shared" si="13"/>
        <v>5.6568542494923806</v>
      </c>
      <c r="J74" s="24">
        <f t="shared" si="14"/>
        <v>375.4454165388093</v>
      </c>
      <c r="K74" s="24"/>
    </row>
    <row r="75" spans="2:11" x14ac:dyDescent="0.25">
      <c r="B75" s="14" t="s">
        <v>1083</v>
      </c>
      <c r="C75" s="24">
        <v>105.53</v>
      </c>
      <c r="D75" s="24">
        <v>46805.61</v>
      </c>
      <c r="E75" s="23">
        <v>10814</v>
      </c>
      <c r="F75" s="24">
        <f t="shared" si="11"/>
        <v>4.3282420935823929</v>
      </c>
      <c r="H75" s="24">
        <f t="shared" si="12"/>
        <v>450.09555809605695</v>
      </c>
      <c r="I75" s="24">
        <f t="shared" si="13"/>
        <v>103.99038417084533</v>
      </c>
      <c r="J75" s="24">
        <f t="shared" si="14"/>
        <v>10974.105241549309</v>
      </c>
      <c r="K75" s="24"/>
    </row>
    <row r="76" spans="2:11" x14ac:dyDescent="0.25">
      <c r="B76" s="14" t="s">
        <v>1084</v>
      </c>
      <c r="C76" s="24">
        <v>133.07</v>
      </c>
      <c r="D76" s="24">
        <v>411.89</v>
      </c>
      <c r="E76" s="23">
        <v>89</v>
      </c>
      <c r="F76" s="24">
        <f t="shared" si="11"/>
        <v>4.6279775280898878</v>
      </c>
      <c r="H76" s="24">
        <f t="shared" si="12"/>
        <v>43.660252679581959</v>
      </c>
      <c r="I76" s="24">
        <f t="shared" si="13"/>
        <v>9.4339811320566032</v>
      </c>
      <c r="J76" s="24">
        <f t="shared" si="14"/>
        <v>1255.3798692427722</v>
      </c>
      <c r="K76" s="24"/>
    </row>
    <row r="77" spans="2:11" x14ac:dyDescent="0.25">
      <c r="B77" s="14" t="s">
        <v>1085</v>
      </c>
      <c r="C77" s="24">
        <v>211.59200000000001</v>
      </c>
      <c r="D77" s="24">
        <v>122456</v>
      </c>
      <c r="E77" s="23">
        <v>20900</v>
      </c>
      <c r="F77" s="24">
        <f t="shared" si="11"/>
        <v>5.8591387559808616</v>
      </c>
      <c r="H77" s="24">
        <f t="shared" si="12"/>
        <v>847.04586387184042</v>
      </c>
      <c r="I77" s="24">
        <f t="shared" si="13"/>
        <v>144.56832294800961</v>
      </c>
      <c r="J77" s="24">
        <f t="shared" si="14"/>
        <v>30589.500589215251</v>
      </c>
      <c r="K77" s="24"/>
    </row>
    <row r="78" spans="2:11" x14ac:dyDescent="0.25">
      <c r="B78" s="14" t="s">
        <v>1086</v>
      </c>
      <c r="C78" s="24">
        <v>350</v>
      </c>
      <c r="D78" s="24">
        <v>191197.4</v>
      </c>
      <c r="E78" s="23">
        <v>47965</v>
      </c>
      <c r="F78" s="24">
        <f t="shared" si="11"/>
        <v>3.9861857604503284</v>
      </c>
      <c r="H78" s="24">
        <f t="shared" si="12"/>
        <v>873.01108430255658</v>
      </c>
      <c r="I78" s="24">
        <f t="shared" si="13"/>
        <v>219.0091322296858</v>
      </c>
      <c r="J78" s="24">
        <f t="shared" si="14"/>
        <v>76653.196280390024</v>
      </c>
      <c r="K78" s="24"/>
    </row>
    <row r="79" spans="2:11" x14ac:dyDescent="0.25">
      <c r="B79" s="14" t="s">
        <v>1087</v>
      </c>
      <c r="C79" s="24">
        <v>105.53</v>
      </c>
      <c r="D79" s="24">
        <v>272.37</v>
      </c>
      <c r="E79" s="23">
        <v>92</v>
      </c>
      <c r="F79" s="24">
        <f t="shared" si="11"/>
        <v>2.9605434782608695</v>
      </c>
      <c r="H79" s="24">
        <f t="shared" si="12"/>
        <v>28.396535478362722</v>
      </c>
      <c r="I79" s="24">
        <f t="shared" si="13"/>
        <v>9.5916630466254382</v>
      </c>
      <c r="J79" s="24">
        <f t="shared" si="14"/>
        <v>1012.2082013103825</v>
      </c>
      <c r="K79" s="24"/>
    </row>
    <row r="80" spans="2:11" x14ac:dyDescent="0.25">
      <c r="B80" s="14" t="s">
        <v>1088</v>
      </c>
      <c r="C80" s="24">
        <v>211.59200000000001</v>
      </c>
      <c r="D80" s="24">
        <v>2220.23</v>
      </c>
      <c r="E80" s="23">
        <v>218</v>
      </c>
      <c r="F80" s="24">
        <f t="shared" si="11"/>
        <v>10.18454128440367</v>
      </c>
      <c r="H80" s="24">
        <f t="shared" si="12"/>
        <v>150.37295001386241</v>
      </c>
      <c r="I80" s="24">
        <f t="shared" si="13"/>
        <v>14.7648230602334</v>
      </c>
      <c r="J80" s="24">
        <f t="shared" si="14"/>
        <v>3124.1184409609059</v>
      </c>
      <c r="K80" s="24"/>
    </row>
    <row r="81" spans="2:11" x14ac:dyDescent="0.25">
      <c r="B81" s="14" t="s">
        <v>1089</v>
      </c>
      <c r="C81" s="24">
        <v>350</v>
      </c>
      <c r="D81" s="24">
        <v>6984.85</v>
      </c>
      <c r="E81" s="23">
        <v>270</v>
      </c>
      <c r="F81" s="24">
        <f t="shared" si="11"/>
        <v>25.869814814814816</v>
      </c>
      <c r="H81" s="24">
        <f t="shared" si="12"/>
        <v>425.08443397666218</v>
      </c>
      <c r="I81" s="24">
        <f t="shared" si="13"/>
        <v>16.431676725154983</v>
      </c>
      <c r="J81" s="24">
        <f t="shared" si="14"/>
        <v>5751.0868538042441</v>
      </c>
      <c r="K81" s="24"/>
    </row>
    <row r="82" spans="2:11" x14ac:dyDescent="0.25">
      <c r="B82" s="14" t="s">
        <v>1090</v>
      </c>
      <c r="C82" s="24">
        <v>211.59200000000001</v>
      </c>
      <c r="D82" s="24">
        <v>29038.7</v>
      </c>
      <c r="E82" s="23">
        <v>2504</v>
      </c>
      <c r="F82" s="24">
        <f t="shared" si="11"/>
        <v>11.596924920127796</v>
      </c>
      <c r="H82" s="24">
        <f t="shared" si="12"/>
        <v>580.3099376006885</v>
      </c>
      <c r="I82" s="24">
        <f t="shared" si="13"/>
        <v>50.039984012787215</v>
      </c>
      <c r="J82" s="24">
        <f t="shared" si="14"/>
        <v>10588.060297233673</v>
      </c>
      <c r="K82" s="24"/>
    </row>
    <row r="83" spans="2:11" x14ac:dyDescent="0.25">
      <c r="B83" s="14" t="s">
        <v>1096</v>
      </c>
      <c r="C83" s="24">
        <f>10*66.369</f>
        <v>663.69</v>
      </c>
      <c r="D83" s="24">
        <v>2430.8200000000002</v>
      </c>
      <c r="E83" s="23">
        <v>1495</v>
      </c>
      <c r="F83" s="24">
        <f t="shared" si="11"/>
        <v>1.6259665551839466</v>
      </c>
      <c r="H83" s="24">
        <f t="shared" si="12"/>
        <v>62.868370598197004</v>
      </c>
      <c r="I83" s="24">
        <f t="shared" si="13"/>
        <v>38.665229858362409</v>
      </c>
      <c r="J83" s="24">
        <f t="shared" si="14"/>
        <v>25661.72640469655</v>
      </c>
      <c r="K83" s="24"/>
    </row>
    <row r="84" spans="2:11" x14ac:dyDescent="0.25">
      <c r="B84" s="14" t="s">
        <v>1097</v>
      </c>
      <c r="C84" s="24">
        <f>12*66.369</f>
        <v>796.428</v>
      </c>
      <c r="D84" s="24">
        <v>2185.15</v>
      </c>
      <c r="E84" s="23">
        <v>1506</v>
      </c>
      <c r="F84" s="24">
        <f t="shared" si="11"/>
        <v>1.4509628154050465</v>
      </c>
      <c r="H84" s="24">
        <f t="shared" si="12"/>
        <v>56.307827129825718</v>
      </c>
      <c r="I84" s="24">
        <f t="shared" si="13"/>
        <v>38.80721582386451</v>
      </c>
      <c r="J84" s="24">
        <f t="shared" si="14"/>
        <v>30907.153284168766</v>
      </c>
      <c r="K84" s="24"/>
    </row>
    <row r="85" spans="2:11" x14ac:dyDescent="0.25">
      <c r="B85" s="14" t="s">
        <v>1098</v>
      </c>
      <c r="C85" s="24">
        <f>10*66.369</f>
        <v>663.69</v>
      </c>
      <c r="D85" s="24">
        <v>23.83</v>
      </c>
      <c r="E85" s="23">
        <v>10</v>
      </c>
      <c r="F85" s="24">
        <f t="shared" si="11"/>
        <v>2.383</v>
      </c>
      <c r="H85" s="24">
        <f t="shared" si="12"/>
        <v>7.5357076641812482</v>
      </c>
      <c r="I85" s="24">
        <f t="shared" si="13"/>
        <v>3.1622776601683795</v>
      </c>
      <c r="J85" s="24">
        <f t="shared" si="14"/>
        <v>2098.7720602771519</v>
      </c>
      <c r="K85" s="24"/>
    </row>
    <row r="86" spans="2:11" x14ac:dyDescent="0.25">
      <c r="B86" s="14" t="s">
        <v>1091</v>
      </c>
      <c r="C86" s="24">
        <v>16.509</v>
      </c>
      <c r="D86" s="24">
        <v>5519.66</v>
      </c>
      <c r="E86" s="23">
        <v>3009</v>
      </c>
      <c r="F86" s="24">
        <f t="shared" si="11"/>
        <v>1.8343835161183117</v>
      </c>
      <c r="H86" s="24">
        <f t="shared" si="12"/>
        <v>100.62392021074115</v>
      </c>
      <c r="I86" s="24">
        <f t="shared" si="13"/>
        <v>54.854352607609911</v>
      </c>
      <c r="J86" s="24">
        <f t="shared" si="14"/>
        <v>905.590507199032</v>
      </c>
      <c r="K86" s="24"/>
    </row>
    <row r="87" spans="2:11" x14ac:dyDescent="0.25">
      <c r="B87" s="14" t="s">
        <v>1092</v>
      </c>
      <c r="C87" s="24">
        <v>26.25</v>
      </c>
      <c r="D87" s="24">
        <v>4875.74</v>
      </c>
      <c r="E87" s="23">
        <v>2642</v>
      </c>
      <c r="F87" s="24">
        <f t="shared" si="11"/>
        <v>1.8454731264193791</v>
      </c>
      <c r="H87" s="24">
        <f t="shared" si="12"/>
        <v>94.858036778166678</v>
      </c>
      <c r="I87" s="24">
        <f t="shared" si="13"/>
        <v>51.400389103585589</v>
      </c>
      <c r="J87" s="24">
        <f t="shared" si="14"/>
        <v>1349.2602139691217</v>
      </c>
      <c r="K87" s="24"/>
    </row>
    <row r="88" spans="2:11" x14ac:dyDescent="0.25">
      <c r="B88" s="14" t="s">
        <v>1093</v>
      </c>
      <c r="C88" s="24">
        <v>26.25</v>
      </c>
      <c r="D88" s="24">
        <v>114049.31</v>
      </c>
      <c r="E88" s="23">
        <v>74191</v>
      </c>
      <c r="F88" s="24">
        <f t="shared" si="11"/>
        <v>1.5372391529969942</v>
      </c>
      <c r="H88" s="24">
        <f t="shared" si="12"/>
        <v>418.71358313803438</v>
      </c>
      <c r="I88" s="24">
        <f t="shared" si="13"/>
        <v>272.38024891684051</v>
      </c>
      <c r="J88" s="24">
        <f t="shared" si="14"/>
        <v>7149.9815340670639</v>
      </c>
      <c r="K88" s="24"/>
    </row>
    <row r="89" spans="2:11" x14ac:dyDescent="0.25">
      <c r="B89" s="25" t="s">
        <v>860</v>
      </c>
      <c r="D89" s="36">
        <f>SUM(D65:D88)</f>
        <v>10742285.360000001</v>
      </c>
      <c r="E89" s="37">
        <f>SUM(E65:E88)</f>
        <v>3157727</v>
      </c>
    </row>
    <row r="91" spans="2:11" x14ac:dyDescent="0.25">
      <c r="B91" s="18" t="s">
        <v>975</v>
      </c>
      <c r="H91" s="257" t="s">
        <v>976</v>
      </c>
      <c r="I91" s="257"/>
    </row>
    <row r="93" spans="2:11" x14ac:dyDescent="0.25">
      <c r="B93" s="14" t="s">
        <v>977</v>
      </c>
      <c r="D93" s="38">
        <f>H93</f>
        <v>1.7706195126602289E-2</v>
      </c>
      <c r="H93" s="38">
        <f t="array" ref="H93:I95">LINEST(H65:H88,I65:J88,FALSE,TRUE)</f>
        <v>1.7706195126602289E-2</v>
      </c>
      <c r="I93" s="38">
        <v>0.64334210998624619</v>
      </c>
    </row>
    <row r="94" spans="2:11" x14ac:dyDescent="0.25">
      <c r="B94" s="14" t="s">
        <v>978</v>
      </c>
      <c r="D94" s="38">
        <f>I93</f>
        <v>0.64334210998624619</v>
      </c>
      <c r="H94" s="38">
        <v>1.4903089197900554E-3</v>
      </c>
      <c r="I94" s="38">
        <v>0.33369381928209485</v>
      </c>
    </row>
    <row r="95" spans="2:11" x14ac:dyDescent="0.25">
      <c r="B95" s="14" t="s">
        <v>979</v>
      </c>
      <c r="D95" s="39">
        <f>H95</f>
        <v>0.93966458824230092</v>
      </c>
      <c r="H95" s="38">
        <v>0.93966458824230092</v>
      </c>
      <c r="I95" s="38">
        <v>425.89367349818946</v>
      </c>
    </row>
    <row r="96" spans="2:11" x14ac:dyDescent="0.25">
      <c r="H96" s="38"/>
      <c r="I96" s="38"/>
    </row>
    <row r="97" spans="1:13" x14ac:dyDescent="0.25">
      <c r="B97" s="26" t="s">
        <v>980</v>
      </c>
      <c r="C97" s="40"/>
    </row>
    <row r="98" spans="1:13" x14ac:dyDescent="0.25">
      <c r="C98" s="40"/>
    </row>
    <row r="99" spans="1:13" x14ac:dyDescent="0.25">
      <c r="B99" s="14" t="s">
        <v>981</v>
      </c>
      <c r="C99" s="40"/>
      <c r="D99" s="35">
        <f>E89</f>
        <v>3157727</v>
      </c>
    </row>
    <row r="100" spans="1:13" x14ac:dyDescent="0.25">
      <c r="B100" s="14" t="s">
        <v>982</v>
      </c>
      <c r="C100" s="40"/>
      <c r="D100" s="41">
        <f>D94</f>
        <v>0.64334210998624619</v>
      </c>
      <c r="E100" s="27"/>
      <c r="F100" s="28"/>
    </row>
    <row r="101" spans="1:13" x14ac:dyDescent="0.25">
      <c r="B101" s="14" t="s">
        <v>983</v>
      </c>
      <c r="C101" s="40"/>
      <c r="D101" s="41">
        <f>MIN(F65:F88)</f>
        <v>0.66204196074639854</v>
      </c>
    </row>
    <row r="102" spans="1:13" x14ac:dyDescent="0.25">
      <c r="B102" s="14" t="s">
        <v>984</v>
      </c>
      <c r="C102" s="40"/>
      <c r="D102" s="213" t="s">
        <v>991</v>
      </c>
    </row>
    <row r="103" spans="1:13" x14ac:dyDescent="0.25">
      <c r="B103" s="14" t="s">
        <v>985</v>
      </c>
      <c r="C103" s="40"/>
      <c r="D103" s="42">
        <f>IF(D102="Z",D99*D100,D99*D101)</f>
        <v>2031498.7509405392</v>
      </c>
    </row>
    <row r="104" spans="1:13" x14ac:dyDescent="0.25">
      <c r="B104" s="14" t="s">
        <v>986</v>
      </c>
      <c r="C104" s="40"/>
      <c r="D104" s="42">
        <f>D89</f>
        <v>10742285.360000001</v>
      </c>
    </row>
    <row r="105" spans="1:13" x14ac:dyDescent="0.25">
      <c r="B105" s="14" t="s">
        <v>987</v>
      </c>
      <c r="C105" s="40"/>
      <c r="D105" s="43">
        <f>D103/D104</f>
        <v>0.18911234275203978</v>
      </c>
    </row>
    <row r="106" spans="1:13" x14ac:dyDescent="0.25">
      <c r="B106" s="14" t="s">
        <v>988</v>
      </c>
      <c r="C106" s="40"/>
      <c r="D106" s="44">
        <f>D105</f>
        <v>0.18911234275203978</v>
      </c>
    </row>
    <row r="107" spans="1:13" x14ac:dyDescent="0.25">
      <c r="B107" s="14" t="s">
        <v>989</v>
      </c>
      <c r="C107" s="40"/>
      <c r="D107" s="45">
        <f>1-D106</f>
        <v>0.81088765724796019</v>
      </c>
    </row>
    <row r="109" spans="1:13" x14ac:dyDescent="0.25">
      <c r="A109" s="13" t="s">
        <v>993</v>
      </c>
      <c r="B109" s="15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</row>
    <row r="110" spans="1:13" x14ac:dyDescent="0.25">
      <c r="F110" s="58" t="s">
        <v>965</v>
      </c>
      <c r="I110" s="58" t="s">
        <v>966</v>
      </c>
      <c r="L110" s="258" t="s">
        <v>994</v>
      </c>
      <c r="M110" s="258"/>
    </row>
    <row r="111" spans="1:13" x14ac:dyDescent="0.25">
      <c r="C111" s="16"/>
      <c r="D111" s="58"/>
      <c r="E111" s="17"/>
      <c r="F111" s="58" t="s">
        <v>967</v>
      </c>
      <c r="H111" s="58"/>
      <c r="I111" s="58"/>
      <c r="J111" s="58"/>
      <c r="K111" s="58"/>
    </row>
    <row r="112" spans="1:13" x14ac:dyDescent="0.25">
      <c r="B112" s="18" t="s">
        <v>6</v>
      </c>
      <c r="C112" s="19" t="s">
        <v>968</v>
      </c>
      <c r="D112" s="161" t="s">
        <v>969</v>
      </c>
      <c r="E112" s="20" t="s">
        <v>970</v>
      </c>
      <c r="F112" s="161" t="s">
        <v>971</v>
      </c>
      <c r="H112" s="21" t="s">
        <v>972</v>
      </c>
      <c r="I112" s="21" t="s">
        <v>973</v>
      </c>
      <c r="J112" s="21" t="s">
        <v>974</v>
      </c>
      <c r="K112" s="22"/>
      <c r="L112" s="20" t="s">
        <v>995</v>
      </c>
      <c r="M112" s="29" t="s">
        <v>996</v>
      </c>
    </row>
    <row r="113" spans="2:13" x14ac:dyDescent="0.25">
      <c r="B113" s="14" t="s">
        <v>1102</v>
      </c>
      <c r="C113" s="24">
        <v>1</v>
      </c>
      <c r="D113" s="41">
        <v>41455.51</v>
      </c>
      <c r="E113" s="23">
        <v>83</v>
      </c>
      <c r="F113" s="24">
        <f t="shared" ref="F113:F147" si="15">D113/E113</f>
        <v>499.46397590361448</v>
      </c>
      <c r="G113" s="35"/>
      <c r="H113" s="24">
        <f t="shared" ref="H113:H147" si="16">F113*E113^0.5</f>
        <v>4550.3333776452082</v>
      </c>
      <c r="I113" s="24">
        <f t="shared" ref="I113:I147" si="17">E113^0.5</f>
        <v>9.1104335791442992</v>
      </c>
      <c r="J113" s="24">
        <f t="shared" ref="J113:J147" si="18">C113*E113^0.5</f>
        <v>9.1104335791442992</v>
      </c>
      <c r="K113" s="24"/>
      <c r="L113" s="28">
        <f>IF(C113&gt;50,0,1)</f>
        <v>1</v>
      </c>
      <c r="M113" s="35">
        <f t="shared" ref="M113:M147" si="19">L113*E113</f>
        <v>83</v>
      </c>
    </row>
    <row r="114" spans="2:13" x14ac:dyDescent="0.25">
      <c r="B114" s="14" t="s">
        <v>1103</v>
      </c>
      <c r="C114" s="24">
        <v>1.5</v>
      </c>
      <c r="D114" s="24">
        <v>322794.73</v>
      </c>
      <c r="E114" s="23">
        <v>384</v>
      </c>
      <c r="F114" s="24">
        <f t="shared" si="15"/>
        <v>840.61127604166666</v>
      </c>
      <c r="G114" s="35"/>
      <c r="H114" s="24">
        <f t="shared" si="16"/>
        <v>16472.549586655528</v>
      </c>
      <c r="I114" s="24">
        <f t="shared" si="17"/>
        <v>19.595917942265423</v>
      </c>
      <c r="J114" s="24">
        <f t="shared" si="18"/>
        <v>29.393876913398135</v>
      </c>
      <c r="K114" s="24"/>
      <c r="L114" s="28">
        <f t="shared" ref="L114:L147" si="20">IF(C114&gt;50,0,1)</f>
        <v>1</v>
      </c>
      <c r="M114" s="35">
        <f t="shared" si="19"/>
        <v>384</v>
      </c>
    </row>
    <row r="115" spans="2:13" x14ac:dyDescent="0.25">
      <c r="B115" s="14" t="s">
        <v>1151</v>
      </c>
      <c r="C115" s="24">
        <v>10</v>
      </c>
      <c r="D115" s="24">
        <v>10064.549999999999</v>
      </c>
      <c r="E115" s="23">
        <v>9</v>
      </c>
      <c r="F115" s="24">
        <f t="shared" ref="F115" si="21">D115/E115</f>
        <v>1118.2833333333333</v>
      </c>
      <c r="G115" s="35"/>
      <c r="H115" s="24">
        <f t="shared" ref="H115" si="22">F115*E115^0.5</f>
        <v>3354.85</v>
      </c>
      <c r="I115" s="24">
        <f t="shared" ref="I115" si="23">E115^0.5</f>
        <v>3</v>
      </c>
      <c r="J115" s="24">
        <f t="shared" ref="J115" si="24">C115*E115^0.5</f>
        <v>30</v>
      </c>
      <c r="K115" s="24"/>
      <c r="L115" s="28">
        <f t="shared" ref="L115" si="25">IF(C115&gt;50,0,1)</f>
        <v>1</v>
      </c>
      <c r="M115" s="35">
        <f t="shared" ref="M115" si="26">L115*E115</f>
        <v>9</v>
      </c>
    </row>
    <row r="116" spans="2:13" x14ac:dyDescent="0.25">
      <c r="B116" s="14" t="s">
        <v>1104</v>
      </c>
      <c r="C116" s="24">
        <v>15</v>
      </c>
      <c r="D116" s="24">
        <v>7011317.2000000002</v>
      </c>
      <c r="E116" s="23">
        <v>8523</v>
      </c>
      <c r="F116" s="24">
        <f t="shared" si="15"/>
        <v>822.63489381673116</v>
      </c>
      <c r="G116" s="35"/>
      <c r="H116" s="24">
        <f t="shared" si="16"/>
        <v>75945.731811191479</v>
      </c>
      <c r="I116" s="24">
        <f t="shared" si="17"/>
        <v>92.320095320574708</v>
      </c>
      <c r="J116" s="24">
        <f t="shared" si="18"/>
        <v>1384.8014298086207</v>
      </c>
      <c r="K116" s="24"/>
      <c r="L116" s="28">
        <f t="shared" si="20"/>
        <v>1</v>
      </c>
      <c r="M116" s="35">
        <f t="shared" si="19"/>
        <v>8523</v>
      </c>
    </row>
    <row r="117" spans="2:13" x14ac:dyDescent="0.25">
      <c r="B117" s="14" t="s">
        <v>1105</v>
      </c>
      <c r="C117" s="24">
        <v>25</v>
      </c>
      <c r="D117" s="24">
        <v>2809011.21</v>
      </c>
      <c r="E117" s="23">
        <v>3257</v>
      </c>
      <c r="F117" s="24">
        <f t="shared" si="15"/>
        <v>862.45354927847711</v>
      </c>
      <c r="G117" s="35"/>
      <c r="H117" s="24">
        <f t="shared" si="16"/>
        <v>49220.338154339508</v>
      </c>
      <c r="I117" s="24">
        <f t="shared" si="17"/>
        <v>57.070132293521098</v>
      </c>
      <c r="J117" s="24">
        <f t="shared" si="18"/>
        <v>1426.7533073380275</v>
      </c>
      <c r="K117" s="24"/>
      <c r="L117" s="28">
        <f t="shared" si="20"/>
        <v>1</v>
      </c>
      <c r="M117" s="35">
        <f t="shared" si="19"/>
        <v>3257</v>
      </c>
    </row>
    <row r="118" spans="2:13" x14ac:dyDescent="0.25">
      <c r="B118" s="14" t="s">
        <v>1107</v>
      </c>
      <c r="C118" s="24">
        <v>37.5</v>
      </c>
      <c r="D118" s="24">
        <v>840972.16</v>
      </c>
      <c r="E118" s="23">
        <v>718</v>
      </c>
      <c r="F118" s="24">
        <f t="shared" si="15"/>
        <v>1171.2704178272982</v>
      </c>
      <c r="G118" s="35"/>
      <c r="H118" s="24">
        <f t="shared" si="16"/>
        <v>31384.802265178052</v>
      </c>
      <c r="I118" s="24">
        <f t="shared" si="17"/>
        <v>26.795522013948524</v>
      </c>
      <c r="J118" s="24">
        <f t="shared" si="18"/>
        <v>1004.8320755230696</v>
      </c>
      <c r="K118" s="24"/>
      <c r="L118" s="28">
        <f t="shared" si="20"/>
        <v>1</v>
      </c>
      <c r="M118" s="35">
        <f t="shared" si="19"/>
        <v>718</v>
      </c>
    </row>
    <row r="119" spans="2:13" x14ac:dyDescent="0.25">
      <c r="B119" s="14" t="s">
        <v>1106</v>
      </c>
      <c r="C119" s="24">
        <v>50</v>
      </c>
      <c r="D119" s="24">
        <v>502801.2</v>
      </c>
      <c r="E119" s="23">
        <v>415</v>
      </c>
      <c r="F119" s="24">
        <f t="shared" si="15"/>
        <v>1211.5691566265061</v>
      </c>
      <c r="G119" s="35"/>
      <c r="H119" s="24">
        <f t="shared" si="16"/>
        <v>24681.540183602709</v>
      </c>
      <c r="I119" s="24">
        <f t="shared" si="17"/>
        <v>20.371548787463361</v>
      </c>
      <c r="J119" s="24">
        <f t="shared" si="18"/>
        <v>1018.5774393731681</v>
      </c>
      <c r="K119" s="24"/>
      <c r="L119" s="28">
        <f t="shared" si="20"/>
        <v>1</v>
      </c>
      <c r="M119" s="35">
        <f t="shared" si="19"/>
        <v>415</v>
      </c>
    </row>
    <row r="120" spans="2:13" x14ac:dyDescent="0.25">
      <c r="B120" s="14" t="s">
        <v>1108</v>
      </c>
      <c r="C120" s="24">
        <v>75</v>
      </c>
      <c r="D120" s="24">
        <v>240995.39</v>
      </c>
      <c r="E120" s="23">
        <v>152</v>
      </c>
      <c r="F120" s="24">
        <f t="shared" si="15"/>
        <v>1585.4959868421054</v>
      </c>
      <c r="G120" s="35"/>
      <c r="H120" s="24">
        <f t="shared" si="16"/>
        <v>19547.307325881178</v>
      </c>
      <c r="I120" s="24">
        <f t="shared" si="17"/>
        <v>12.328828005937952</v>
      </c>
      <c r="J120" s="24">
        <f t="shared" si="18"/>
        <v>924.66210044534637</v>
      </c>
      <c r="K120" s="24"/>
      <c r="L120" s="28">
        <f t="shared" si="20"/>
        <v>0</v>
      </c>
      <c r="M120" s="35">
        <f t="shared" si="19"/>
        <v>0</v>
      </c>
    </row>
    <row r="121" spans="2:13" x14ac:dyDescent="0.25">
      <c r="B121" s="14" t="s">
        <v>1109</v>
      </c>
      <c r="C121" s="24">
        <v>100</v>
      </c>
      <c r="D121" s="24">
        <v>157600.5</v>
      </c>
      <c r="E121" s="23">
        <v>83</v>
      </c>
      <c r="F121" s="24">
        <f t="shared" si="15"/>
        <v>1898.801204819277</v>
      </c>
      <c r="G121" s="35"/>
      <c r="H121" s="24">
        <f t="shared" si="16"/>
        <v>17298.902256505193</v>
      </c>
      <c r="I121" s="24">
        <f t="shared" si="17"/>
        <v>9.1104335791442992</v>
      </c>
      <c r="J121" s="24">
        <f t="shared" si="18"/>
        <v>911.04335791442986</v>
      </c>
      <c r="K121" s="24"/>
      <c r="L121" s="28">
        <f t="shared" si="20"/>
        <v>0</v>
      </c>
      <c r="M121" s="35">
        <f t="shared" si="19"/>
        <v>0</v>
      </c>
    </row>
    <row r="122" spans="2:13" x14ac:dyDescent="0.25">
      <c r="B122" s="14" t="s">
        <v>1110</v>
      </c>
      <c r="C122" s="24">
        <v>167</v>
      </c>
      <c r="D122" s="24">
        <v>229085.76</v>
      </c>
      <c r="E122" s="23">
        <v>77</v>
      </c>
      <c r="F122" s="24">
        <f t="shared" si="15"/>
        <v>2975.1397402597404</v>
      </c>
      <c r="G122" s="35"/>
      <c r="H122" s="24">
        <f t="shared" si="16"/>
        <v>26106.745268294271</v>
      </c>
      <c r="I122" s="24">
        <f t="shared" si="17"/>
        <v>8.7749643873921226</v>
      </c>
      <c r="J122" s="24">
        <f t="shared" si="18"/>
        <v>1465.4190526944844</v>
      </c>
      <c r="K122" s="24"/>
      <c r="L122" s="28">
        <f t="shared" si="20"/>
        <v>0</v>
      </c>
      <c r="M122" s="35">
        <f t="shared" si="19"/>
        <v>0</v>
      </c>
    </row>
    <row r="123" spans="2:13" x14ac:dyDescent="0.25">
      <c r="B123" s="14" t="s">
        <v>1111</v>
      </c>
      <c r="C123" s="24">
        <v>350</v>
      </c>
      <c r="D123" s="24">
        <v>149648.22</v>
      </c>
      <c r="E123" s="23">
        <v>35</v>
      </c>
      <c r="F123" s="24">
        <f t="shared" si="15"/>
        <v>4275.663428571429</v>
      </c>
      <c r="G123" s="35"/>
      <c r="H123" s="24">
        <f t="shared" si="16"/>
        <v>25295.165969109821</v>
      </c>
      <c r="I123" s="24">
        <f t="shared" si="17"/>
        <v>5.9160797830996161</v>
      </c>
      <c r="J123" s="24">
        <f t="shared" si="18"/>
        <v>2070.6279240848658</v>
      </c>
      <c r="K123" s="24"/>
      <c r="L123" s="28">
        <f t="shared" si="20"/>
        <v>0</v>
      </c>
      <c r="M123" s="35">
        <f t="shared" si="19"/>
        <v>0</v>
      </c>
    </row>
    <row r="124" spans="2:13" x14ac:dyDescent="0.25">
      <c r="B124" s="14" t="s">
        <v>1112</v>
      </c>
      <c r="C124" s="24">
        <v>333</v>
      </c>
      <c r="D124" s="24">
        <v>99631.71</v>
      </c>
      <c r="E124" s="23">
        <v>21</v>
      </c>
      <c r="F124" s="24">
        <f t="shared" si="15"/>
        <v>4744.3671428571433</v>
      </c>
      <c r="G124" s="35"/>
      <c r="H124" s="24">
        <f t="shared" si="16"/>
        <v>21741.421556804227</v>
      </c>
      <c r="I124" s="24">
        <f t="shared" si="17"/>
        <v>4.5825756949558398</v>
      </c>
      <c r="J124" s="24">
        <f t="shared" si="18"/>
        <v>1525.9977064202947</v>
      </c>
      <c r="K124" s="24"/>
      <c r="L124" s="28">
        <f t="shared" si="20"/>
        <v>0</v>
      </c>
      <c r="M124" s="35">
        <f t="shared" si="19"/>
        <v>0</v>
      </c>
    </row>
    <row r="125" spans="2:13" x14ac:dyDescent="0.25">
      <c r="B125" s="14" t="s">
        <v>1113</v>
      </c>
      <c r="C125" s="24">
        <v>500</v>
      </c>
      <c r="D125" s="24">
        <v>17453.37</v>
      </c>
      <c r="E125" s="23">
        <v>3</v>
      </c>
      <c r="F125" s="24">
        <f t="shared" si="15"/>
        <v>5817.79</v>
      </c>
      <c r="G125" s="35"/>
      <c r="H125" s="24">
        <f t="shared" si="16"/>
        <v>10076.707867766137</v>
      </c>
      <c r="I125" s="24">
        <f t="shared" si="17"/>
        <v>1.7320508075688772</v>
      </c>
      <c r="J125" s="24">
        <f t="shared" si="18"/>
        <v>866.02540378443859</v>
      </c>
      <c r="K125" s="24"/>
      <c r="L125" s="28">
        <f t="shared" si="20"/>
        <v>0</v>
      </c>
      <c r="M125" s="35">
        <f t="shared" si="19"/>
        <v>0</v>
      </c>
    </row>
    <row r="126" spans="2:13" x14ac:dyDescent="0.25">
      <c r="B126" s="14" t="s">
        <v>1114</v>
      </c>
      <c r="C126" s="24">
        <v>833</v>
      </c>
      <c r="D126" s="24">
        <v>54832</v>
      </c>
      <c r="E126" s="23">
        <v>4</v>
      </c>
      <c r="F126" s="24">
        <f t="shared" si="15"/>
        <v>13708</v>
      </c>
      <c r="G126" s="35"/>
      <c r="H126" s="24">
        <f t="shared" si="16"/>
        <v>27416</v>
      </c>
      <c r="I126" s="24">
        <f t="shared" si="17"/>
        <v>2</v>
      </c>
      <c r="J126" s="24">
        <f t="shared" si="18"/>
        <v>1666</v>
      </c>
      <c r="K126" s="24"/>
      <c r="L126" s="28">
        <f t="shared" si="20"/>
        <v>0</v>
      </c>
      <c r="M126" s="35">
        <f t="shared" si="19"/>
        <v>0</v>
      </c>
    </row>
    <row r="127" spans="2:13" x14ac:dyDescent="0.25">
      <c r="B127" s="14" t="s">
        <v>1115</v>
      </c>
      <c r="C127" s="24">
        <v>10</v>
      </c>
      <c r="D127" s="24">
        <v>156911.20000000001</v>
      </c>
      <c r="E127" s="23">
        <v>840</v>
      </c>
      <c r="F127" s="24">
        <f t="shared" si="15"/>
        <v>186.79904761904763</v>
      </c>
      <c r="G127" s="35"/>
      <c r="H127" s="24">
        <f t="shared" si="16"/>
        <v>5413.9507497540008</v>
      </c>
      <c r="I127" s="24">
        <f t="shared" si="17"/>
        <v>28.982753492378876</v>
      </c>
      <c r="J127" s="24">
        <f t="shared" si="18"/>
        <v>289.82753492378879</v>
      </c>
      <c r="K127" s="24"/>
      <c r="L127" s="28">
        <f t="shared" si="20"/>
        <v>1</v>
      </c>
      <c r="M127" s="35">
        <f t="shared" si="19"/>
        <v>840</v>
      </c>
    </row>
    <row r="128" spans="2:13" x14ac:dyDescent="0.25">
      <c r="B128" s="14" t="s">
        <v>1116</v>
      </c>
      <c r="C128" s="24">
        <v>15</v>
      </c>
      <c r="D128" s="24">
        <v>456186.32</v>
      </c>
      <c r="E128" s="23">
        <v>1733</v>
      </c>
      <c r="F128" s="24">
        <f t="shared" si="15"/>
        <v>263.23503750721295</v>
      </c>
      <c r="G128" s="35"/>
      <c r="H128" s="24">
        <f t="shared" si="16"/>
        <v>10958.294714757287</v>
      </c>
      <c r="I128" s="24">
        <f t="shared" si="17"/>
        <v>41.629316592997299</v>
      </c>
      <c r="J128" s="24">
        <f t="shared" si="18"/>
        <v>624.43974889495951</v>
      </c>
      <c r="K128" s="24"/>
      <c r="L128" s="28">
        <f t="shared" si="20"/>
        <v>1</v>
      </c>
      <c r="M128" s="35">
        <f t="shared" si="19"/>
        <v>1733</v>
      </c>
    </row>
    <row r="129" spans="2:13" x14ac:dyDescent="0.25">
      <c r="B129" s="14" t="s">
        <v>1117</v>
      </c>
      <c r="C129" s="24">
        <v>25</v>
      </c>
      <c r="D129" s="24">
        <v>275830.82</v>
      </c>
      <c r="E129" s="23">
        <v>843</v>
      </c>
      <c r="F129" s="24">
        <f t="shared" si="15"/>
        <v>327.20144721233692</v>
      </c>
      <c r="G129" s="35"/>
      <c r="H129" s="24">
        <f t="shared" si="16"/>
        <v>9500.1180776749097</v>
      </c>
      <c r="I129" s="24">
        <f t="shared" si="17"/>
        <v>29.03446228191595</v>
      </c>
      <c r="J129" s="24">
        <f t="shared" si="18"/>
        <v>725.86155704789871</v>
      </c>
      <c r="K129" s="24"/>
      <c r="L129" s="28">
        <f t="shared" si="20"/>
        <v>1</v>
      </c>
      <c r="M129" s="35">
        <f t="shared" si="19"/>
        <v>843</v>
      </c>
    </row>
    <row r="130" spans="2:13" x14ac:dyDescent="0.25">
      <c r="B130" s="14" t="s">
        <v>1118</v>
      </c>
      <c r="C130" s="24">
        <v>37.5</v>
      </c>
      <c r="D130" s="24">
        <v>33366.49</v>
      </c>
      <c r="E130" s="23">
        <v>84</v>
      </c>
      <c r="F130" s="24">
        <f t="shared" si="15"/>
        <v>397.22011904761905</v>
      </c>
      <c r="G130" s="35"/>
      <c r="H130" s="24">
        <f t="shared" si="16"/>
        <v>3640.5825261901687</v>
      </c>
      <c r="I130" s="24">
        <f t="shared" si="17"/>
        <v>9.1651513899116797</v>
      </c>
      <c r="J130" s="24">
        <f t="shared" si="18"/>
        <v>343.693177121688</v>
      </c>
      <c r="K130" s="24"/>
      <c r="L130" s="28">
        <f t="shared" si="20"/>
        <v>1</v>
      </c>
      <c r="M130" s="35">
        <f t="shared" si="19"/>
        <v>84</v>
      </c>
    </row>
    <row r="131" spans="2:13" x14ac:dyDescent="0.25">
      <c r="B131" s="14" t="s">
        <v>1119</v>
      </c>
      <c r="C131" s="24">
        <v>25</v>
      </c>
      <c r="D131" s="24">
        <v>3511565.69</v>
      </c>
      <c r="E131" s="23">
        <v>2766</v>
      </c>
      <c r="F131" s="24">
        <f t="shared" si="15"/>
        <v>1269.5465256688358</v>
      </c>
      <c r="H131" s="24">
        <f t="shared" si="16"/>
        <v>66768.974991363983</v>
      </c>
      <c r="I131" s="24">
        <f t="shared" si="17"/>
        <v>52.592775169218825</v>
      </c>
      <c r="J131" s="24">
        <f t="shared" si="18"/>
        <v>1314.8193792304705</v>
      </c>
      <c r="K131" s="24"/>
      <c r="L131" s="28">
        <f t="shared" si="20"/>
        <v>1</v>
      </c>
      <c r="M131" s="35">
        <f t="shared" si="19"/>
        <v>2766</v>
      </c>
    </row>
    <row r="132" spans="2:13" x14ac:dyDescent="0.25">
      <c r="B132" s="14" t="s">
        <v>1120</v>
      </c>
      <c r="C132" s="24">
        <v>37.5</v>
      </c>
      <c r="D132" s="24">
        <v>174341.26</v>
      </c>
      <c r="E132" s="23">
        <v>111</v>
      </c>
      <c r="F132" s="24">
        <f t="shared" si="15"/>
        <v>1570.6419819819821</v>
      </c>
      <c r="G132" s="35"/>
      <c r="H132" s="24">
        <f t="shared" si="16"/>
        <v>16547.740091856533</v>
      </c>
      <c r="I132" s="24">
        <f t="shared" si="17"/>
        <v>10.535653752852738</v>
      </c>
      <c r="J132" s="24">
        <f t="shared" si="18"/>
        <v>395.08701573197766</v>
      </c>
      <c r="K132" s="24"/>
      <c r="L132" s="28">
        <f t="shared" si="20"/>
        <v>1</v>
      </c>
      <c r="M132" s="35">
        <f t="shared" si="19"/>
        <v>111</v>
      </c>
    </row>
    <row r="133" spans="2:13" x14ac:dyDescent="0.25">
      <c r="B133" s="14" t="s">
        <v>1121</v>
      </c>
      <c r="C133" s="24">
        <v>50</v>
      </c>
      <c r="D133" s="24">
        <v>860378.08</v>
      </c>
      <c r="E133" s="23">
        <v>680</v>
      </c>
      <c r="F133" s="24">
        <f t="shared" si="15"/>
        <v>1265.261882352941</v>
      </c>
      <c r="G133" s="35"/>
      <c r="H133" s="24">
        <f t="shared" si="16"/>
        <v>32993.993226586099</v>
      </c>
      <c r="I133" s="24">
        <f t="shared" si="17"/>
        <v>26.076809620810597</v>
      </c>
      <c r="J133" s="24">
        <f t="shared" si="18"/>
        <v>1303.8404810405298</v>
      </c>
      <c r="K133" s="24"/>
      <c r="L133" s="28">
        <f t="shared" si="20"/>
        <v>1</v>
      </c>
      <c r="M133" s="35">
        <f t="shared" si="19"/>
        <v>680</v>
      </c>
    </row>
    <row r="134" spans="2:13" x14ac:dyDescent="0.25">
      <c r="B134" s="14" t="s">
        <v>1122</v>
      </c>
      <c r="C134" s="24">
        <v>75</v>
      </c>
      <c r="D134" s="24">
        <v>614970.47</v>
      </c>
      <c r="E134" s="23">
        <v>200</v>
      </c>
      <c r="F134" s="24">
        <f t="shared" si="15"/>
        <v>3074.8523499999997</v>
      </c>
      <c r="G134" s="35"/>
      <c r="H134" s="24">
        <f t="shared" si="16"/>
        <v>43484.978956647828</v>
      </c>
      <c r="I134" s="24">
        <f t="shared" si="17"/>
        <v>14.142135623730951</v>
      </c>
      <c r="J134" s="24">
        <f t="shared" si="18"/>
        <v>1060.6601717798212</v>
      </c>
      <c r="K134" s="24"/>
      <c r="L134" s="28">
        <f t="shared" si="20"/>
        <v>0</v>
      </c>
      <c r="M134" s="35">
        <f t="shared" si="19"/>
        <v>0</v>
      </c>
    </row>
    <row r="135" spans="2:13" x14ac:dyDescent="0.25">
      <c r="B135" s="14" t="s">
        <v>1123</v>
      </c>
      <c r="C135" s="24">
        <v>100</v>
      </c>
      <c r="D135" s="24">
        <v>167802.46</v>
      </c>
      <c r="E135" s="23">
        <v>72</v>
      </c>
      <c r="F135" s="24">
        <f t="shared" si="15"/>
        <v>2330.589722222222</v>
      </c>
      <c r="G135" s="35"/>
      <c r="H135" s="24">
        <f t="shared" si="16"/>
        <v>19775.709560964064</v>
      </c>
      <c r="I135" s="24">
        <f t="shared" si="17"/>
        <v>8.4852813742385695</v>
      </c>
      <c r="J135" s="24">
        <f t="shared" si="18"/>
        <v>848.52813742385695</v>
      </c>
      <c r="K135" s="24"/>
      <c r="L135" s="28">
        <f t="shared" si="20"/>
        <v>0</v>
      </c>
      <c r="M135" s="35">
        <f t="shared" si="19"/>
        <v>0</v>
      </c>
    </row>
    <row r="136" spans="2:13" x14ac:dyDescent="0.25">
      <c r="B136" s="14" t="s">
        <v>1124</v>
      </c>
      <c r="C136" s="24">
        <v>150</v>
      </c>
      <c r="D136" s="24">
        <v>102064.52</v>
      </c>
      <c r="E136" s="23">
        <v>15</v>
      </c>
      <c r="F136" s="24">
        <f t="shared" si="15"/>
        <v>6804.3013333333338</v>
      </c>
      <c r="H136" s="24">
        <f t="shared" si="16"/>
        <v>26352.945746576923</v>
      </c>
      <c r="I136" s="24">
        <f t="shared" si="17"/>
        <v>3.872983346207417</v>
      </c>
      <c r="J136" s="24">
        <f t="shared" si="18"/>
        <v>580.94750193111258</v>
      </c>
      <c r="K136" s="24"/>
      <c r="L136" s="28">
        <f t="shared" si="20"/>
        <v>0</v>
      </c>
      <c r="M136" s="35">
        <f t="shared" si="19"/>
        <v>0</v>
      </c>
    </row>
    <row r="137" spans="2:13" x14ac:dyDescent="0.25">
      <c r="B137" s="14" t="s">
        <v>1125</v>
      </c>
      <c r="C137" s="24">
        <v>167</v>
      </c>
      <c r="D137" s="24">
        <v>264100.2</v>
      </c>
      <c r="E137" s="23">
        <v>94</v>
      </c>
      <c r="F137" s="24">
        <f t="shared" si="15"/>
        <v>2809.5765957446811</v>
      </c>
      <c r="G137" s="46"/>
      <c r="H137" s="24">
        <f t="shared" si="16"/>
        <v>27239.855742119664</v>
      </c>
      <c r="I137" s="24">
        <f t="shared" si="17"/>
        <v>9.6953597148326587</v>
      </c>
      <c r="J137" s="24">
        <f t="shared" si="18"/>
        <v>1619.125072377054</v>
      </c>
      <c r="K137" s="24"/>
      <c r="L137" s="28">
        <f t="shared" si="20"/>
        <v>0</v>
      </c>
      <c r="M137" s="35">
        <f t="shared" si="19"/>
        <v>0</v>
      </c>
    </row>
    <row r="138" spans="2:13" x14ac:dyDescent="0.25">
      <c r="B138" s="14" t="s">
        <v>1126</v>
      </c>
      <c r="C138" s="24">
        <v>113.5</v>
      </c>
      <c r="D138" s="24">
        <v>251532.77</v>
      </c>
      <c r="E138" s="23">
        <v>46</v>
      </c>
      <c r="F138" s="24">
        <f t="shared" si="15"/>
        <v>5468.1036956521739</v>
      </c>
      <c r="G138" s="35"/>
      <c r="H138" s="24">
        <f t="shared" si="16"/>
        <v>37086.483645859822</v>
      </c>
      <c r="I138" s="24">
        <f t="shared" si="17"/>
        <v>6.7823299831252681</v>
      </c>
      <c r="J138" s="24">
        <f t="shared" si="18"/>
        <v>769.79445308471793</v>
      </c>
      <c r="K138" s="24"/>
      <c r="L138" s="28">
        <f t="shared" si="20"/>
        <v>0</v>
      </c>
      <c r="M138" s="35">
        <f t="shared" si="19"/>
        <v>0</v>
      </c>
    </row>
    <row r="139" spans="2:13" x14ac:dyDescent="0.25">
      <c r="B139" s="14" t="s">
        <v>1127</v>
      </c>
      <c r="C139" s="24">
        <v>225</v>
      </c>
      <c r="D139" s="24">
        <v>304351.65000000002</v>
      </c>
      <c r="E139" s="23">
        <v>50</v>
      </c>
      <c r="F139" s="24">
        <f t="shared" ref="F139:F146" si="27">D139/E139</f>
        <v>6087.0330000000004</v>
      </c>
      <c r="H139" s="24">
        <f t="shared" ref="H139:H146" si="28">F139*E139^0.5</f>
        <v>43041.823116062944</v>
      </c>
      <c r="I139" s="24">
        <f t="shared" ref="I139:I146" si="29">E139^0.5</f>
        <v>7.0710678118654755</v>
      </c>
      <c r="J139" s="24">
        <f t="shared" ref="J139:J146" si="30">C139*E139^0.5</f>
        <v>1590.990257669732</v>
      </c>
      <c r="K139" s="24"/>
      <c r="L139" s="28">
        <f t="shared" si="20"/>
        <v>0</v>
      </c>
      <c r="M139" s="35">
        <f t="shared" ref="M139:M146" si="31">L139*E139</f>
        <v>0</v>
      </c>
    </row>
    <row r="140" spans="2:13" x14ac:dyDescent="0.25">
      <c r="B140" s="14" t="s">
        <v>1189</v>
      </c>
      <c r="C140" s="24">
        <v>250</v>
      </c>
      <c r="D140" s="24">
        <v>16479</v>
      </c>
      <c r="E140" s="23">
        <v>3</v>
      </c>
      <c r="F140" s="24">
        <f t="shared" ref="F140" si="32">D140/E140</f>
        <v>5493</v>
      </c>
      <c r="G140" s="35"/>
      <c r="H140" s="24">
        <f t="shared" ref="H140" si="33">F140*E140^0.5</f>
        <v>9514.1550859758427</v>
      </c>
      <c r="I140" s="24">
        <f t="shared" ref="I140" si="34">E140^0.5</f>
        <v>1.7320508075688772</v>
      </c>
      <c r="J140" s="24">
        <f t="shared" ref="J140" si="35">C140*E140^0.5</f>
        <v>433.0127018922193</v>
      </c>
      <c r="K140" s="24"/>
      <c r="L140" s="28">
        <f t="shared" ref="L140" si="36">IF(C140&gt;50,0,1)</f>
        <v>0</v>
      </c>
      <c r="M140" s="35">
        <f t="shared" ref="M140" si="37">L140*E140</f>
        <v>0</v>
      </c>
    </row>
    <row r="141" spans="2:13" x14ac:dyDescent="0.25">
      <c r="B141" s="14" t="s">
        <v>1128</v>
      </c>
      <c r="C141" s="24">
        <v>300</v>
      </c>
      <c r="D141" s="24">
        <v>584191.52</v>
      </c>
      <c r="E141" s="23">
        <v>85</v>
      </c>
      <c r="F141" s="24">
        <f t="shared" si="27"/>
        <v>6872.8414117647062</v>
      </c>
      <c r="G141" s="35"/>
      <c r="H141" s="24">
        <f t="shared" si="28"/>
        <v>63364.46694368832</v>
      </c>
      <c r="I141" s="24">
        <f t="shared" si="29"/>
        <v>9.2195444572928871</v>
      </c>
      <c r="J141" s="24">
        <f t="shared" si="30"/>
        <v>2765.8633371878659</v>
      </c>
      <c r="K141" s="24"/>
      <c r="L141" s="28">
        <f t="shared" si="20"/>
        <v>0</v>
      </c>
      <c r="M141" s="35">
        <f t="shared" si="31"/>
        <v>0</v>
      </c>
    </row>
    <row r="142" spans="2:13" x14ac:dyDescent="0.25">
      <c r="B142" s="14" t="s">
        <v>1129</v>
      </c>
      <c r="C142" s="24">
        <v>500</v>
      </c>
      <c r="D142" s="24">
        <v>547312.06000000006</v>
      </c>
      <c r="E142" s="23">
        <v>63</v>
      </c>
      <c r="F142" s="24">
        <f t="shared" si="27"/>
        <v>8687.4930158730167</v>
      </c>
      <c r="G142" s="35"/>
      <c r="H142" s="24">
        <f t="shared" si="28"/>
        <v>68954.838109831529</v>
      </c>
      <c r="I142" s="24">
        <f t="shared" si="29"/>
        <v>7.9372539331937721</v>
      </c>
      <c r="J142" s="24">
        <f t="shared" si="30"/>
        <v>3968.6269665968862</v>
      </c>
      <c r="K142" s="24"/>
      <c r="L142" s="28">
        <f t="shared" si="20"/>
        <v>0</v>
      </c>
      <c r="M142" s="35">
        <f t="shared" si="31"/>
        <v>0</v>
      </c>
    </row>
    <row r="143" spans="2:13" x14ac:dyDescent="0.25">
      <c r="B143" s="14" t="s">
        <v>1130</v>
      </c>
      <c r="C143" s="24">
        <v>750</v>
      </c>
      <c r="D143" s="24">
        <v>373452.4</v>
      </c>
      <c r="E143" s="23">
        <v>36</v>
      </c>
      <c r="F143" s="24">
        <f t="shared" si="27"/>
        <v>10373.677777777779</v>
      </c>
      <c r="G143" s="35"/>
      <c r="H143" s="24">
        <f t="shared" si="28"/>
        <v>62242.066666666673</v>
      </c>
      <c r="I143" s="24">
        <f t="shared" si="29"/>
        <v>6</v>
      </c>
      <c r="J143" s="24">
        <f t="shared" si="30"/>
        <v>4500</v>
      </c>
      <c r="K143" s="24"/>
      <c r="L143" s="28">
        <f t="shared" si="20"/>
        <v>0</v>
      </c>
      <c r="M143" s="35">
        <f t="shared" si="31"/>
        <v>0</v>
      </c>
    </row>
    <row r="144" spans="2:13" x14ac:dyDescent="0.25">
      <c r="B144" s="14" t="s">
        <v>1131</v>
      </c>
      <c r="C144" s="24">
        <v>1000</v>
      </c>
      <c r="D144" s="24">
        <v>269582.18</v>
      </c>
      <c r="E144" s="23">
        <v>17</v>
      </c>
      <c r="F144" s="24">
        <f t="shared" si="27"/>
        <v>15857.775294117646</v>
      </c>
      <c r="H144" s="24">
        <f t="shared" si="28"/>
        <v>65383.28252495722</v>
      </c>
      <c r="I144" s="24">
        <f t="shared" si="29"/>
        <v>4.1231056256176606</v>
      </c>
      <c r="J144" s="24">
        <f t="shared" si="30"/>
        <v>4123.1056256176607</v>
      </c>
      <c r="K144" s="24"/>
      <c r="L144" s="28">
        <f t="shared" si="20"/>
        <v>0</v>
      </c>
      <c r="M144" s="35">
        <f t="shared" si="31"/>
        <v>0</v>
      </c>
    </row>
    <row r="145" spans="2:13" x14ac:dyDescent="0.25">
      <c r="B145" s="14" t="s">
        <v>1132</v>
      </c>
      <c r="C145" s="24">
        <v>1500</v>
      </c>
      <c r="D145" s="24">
        <v>266110.65999999997</v>
      </c>
      <c r="E145" s="23">
        <v>15</v>
      </c>
      <c r="F145" s="24">
        <f t="shared" si="27"/>
        <v>17740.710666666666</v>
      </c>
      <c r="G145" s="35"/>
      <c r="H145" s="24">
        <f t="shared" si="28"/>
        <v>68709.476961884284</v>
      </c>
      <c r="I145" s="24">
        <f t="shared" si="29"/>
        <v>3.872983346207417</v>
      </c>
      <c r="J145" s="24">
        <f t="shared" si="30"/>
        <v>5809.4750193111258</v>
      </c>
      <c r="K145" s="24"/>
      <c r="L145" s="28">
        <f t="shared" ref="L145:L146" si="38">IF(C145&gt;50,0,1)</f>
        <v>0</v>
      </c>
      <c r="M145" s="35">
        <f t="shared" si="31"/>
        <v>0</v>
      </c>
    </row>
    <row r="146" spans="2:13" x14ac:dyDescent="0.25">
      <c r="B146" s="14" t="s">
        <v>1150</v>
      </c>
      <c r="C146" s="24">
        <v>2000</v>
      </c>
      <c r="D146" s="24">
        <v>48276.3</v>
      </c>
      <c r="E146" s="23">
        <v>2</v>
      </c>
      <c r="F146" s="24">
        <f t="shared" si="27"/>
        <v>24138.15</v>
      </c>
      <c r="G146" s="35"/>
      <c r="H146" s="24">
        <f t="shared" si="28"/>
        <v>34136.499100596127</v>
      </c>
      <c r="I146" s="24">
        <f t="shared" si="29"/>
        <v>1.4142135623730951</v>
      </c>
      <c r="J146" s="24">
        <f t="shared" si="30"/>
        <v>2828.4271247461902</v>
      </c>
      <c r="K146" s="24"/>
      <c r="L146" s="28">
        <f t="shared" si="38"/>
        <v>0</v>
      </c>
      <c r="M146" s="35">
        <f t="shared" si="31"/>
        <v>0</v>
      </c>
    </row>
    <row r="147" spans="2:13" x14ac:dyDescent="0.25">
      <c r="B147" s="14" t="s">
        <v>1190</v>
      </c>
      <c r="C147" s="24">
        <v>2500</v>
      </c>
      <c r="D147" s="24">
        <v>102927.12</v>
      </c>
      <c r="E147" s="23">
        <v>2</v>
      </c>
      <c r="F147" s="24">
        <f t="shared" si="15"/>
        <v>51463.56</v>
      </c>
      <c r="G147" s="35"/>
      <c r="H147" s="24">
        <f t="shared" si="16"/>
        <v>72780.464520001522</v>
      </c>
      <c r="I147" s="24">
        <f t="shared" si="17"/>
        <v>1.4142135623730951</v>
      </c>
      <c r="J147" s="24">
        <f t="shared" si="18"/>
        <v>3535.533905932738</v>
      </c>
      <c r="K147" s="24"/>
      <c r="L147" s="28">
        <f t="shared" si="20"/>
        <v>0</v>
      </c>
      <c r="M147" s="35">
        <f t="shared" si="19"/>
        <v>0</v>
      </c>
    </row>
    <row r="148" spans="2:13" x14ac:dyDescent="0.25">
      <c r="B148" s="25" t="s">
        <v>860</v>
      </c>
      <c r="D148" s="36">
        <f>SUM(D113:D147)</f>
        <v>21869396.679999996</v>
      </c>
      <c r="E148" s="37">
        <f>SUM(E113:E147)</f>
        <v>21521</v>
      </c>
      <c r="M148" s="37">
        <f>SUM(M113:M147)</f>
        <v>20446</v>
      </c>
    </row>
    <row r="150" spans="2:13" x14ac:dyDescent="0.25">
      <c r="B150" s="18" t="s">
        <v>975</v>
      </c>
      <c r="H150" s="257" t="s">
        <v>976</v>
      </c>
      <c r="I150" s="257"/>
    </row>
    <row r="152" spans="2:13" x14ac:dyDescent="0.25">
      <c r="B152" s="14" t="s">
        <v>977</v>
      </c>
      <c r="D152" s="38">
        <f>H152</f>
        <v>13.439585336470529</v>
      </c>
      <c r="H152" s="38">
        <f t="array" ref="H152:I154">LINEST(H113:H131,I113:J131,FALSE,TRUE)</f>
        <v>13.439585336470529</v>
      </c>
      <c r="I152" s="38">
        <v>548.1732517182752</v>
      </c>
    </row>
    <row r="153" spans="2:13" x14ac:dyDescent="0.25">
      <c r="B153" s="14" t="s">
        <v>978</v>
      </c>
      <c r="D153" s="38">
        <f>I152</f>
        <v>548.1732517182752</v>
      </c>
      <c r="H153" s="38">
        <v>2.5742516687569403</v>
      </c>
      <c r="I153" s="38">
        <v>86.897681942329982</v>
      </c>
    </row>
    <row r="154" spans="2:13" x14ac:dyDescent="0.25">
      <c r="B154" s="14" t="s">
        <v>979</v>
      </c>
      <c r="D154" s="39">
        <f>H154</f>
        <v>0.9187982785326122</v>
      </c>
      <c r="H154" s="38">
        <v>0.9187982785326122</v>
      </c>
      <c r="I154" s="38">
        <v>9305.2316032610124</v>
      </c>
    </row>
    <row r="155" spans="2:13" x14ac:dyDescent="0.25">
      <c r="H155" s="38"/>
      <c r="I155" s="38"/>
    </row>
    <row r="156" spans="2:13" x14ac:dyDescent="0.25">
      <c r="B156" s="26" t="s">
        <v>980</v>
      </c>
      <c r="C156" s="40"/>
    </row>
    <row r="157" spans="2:13" x14ac:dyDescent="0.25">
      <c r="C157" s="40"/>
      <c r="F157" s="31"/>
    </row>
    <row r="158" spans="2:13" x14ac:dyDescent="0.25">
      <c r="B158" s="14" t="s">
        <v>981</v>
      </c>
      <c r="C158" s="30" t="s">
        <v>997</v>
      </c>
      <c r="D158" s="35">
        <f>M148</f>
        <v>20446</v>
      </c>
      <c r="F158" s="31" t="s">
        <v>998</v>
      </c>
    </row>
    <row r="159" spans="2:13" x14ac:dyDescent="0.25">
      <c r="B159" s="14" t="s">
        <v>982</v>
      </c>
      <c r="C159" s="40"/>
      <c r="D159" s="41">
        <f>D153</f>
        <v>548.1732517182752</v>
      </c>
      <c r="E159" s="27"/>
      <c r="F159" s="31" t="s">
        <v>999</v>
      </c>
    </row>
    <row r="160" spans="2:13" x14ac:dyDescent="0.25">
      <c r="B160" s="14" t="s">
        <v>983</v>
      </c>
      <c r="C160" s="40"/>
      <c r="D160" s="41">
        <f>MIN(F113:F131)</f>
        <v>186.79904761904763</v>
      </c>
    </row>
    <row r="161" spans="1:12" x14ac:dyDescent="0.25">
      <c r="B161" s="14" t="s">
        <v>984</v>
      </c>
      <c r="C161" s="40"/>
      <c r="D161" s="213" t="s">
        <v>991</v>
      </c>
    </row>
    <row r="162" spans="1:12" x14ac:dyDescent="0.25">
      <c r="B162" s="14" t="s">
        <v>985</v>
      </c>
      <c r="C162" s="40"/>
      <c r="D162" s="42">
        <f>IF(D161="Z",D158*D159,D158*D160)</f>
        <v>11207950.304631855</v>
      </c>
    </row>
    <row r="163" spans="1:12" x14ac:dyDescent="0.25">
      <c r="B163" s="14" t="s">
        <v>986</v>
      </c>
      <c r="C163" s="40"/>
      <c r="D163" s="42">
        <f>D148</f>
        <v>21869396.679999996</v>
      </c>
    </row>
    <row r="164" spans="1:12" x14ac:dyDescent="0.25">
      <c r="B164" s="14" t="s">
        <v>987</v>
      </c>
      <c r="C164" s="40"/>
      <c r="D164" s="43">
        <f>D162/D163</f>
        <v>0.51249471892755738</v>
      </c>
    </row>
    <row r="165" spans="1:12" x14ac:dyDescent="0.25">
      <c r="B165" s="14" t="s">
        <v>988</v>
      </c>
      <c r="C165" s="40"/>
      <c r="D165" s="44">
        <f>D164</f>
        <v>0.51249471892755738</v>
      </c>
    </row>
    <row r="166" spans="1:12" x14ac:dyDescent="0.25">
      <c r="B166" s="14" t="s">
        <v>989</v>
      </c>
      <c r="C166" s="40"/>
      <c r="D166" s="45">
        <f>1-D165</f>
        <v>0.48750528107244262</v>
      </c>
    </row>
    <row r="168" spans="1:12" x14ac:dyDescent="0.25">
      <c r="B168" s="198" t="s">
        <v>860</v>
      </c>
      <c r="L168" s="14"/>
    </row>
    <row r="169" spans="1:12" x14ac:dyDescent="0.25">
      <c r="A169" s="13"/>
      <c r="L169" s="14"/>
    </row>
    <row r="170" spans="1:12" x14ac:dyDescent="0.25">
      <c r="A170" s="13"/>
      <c r="B170" s="198" t="s">
        <v>1000</v>
      </c>
      <c r="C170" s="63" t="s">
        <v>1001</v>
      </c>
      <c r="D170" s="199" t="s">
        <v>10</v>
      </c>
      <c r="E170" s="199" t="s">
        <v>12</v>
      </c>
      <c r="H170" s="63" t="s">
        <v>1149</v>
      </c>
      <c r="L170" s="14"/>
    </row>
    <row r="171" spans="1:12" x14ac:dyDescent="0.25">
      <c r="B171" s="14" t="s">
        <v>200</v>
      </c>
      <c r="C171" s="28">
        <v>365</v>
      </c>
      <c r="D171" s="39">
        <f>D59</f>
        <v>0.16407928737339361</v>
      </c>
      <c r="E171" s="39">
        <f>D58</f>
        <v>0.83592071262660639</v>
      </c>
      <c r="G171" s="211"/>
      <c r="H171" s="215" t="str">
        <f>D54</f>
        <v>Z</v>
      </c>
      <c r="L171" s="14"/>
    </row>
    <row r="172" spans="1:12" x14ac:dyDescent="0.25">
      <c r="B172" s="14" t="s">
        <v>201</v>
      </c>
      <c r="C172" s="28">
        <v>367</v>
      </c>
      <c r="D172" s="39">
        <f>D107</f>
        <v>0.81088765724796019</v>
      </c>
      <c r="E172" s="39">
        <f>D106</f>
        <v>0.18911234275203978</v>
      </c>
      <c r="G172" s="211"/>
      <c r="H172" s="215" t="str">
        <f>D102</f>
        <v>Z</v>
      </c>
      <c r="L172" s="14"/>
    </row>
    <row r="173" spans="1:12" x14ac:dyDescent="0.25">
      <c r="B173" s="14" t="s">
        <v>202</v>
      </c>
      <c r="C173" s="28">
        <v>368</v>
      </c>
      <c r="D173" s="200">
        <f>D166</f>
        <v>0.48750528107244262</v>
      </c>
      <c r="E173" s="200">
        <f>D165</f>
        <v>0.51249471892755738</v>
      </c>
      <c r="G173" s="211"/>
      <c r="H173" s="215" t="str">
        <f>D161</f>
        <v>Z</v>
      </c>
      <c r="L173" s="14"/>
    </row>
  </sheetData>
  <mergeCells count="4">
    <mergeCell ref="H43:I43"/>
    <mergeCell ref="H91:I91"/>
    <mergeCell ref="L110:M110"/>
    <mergeCell ref="H150:I150"/>
  </mergeCells>
  <pageMargins left="0.7" right="0.7" top="0.75" bottom="0.75" header="0.3" footer="0.3"/>
  <pageSetup scale="60" fitToHeight="3" orientation="landscape" r:id="rId1"/>
  <headerFooter>
    <oddFooter>&amp;RExhibit JW-8
Page &amp;P of &amp;N</oddFooter>
  </headerFooter>
  <rowBreaks count="3" manualBreakCount="3">
    <brk id="59" max="16383" man="1"/>
    <brk id="107" max="16383" man="1"/>
    <brk id="166" max="16383" man="1"/>
  </rowBreaks>
  <ignoredErrors>
    <ignoredError sqref="D46 D94 D153 C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2024-04-18T16:58:31Z</cp:lastPrinted>
  <dcterms:created xsi:type="dcterms:W3CDTF">1999-02-10T22:20:33Z</dcterms:created>
  <dcterms:modified xsi:type="dcterms:W3CDTF">2024-08-20T04:09:03Z</dcterms:modified>
</cp:coreProperties>
</file>