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09"/>
  <workbookPr defaultThemeVersion="166925"/>
  <mc:AlternateContent xmlns:mc="http://schemas.openxmlformats.org/markup-compatibility/2006">
    <mc:Choice Requires="x15">
      <x15ac:absPath xmlns:x15ac="http://schemas.microsoft.com/office/spreadsheetml/2010/11/ac" url="L:\Medical &amp; Benefit Files - Confidential\Medical Insurance Quotes\2024\"/>
    </mc:Choice>
  </mc:AlternateContent>
  <xr:revisionPtr revIDLastSave="0" documentId="13_ncr:1_{D1084B35-18C8-4F50-81BD-36951683110B}" xr6:coauthVersionLast="47" xr6:coauthVersionMax="47" xr10:uidLastSave="{00000000-0000-0000-0000-000000000000}"/>
  <bookViews>
    <workbookView xWindow="-120" yWindow="-120" windowWidth="29040" windowHeight="15840" xr2:uid="{7708752F-46C2-4EF1-BB2F-75658C80A4D1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34" i="1" l="1"/>
  <c r="V34" i="1"/>
  <c r="W34" i="1"/>
  <c r="X34" i="1"/>
  <c r="X13" i="1" l="1"/>
  <c r="X14" i="1"/>
  <c r="X15" i="1"/>
  <c r="X12" i="1"/>
  <c r="W13" i="1"/>
  <c r="W14" i="1"/>
  <c r="W15" i="1"/>
  <c r="W12" i="1"/>
  <c r="V13" i="1"/>
  <c r="V14" i="1"/>
  <c r="V15" i="1"/>
  <c r="V12" i="1"/>
  <c r="U13" i="1"/>
  <c r="U14" i="1"/>
  <c r="U15" i="1"/>
  <c r="U12" i="1"/>
  <c r="T13" i="1"/>
  <c r="T14" i="1"/>
  <c r="T15" i="1"/>
  <c r="T12" i="1"/>
  <c r="S13" i="1"/>
  <c r="S14" i="1"/>
  <c r="S15" i="1"/>
  <c r="S12" i="1"/>
  <c r="R13" i="1"/>
  <c r="R14" i="1"/>
  <c r="R15" i="1"/>
  <c r="R12" i="1"/>
  <c r="Q13" i="1"/>
  <c r="Q14" i="1"/>
  <c r="Q15" i="1"/>
  <c r="Q12" i="1"/>
  <c r="P13" i="1"/>
  <c r="P14" i="1"/>
  <c r="P15" i="1"/>
  <c r="P12" i="1"/>
  <c r="O13" i="1"/>
  <c r="O14" i="1"/>
  <c r="O15" i="1"/>
  <c r="O12" i="1"/>
  <c r="N13" i="1"/>
  <c r="N14" i="1"/>
  <c r="N15" i="1"/>
  <c r="N12" i="1"/>
  <c r="M13" i="1"/>
  <c r="M14" i="1"/>
  <c r="M15" i="1"/>
  <c r="M12" i="1"/>
  <c r="L13" i="1"/>
  <c r="L14" i="1"/>
  <c r="L15" i="1"/>
  <c r="L12" i="1"/>
  <c r="T16" i="1" l="1"/>
  <c r="X16" i="1"/>
  <c r="X21" i="1" s="1"/>
  <c r="X32" i="1" s="1"/>
  <c r="W16" i="1"/>
  <c r="U16" i="1"/>
  <c r="V16" i="1"/>
  <c r="T21" i="1" l="1"/>
  <c r="T32" i="1" s="1"/>
  <c r="T34" i="1" s="1"/>
  <c r="W21" i="1"/>
  <c r="W32" i="1" s="1"/>
  <c r="U21" i="1"/>
  <c r="U32" i="1" s="1"/>
  <c r="V21" i="1"/>
  <c r="V32" i="1" s="1"/>
  <c r="L16" i="1" l="1"/>
  <c r="L21" i="1" s="1"/>
  <c r="L32" i="1" s="1"/>
  <c r="L34" i="1" s="1"/>
  <c r="M16" i="1"/>
  <c r="N16" i="1"/>
  <c r="O16" i="1"/>
  <c r="P16" i="1"/>
  <c r="Q16" i="1"/>
  <c r="R16" i="1"/>
  <c r="S16" i="1"/>
  <c r="K13" i="1"/>
  <c r="K14" i="1"/>
  <c r="K15" i="1"/>
  <c r="K12" i="1"/>
  <c r="J13" i="1"/>
  <c r="J14" i="1"/>
  <c r="J15" i="1"/>
  <c r="J12" i="1"/>
  <c r="H13" i="1"/>
  <c r="H14" i="1"/>
  <c r="H15" i="1"/>
  <c r="H12" i="1"/>
  <c r="G13" i="1"/>
  <c r="G14" i="1"/>
  <c r="G15" i="1"/>
  <c r="G12" i="1"/>
  <c r="F12" i="1"/>
  <c r="F15" i="1"/>
  <c r="F14" i="1"/>
  <c r="F13" i="1"/>
  <c r="I16" i="1"/>
  <c r="I21" i="1" s="1"/>
  <c r="I32" i="1" s="1"/>
  <c r="I34" i="1" s="1"/>
  <c r="G110" i="1"/>
  <c r="G99" i="1"/>
  <c r="G98" i="1"/>
  <c r="G97" i="1"/>
  <c r="G96" i="1"/>
  <c r="G91" i="1"/>
  <c r="G90" i="1"/>
  <c r="G89" i="1"/>
  <c r="G88" i="1"/>
  <c r="G83" i="1"/>
  <c r="G82" i="1"/>
  <c r="G81" i="1"/>
  <c r="G80" i="1"/>
  <c r="G74" i="1"/>
  <c r="G73" i="1"/>
  <c r="G68" i="1"/>
  <c r="G67" i="1"/>
  <c r="G62" i="1"/>
  <c r="G61" i="1"/>
  <c r="G50" i="1"/>
  <c r="G49" i="1"/>
  <c r="G43" i="1"/>
  <c r="G42" i="1"/>
  <c r="C21" i="1"/>
  <c r="C32" i="1" s="1"/>
  <c r="M21" i="1" l="1"/>
  <c r="M32" i="1" s="1"/>
  <c r="M34" i="1" s="1"/>
  <c r="S21" i="1"/>
  <c r="S32" i="1" s="1"/>
  <c r="S34" i="1" s="1"/>
  <c r="R21" i="1"/>
  <c r="R32" i="1" s="1"/>
  <c r="R34" i="1" s="1"/>
  <c r="Q21" i="1"/>
  <c r="Q32" i="1" s="1"/>
  <c r="Q34" i="1" s="1"/>
  <c r="P21" i="1"/>
  <c r="P32" i="1" s="1"/>
  <c r="P34" i="1" s="1"/>
  <c r="O21" i="1"/>
  <c r="O32" i="1" s="1"/>
  <c r="O34" i="1" s="1"/>
  <c r="N21" i="1"/>
  <c r="N32" i="1" s="1"/>
  <c r="N34" i="1" s="1"/>
  <c r="K16" i="1"/>
  <c r="K21" i="1" s="1"/>
  <c r="K32" i="1" s="1"/>
  <c r="K34" i="1" s="1"/>
  <c r="G51" i="1"/>
  <c r="J16" i="1"/>
  <c r="H16" i="1"/>
  <c r="H21" i="1" s="1"/>
  <c r="H32" i="1" s="1"/>
  <c r="H34" i="1" s="1"/>
  <c r="G16" i="1"/>
  <c r="J21" i="1" l="1"/>
  <c r="J32" i="1" s="1"/>
  <c r="J34" i="1" s="1"/>
  <c r="G21" i="1"/>
  <c r="G32" i="1" s="1"/>
  <c r="G34" i="1" s="1"/>
  <c r="G84" i="1"/>
  <c r="G92" i="1" l="1"/>
  <c r="G100" i="1"/>
  <c r="F16" i="1"/>
  <c r="F21" i="1" l="1"/>
  <c r="F32" i="1" s="1"/>
  <c r="F34" i="1" s="1"/>
  <c r="G63" i="1"/>
  <c r="G44" i="1"/>
  <c r="G69" i="1"/>
  <c r="G75" i="1"/>
</calcChain>
</file>

<file path=xl/sharedStrings.xml><?xml version="1.0" encoding="utf-8"?>
<sst xmlns="http://schemas.openxmlformats.org/spreadsheetml/2006/main" count="212" uniqueCount="145">
  <si>
    <t>Cost for non-bargaining employees</t>
  </si>
  <si>
    <t>Brown &amp; Brown</t>
  </si>
  <si>
    <t>Higgins</t>
  </si>
  <si>
    <t>Assured Partners</t>
  </si>
  <si>
    <t>Premium Cost:</t>
  </si>
  <si>
    <t>NECA</t>
  </si>
  <si>
    <t>NRECA PPO</t>
  </si>
  <si>
    <t>NRECA HDHP</t>
  </si>
  <si>
    <t>KREC PPO</t>
  </si>
  <si>
    <t>KREC - HDHP</t>
  </si>
  <si>
    <t>KREC - HYBRID</t>
  </si>
  <si>
    <t>Anthem Platinum</t>
  </si>
  <si>
    <t>Anthem Gold</t>
  </si>
  <si>
    <t>Anthem</t>
  </si>
  <si>
    <t>United Health Care</t>
  </si>
  <si>
    <t>Anthem Blue Access</t>
  </si>
  <si>
    <t>Anthem PPO</t>
  </si>
  <si>
    <t>EE</t>
  </si>
  <si>
    <t>EE &amp; Dependent</t>
  </si>
  <si>
    <t>EE &amp; Children</t>
  </si>
  <si>
    <t>Family</t>
  </si>
  <si>
    <t>Monthly Cost for Employee Based on Census:</t>
  </si>
  <si>
    <t>Single</t>
  </si>
  <si>
    <t>(we have a couple they may be getting married soon)</t>
  </si>
  <si>
    <t xml:space="preserve">EE &amp; Spouse </t>
  </si>
  <si>
    <t xml:space="preserve">Family </t>
  </si>
  <si>
    <t>Monthly Premium Totals:</t>
  </si>
  <si>
    <t>no retirees</t>
  </si>
  <si>
    <t>They can not include retirees on the plan</t>
  </si>
  <si>
    <t>They said they included retirees, but others quoting Anthem &amp; United say retirees can't be carried.</t>
  </si>
  <si>
    <t>Plus Retirees (5)</t>
  </si>
  <si>
    <t xml:space="preserve">NECA covers spouse &amp; dependents. Other agencies are included at single rate. However, not all will accept retirees. This will cause an issue with non-union retirees currently on our plan. </t>
  </si>
  <si>
    <t>Total Cost (MEDICAL ONLY):</t>
  </si>
  <si>
    <t>with retirees</t>
  </si>
  <si>
    <t>Dental Cost (info below):</t>
  </si>
  <si>
    <t>included</t>
  </si>
  <si>
    <t>Vision Cost (info below):</t>
  </si>
  <si>
    <t>$20k Life Insurance Cost:</t>
  </si>
  <si>
    <t xml:space="preserve">   (with AD&amp;D built in)</t>
  </si>
  <si>
    <t>(Life Ins. - participation requirement 100%)</t>
  </si>
  <si>
    <t>Short-Term Disability:</t>
  </si>
  <si>
    <t>Dental, Vision, Life Ins. &amp; Short-term included</t>
  </si>
  <si>
    <t xml:space="preserve">Life &amp; Short-term not quoted. Retiress can't be carried. </t>
  </si>
  <si>
    <t>Retiress can't be carried</t>
  </si>
  <si>
    <t>TOTAL COST TO PROVIDE ALL BENEFITS WE CURRENTLY PROVIDE:</t>
  </si>
  <si>
    <t>Increase over current cost:</t>
  </si>
  <si>
    <t>Life &amp; Short-term not quoted, would be added cost to what you see above.</t>
  </si>
  <si>
    <t>Life &amp; Short-term not quoted, would be added cost to the above.</t>
  </si>
  <si>
    <t xml:space="preserve">Did not provide quote on Dental/Vision/Life/STD since they felt they weren't able to compete with medical. </t>
  </si>
  <si>
    <t>Additional Dental/Vision/Life Insurance/STD Info:</t>
  </si>
  <si>
    <t>Dental</t>
  </si>
  <si>
    <t>additional cost</t>
  </si>
  <si>
    <t>Did not receive quote on Life Ins. &amp; STD</t>
  </si>
  <si>
    <t>Additional Cost</t>
  </si>
  <si>
    <t xml:space="preserve">Did not provide quote on Dental/Vision/Life/STD. Felt they weren't able to compete with medical. </t>
  </si>
  <si>
    <t>Option 1</t>
  </si>
  <si>
    <t>EE only $24.55 x 9 = $220.95</t>
  </si>
  <si>
    <t>$34.82 individual</t>
  </si>
  <si>
    <t>individual 9 x $24.98 = $224.82</t>
  </si>
  <si>
    <t>EE &amp; Spouse $50.13 x 3 = $150.39</t>
  </si>
  <si>
    <t>$109.33 individual &amp; dependent</t>
  </si>
  <si>
    <t>EE &amp; Spouse 3 x $49.20 = $147.60</t>
  </si>
  <si>
    <t>EE &amp; Children $59.71 x 9 = $537.39</t>
  </si>
  <si>
    <t>Total</t>
  </si>
  <si>
    <t>EE &amp; Children 4 x $67.29 = $269.16</t>
  </si>
  <si>
    <t>Family $87.74 x 22 = $1,930.28</t>
  </si>
  <si>
    <t>Family 22 x $99.97 = $2,199.34</t>
  </si>
  <si>
    <t>Total = $2,839.01</t>
  </si>
  <si>
    <t>Total $2,840.92</t>
  </si>
  <si>
    <t>Option 2</t>
  </si>
  <si>
    <t>with Retirees = $2,965.82</t>
  </si>
  <si>
    <t>$40.20 individual</t>
  </si>
  <si>
    <t>$122.29 individual &amp; dependent</t>
  </si>
  <si>
    <t>individual 9 x 28.05 = $252.45</t>
  </si>
  <si>
    <t>EE &amp; Spouse 3 x $55.24 = $165.72</t>
  </si>
  <si>
    <t>EE &amp; Children 4 x $74.87 = $299.48</t>
  </si>
  <si>
    <t>reitrees - 4 them &amp; spouse</t>
  </si>
  <si>
    <t>Family 22 x $110.84 = $2,438.04</t>
  </si>
  <si>
    <t>retirees - 1 family</t>
  </si>
  <si>
    <t>Total $3,155.69</t>
  </si>
  <si>
    <t>Vision</t>
  </si>
  <si>
    <t>with Retirees - $3,295.94</t>
  </si>
  <si>
    <t>EE only $6.56 x 9 = $59.04</t>
  </si>
  <si>
    <t>Single    9</t>
  </si>
  <si>
    <t>EE &amp; Spouse $13.12 x 3 = $39.36</t>
  </si>
  <si>
    <t>EE &amp; Spouse       3</t>
  </si>
  <si>
    <t>EE &amp; Children $13.19 x 9 = $118.71</t>
  </si>
  <si>
    <t>EE &amp; Children      4</t>
  </si>
  <si>
    <t>Options</t>
  </si>
  <si>
    <t>Family $21.94 x 22 = $482.68</t>
  </si>
  <si>
    <t>Family       22</t>
  </si>
  <si>
    <t>option 1- non-tiered Rates</t>
  </si>
  <si>
    <t>Total = $699.79</t>
  </si>
  <si>
    <t>individual $11.12</t>
  </si>
  <si>
    <t>individual 9 x $6.31 = $56.79</t>
  </si>
  <si>
    <t>Individual &amp; dependent $30.69</t>
  </si>
  <si>
    <t>EE &amp; Spouse 3 x $12.62 = $ 37.86</t>
  </si>
  <si>
    <t>EE &amp; Children 4 x $13.50 = $54.00</t>
  </si>
  <si>
    <t>Family 22 x $21.58 = $ 474.76</t>
  </si>
  <si>
    <t>Total $623.41</t>
  </si>
  <si>
    <t>option 2</t>
  </si>
  <si>
    <t>with Retirees - $654.99</t>
  </si>
  <si>
    <t>individual $15.89</t>
  </si>
  <si>
    <t>Individual &amp; dependent $43.85</t>
  </si>
  <si>
    <t>individual 9 x $7.48 = $67.32</t>
  </si>
  <si>
    <t>EE &amp; Spouse 3 x $14.21 = $42.63</t>
  </si>
  <si>
    <t>Option 3</t>
  </si>
  <si>
    <t>EE &amp; Children 4 x $14.96 = $59.84</t>
  </si>
  <si>
    <t>individual $19.06</t>
  </si>
  <si>
    <t>Family 22 x $21.99 = $483.78</t>
  </si>
  <si>
    <t>Individual &amp; dependent $51.95</t>
  </si>
  <si>
    <t>Total $653.57</t>
  </si>
  <si>
    <t>with retirees $690.97</t>
  </si>
  <si>
    <t>option 1- Tiered Rates</t>
  </si>
  <si>
    <t>EE &amp; spouse $22.25</t>
  </si>
  <si>
    <t>EE &amp; Children $ 23.79</t>
  </si>
  <si>
    <t>EE &amp; family $38.05</t>
  </si>
  <si>
    <t>EE &amp; spouse $31.78</t>
  </si>
  <si>
    <t>EE &amp; Children $ 34.01</t>
  </si>
  <si>
    <t>EE &amp; family $54.36</t>
  </si>
  <si>
    <t>EE &amp; spouse $37.89</t>
  </si>
  <si>
    <t>EE &amp; Children $ 40.04</t>
  </si>
  <si>
    <t>EE &amp; family $63.92</t>
  </si>
  <si>
    <t xml:space="preserve">Life Insurance </t>
  </si>
  <si>
    <t>Death Benefit:</t>
  </si>
  <si>
    <t>based on 38 employees = $190.00</t>
  </si>
  <si>
    <t>$20,000 life w AD&amp;D</t>
  </si>
  <si>
    <t>extra life insurance would be</t>
  </si>
  <si>
    <t>participation requirement 100%</t>
  </si>
  <si>
    <t>AD&amp;D included</t>
  </si>
  <si>
    <t>calculated based on age of each employee</t>
  </si>
  <si>
    <t>Example for a 55 year old</t>
  </si>
  <si>
    <t>cost would be $8.60 per month</t>
  </si>
  <si>
    <t>$103.20 for this age employee x 38</t>
  </si>
  <si>
    <t>Short-term income benefit</t>
  </si>
  <si>
    <t xml:space="preserve">$500 max weekly benefit </t>
  </si>
  <si>
    <t>based on 38 employees = $1,026.00</t>
  </si>
  <si>
    <t>up to 26 weeks</t>
  </si>
  <si>
    <t>annually</t>
  </si>
  <si>
    <t>cap on salary amount at $39,000</t>
  </si>
  <si>
    <t>$500 weekly benefit</t>
  </si>
  <si>
    <t>cap on salary amount at $62,400</t>
  </si>
  <si>
    <t>$800 weekly benefit</t>
  </si>
  <si>
    <t>weekly benefit can be more or 66 2/3, pricing would change</t>
  </si>
  <si>
    <t>weekly benefit can be 66 2/3, pricing would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</si>
</sst>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0.000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32"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/>
    </xf>
    <xf numFmtId="44" fontId="0" fillId="0" borderId="0" xfId="1" applyFont="1"/>
    <xf numFmtId="9" fontId="0" fillId="0" borderId="0" xfId="2" applyFont="1"/>
    <xf numFmtId="0" fontId="2" fillId="0" borderId="0" xfId="0" applyFont="1"/>
    <xf numFmtId="0" fontId="0" fillId="0" borderId="0" xfId="0" applyAlignment="1">
      <alignment wrapText="1"/>
    </xf>
    <xf numFmtId="164" fontId="2" fillId="0" borderId="0" xfId="0" applyNumberFormat="1" applyFont="1"/>
    <xf numFmtId="0" fontId="2" fillId="0" borderId="0" xfId="0" applyFont="1" applyAlignment="1">
      <alignment wrapText="1"/>
    </xf>
    <xf numFmtId="44" fontId="2" fillId="0" borderId="0" xfId="1" applyFont="1"/>
    <xf numFmtId="8" fontId="0" fillId="0" borderId="0" xfId="0" applyNumberFormat="1"/>
    <xf numFmtId="0" fontId="2" fillId="0" borderId="0" xfId="0" applyFont="1" applyAlignment="1">
      <alignment horizontal="right"/>
    </xf>
    <xf numFmtId="0" fontId="0" fillId="2" borderId="0" xfId="0" applyFill="1" applyAlignment="1">
      <alignment horizontal="right"/>
    </xf>
    <xf numFmtId="44" fontId="0" fillId="0" borderId="0" xfId="1" applyFont="1" applyAlignment="1">
      <alignment wrapText="1"/>
    </xf>
    <xf numFmtId="44" fontId="0" fillId="0" borderId="0" xfId="1" applyFont="1" applyAlignment="1">
      <alignment horizontal="right"/>
    </xf>
    <xf numFmtId="0" fontId="0" fillId="2" borderId="0" xfId="0" applyFill="1"/>
    <xf numFmtId="164" fontId="0" fillId="2" borderId="0" xfId="0" applyNumberFormat="1" applyFill="1"/>
    <xf numFmtId="44" fontId="1" fillId="0" borderId="0" xfId="1" applyFont="1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3" borderId="0" xfId="0" applyFill="1" applyAlignment="1">
      <alignment wrapText="1"/>
    </xf>
    <xf numFmtId="0" fontId="0" fillId="3" borderId="0" xfId="0" applyFill="1"/>
    <xf numFmtId="165" fontId="0" fillId="3" borderId="0" xfId="2" applyNumberFormat="1" applyFont="1" applyFill="1"/>
    <xf numFmtId="44" fontId="0" fillId="0" borderId="0" xfId="1" applyFont="1" applyBorder="1"/>
    <xf numFmtId="164" fontId="2" fillId="3" borderId="0" xfId="0" applyNumberFormat="1" applyFont="1" applyFill="1"/>
    <xf numFmtId="44" fontId="1" fillId="2" borderId="0" xfId="1" applyFont="1" applyFill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4" fontId="4" fillId="0" borderId="0" xfId="1" applyFont="1" applyAlignment="1">
      <alignment horizontal="center"/>
    </xf>
    <xf numFmtId="0" fontId="0" fillId="0" borderId="0" xfId="0" applyAlignment="1"/>
  </cellXfs>
  <cellStyles count="4">
    <cellStyle name="Currency" xfId="1" builtinId="4"/>
    <cellStyle name="Normal" xfId="0" builtinId="0"/>
    <cellStyle name="Normal 2" xfId="3" xr:uid="{90FB79B0-B721-44AC-A8E1-8585DC21966D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0E519-2DF6-4C9B-977E-6AEE0044F190}">
  <dimension ref="A3:Y122"/>
  <sheetViews>
    <sheetView tabSelected="1" workbookViewId="0">
      <pane xSplit="2" ySplit="5" topLeftCell="C6" activePane="bottomRight" state="frozen"/>
      <selection pane="bottomRight" activeCell="K116" sqref="K116"/>
      <selection pane="bottomLeft" activeCell="A6" sqref="A6"/>
      <selection pane="topRight" activeCell="C1" sqref="C1"/>
    </sheetView>
  </sheetViews>
  <sheetFormatPr defaultRowHeight="15"/>
  <cols>
    <col min="1" max="1" width="19.5703125" customWidth="1"/>
    <col min="2" max="4" width="12.7109375" customWidth="1"/>
    <col min="5" max="5" width="34" customWidth="1"/>
    <col min="6" max="6" width="19.140625" customWidth="1"/>
    <col min="7" max="8" width="15.28515625" customWidth="1"/>
    <col min="9" max="9" width="19" customWidth="1"/>
    <col min="10" max="19" width="17.7109375" customWidth="1"/>
    <col min="20" max="20" width="22.7109375" customWidth="1"/>
    <col min="21" max="23" width="17.7109375" customWidth="1"/>
    <col min="24" max="24" width="26.5703125" customWidth="1"/>
    <col min="25" max="25" width="7.140625" customWidth="1"/>
  </cols>
  <sheetData>
    <row r="3" spans="1:24">
      <c r="A3" t="s">
        <v>0</v>
      </c>
    </row>
    <row r="4" spans="1:24">
      <c r="I4" t="s">
        <v>1</v>
      </c>
      <c r="L4" t="s">
        <v>1</v>
      </c>
      <c r="T4" s="6" t="s">
        <v>2</v>
      </c>
      <c r="U4" t="s">
        <v>3</v>
      </c>
      <c r="W4" t="s">
        <v>3</v>
      </c>
    </row>
    <row r="5" spans="1:24">
      <c r="A5" t="s">
        <v>4</v>
      </c>
      <c r="C5" s="5" t="s">
        <v>5</v>
      </c>
      <c r="F5" s="7" t="s">
        <v>6</v>
      </c>
      <c r="G5" s="7" t="s">
        <v>7</v>
      </c>
      <c r="H5" s="7" t="s">
        <v>7</v>
      </c>
      <c r="I5" s="5" t="s">
        <v>8</v>
      </c>
      <c r="J5" s="5" t="s">
        <v>9</v>
      </c>
      <c r="K5" s="5" t="s">
        <v>10</v>
      </c>
      <c r="L5" s="5" t="s">
        <v>11</v>
      </c>
      <c r="M5" s="5" t="s">
        <v>12</v>
      </c>
      <c r="N5" s="5" t="s">
        <v>13</v>
      </c>
      <c r="O5" s="5" t="s">
        <v>13</v>
      </c>
      <c r="P5" s="5" t="s">
        <v>14</v>
      </c>
      <c r="Q5" s="5" t="s">
        <v>14</v>
      </c>
      <c r="R5" s="5" t="s">
        <v>14</v>
      </c>
      <c r="S5" s="5" t="s">
        <v>14</v>
      </c>
      <c r="T5" s="5" t="s">
        <v>15</v>
      </c>
      <c r="U5" s="5" t="s">
        <v>16</v>
      </c>
      <c r="V5" s="5" t="s">
        <v>16</v>
      </c>
      <c r="W5" s="5" t="s">
        <v>14</v>
      </c>
      <c r="X5" s="5" t="s">
        <v>14</v>
      </c>
    </row>
    <row r="6" spans="1:24">
      <c r="A6" s="2" t="s">
        <v>17</v>
      </c>
      <c r="C6" s="1">
        <v>1336</v>
      </c>
      <c r="F6" s="1">
        <v>939.44</v>
      </c>
      <c r="G6" s="1">
        <v>856.14</v>
      </c>
      <c r="H6" s="1">
        <v>878.96</v>
      </c>
      <c r="I6" s="3">
        <v>621.16</v>
      </c>
      <c r="J6" s="3">
        <v>555.65</v>
      </c>
      <c r="K6" s="3">
        <v>621.16</v>
      </c>
      <c r="L6" s="3">
        <v>1295.95</v>
      </c>
      <c r="M6" s="3">
        <v>1108.07</v>
      </c>
      <c r="N6" s="3">
        <v>1130.72</v>
      </c>
      <c r="O6" s="3">
        <v>1001.81</v>
      </c>
      <c r="P6" s="3">
        <v>1303.47</v>
      </c>
      <c r="Q6" s="3">
        <v>1154.76</v>
      </c>
      <c r="R6" s="3">
        <v>1052.3</v>
      </c>
      <c r="S6" s="3">
        <v>864.21</v>
      </c>
      <c r="T6" s="3">
        <v>1106.5</v>
      </c>
      <c r="U6" s="3">
        <v>966.07</v>
      </c>
      <c r="V6" s="3">
        <v>1036.27</v>
      </c>
      <c r="W6" s="3">
        <v>1357.23</v>
      </c>
      <c r="X6" s="3">
        <v>1299.42</v>
      </c>
    </row>
    <row r="7" spans="1:24">
      <c r="A7" s="2" t="s">
        <v>18</v>
      </c>
      <c r="C7" s="1">
        <v>1336</v>
      </c>
      <c r="F7" s="1">
        <v>2120.12</v>
      </c>
      <c r="G7" s="1">
        <v>1822.8</v>
      </c>
      <c r="H7" s="1">
        <v>1845.37</v>
      </c>
      <c r="I7" s="3">
        <v>1406.43</v>
      </c>
      <c r="J7" s="3">
        <v>1251.1199999999999</v>
      </c>
      <c r="K7" s="3">
        <v>1458.93</v>
      </c>
      <c r="L7" s="3">
        <v>2591.9</v>
      </c>
      <c r="M7" s="3">
        <v>2216.14</v>
      </c>
      <c r="N7" s="3">
        <v>2374.5100000000002</v>
      </c>
      <c r="O7" s="3">
        <v>2103.8000000000002</v>
      </c>
      <c r="P7" s="3">
        <v>2606.94</v>
      </c>
      <c r="Q7" s="3">
        <v>2309.52</v>
      </c>
      <c r="R7" s="3">
        <v>2179.0500000000002</v>
      </c>
      <c r="S7" s="3">
        <v>1784.06</v>
      </c>
      <c r="T7" s="3">
        <v>2323.65</v>
      </c>
      <c r="U7" s="3">
        <v>2028.75</v>
      </c>
      <c r="V7" s="3">
        <v>2176.17</v>
      </c>
      <c r="W7" s="3">
        <v>2714.46</v>
      </c>
      <c r="X7" s="3">
        <v>2598.84</v>
      </c>
    </row>
    <row r="8" spans="1:24">
      <c r="A8" s="2" t="s">
        <v>19</v>
      </c>
      <c r="C8" s="1">
        <v>1336</v>
      </c>
      <c r="F8" s="1">
        <v>2120.12</v>
      </c>
      <c r="G8" s="1">
        <v>1822.8</v>
      </c>
      <c r="H8" s="1">
        <v>1845.37</v>
      </c>
      <c r="I8" s="3">
        <v>1277.31</v>
      </c>
      <c r="J8" s="3">
        <v>1138.78</v>
      </c>
      <c r="K8" s="3">
        <v>1277.31</v>
      </c>
      <c r="L8" s="3">
        <v>2397.5100000000002</v>
      </c>
      <c r="M8" s="3">
        <v>2049.9299999999998</v>
      </c>
      <c r="N8" s="3">
        <v>2035.3</v>
      </c>
      <c r="O8" s="3">
        <v>1803.26</v>
      </c>
      <c r="P8" s="3">
        <v>2411.42</v>
      </c>
      <c r="Q8" s="3">
        <v>2136.31</v>
      </c>
      <c r="R8" s="3">
        <v>1871.76</v>
      </c>
      <c r="S8" s="3">
        <v>1533.19</v>
      </c>
      <c r="T8" s="3">
        <v>1991.7</v>
      </c>
      <c r="U8" s="3">
        <v>1738.93</v>
      </c>
      <c r="V8" s="3">
        <v>1865.29</v>
      </c>
      <c r="W8" s="3">
        <v>2510.88</v>
      </c>
      <c r="X8" s="3">
        <v>2403.9299999999998</v>
      </c>
    </row>
    <row r="9" spans="1:24">
      <c r="A9" s="2" t="s">
        <v>20</v>
      </c>
      <c r="C9" s="1">
        <v>1336</v>
      </c>
      <c r="F9" s="1">
        <v>2120.12</v>
      </c>
      <c r="G9" s="1">
        <v>1822.8</v>
      </c>
      <c r="H9" s="1">
        <v>1845.37</v>
      </c>
      <c r="I9" s="3">
        <v>1911.98</v>
      </c>
      <c r="J9" s="3">
        <v>1707.95</v>
      </c>
      <c r="K9" s="3">
        <v>1964.48</v>
      </c>
      <c r="L9" s="3">
        <v>3693.46</v>
      </c>
      <c r="M9" s="3">
        <v>3158</v>
      </c>
      <c r="N9" s="3">
        <v>3279.09</v>
      </c>
      <c r="O9" s="3">
        <v>2905.25</v>
      </c>
      <c r="P9" s="3">
        <v>3714.89</v>
      </c>
      <c r="Q9" s="3">
        <v>3291.07</v>
      </c>
      <c r="R9" s="3">
        <v>2998.49</v>
      </c>
      <c r="S9" s="3">
        <v>2453.0300000000002</v>
      </c>
      <c r="T9" s="3">
        <v>3208.85</v>
      </c>
      <c r="U9" s="3">
        <v>2801.6</v>
      </c>
      <c r="V9" s="3">
        <v>3005.18</v>
      </c>
      <c r="W9" s="3">
        <v>3868.11</v>
      </c>
      <c r="X9" s="3">
        <v>3703.35</v>
      </c>
    </row>
    <row r="10" spans="1:24"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>
      <c r="A11" t="s">
        <v>21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>
      <c r="A12" t="s">
        <v>22</v>
      </c>
      <c r="B12">
        <v>9</v>
      </c>
      <c r="C12" t="s">
        <v>23</v>
      </c>
      <c r="F12" s="3">
        <f>F6*$B$12</f>
        <v>8454.9600000000009</v>
      </c>
      <c r="G12" s="3">
        <f>G6*B12</f>
        <v>7705.26</v>
      </c>
      <c r="H12" s="3">
        <f>H6*B12</f>
        <v>7910.64</v>
      </c>
      <c r="I12" s="3">
        <v>5590.44</v>
      </c>
      <c r="J12" s="3">
        <f>J6*B12</f>
        <v>5000.8499999999995</v>
      </c>
      <c r="K12" s="3">
        <f>K6*B12</f>
        <v>5590.44</v>
      </c>
      <c r="L12" s="3">
        <f>L6*B12</f>
        <v>11663.550000000001</v>
      </c>
      <c r="M12" s="3">
        <f>M6*B12</f>
        <v>9972.6299999999992</v>
      </c>
      <c r="N12" s="3">
        <f>N6*B12</f>
        <v>10176.48</v>
      </c>
      <c r="O12" s="3">
        <f>O6*B12</f>
        <v>9016.2899999999991</v>
      </c>
      <c r="P12" s="3">
        <f>P6*B12</f>
        <v>11731.23</v>
      </c>
      <c r="Q12" s="3">
        <f>Q6*B12</f>
        <v>10392.84</v>
      </c>
      <c r="R12" s="3">
        <f>R6*B12</f>
        <v>9470.6999999999989</v>
      </c>
      <c r="S12" s="3">
        <f>S6*B12</f>
        <v>7777.89</v>
      </c>
      <c r="T12" s="3">
        <f>T6*B12</f>
        <v>9958.5</v>
      </c>
      <c r="U12" s="3">
        <f>U6*B12</f>
        <v>8694.630000000001</v>
      </c>
      <c r="V12" s="3">
        <f>V6*B12</f>
        <v>9326.43</v>
      </c>
      <c r="W12" s="3">
        <f>W6*B12</f>
        <v>12215.07</v>
      </c>
      <c r="X12" s="3">
        <f>X6*B12</f>
        <v>11694.78</v>
      </c>
    </row>
    <row r="13" spans="1:24">
      <c r="A13" t="s">
        <v>24</v>
      </c>
      <c r="B13">
        <v>3</v>
      </c>
      <c r="F13" s="3">
        <f>F7*$B$13</f>
        <v>6360.36</v>
      </c>
      <c r="G13" s="3">
        <f t="shared" ref="G13:G15" si="0">G7*B13</f>
        <v>5468.4</v>
      </c>
      <c r="H13" s="3">
        <f t="shared" ref="H13:H15" si="1">H7*B13</f>
        <v>5536.11</v>
      </c>
      <c r="I13" s="3">
        <v>4219.29</v>
      </c>
      <c r="J13" s="3">
        <f t="shared" ref="J13:J15" si="2">J7*B13</f>
        <v>3753.3599999999997</v>
      </c>
      <c r="K13" s="3">
        <f t="shared" ref="K13:K15" si="3">K7*B13</f>
        <v>4376.79</v>
      </c>
      <c r="L13" s="3">
        <f t="shared" ref="L13:L15" si="4">L7*B13</f>
        <v>7775.7000000000007</v>
      </c>
      <c r="M13" s="3">
        <f t="shared" ref="M13:M15" si="5">M7*B13</f>
        <v>6648.42</v>
      </c>
      <c r="N13" s="3">
        <f t="shared" ref="N13:N15" si="6">N7*B13</f>
        <v>7123.5300000000007</v>
      </c>
      <c r="O13" s="3">
        <f t="shared" ref="O13:O15" si="7">O7*B13</f>
        <v>6311.4000000000005</v>
      </c>
      <c r="P13" s="3">
        <f t="shared" ref="P13:P15" si="8">P7*B13</f>
        <v>7820.82</v>
      </c>
      <c r="Q13" s="3">
        <f t="shared" ref="Q13:Q15" si="9">Q7*B13</f>
        <v>6928.5599999999995</v>
      </c>
      <c r="R13" s="3">
        <f t="shared" ref="R13:R15" si="10">R7*B13</f>
        <v>6537.1500000000005</v>
      </c>
      <c r="S13" s="3">
        <f t="shared" ref="S13:S15" si="11">S7*B13</f>
        <v>5352.18</v>
      </c>
      <c r="T13" s="3">
        <f t="shared" ref="T13:T15" si="12">T7*B13</f>
        <v>6970.9500000000007</v>
      </c>
      <c r="U13" s="3">
        <f t="shared" ref="U13:U15" si="13">U7*B13</f>
        <v>6086.25</v>
      </c>
      <c r="V13" s="3">
        <f t="shared" ref="V13:V15" si="14">V7*B13</f>
        <v>6528.51</v>
      </c>
      <c r="W13" s="3">
        <f t="shared" ref="W13:W15" si="15">W7*B13</f>
        <v>8143.38</v>
      </c>
      <c r="X13" s="3">
        <f t="shared" ref="X13:X15" si="16">X7*B13</f>
        <v>7796.52</v>
      </c>
    </row>
    <row r="14" spans="1:24">
      <c r="A14" t="s">
        <v>19</v>
      </c>
      <c r="B14">
        <v>4</v>
      </c>
      <c r="F14" s="3">
        <f>F8*$B$14</f>
        <v>8480.48</v>
      </c>
      <c r="G14" s="3">
        <f t="shared" si="0"/>
        <v>7291.2</v>
      </c>
      <c r="H14" s="3">
        <f t="shared" si="1"/>
        <v>7381.48</v>
      </c>
      <c r="I14" s="3">
        <v>5109.24</v>
      </c>
      <c r="J14" s="3">
        <f t="shared" si="2"/>
        <v>4555.12</v>
      </c>
      <c r="K14" s="3">
        <f t="shared" si="3"/>
        <v>5109.24</v>
      </c>
      <c r="L14" s="3">
        <f t="shared" si="4"/>
        <v>9590.0400000000009</v>
      </c>
      <c r="M14" s="3">
        <f t="shared" si="5"/>
        <v>8199.7199999999993</v>
      </c>
      <c r="N14" s="3">
        <f t="shared" si="6"/>
        <v>8141.2</v>
      </c>
      <c r="O14" s="3">
        <f t="shared" si="7"/>
        <v>7213.04</v>
      </c>
      <c r="P14" s="3">
        <f t="shared" si="8"/>
        <v>9645.68</v>
      </c>
      <c r="Q14" s="3">
        <f t="shared" si="9"/>
        <v>8545.24</v>
      </c>
      <c r="R14" s="3">
        <f t="shared" si="10"/>
        <v>7487.04</v>
      </c>
      <c r="S14" s="3">
        <f t="shared" si="11"/>
        <v>6132.76</v>
      </c>
      <c r="T14" s="3">
        <f t="shared" si="12"/>
        <v>7966.8</v>
      </c>
      <c r="U14" s="3">
        <f t="shared" si="13"/>
        <v>6955.72</v>
      </c>
      <c r="V14" s="3">
        <f t="shared" si="14"/>
        <v>7461.16</v>
      </c>
      <c r="W14" s="3">
        <f t="shared" si="15"/>
        <v>10043.52</v>
      </c>
      <c r="X14" s="3">
        <f t="shared" si="16"/>
        <v>9615.7199999999993</v>
      </c>
    </row>
    <row r="15" spans="1:24" ht="15" customHeight="1">
      <c r="A15" t="s">
        <v>25</v>
      </c>
      <c r="B15">
        <v>22</v>
      </c>
      <c r="F15" s="24">
        <f>F9*$B$15</f>
        <v>46642.64</v>
      </c>
      <c r="G15" s="24">
        <f t="shared" si="0"/>
        <v>40101.599999999999</v>
      </c>
      <c r="H15" s="24">
        <f t="shared" si="1"/>
        <v>40598.14</v>
      </c>
      <c r="I15" s="24">
        <v>42063.56</v>
      </c>
      <c r="J15" s="24">
        <f t="shared" si="2"/>
        <v>37574.9</v>
      </c>
      <c r="K15" s="24">
        <f t="shared" si="3"/>
        <v>43218.559999999998</v>
      </c>
      <c r="L15" s="24">
        <f t="shared" si="4"/>
        <v>81256.12</v>
      </c>
      <c r="M15" s="24">
        <f t="shared" si="5"/>
        <v>69476</v>
      </c>
      <c r="N15" s="24">
        <f t="shared" si="6"/>
        <v>72139.98000000001</v>
      </c>
      <c r="O15" s="24">
        <f t="shared" si="7"/>
        <v>63915.5</v>
      </c>
      <c r="P15" s="24">
        <f t="shared" si="8"/>
        <v>81727.58</v>
      </c>
      <c r="Q15" s="24">
        <f t="shared" si="9"/>
        <v>72403.540000000008</v>
      </c>
      <c r="R15" s="24">
        <f t="shared" si="10"/>
        <v>65966.78</v>
      </c>
      <c r="S15" s="24">
        <f t="shared" si="11"/>
        <v>53966.66</v>
      </c>
      <c r="T15" s="24">
        <f t="shared" si="12"/>
        <v>70594.7</v>
      </c>
      <c r="U15" s="24">
        <f t="shared" si="13"/>
        <v>61635.199999999997</v>
      </c>
      <c r="V15" s="24">
        <f t="shared" si="14"/>
        <v>66113.959999999992</v>
      </c>
      <c r="W15" s="24">
        <f t="shared" si="15"/>
        <v>85098.42</v>
      </c>
      <c r="X15" s="24">
        <f t="shared" si="16"/>
        <v>81473.7</v>
      </c>
    </row>
    <row r="16" spans="1:24" s="15" customFormat="1" ht="15" customHeight="1">
      <c r="A16" s="15" t="s">
        <v>26</v>
      </c>
      <c r="C16" s="16">
        <v>50768</v>
      </c>
      <c r="E16" s="12" t="s">
        <v>27</v>
      </c>
      <c r="F16" s="16">
        <f>SUM(F12:F15)</f>
        <v>69938.44</v>
      </c>
      <c r="G16" s="16">
        <f>SUM(G12:G15)</f>
        <v>60566.46</v>
      </c>
      <c r="H16" s="16">
        <f>SUM(H12:H15)</f>
        <v>61426.369999999995</v>
      </c>
      <c r="I16" s="16">
        <f>SUM(I12:I15)</f>
        <v>56982.53</v>
      </c>
      <c r="J16" s="16">
        <f>SUM(J12:J15)</f>
        <v>50884.229999999996</v>
      </c>
      <c r="K16" s="16">
        <f t="shared" ref="K16:S16" si="17">SUM(K12:K15)</f>
        <v>58295.03</v>
      </c>
      <c r="L16" s="16">
        <f t="shared" si="17"/>
        <v>110285.41</v>
      </c>
      <c r="M16" s="16">
        <f t="shared" si="17"/>
        <v>94296.76999999999</v>
      </c>
      <c r="N16" s="16">
        <f t="shared" si="17"/>
        <v>97581.190000000017</v>
      </c>
      <c r="O16" s="16">
        <f t="shared" si="17"/>
        <v>86456.23</v>
      </c>
      <c r="P16" s="16">
        <f t="shared" si="17"/>
        <v>110925.31</v>
      </c>
      <c r="Q16" s="16">
        <f t="shared" si="17"/>
        <v>98270.180000000008</v>
      </c>
      <c r="R16" s="16">
        <f t="shared" si="17"/>
        <v>89461.67</v>
      </c>
      <c r="S16" s="16">
        <f t="shared" si="17"/>
        <v>73229.490000000005</v>
      </c>
      <c r="T16" s="16">
        <f t="shared" ref="T16" si="18">SUM(T12:T15)</f>
        <v>95490.95</v>
      </c>
      <c r="U16" s="16">
        <f t="shared" ref="U16" si="19">SUM(U12:U15)</f>
        <v>83371.8</v>
      </c>
      <c r="V16" s="16">
        <f t="shared" ref="V16" si="20">SUM(V12:V15)</f>
        <v>89430.06</v>
      </c>
      <c r="W16" s="16">
        <f t="shared" ref="W16" si="21">SUM(W12:W15)</f>
        <v>115500.39</v>
      </c>
      <c r="X16" s="16">
        <f t="shared" ref="X16" si="22">SUM(X12:X15)</f>
        <v>110580.72</v>
      </c>
    </row>
    <row r="19" spans="1:25" ht="45">
      <c r="F19" s="4"/>
      <c r="L19" s="13" t="s">
        <v>28</v>
      </c>
      <c r="M19" s="13" t="s">
        <v>28</v>
      </c>
      <c r="N19" s="13" t="s">
        <v>28</v>
      </c>
      <c r="O19" s="13" t="s">
        <v>28</v>
      </c>
      <c r="P19" s="13" t="s">
        <v>28</v>
      </c>
      <c r="Q19" s="13" t="s">
        <v>28</v>
      </c>
      <c r="R19" s="13" t="s">
        <v>28</v>
      </c>
      <c r="S19" s="13" t="s">
        <v>28</v>
      </c>
      <c r="T19" s="13" t="s">
        <v>28</v>
      </c>
      <c r="U19" s="29" t="s">
        <v>29</v>
      </c>
      <c r="V19" s="29"/>
      <c r="W19" s="29"/>
      <c r="X19" s="29"/>
      <c r="Y19" s="31"/>
    </row>
    <row r="20" spans="1:25" ht="90">
      <c r="A20" t="s">
        <v>30</v>
      </c>
      <c r="C20" s="1">
        <v>5076</v>
      </c>
      <c r="E20" s="6" t="s">
        <v>31</v>
      </c>
      <c r="F20" s="3">
        <v>4697.2</v>
      </c>
      <c r="G20" s="3">
        <v>4394.8</v>
      </c>
      <c r="H20" s="3">
        <v>4394.8</v>
      </c>
      <c r="I20" s="3">
        <v>3105.8</v>
      </c>
      <c r="J20" s="3">
        <v>3105.8</v>
      </c>
      <c r="K20" s="3">
        <v>3105.8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13">
        <v>4830.3500000000004</v>
      </c>
      <c r="V20" s="13">
        <v>5181.3500000000004</v>
      </c>
      <c r="W20" s="3">
        <v>6786.15</v>
      </c>
      <c r="X20" s="3">
        <v>6497.1</v>
      </c>
    </row>
    <row r="21" spans="1:25" s="15" customFormat="1">
      <c r="A21" s="15" t="s">
        <v>32</v>
      </c>
      <c r="C21" s="16">
        <f>C16+C20</f>
        <v>55844</v>
      </c>
      <c r="E21" s="12" t="s">
        <v>33</v>
      </c>
      <c r="F21" s="26">
        <f>F16+F20</f>
        <v>74635.64</v>
      </c>
      <c r="G21" s="26">
        <f>G16+G20</f>
        <v>64961.26</v>
      </c>
      <c r="H21" s="26">
        <f>H16+H20</f>
        <v>65821.17</v>
      </c>
      <c r="I21" s="26">
        <f>I16+I20</f>
        <v>60088.33</v>
      </c>
      <c r="J21" s="26">
        <f t="shared" ref="J21:K21" si="23">J16+J20</f>
        <v>53990.03</v>
      </c>
      <c r="K21" s="26">
        <f t="shared" si="23"/>
        <v>61400.83</v>
      </c>
      <c r="L21" s="26">
        <f t="shared" ref="L21" si="24">L16+L20</f>
        <v>110285.41</v>
      </c>
      <c r="M21" s="26">
        <f t="shared" ref="M21" si="25">M16+M20</f>
        <v>94296.76999999999</v>
      </c>
      <c r="N21" s="26">
        <f t="shared" ref="N21" si="26">N16+N20</f>
        <v>97581.190000000017</v>
      </c>
      <c r="O21" s="26">
        <f t="shared" ref="O21" si="27">O16+O20</f>
        <v>86456.23</v>
      </c>
      <c r="P21" s="26">
        <f t="shared" ref="P21" si="28">P16+P20</f>
        <v>110925.31</v>
      </c>
      <c r="Q21" s="26">
        <f t="shared" ref="Q21" si="29">Q16+Q20</f>
        <v>98270.180000000008</v>
      </c>
      <c r="R21" s="26">
        <f t="shared" ref="R21" si="30">R16+R20</f>
        <v>89461.67</v>
      </c>
      <c r="S21" s="26">
        <f t="shared" ref="S21" si="31">S16+S20</f>
        <v>73229.490000000005</v>
      </c>
      <c r="T21" s="26">
        <f>T16</f>
        <v>95490.95</v>
      </c>
      <c r="U21" s="26">
        <f t="shared" ref="U21" si="32">U16+U20</f>
        <v>88202.150000000009</v>
      </c>
      <c r="V21" s="26">
        <f t="shared" ref="V21" si="33">V16+V20</f>
        <v>94611.41</v>
      </c>
      <c r="W21" s="26">
        <f t="shared" ref="W21" si="34">W16+W20</f>
        <v>122286.54</v>
      </c>
      <c r="X21" s="26">
        <f t="shared" ref="X21" si="35">X16+X20</f>
        <v>117077.82</v>
      </c>
    </row>
    <row r="22" spans="1:25">
      <c r="E22" s="2"/>
    </row>
    <row r="23" spans="1:25">
      <c r="A23" t="s">
        <v>34</v>
      </c>
      <c r="C23" s="3">
        <v>0</v>
      </c>
      <c r="D23" s="3" t="s">
        <v>35</v>
      </c>
      <c r="E23" s="14"/>
      <c r="F23" s="3">
        <v>4109.21</v>
      </c>
      <c r="G23" s="3">
        <v>4109.21</v>
      </c>
      <c r="H23" s="3">
        <v>4109.21</v>
      </c>
      <c r="I23" s="3">
        <v>3295.94</v>
      </c>
      <c r="J23" s="3">
        <v>3295.94</v>
      </c>
      <c r="K23" s="3">
        <v>3295.94</v>
      </c>
      <c r="L23" s="3">
        <v>3155.69</v>
      </c>
      <c r="M23" s="3">
        <v>3155.69</v>
      </c>
      <c r="N23" s="3">
        <v>3155.69</v>
      </c>
      <c r="O23" s="3">
        <v>3155.69</v>
      </c>
      <c r="P23" s="3">
        <v>3155.69</v>
      </c>
      <c r="Q23" s="3">
        <v>3155.69</v>
      </c>
      <c r="R23" s="3">
        <v>3155.69</v>
      </c>
      <c r="S23" s="3">
        <v>3155.69</v>
      </c>
      <c r="T23" s="3">
        <v>2839.01</v>
      </c>
      <c r="U23" s="3"/>
      <c r="V23" s="3"/>
      <c r="W23" s="3"/>
      <c r="X23" s="3"/>
    </row>
    <row r="24" spans="1:25">
      <c r="C24" s="3"/>
      <c r="D24" s="3"/>
      <c r="E24" s="1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5">
      <c r="A25" t="s">
        <v>36</v>
      </c>
      <c r="C25" s="3">
        <v>0</v>
      </c>
      <c r="D25" s="3" t="s">
        <v>35</v>
      </c>
      <c r="E25" s="14"/>
      <c r="F25" s="3">
        <v>1773.39</v>
      </c>
      <c r="G25" s="3">
        <v>1773.39</v>
      </c>
      <c r="H25" s="3">
        <v>1773.39</v>
      </c>
      <c r="I25" s="3">
        <v>690.97</v>
      </c>
      <c r="J25" s="3">
        <v>690.97</v>
      </c>
      <c r="K25" s="3">
        <v>690.97</v>
      </c>
      <c r="L25" s="3">
        <v>653.57000000000005</v>
      </c>
      <c r="M25" s="3">
        <v>653.57000000000005</v>
      </c>
      <c r="N25" s="3">
        <v>653.57000000000005</v>
      </c>
      <c r="O25" s="3">
        <v>653.57000000000005</v>
      </c>
      <c r="P25" s="3">
        <v>653.57000000000005</v>
      </c>
      <c r="Q25" s="3">
        <v>653.57000000000005</v>
      </c>
      <c r="R25" s="3">
        <v>653.57000000000005</v>
      </c>
      <c r="S25" s="3">
        <v>653.57000000000005</v>
      </c>
      <c r="T25" s="3">
        <v>699.79</v>
      </c>
      <c r="U25" s="3"/>
      <c r="V25" s="3"/>
      <c r="W25" s="3"/>
      <c r="X25" s="3"/>
    </row>
    <row r="26" spans="1:25">
      <c r="C26" s="3"/>
      <c r="D26" s="3"/>
      <c r="E26" s="1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5">
      <c r="A27" t="s">
        <v>37</v>
      </c>
      <c r="C27" s="3">
        <v>0</v>
      </c>
      <c r="D27" s="3" t="s">
        <v>35</v>
      </c>
      <c r="E27" s="14"/>
      <c r="F27" s="3">
        <v>3921.6</v>
      </c>
      <c r="G27" s="3">
        <v>3921.6</v>
      </c>
      <c r="H27" s="3">
        <v>3921.6</v>
      </c>
      <c r="I27" s="3">
        <v>212.8</v>
      </c>
      <c r="J27" s="3">
        <v>212.8</v>
      </c>
      <c r="K27" s="3">
        <v>212.8</v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5">
      <c r="A28" t="s">
        <v>38</v>
      </c>
      <c r="C28" s="3"/>
      <c r="D28" s="3"/>
      <c r="E28" s="14"/>
      <c r="F28" s="3"/>
      <c r="G28" s="3"/>
      <c r="H28" s="3"/>
      <c r="I28" s="30" t="s">
        <v>39</v>
      </c>
      <c r="J28" s="30"/>
      <c r="K28" s="30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5">
      <c r="C29" s="3"/>
      <c r="D29" s="3"/>
      <c r="E29" s="1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5">
      <c r="A30" t="s">
        <v>40</v>
      </c>
      <c r="C30" s="3">
        <v>0</v>
      </c>
      <c r="D30" s="3" t="s">
        <v>35</v>
      </c>
      <c r="E30" s="14"/>
      <c r="F30" s="3">
        <v>993</v>
      </c>
      <c r="G30" s="3">
        <v>993</v>
      </c>
      <c r="H30" s="3">
        <v>993</v>
      </c>
      <c r="I30" s="3">
        <v>1035.5</v>
      </c>
      <c r="J30" s="3">
        <v>1035.5</v>
      </c>
      <c r="K30" s="3">
        <v>1035.5</v>
      </c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5">
      <c r="C31" t="s">
        <v>41</v>
      </c>
      <c r="E31" s="2"/>
      <c r="I31" s="28"/>
      <c r="J31" s="28"/>
      <c r="K31" s="28"/>
      <c r="L31" s="28" t="s">
        <v>42</v>
      </c>
      <c r="M31" s="28"/>
      <c r="N31" s="28"/>
      <c r="O31" s="28"/>
      <c r="P31" s="28"/>
      <c r="Q31" s="28"/>
      <c r="R31" s="28"/>
      <c r="S31" s="28"/>
      <c r="T31" t="s">
        <v>43</v>
      </c>
      <c r="U31" s="29" t="s">
        <v>29</v>
      </c>
      <c r="V31" s="29"/>
      <c r="W31" s="29"/>
      <c r="X31" s="29"/>
      <c r="Y31" s="31"/>
    </row>
    <row r="32" spans="1:25" s="22" customFormat="1" ht="66" customHeight="1">
      <c r="A32" s="21" t="s">
        <v>44</v>
      </c>
      <c r="C32" s="25">
        <f>C21+C23+C25+C27+C30</f>
        <v>55844</v>
      </c>
      <c r="D32" s="25"/>
      <c r="E32" s="25"/>
      <c r="F32" s="25">
        <f t="shared" ref="F32:X32" si="36">F21+F23+F25+F27+F30</f>
        <v>85432.840000000011</v>
      </c>
      <c r="G32" s="25">
        <f t="shared" si="36"/>
        <v>75758.460000000006</v>
      </c>
      <c r="H32" s="25">
        <f t="shared" si="36"/>
        <v>76618.37000000001</v>
      </c>
      <c r="I32" s="25">
        <f t="shared" si="36"/>
        <v>65323.540000000008</v>
      </c>
      <c r="J32" s="25">
        <f t="shared" si="36"/>
        <v>59225.240000000005</v>
      </c>
      <c r="K32" s="25">
        <f t="shared" si="36"/>
        <v>66636.040000000008</v>
      </c>
      <c r="L32" s="25">
        <f t="shared" si="36"/>
        <v>114094.67000000001</v>
      </c>
      <c r="M32" s="25">
        <f t="shared" si="36"/>
        <v>98106.03</v>
      </c>
      <c r="N32" s="25">
        <f t="shared" si="36"/>
        <v>101390.45000000003</v>
      </c>
      <c r="O32" s="25">
        <f t="shared" si="36"/>
        <v>90265.49</v>
      </c>
      <c r="P32" s="25">
        <f t="shared" si="36"/>
        <v>114734.57</v>
      </c>
      <c r="Q32" s="25">
        <f t="shared" si="36"/>
        <v>102079.44000000002</v>
      </c>
      <c r="R32" s="25">
        <f t="shared" si="36"/>
        <v>93270.930000000008</v>
      </c>
      <c r="S32" s="25">
        <f t="shared" si="36"/>
        <v>77038.750000000015</v>
      </c>
      <c r="T32" s="25">
        <f t="shared" si="36"/>
        <v>99029.749999999985</v>
      </c>
      <c r="U32" s="25">
        <f t="shared" si="36"/>
        <v>88202.150000000009</v>
      </c>
      <c r="V32" s="25">
        <f t="shared" si="36"/>
        <v>94611.41</v>
      </c>
      <c r="W32" s="25">
        <f t="shared" si="36"/>
        <v>122286.54</v>
      </c>
      <c r="X32" s="25">
        <f t="shared" si="36"/>
        <v>117077.82</v>
      </c>
    </row>
    <row r="33" spans="1:25">
      <c r="E33" s="2"/>
    </row>
    <row r="34" spans="1:25" s="22" customFormat="1">
      <c r="A34" s="22" t="s">
        <v>45</v>
      </c>
      <c r="F34" s="23">
        <f>SUM(F32/$C$32-1)</f>
        <v>0.52984814841343764</v>
      </c>
      <c r="G34" s="23">
        <f t="shared" ref="G34:X34" si="37">SUM(G32/$C$32-1)</f>
        <v>0.3566087672802809</v>
      </c>
      <c r="H34" s="23">
        <f t="shared" si="37"/>
        <v>0.37200719862474063</v>
      </c>
      <c r="I34" s="23">
        <f>SUM(I32/$C$32-1)</f>
        <v>0.16975037604756116</v>
      </c>
      <c r="J34" s="23">
        <f t="shared" si="37"/>
        <v>6.0547955017548949E-2</v>
      </c>
      <c r="K34" s="23">
        <f t="shared" si="37"/>
        <v>0.19325334861399623</v>
      </c>
      <c r="L34" s="23">
        <f t="shared" si="37"/>
        <v>1.0430963039896857</v>
      </c>
      <c r="M34" s="23">
        <f t="shared" si="37"/>
        <v>0.75678730033665209</v>
      </c>
      <c r="N34" s="23">
        <f t="shared" si="37"/>
        <v>0.81560149702743412</v>
      </c>
      <c r="O34" s="23">
        <f t="shared" si="37"/>
        <v>0.61638654107871949</v>
      </c>
      <c r="P34" s="23">
        <f t="shared" si="37"/>
        <v>1.0545550103860757</v>
      </c>
      <c r="Q34" s="23">
        <f t="shared" si="37"/>
        <v>0.82793925936537538</v>
      </c>
      <c r="R34" s="23">
        <f t="shared" si="37"/>
        <v>0.67020503545591303</v>
      </c>
      <c r="S34" s="23">
        <f t="shared" si="37"/>
        <v>0.37953495451615238</v>
      </c>
      <c r="T34" s="23">
        <f t="shared" si="37"/>
        <v>0.77332837905594132</v>
      </c>
      <c r="U34" s="23">
        <f t="shared" si="37"/>
        <v>0.57943825657187897</v>
      </c>
      <c r="V34" s="23">
        <f t="shared" si="37"/>
        <v>0.69420904662989757</v>
      </c>
      <c r="W34" s="23">
        <f t="shared" si="37"/>
        <v>1.1897883389442017</v>
      </c>
      <c r="X34" s="23">
        <f t="shared" si="37"/>
        <v>1.0965156507413512</v>
      </c>
      <c r="Y34" s="23"/>
    </row>
    <row r="35" spans="1:25" ht="60">
      <c r="C35" t="s">
        <v>41</v>
      </c>
      <c r="E35" s="2"/>
      <c r="I35" s="27"/>
      <c r="J35" s="27"/>
      <c r="K35" s="27"/>
      <c r="L35" s="28" t="s">
        <v>46</v>
      </c>
      <c r="M35" s="28"/>
      <c r="N35" s="28"/>
      <c r="O35" s="28"/>
      <c r="P35" s="28"/>
      <c r="Q35" s="28"/>
      <c r="R35" s="28"/>
      <c r="S35" s="28"/>
      <c r="T35" s="6" t="s">
        <v>47</v>
      </c>
      <c r="U35" s="27" t="s">
        <v>48</v>
      </c>
      <c r="V35" s="27"/>
      <c r="W35" s="27"/>
      <c r="X35" s="27"/>
    </row>
    <row r="36" spans="1:25" s="18" customFormat="1">
      <c r="E36" s="19"/>
      <c r="I36" s="20"/>
      <c r="J36" s="20"/>
      <c r="K36" s="20"/>
    </row>
    <row r="37" spans="1:25">
      <c r="A37" t="s">
        <v>49</v>
      </c>
      <c r="E37" s="2"/>
    </row>
    <row r="38" spans="1:25" ht="36" customHeight="1">
      <c r="A38" s="5" t="s">
        <v>50</v>
      </c>
      <c r="C38" s="5" t="s">
        <v>35</v>
      </c>
      <c r="E38" s="2"/>
      <c r="F38" s="5" t="s">
        <v>51</v>
      </c>
      <c r="I38" s="27" t="s">
        <v>52</v>
      </c>
      <c r="J38" s="27"/>
      <c r="K38" s="27"/>
      <c r="L38" s="27" t="s">
        <v>52</v>
      </c>
      <c r="M38" s="27"/>
      <c r="N38" s="27"/>
      <c r="O38" s="27"/>
      <c r="P38" s="27"/>
      <c r="Q38" s="27"/>
      <c r="R38" s="27"/>
      <c r="S38" s="27"/>
      <c r="T38" s="5" t="s">
        <v>53</v>
      </c>
      <c r="U38" s="27" t="s">
        <v>54</v>
      </c>
      <c r="V38" s="27"/>
      <c r="W38" s="27"/>
      <c r="X38" s="27"/>
    </row>
    <row r="39" spans="1:25">
      <c r="E39" s="2"/>
    </row>
    <row r="40" spans="1:25">
      <c r="E40" s="2"/>
      <c r="F40" t="s">
        <v>55</v>
      </c>
      <c r="I40" t="s">
        <v>55</v>
      </c>
      <c r="T40" t="s">
        <v>50</v>
      </c>
    </row>
    <row r="41" spans="1:25">
      <c r="A41" s="2"/>
      <c r="E41" s="2"/>
      <c r="T41" t="s">
        <v>56</v>
      </c>
    </row>
    <row r="42" spans="1:25">
      <c r="A42" s="2"/>
      <c r="E42" s="2"/>
      <c r="F42" t="s">
        <v>57</v>
      </c>
      <c r="G42" s="1">
        <f>34.82*9</f>
        <v>313.38</v>
      </c>
      <c r="H42" s="1"/>
      <c r="I42" t="s">
        <v>58</v>
      </c>
      <c r="T42" t="s">
        <v>59</v>
      </c>
    </row>
    <row r="43" spans="1:25" ht="30">
      <c r="A43" s="2"/>
      <c r="E43" s="2"/>
      <c r="F43" s="6" t="s">
        <v>60</v>
      </c>
      <c r="G43" s="1">
        <f>29*109.33</f>
        <v>3170.57</v>
      </c>
      <c r="H43" s="1"/>
      <c r="I43" t="s">
        <v>61</v>
      </c>
      <c r="T43" t="s">
        <v>62</v>
      </c>
    </row>
    <row r="44" spans="1:25">
      <c r="A44" s="2"/>
      <c r="E44" s="2"/>
      <c r="F44" t="s">
        <v>63</v>
      </c>
      <c r="G44" s="1">
        <f>SUM(G42:G43)</f>
        <v>3483.9500000000003</v>
      </c>
      <c r="H44" s="7"/>
      <c r="I44" t="s">
        <v>64</v>
      </c>
      <c r="T44" t="s">
        <v>65</v>
      </c>
    </row>
    <row r="45" spans="1:25">
      <c r="E45" s="2" t="s">
        <v>33</v>
      </c>
      <c r="G45" s="1">
        <v>3648.15</v>
      </c>
      <c r="H45" s="7"/>
      <c r="I45" t="s">
        <v>66</v>
      </c>
      <c r="T45" t="s">
        <v>67</v>
      </c>
    </row>
    <row r="46" spans="1:25">
      <c r="E46" s="2"/>
      <c r="I46" t="s">
        <v>68</v>
      </c>
    </row>
    <row r="47" spans="1:25">
      <c r="E47" s="2"/>
      <c r="F47" t="s">
        <v>69</v>
      </c>
      <c r="I47" t="s">
        <v>70</v>
      </c>
    </row>
    <row r="48" spans="1:25">
      <c r="E48" s="2"/>
    </row>
    <row r="49" spans="1:25">
      <c r="E49" s="2"/>
      <c r="F49" t="s">
        <v>71</v>
      </c>
      <c r="G49" s="17">
        <f>40.2*9</f>
        <v>361.8</v>
      </c>
      <c r="H49" s="3"/>
      <c r="I49" t="s">
        <v>69</v>
      </c>
    </row>
    <row r="50" spans="1:25" ht="30">
      <c r="E50" s="2"/>
      <c r="F50" s="6" t="s">
        <v>72</v>
      </c>
      <c r="G50" s="17">
        <f>122.29*29</f>
        <v>3546.4100000000003</v>
      </c>
      <c r="H50" s="3"/>
    </row>
    <row r="51" spans="1:25">
      <c r="E51" s="2"/>
      <c r="F51" t="s">
        <v>63</v>
      </c>
      <c r="G51" s="17">
        <f>G49+G50</f>
        <v>3908.2100000000005</v>
      </c>
      <c r="H51" s="9"/>
      <c r="I51" t="s">
        <v>73</v>
      </c>
    </row>
    <row r="52" spans="1:25">
      <c r="E52" s="2" t="s">
        <v>33</v>
      </c>
      <c r="G52" s="17">
        <v>4109.21</v>
      </c>
      <c r="H52" s="9"/>
      <c r="I52" t="s">
        <v>74</v>
      </c>
    </row>
    <row r="53" spans="1:25">
      <c r="E53" s="2"/>
      <c r="I53" t="s">
        <v>75</v>
      </c>
      <c r="Y53" t="s">
        <v>76</v>
      </c>
    </row>
    <row r="54" spans="1:25">
      <c r="E54" s="2"/>
      <c r="I54" t="s">
        <v>77</v>
      </c>
      <c r="T54" s="5" t="s">
        <v>53</v>
      </c>
      <c r="Y54" t="s">
        <v>78</v>
      </c>
    </row>
    <row r="55" spans="1:25">
      <c r="H55" s="5"/>
      <c r="I55" t="s">
        <v>79</v>
      </c>
      <c r="T55" t="s">
        <v>80</v>
      </c>
    </row>
    <row r="56" spans="1:25">
      <c r="I56" t="s">
        <v>81</v>
      </c>
      <c r="T56" t="s">
        <v>82</v>
      </c>
      <c r="Y56" t="s">
        <v>83</v>
      </c>
    </row>
    <row r="57" spans="1:25">
      <c r="A57" s="5" t="s">
        <v>80</v>
      </c>
      <c r="C57" s="5" t="s">
        <v>35</v>
      </c>
      <c r="E57" s="2"/>
      <c r="F57" s="5" t="s">
        <v>51</v>
      </c>
      <c r="G57" s="5"/>
      <c r="T57" t="s">
        <v>84</v>
      </c>
      <c r="Y57" t="s">
        <v>85</v>
      </c>
    </row>
    <row r="58" spans="1:25">
      <c r="A58" s="5"/>
      <c r="E58" s="2"/>
      <c r="T58" t="s">
        <v>86</v>
      </c>
      <c r="Y58" t="s">
        <v>87</v>
      </c>
    </row>
    <row r="59" spans="1:25">
      <c r="A59" s="5"/>
      <c r="E59" s="2"/>
      <c r="F59" t="s">
        <v>88</v>
      </c>
      <c r="H59" s="3"/>
      <c r="I59" t="s">
        <v>55</v>
      </c>
      <c r="T59" t="s">
        <v>89</v>
      </c>
      <c r="Y59" t="s">
        <v>90</v>
      </c>
    </row>
    <row r="60" spans="1:25">
      <c r="A60" s="2"/>
      <c r="C60" s="1"/>
      <c r="E60" s="2"/>
      <c r="F60" t="s">
        <v>91</v>
      </c>
      <c r="H60" s="3"/>
      <c r="T60" t="s">
        <v>92</v>
      </c>
    </row>
    <row r="61" spans="1:25">
      <c r="A61" s="2"/>
      <c r="C61" s="2"/>
      <c r="E61" s="2"/>
      <c r="F61" t="s">
        <v>93</v>
      </c>
      <c r="G61" s="3">
        <f>11.12*9</f>
        <v>100.08</v>
      </c>
      <c r="H61" s="9"/>
      <c r="I61" t="s">
        <v>94</v>
      </c>
    </row>
    <row r="62" spans="1:25" ht="30">
      <c r="E62" s="2"/>
      <c r="F62" s="6" t="s">
        <v>95</v>
      </c>
      <c r="G62" s="17">
        <f>30.69*29</f>
        <v>890.01</v>
      </c>
      <c r="H62" s="9"/>
      <c r="I62" t="s">
        <v>96</v>
      </c>
    </row>
    <row r="63" spans="1:25">
      <c r="E63" s="2"/>
      <c r="F63" s="6" t="s">
        <v>63</v>
      </c>
      <c r="G63" s="17">
        <f>SUM(G61:G62)</f>
        <v>990.09</v>
      </c>
      <c r="H63" s="3"/>
      <c r="I63" t="s">
        <v>97</v>
      </c>
    </row>
    <row r="64" spans="1:25">
      <c r="E64" s="2" t="s">
        <v>33</v>
      </c>
      <c r="F64" s="6"/>
      <c r="G64" s="17">
        <v>1045.69</v>
      </c>
      <c r="H64" s="3"/>
      <c r="I64" t="s">
        <v>98</v>
      </c>
    </row>
    <row r="65" spans="5:9">
      <c r="E65" s="2"/>
      <c r="G65" s="17"/>
      <c r="H65" s="3"/>
      <c r="I65" t="s">
        <v>99</v>
      </c>
    </row>
    <row r="66" spans="5:9">
      <c r="E66" s="2"/>
      <c r="F66" t="s">
        <v>100</v>
      </c>
      <c r="G66" s="17"/>
      <c r="H66" s="3"/>
      <c r="I66" t="s">
        <v>101</v>
      </c>
    </row>
    <row r="67" spans="5:9">
      <c r="E67" s="2"/>
      <c r="F67" t="s">
        <v>102</v>
      </c>
      <c r="G67" s="17">
        <f>15.89*6</f>
        <v>95.34</v>
      </c>
      <c r="H67" s="9"/>
    </row>
    <row r="68" spans="5:9" ht="30">
      <c r="E68" s="2"/>
      <c r="F68" s="6" t="s">
        <v>103</v>
      </c>
      <c r="G68" s="17">
        <f>43.85*29</f>
        <v>1271.6500000000001</v>
      </c>
      <c r="H68" s="9"/>
      <c r="I68" t="s">
        <v>69</v>
      </c>
    </row>
    <row r="69" spans="5:9">
      <c r="E69" s="2"/>
      <c r="F69" s="6" t="s">
        <v>63</v>
      </c>
      <c r="G69" s="17">
        <f>SUM(G67:G68)</f>
        <v>1366.99</v>
      </c>
      <c r="H69" s="3"/>
    </row>
    <row r="70" spans="5:9">
      <c r="E70" s="2" t="s">
        <v>33</v>
      </c>
      <c r="F70" s="6"/>
      <c r="G70" s="17">
        <v>1446.44</v>
      </c>
      <c r="H70" s="3"/>
      <c r="I70" t="s">
        <v>104</v>
      </c>
    </row>
    <row r="71" spans="5:9">
      <c r="E71" s="2"/>
      <c r="G71" s="17"/>
      <c r="H71" s="3"/>
      <c r="I71" t="s">
        <v>105</v>
      </c>
    </row>
    <row r="72" spans="5:9">
      <c r="E72" s="2"/>
      <c r="F72" t="s">
        <v>106</v>
      </c>
      <c r="G72" s="17"/>
      <c r="H72" s="3"/>
      <c r="I72" t="s">
        <v>107</v>
      </c>
    </row>
    <row r="73" spans="5:9">
      <c r="E73" s="2"/>
      <c r="F73" t="s">
        <v>108</v>
      </c>
      <c r="G73" s="17">
        <f>19.06*9</f>
        <v>171.54</v>
      </c>
      <c r="H73" s="9"/>
      <c r="I73" t="s">
        <v>109</v>
      </c>
    </row>
    <row r="74" spans="5:9" ht="30">
      <c r="E74" s="2"/>
      <c r="F74" s="6" t="s">
        <v>110</v>
      </c>
      <c r="G74" s="17">
        <f>51.95*29</f>
        <v>1506.5500000000002</v>
      </c>
      <c r="H74" s="9"/>
      <c r="I74" t="s">
        <v>111</v>
      </c>
    </row>
    <row r="75" spans="5:9">
      <c r="E75" s="2"/>
      <c r="F75" s="6" t="s">
        <v>63</v>
      </c>
      <c r="G75" s="17">
        <f>SUM(G73:G74)</f>
        <v>1678.0900000000001</v>
      </c>
      <c r="I75" t="s">
        <v>112</v>
      </c>
    </row>
    <row r="76" spans="5:9">
      <c r="E76" s="2" t="s">
        <v>33</v>
      </c>
      <c r="F76" s="6"/>
      <c r="G76" s="17">
        <v>1773.39</v>
      </c>
    </row>
    <row r="77" spans="5:9">
      <c r="E77" s="2"/>
    </row>
    <row r="78" spans="5:9">
      <c r="E78" s="2"/>
      <c r="F78" t="s">
        <v>88</v>
      </c>
      <c r="H78" s="3"/>
    </row>
    <row r="79" spans="5:9">
      <c r="E79" s="2"/>
      <c r="F79" t="s">
        <v>113</v>
      </c>
      <c r="H79" s="3"/>
    </row>
    <row r="80" spans="5:9">
      <c r="E80" s="2"/>
      <c r="F80" t="s">
        <v>93</v>
      </c>
      <c r="G80" s="3">
        <f>11.12*9</f>
        <v>100.08</v>
      </c>
      <c r="H80" s="3"/>
    </row>
    <row r="81" spans="5:8">
      <c r="E81" s="2"/>
      <c r="F81" t="s">
        <v>114</v>
      </c>
      <c r="G81" s="3">
        <f>11.12*3</f>
        <v>33.36</v>
      </c>
      <c r="H81" s="3"/>
    </row>
    <row r="82" spans="5:8">
      <c r="E82" s="2"/>
      <c r="F82" t="s">
        <v>115</v>
      </c>
      <c r="G82" s="3">
        <f>23.79*34</f>
        <v>808.86</v>
      </c>
      <c r="H82" s="9"/>
    </row>
    <row r="83" spans="5:8">
      <c r="E83" s="2"/>
      <c r="F83" t="s">
        <v>116</v>
      </c>
      <c r="G83" s="3">
        <f>38.05*22</f>
        <v>837.09999999999991</v>
      </c>
      <c r="H83" s="9"/>
    </row>
    <row r="84" spans="5:8">
      <c r="E84" s="2"/>
      <c r="F84" s="6" t="s">
        <v>63</v>
      </c>
      <c r="G84" s="17">
        <f>SUM(G80:G83)</f>
        <v>1779.3999999999999</v>
      </c>
      <c r="H84" s="3"/>
    </row>
    <row r="85" spans="5:8">
      <c r="E85" s="2" t="s">
        <v>33</v>
      </c>
      <c r="F85" s="6"/>
      <c r="G85" s="17">
        <v>1835</v>
      </c>
      <c r="H85" s="3"/>
    </row>
    <row r="86" spans="5:8">
      <c r="E86" s="2"/>
      <c r="G86" s="17"/>
      <c r="H86" s="3"/>
    </row>
    <row r="87" spans="5:8">
      <c r="E87" s="2"/>
      <c r="F87" t="s">
        <v>100</v>
      </c>
      <c r="G87" s="17"/>
      <c r="H87" s="3"/>
    </row>
    <row r="88" spans="5:8">
      <c r="E88" s="2"/>
      <c r="F88" t="s">
        <v>102</v>
      </c>
      <c r="G88" s="17">
        <f>15.89*9</f>
        <v>143.01</v>
      </c>
      <c r="H88" s="3"/>
    </row>
    <row r="89" spans="5:8">
      <c r="E89" s="2"/>
      <c r="F89" t="s">
        <v>117</v>
      </c>
      <c r="G89" s="17">
        <f>31.78*3</f>
        <v>95.34</v>
      </c>
      <c r="H89" s="3"/>
    </row>
    <row r="90" spans="5:8">
      <c r="E90" s="2"/>
      <c r="F90" t="s">
        <v>118</v>
      </c>
      <c r="G90" s="17">
        <f>34.01*4</f>
        <v>136.04</v>
      </c>
      <c r="H90" s="9"/>
    </row>
    <row r="91" spans="5:8">
      <c r="E91" s="2"/>
      <c r="F91" t="s">
        <v>119</v>
      </c>
      <c r="G91" s="17">
        <f>54.36*22</f>
        <v>1195.92</v>
      </c>
      <c r="H91" s="9"/>
    </row>
    <row r="92" spans="5:8">
      <c r="E92" s="2"/>
      <c r="F92" s="6" t="s">
        <v>63</v>
      </c>
      <c r="G92" s="17">
        <f>SUM(G88:G91)</f>
        <v>1570.31</v>
      </c>
      <c r="H92" s="3"/>
    </row>
    <row r="93" spans="5:8">
      <c r="E93" s="2" t="s">
        <v>33</v>
      </c>
      <c r="F93" s="6"/>
      <c r="G93" s="17">
        <v>1649.76</v>
      </c>
      <c r="H93" s="3"/>
    </row>
    <row r="94" spans="5:8">
      <c r="E94" s="2"/>
      <c r="G94" s="17"/>
      <c r="H94" s="3"/>
    </row>
    <row r="95" spans="5:8">
      <c r="E95" s="2"/>
      <c r="F95" t="s">
        <v>106</v>
      </c>
      <c r="G95" s="17"/>
      <c r="H95" s="3"/>
    </row>
    <row r="96" spans="5:8">
      <c r="E96" s="2"/>
      <c r="F96" t="s">
        <v>108</v>
      </c>
      <c r="G96" s="17">
        <f>19.06*9</f>
        <v>171.54</v>
      </c>
      <c r="H96" s="3"/>
    </row>
    <row r="97" spans="1:20">
      <c r="E97" s="2"/>
      <c r="F97" t="s">
        <v>120</v>
      </c>
      <c r="G97" s="17">
        <f>37.89*3</f>
        <v>113.67</v>
      </c>
      <c r="H97" s="3"/>
    </row>
    <row r="98" spans="1:20">
      <c r="E98" s="2"/>
      <c r="F98" t="s">
        <v>121</v>
      </c>
      <c r="G98" s="17">
        <f>40.04*4</f>
        <v>160.16</v>
      </c>
      <c r="H98" s="9"/>
    </row>
    <row r="99" spans="1:20">
      <c r="E99" s="2"/>
      <c r="F99" t="s">
        <v>122</v>
      </c>
      <c r="G99" s="17">
        <f>63.92*22</f>
        <v>1406.24</v>
      </c>
      <c r="H99" s="9"/>
    </row>
    <row r="100" spans="1:20">
      <c r="E100" s="2"/>
      <c r="F100" s="6" t="s">
        <v>63</v>
      </c>
      <c r="G100" s="17">
        <f>SUM(G96:G99)</f>
        <v>1851.6100000000001</v>
      </c>
    </row>
    <row r="101" spans="1:20">
      <c r="E101" s="2" t="s">
        <v>33</v>
      </c>
      <c r="G101" s="17">
        <v>1946.91</v>
      </c>
    </row>
    <row r="102" spans="1:20">
      <c r="E102" s="2"/>
    </row>
    <row r="103" spans="1:20">
      <c r="E103" s="2"/>
      <c r="H103" s="5"/>
      <c r="T103" s="5" t="s">
        <v>51</v>
      </c>
    </row>
    <row r="104" spans="1:20">
      <c r="E104" s="2"/>
      <c r="T104" t="s">
        <v>123</v>
      </c>
    </row>
    <row r="105" spans="1:20">
      <c r="A105" s="5" t="s">
        <v>124</v>
      </c>
      <c r="C105" s="5" t="s">
        <v>35</v>
      </c>
      <c r="D105" s="5"/>
      <c r="E105" s="11"/>
      <c r="F105" s="5" t="s">
        <v>51</v>
      </c>
      <c r="G105" s="5"/>
      <c r="I105" s="5" t="s">
        <v>51</v>
      </c>
      <c r="T105" t="s">
        <v>125</v>
      </c>
    </row>
    <row r="106" spans="1:20" ht="30">
      <c r="C106" s="5" t="s">
        <v>126</v>
      </c>
      <c r="E106" s="2"/>
      <c r="F106" s="6" t="s">
        <v>127</v>
      </c>
      <c r="I106" s="6" t="s">
        <v>128</v>
      </c>
      <c r="J106" s="7">
        <v>212.8</v>
      </c>
    </row>
    <row r="107" spans="1:20" ht="45">
      <c r="C107" s="5" t="s">
        <v>129</v>
      </c>
      <c r="E107" s="2"/>
      <c r="F107" s="6" t="s">
        <v>130</v>
      </c>
    </row>
    <row r="108" spans="1:20" ht="30">
      <c r="E108" s="2"/>
      <c r="F108" s="6" t="s">
        <v>131</v>
      </c>
      <c r="H108" s="9"/>
    </row>
    <row r="109" spans="1:20" ht="30">
      <c r="E109" s="2"/>
      <c r="F109" s="6" t="s">
        <v>132</v>
      </c>
      <c r="H109" s="9"/>
    </row>
    <row r="110" spans="1:20" ht="30">
      <c r="E110" s="2"/>
      <c r="F110" s="8" t="s">
        <v>133</v>
      </c>
      <c r="G110" s="9">
        <f>38*103.2</f>
        <v>3921.6</v>
      </c>
    </row>
    <row r="111" spans="1:20">
      <c r="E111" s="2"/>
      <c r="F111" s="8"/>
      <c r="G111" s="9"/>
      <c r="H111" s="5"/>
      <c r="T111" s="5" t="s">
        <v>134</v>
      </c>
    </row>
    <row r="112" spans="1:20">
      <c r="E112" s="2"/>
      <c r="T112" t="s">
        <v>135</v>
      </c>
    </row>
    <row r="113" spans="1:20">
      <c r="A113" s="5" t="s">
        <v>134</v>
      </c>
      <c r="C113" s="5" t="s">
        <v>35</v>
      </c>
      <c r="D113" s="5"/>
      <c r="E113" s="11"/>
      <c r="F113" s="5" t="s">
        <v>51</v>
      </c>
      <c r="G113" s="5"/>
      <c r="H113" s="7"/>
      <c r="I113" s="5" t="s">
        <v>51</v>
      </c>
      <c r="T113" t="s">
        <v>136</v>
      </c>
    </row>
    <row r="114" spans="1:20">
      <c r="E114" s="2"/>
      <c r="F114" s="6" t="s">
        <v>137</v>
      </c>
      <c r="H114" s="7" t="s">
        <v>138</v>
      </c>
      <c r="I114" t="s">
        <v>137</v>
      </c>
      <c r="K114" s="5" t="s">
        <v>138</v>
      </c>
    </row>
    <row r="115" spans="1:20">
      <c r="E115" t="s">
        <v>139</v>
      </c>
      <c r="F115" s="6" t="s">
        <v>140</v>
      </c>
      <c r="G115" s="9">
        <v>993</v>
      </c>
      <c r="H115" s="7">
        <v>11915</v>
      </c>
      <c r="I115" t="s">
        <v>140</v>
      </c>
      <c r="J115" s="7">
        <v>1035.5</v>
      </c>
      <c r="K115" s="7">
        <v>12426</v>
      </c>
    </row>
    <row r="116" spans="1:20">
      <c r="E116" t="s">
        <v>141</v>
      </c>
      <c r="F116" s="6" t="s">
        <v>142</v>
      </c>
      <c r="G116" s="9">
        <v>1496</v>
      </c>
      <c r="H116" s="7">
        <v>17952</v>
      </c>
      <c r="I116" t="s">
        <v>143</v>
      </c>
    </row>
    <row r="117" spans="1:20">
      <c r="F117" t="s">
        <v>144</v>
      </c>
      <c r="G117" s="7"/>
    </row>
    <row r="118" spans="1:20">
      <c r="F118" s="6"/>
      <c r="G118" s="7"/>
    </row>
    <row r="119" spans="1:20">
      <c r="F119" s="6"/>
    </row>
    <row r="120" spans="1:20">
      <c r="H120" s="10"/>
    </row>
    <row r="122" spans="1:20">
      <c r="G122" s="10"/>
    </row>
  </sheetData>
  <mergeCells count="11">
    <mergeCell ref="U38:X38"/>
    <mergeCell ref="L38:S38"/>
    <mergeCell ref="I38:K38"/>
    <mergeCell ref="L35:S35"/>
    <mergeCell ref="U19:Y19"/>
    <mergeCell ref="U35:X35"/>
    <mergeCell ref="U31:Y31"/>
    <mergeCell ref="I31:K31"/>
    <mergeCell ref="I35:K35"/>
    <mergeCell ref="L31:S31"/>
    <mergeCell ref="I28:K28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DB8F9F80BF78479D539EABD46DA1AA" ma:contentTypeVersion="4" ma:contentTypeDescription="Create a new document." ma:contentTypeScope="" ma:versionID="e6ed01a1a62f24bde6d2b19d81c657ec">
  <xsd:schema xmlns:xsd="http://www.w3.org/2001/XMLSchema" xmlns:xs="http://www.w3.org/2001/XMLSchema" xmlns:p="http://schemas.microsoft.com/office/2006/metadata/properties" xmlns:ns2="d7aa59e4-26b3-4843-85f5-5d92debce9c4" targetNamespace="http://schemas.microsoft.com/office/2006/metadata/properties" ma:root="true" ma:fieldsID="c80119f8c39695031369cc7aeeea9260" ns2:_="">
    <xsd:import namespace="d7aa59e4-26b3-4843-85f5-5d92debce9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aa59e4-26b3-4843-85f5-5d92debce9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CD827D-CC95-47C6-8FFF-D22DD749B6C1}"/>
</file>

<file path=customXml/itemProps2.xml><?xml version="1.0" encoding="utf-8"?>
<ds:datastoreItem xmlns:ds="http://schemas.openxmlformats.org/officeDocument/2006/customXml" ds:itemID="{381C8257-0F30-4652-9C12-712E6A8B1763}"/>
</file>

<file path=customXml/itemProps3.xml><?xml version="1.0" encoding="utf-8"?>
<ds:datastoreItem xmlns:ds="http://schemas.openxmlformats.org/officeDocument/2006/customXml" ds:itemID="{A0896265-4AF7-4719-ACD1-02BAA32FA8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Vanessa Blagg</dc:creator>
  <cp:keywords/>
  <dc:description/>
  <cp:lastModifiedBy>heather@hloky.com</cp:lastModifiedBy>
  <cp:revision/>
  <dcterms:created xsi:type="dcterms:W3CDTF">2021-09-10T16:24:23Z</dcterms:created>
  <dcterms:modified xsi:type="dcterms:W3CDTF">2024-06-12T01:24:20Z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0x010100DBDB8F9F80BF78479D539EABD46DA1AA</vt:lpwstr>
  </property>
</Properties>
</file>