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0D7C9467-8712-4457-83C8-3066F9ED79AA}" xr6:coauthVersionLast="47" xr6:coauthVersionMax="47" xr10:uidLastSave="{00000000-0000-0000-0000-000000000000}"/>
  <bookViews>
    <workbookView xWindow="-120" yWindow="-120" windowWidth="29040" windowHeight="15840" xr2:uid="{91723180-74BD-49C9-9BD5-33D48C45AAAD}"/>
  </bookViews>
  <sheets>
    <sheet name="RUS_FF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11" i="1"/>
  <c r="E10" i="1"/>
  <c r="E9" i="1"/>
  <c r="E8" i="1"/>
  <c r="E7" i="1"/>
  <c r="E18" i="1"/>
  <c r="E19" i="1"/>
  <c r="E17" i="1"/>
  <c r="E16" i="1"/>
  <c r="E15" i="1"/>
  <c r="E14" i="1"/>
  <c r="E13" i="1"/>
  <c r="E12" i="1"/>
  <c r="K11" i="1"/>
  <c r="K10" i="1"/>
  <c r="K9" i="1"/>
  <c r="K8" i="1"/>
  <c r="K7" i="1"/>
  <c r="K6" i="1"/>
  <c r="K19" i="1"/>
  <c r="K18" i="1"/>
  <c r="K17" i="1"/>
  <c r="K16" i="1"/>
  <c r="K15" i="1"/>
  <c r="K14" i="1"/>
  <c r="K13" i="1"/>
  <c r="K12" i="1"/>
  <c r="N19" i="1"/>
  <c r="N18" i="1"/>
  <c r="N17" i="1"/>
  <c r="N16" i="1"/>
  <c r="N15" i="1"/>
  <c r="N14" i="1"/>
  <c r="N13" i="1"/>
  <c r="N12" i="1"/>
  <c r="AF27" i="1"/>
  <c r="AF26" i="1"/>
  <c r="AF25" i="1"/>
  <c r="AF24" i="1"/>
  <c r="AF23" i="1"/>
  <c r="AF22" i="1"/>
  <c r="AF21" i="1"/>
  <c r="AF20" i="1"/>
  <c r="AF19" i="1"/>
  <c r="AF18" i="1"/>
  <c r="AF17" i="1"/>
  <c r="AF13" i="1"/>
  <c r="AF12" i="1"/>
  <c r="AC19" i="1"/>
  <c r="AC22" i="1"/>
  <c r="AC21" i="1"/>
  <c r="AC20" i="1"/>
  <c r="AC18" i="1"/>
  <c r="AC17" i="1"/>
  <c r="AC13" i="1"/>
  <c r="AC12" i="1"/>
  <c r="AC24" i="1"/>
  <c r="AC23" i="1"/>
  <c r="Z18" i="1"/>
  <c r="Z22" i="1"/>
  <c r="Z21" i="1"/>
  <c r="Z20" i="1"/>
  <c r="Z19" i="1"/>
  <c r="Z17" i="1"/>
  <c r="Z13" i="1"/>
  <c r="Z12" i="1"/>
  <c r="W16" i="1"/>
  <c r="W15" i="1"/>
  <c r="W14" i="1"/>
  <c r="W21" i="1"/>
  <c r="W20" i="1"/>
  <c r="W19" i="1"/>
  <c r="W18" i="1"/>
  <c r="W17" i="1"/>
  <c r="W13" i="1"/>
  <c r="W12" i="1"/>
  <c r="T19" i="1" l="1"/>
  <c r="T18" i="1"/>
  <c r="T17" i="1"/>
  <c r="T16" i="1"/>
  <c r="T15" i="1"/>
  <c r="T14" i="1"/>
  <c r="T13" i="1"/>
  <c r="T12" i="1"/>
  <c r="Q19" i="1"/>
  <c r="Q18" i="1"/>
  <c r="Q17" i="1"/>
  <c r="Q16" i="1"/>
  <c r="Q15" i="1"/>
  <c r="Q14" i="1"/>
  <c r="Q13" i="1"/>
  <c r="Q1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AJ26" i="1"/>
  <c r="AJ27" i="1"/>
  <c r="AG23" i="1"/>
  <c r="AJ23" i="1" s="1"/>
  <c r="AG24" i="1"/>
  <c r="AJ24" i="1" s="1"/>
  <c r="AG25" i="1"/>
  <c r="AJ25" i="1" s="1"/>
  <c r="AD22" i="1"/>
  <c r="AG22" i="1" s="1"/>
  <c r="AJ22" i="1" s="1"/>
  <c r="AA20" i="1"/>
  <c r="AD20" i="1" s="1"/>
  <c r="AG20" i="1" s="1"/>
  <c r="AJ20" i="1" s="1"/>
  <c r="AA21" i="1"/>
  <c r="AD21" i="1" s="1"/>
  <c r="AG21" i="1" s="1"/>
  <c r="AJ21" i="1" s="1"/>
  <c r="V11" i="1"/>
  <c r="V10" i="1"/>
  <c r="V9" i="1"/>
  <c r="V8" i="1"/>
  <c r="V7" i="1"/>
  <c r="V6" i="1"/>
  <c r="F7" i="1"/>
  <c r="I7" i="1" s="1"/>
  <c r="L7" i="1" s="1"/>
  <c r="O7" i="1" s="1"/>
  <c r="R7" i="1" s="1"/>
  <c r="U7" i="1" s="1"/>
  <c r="F8" i="1"/>
  <c r="I8" i="1" s="1"/>
  <c r="L8" i="1" s="1"/>
  <c r="O8" i="1" s="1"/>
  <c r="R8" i="1" s="1"/>
  <c r="U8" i="1" s="1"/>
  <c r="W8" i="1" s="1"/>
  <c r="F9" i="1"/>
  <c r="I9" i="1" s="1"/>
  <c r="L9" i="1" s="1"/>
  <c r="O9" i="1" s="1"/>
  <c r="R9" i="1" s="1"/>
  <c r="U9" i="1" s="1"/>
  <c r="F10" i="1"/>
  <c r="I10" i="1" s="1"/>
  <c r="L10" i="1" s="1"/>
  <c r="O10" i="1" s="1"/>
  <c r="R10" i="1" s="1"/>
  <c r="U10" i="1" s="1"/>
  <c r="F11" i="1"/>
  <c r="I11" i="1" s="1"/>
  <c r="L11" i="1" s="1"/>
  <c r="O11" i="1" s="1"/>
  <c r="R11" i="1" s="1"/>
  <c r="U11" i="1" s="1"/>
  <c r="W11" i="1" s="1"/>
  <c r="F12" i="1"/>
  <c r="I12" i="1" s="1"/>
  <c r="L12" i="1" s="1"/>
  <c r="O12" i="1" s="1"/>
  <c r="R12" i="1" s="1"/>
  <c r="U12" i="1" s="1"/>
  <c r="X12" i="1" s="1"/>
  <c r="AA12" i="1" s="1"/>
  <c r="AD12" i="1" s="1"/>
  <c r="AG12" i="1" s="1"/>
  <c r="AJ12" i="1" s="1"/>
  <c r="F13" i="1"/>
  <c r="I13" i="1" s="1"/>
  <c r="L13" i="1" s="1"/>
  <c r="O13" i="1" s="1"/>
  <c r="R13" i="1" s="1"/>
  <c r="U13" i="1" s="1"/>
  <c r="X13" i="1" s="1"/>
  <c r="AA13" i="1" s="1"/>
  <c r="AD13" i="1" s="1"/>
  <c r="AG13" i="1" s="1"/>
  <c r="AJ13" i="1" s="1"/>
  <c r="F14" i="1"/>
  <c r="I14" i="1" s="1"/>
  <c r="L14" i="1" s="1"/>
  <c r="O14" i="1" s="1"/>
  <c r="R14" i="1" s="1"/>
  <c r="U14" i="1" s="1"/>
  <c r="X14" i="1" s="1"/>
  <c r="AA14" i="1" s="1"/>
  <c r="AD14" i="1" s="1"/>
  <c r="AG14" i="1" s="1"/>
  <c r="AJ14" i="1" s="1"/>
  <c r="F15" i="1"/>
  <c r="I15" i="1" s="1"/>
  <c r="L15" i="1" s="1"/>
  <c r="O15" i="1" s="1"/>
  <c r="R15" i="1" s="1"/>
  <c r="U15" i="1" s="1"/>
  <c r="X15" i="1" s="1"/>
  <c r="AA15" i="1" s="1"/>
  <c r="AD15" i="1" s="1"/>
  <c r="AG15" i="1" s="1"/>
  <c r="AJ15" i="1" s="1"/>
  <c r="F16" i="1"/>
  <c r="I16" i="1" s="1"/>
  <c r="L16" i="1" s="1"/>
  <c r="O16" i="1" s="1"/>
  <c r="R16" i="1" s="1"/>
  <c r="U16" i="1" s="1"/>
  <c r="X16" i="1" s="1"/>
  <c r="AA16" i="1" s="1"/>
  <c r="AD16" i="1" s="1"/>
  <c r="AG16" i="1" s="1"/>
  <c r="AJ16" i="1" s="1"/>
  <c r="F17" i="1"/>
  <c r="I17" i="1" s="1"/>
  <c r="L17" i="1" s="1"/>
  <c r="O17" i="1" s="1"/>
  <c r="R17" i="1" s="1"/>
  <c r="U17" i="1" s="1"/>
  <c r="X17" i="1" s="1"/>
  <c r="AA17" i="1" s="1"/>
  <c r="AD17" i="1" s="1"/>
  <c r="AG17" i="1" s="1"/>
  <c r="AJ17" i="1" s="1"/>
  <c r="F18" i="1"/>
  <c r="I18" i="1" s="1"/>
  <c r="L18" i="1" s="1"/>
  <c r="O18" i="1" s="1"/>
  <c r="R18" i="1" s="1"/>
  <c r="U18" i="1" s="1"/>
  <c r="X18" i="1" s="1"/>
  <c r="AA18" i="1" s="1"/>
  <c r="AD18" i="1" s="1"/>
  <c r="AG18" i="1" s="1"/>
  <c r="AJ18" i="1" s="1"/>
  <c r="F19" i="1"/>
  <c r="I19" i="1" s="1"/>
  <c r="L19" i="1" s="1"/>
  <c r="O19" i="1" s="1"/>
  <c r="R19" i="1" s="1"/>
  <c r="U19" i="1" s="1"/>
  <c r="X19" i="1" s="1"/>
  <c r="AA19" i="1" s="1"/>
  <c r="AD19" i="1" s="1"/>
  <c r="AG19" i="1" s="1"/>
  <c r="AJ19" i="1" s="1"/>
  <c r="F6" i="1"/>
  <c r="I6" i="1" s="1"/>
  <c r="X10" i="1" l="1"/>
  <c r="L6" i="1"/>
  <c r="O6" i="1" s="1"/>
  <c r="R6" i="1" s="1"/>
  <c r="U6" i="1" s="1"/>
  <c r="W6" i="1" s="1"/>
  <c r="X9" i="1"/>
  <c r="Y8" i="1"/>
  <c r="Y11" i="1"/>
  <c r="X7" i="1"/>
  <c r="W9" i="1"/>
  <c r="W10" i="1"/>
  <c r="Z10" i="1" s="1"/>
  <c r="X11" i="1"/>
  <c r="W7" i="1"/>
  <c r="X8" i="1"/>
  <c r="Z8" i="1" s="1"/>
  <c r="Y6" i="1" l="1"/>
  <c r="X6" i="1"/>
  <c r="AA6" i="1" s="1"/>
  <c r="AD6" i="1" s="1"/>
  <c r="AG6" i="1" s="1"/>
  <c r="AJ6" i="1" s="1"/>
  <c r="Z7" i="1"/>
  <c r="Y7" i="1"/>
  <c r="AA7" i="1" s="1"/>
  <c r="AD7" i="1" s="1"/>
  <c r="AG7" i="1" s="1"/>
  <c r="AJ7" i="1" s="1"/>
  <c r="Z9" i="1"/>
  <c r="Y9" i="1"/>
  <c r="AA9" i="1" s="1"/>
  <c r="AD9" i="1" s="1"/>
  <c r="AG9" i="1" s="1"/>
  <c r="AJ9" i="1" s="1"/>
  <c r="Y10" i="1"/>
  <c r="AA10" i="1" s="1"/>
  <c r="AD10" i="1" s="1"/>
  <c r="AG10" i="1" s="1"/>
  <c r="AJ10" i="1" s="1"/>
  <c r="AA8" i="1"/>
  <c r="AD8" i="1" s="1"/>
  <c r="AG8" i="1" s="1"/>
  <c r="AJ8" i="1" s="1"/>
  <c r="AA11" i="1"/>
  <c r="AD11" i="1" s="1"/>
  <c r="AG11" i="1" s="1"/>
  <c r="AJ11" i="1" s="1"/>
  <c r="Z11" i="1"/>
  <c r="Z6" i="1" l="1"/>
</calcChain>
</file>

<file path=xl/sharedStrings.xml><?xml version="1.0" encoding="utf-8"?>
<sst xmlns="http://schemas.openxmlformats.org/spreadsheetml/2006/main" count="83" uniqueCount="43">
  <si>
    <t>Lender</t>
  </si>
  <si>
    <t>RUS</t>
  </si>
  <si>
    <t>FFB</t>
  </si>
  <si>
    <t>Principal Balance, 1/1/14</t>
  </si>
  <si>
    <t>Principal Paid</t>
  </si>
  <si>
    <t>Interest Paid</t>
  </si>
  <si>
    <t>Principal Balance, 12/31/15</t>
  </si>
  <si>
    <t>Principal Balance, 12/31/14</t>
  </si>
  <si>
    <t>Principal Balance, 12/31/16</t>
  </si>
  <si>
    <t>Principal Balance, 12/31/17</t>
  </si>
  <si>
    <t>Principal Balance, 12/31/18</t>
  </si>
  <si>
    <t>Principal Balance, 12/31/19</t>
  </si>
  <si>
    <t>Principal Balance, 12/31/20</t>
  </si>
  <si>
    <t>Principal Balance, 12/31/21</t>
  </si>
  <si>
    <t>Principal Balance, 12/31/22</t>
  </si>
  <si>
    <t>Principal Balance, 12/31/23</t>
  </si>
  <si>
    <t>Principal Balance, 03/31/24</t>
  </si>
  <si>
    <t>RUS-1</t>
  </si>
  <si>
    <t>RUS-2</t>
  </si>
  <si>
    <t>RUS-3</t>
  </si>
  <si>
    <t>RUS-4</t>
  </si>
  <si>
    <t>RUS-5</t>
  </si>
  <si>
    <t>RUS-6</t>
  </si>
  <si>
    <t>FFB-1</t>
  </si>
  <si>
    <t>Reference No.</t>
  </si>
  <si>
    <t>FFB-2</t>
  </si>
  <si>
    <t>FFB-3</t>
  </si>
  <si>
    <t>FFB-4</t>
  </si>
  <si>
    <t>FFB-5</t>
  </si>
  <si>
    <t>FFB-6</t>
  </si>
  <si>
    <t>FFB-11</t>
  </si>
  <si>
    <t>FFB-12</t>
  </si>
  <si>
    <t>FFB-13</t>
  </si>
  <si>
    <t>FFB-15</t>
  </si>
  <si>
    <t>FFB-16</t>
  </si>
  <si>
    <t>Jackson Purchase Energy Corporation</t>
  </si>
  <si>
    <t>Case No. 2024-00085</t>
  </si>
  <si>
    <t>Item 16(g) - RUS/FFB Details</t>
  </si>
  <si>
    <t xml:space="preserve">FFB-7 </t>
  </si>
  <si>
    <t xml:space="preserve">FFB-8 </t>
  </si>
  <si>
    <t xml:space="preserve">FFB-9 </t>
  </si>
  <si>
    <t xml:space="preserve">FFB-10 </t>
  </si>
  <si>
    <t xml:space="preserve">FFB-14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</si>
</sst>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ptos Narrow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2" applyFill="1"/>
    <xf numFmtId="43" fontId="3" fillId="0" borderId="0" xfId="1" applyFont="1" applyFill="1"/>
    <xf numFmtId="43" fontId="3" fillId="0" borderId="0" xfId="4" applyNumberFormat="1" applyFill="1"/>
    <xf numFmtId="43" fontId="3" fillId="0" borderId="0" xfId="3" applyFont="1" applyFill="1"/>
    <xf numFmtId="43" fontId="0" fillId="0" borderId="0" xfId="0" applyNumberFormat="1" applyFill="1"/>
    <xf numFmtId="43" fontId="0" fillId="0" borderId="0" xfId="1" applyFont="1" applyFill="1"/>
    <xf numFmtId="43" fontId="5" fillId="0" borderId="0" xfId="6" applyFont="1" applyFill="1"/>
    <xf numFmtId="43" fontId="5" fillId="0" borderId="0" xfId="5" applyNumberFormat="1" applyFill="1"/>
    <xf numFmtId="43" fontId="5" fillId="0" borderId="0" xfId="1" applyFont="1" applyFill="1"/>
  </cellXfs>
  <cellStyles count="9">
    <cellStyle name="Comma" xfId="1" builtinId="3"/>
    <cellStyle name="Comma 2" xfId="3" xr:uid="{D4BDE9DC-AD92-4C5D-B719-16BBF5841391}"/>
    <cellStyle name="Comma 2 2" xfId="8" xr:uid="{DDF397FD-19B3-45FB-973E-9C14EF8B1B2B}"/>
    <cellStyle name="Comma 3" xfId="6" xr:uid="{FE1C8F26-1597-4777-B845-CF156AF57319}"/>
    <cellStyle name="Normal" xfId="0" builtinId="0"/>
    <cellStyle name="Normal 2" xfId="2" xr:uid="{2123B749-FB59-48EB-958E-1779A8ACE8E3}"/>
    <cellStyle name="Normal 3" xfId="5" xr:uid="{2E8A96B4-16DC-4653-9774-838B82F0ECC8}"/>
    <cellStyle name="Percent 2" xfId="4" xr:uid="{B73ED76E-CCC9-4D7A-A967-38841D1CBF9B}"/>
    <cellStyle name="Percent 3" xfId="7" xr:uid="{F33D0980-959F-4B6E-944B-BF782BDFB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E17E-0767-4F2E-AB7E-233BE261517A}">
  <dimension ref="A1:AL3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G20" sqref="AG20"/>
    </sheetView>
  </sheetViews>
  <sheetFormatPr defaultRowHeight="15" x14ac:dyDescent="0.25"/>
  <cols>
    <col min="1" max="1" width="9.140625" style="2"/>
    <col min="2" max="2" width="14.140625" style="2" bestFit="1" customWidth="1"/>
    <col min="3" max="3" width="23.140625" style="2" bestFit="1" customWidth="1"/>
    <col min="4" max="5" width="13.28515625" style="2" bestFit="1" customWidth="1"/>
    <col min="6" max="6" width="25.140625" style="2" bestFit="1" customWidth="1"/>
    <col min="7" max="8" width="13.28515625" style="2" bestFit="1" customWidth="1"/>
    <col min="9" max="9" width="25.140625" style="2" bestFit="1" customWidth="1"/>
    <col min="10" max="11" width="13.28515625" style="2" bestFit="1" customWidth="1"/>
    <col min="12" max="12" width="25.140625" style="2" bestFit="1" customWidth="1"/>
    <col min="13" max="13" width="13.28515625" style="2" bestFit="1" customWidth="1"/>
    <col min="14" max="14" width="12.42578125" style="2" bestFit="1" customWidth="1"/>
    <col min="15" max="15" width="25.140625" style="2" bestFit="1" customWidth="1"/>
    <col min="16" max="17" width="13.28515625" style="2" bestFit="1" customWidth="1"/>
    <col min="18" max="18" width="25.140625" style="2" bestFit="1" customWidth="1"/>
    <col min="19" max="19" width="13.28515625" style="2" bestFit="1" customWidth="1"/>
    <col min="20" max="20" width="12.42578125" style="2" bestFit="1" customWidth="1"/>
    <col min="21" max="21" width="25.140625" style="2" bestFit="1" customWidth="1"/>
    <col min="22" max="22" width="13.28515625" style="2" bestFit="1" customWidth="1"/>
    <col min="23" max="23" width="12.42578125" style="2" bestFit="1" customWidth="1"/>
    <col min="24" max="24" width="25.140625" style="2" bestFit="1" customWidth="1"/>
    <col min="25" max="25" width="13.28515625" style="2" bestFit="1" customWidth="1"/>
    <col min="26" max="26" width="12.42578125" style="2" bestFit="1" customWidth="1"/>
    <col min="27" max="27" width="25.140625" style="2" bestFit="1" customWidth="1"/>
    <col min="28" max="29" width="13.28515625" style="2" bestFit="1" customWidth="1"/>
    <col min="30" max="30" width="25.140625" style="2" bestFit="1" customWidth="1"/>
    <col min="31" max="32" width="13.28515625" style="2" bestFit="1" customWidth="1"/>
    <col min="33" max="33" width="25.140625" style="2" bestFit="1" customWidth="1"/>
    <col min="34" max="34" width="13.28515625" style="2" bestFit="1" customWidth="1"/>
    <col min="35" max="35" width="12.42578125" style="2" bestFit="1" customWidth="1"/>
    <col min="36" max="36" width="25.140625" style="2" bestFit="1" customWidth="1"/>
    <col min="37" max="37" width="9.140625" style="2"/>
    <col min="38" max="38" width="11.28515625" style="2" bestFit="1" customWidth="1"/>
    <col min="39" max="16384" width="9.140625" style="2"/>
  </cols>
  <sheetData>
    <row r="1" spans="1:38" x14ac:dyDescent="0.25">
      <c r="A1" s="1" t="s">
        <v>35</v>
      </c>
    </row>
    <row r="2" spans="1:38" x14ac:dyDescent="0.25">
      <c r="A2" s="1" t="s">
        <v>36</v>
      </c>
    </row>
    <row r="3" spans="1:38" x14ac:dyDescent="0.25">
      <c r="A3" s="1" t="s">
        <v>37</v>
      </c>
    </row>
    <row r="5" spans="1:38" s="3" customFormat="1" x14ac:dyDescent="0.25">
      <c r="A5" s="3" t="s">
        <v>0</v>
      </c>
      <c r="B5" s="3" t="s">
        <v>24</v>
      </c>
      <c r="C5" s="3" t="s">
        <v>3</v>
      </c>
      <c r="D5" s="3" t="s">
        <v>4</v>
      </c>
      <c r="E5" s="3" t="s">
        <v>5</v>
      </c>
      <c r="F5" s="3" t="s">
        <v>7</v>
      </c>
      <c r="G5" s="3" t="s">
        <v>4</v>
      </c>
      <c r="H5" s="3" t="s">
        <v>5</v>
      </c>
      <c r="I5" s="3" t="s">
        <v>6</v>
      </c>
      <c r="J5" s="3" t="s">
        <v>4</v>
      </c>
      <c r="K5" s="3" t="s">
        <v>5</v>
      </c>
      <c r="L5" s="3" t="s">
        <v>8</v>
      </c>
      <c r="M5" s="3" t="s">
        <v>4</v>
      </c>
      <c r="N5" s="3" t="s">
        <v>5</v>
      </c>
      <c r="O5" s="3" t="s">
        <v>9</v>
      </c>
      <c r="P5" s="3" t="s">
        <v>4</v>
      </c>
      <c r="Q5" s="3" t="s">
        <v>5</v>
      </c>
      <c r="R5" s="3" t="s">
        <v>10</v>
      </c>
      <c r="S5" s="3" t="s">
        <v>4</v>
      </c>
      <c r="T5" s="3" t="s">
        <v>5</v>
      </c>
      <c r="U5" s="3" t="s">
        <v>11</v>
      </c>
      <c r="V5" s="3" t="s">
        <v>4</v>
      </c>
      <c r="W5" s="3" t="s">
        <v>5</v>
      </c>
      <c r="X5" s="3" t="s">
        <v>12</v>
      </c>
      <c r="Y5" s="3" t="s">
        <v>4</v>
      </c>
      <c r="Z5" s="3" t="s">
        <v>5</v>
      </c>
      <c r="AA5" s="3" t="s">
        <v>13</v>
      </c>
      <c r="AB5" s="3" t="s">
        <v>4</v>
      </c>
      <c r="AC5" s="3" t="s">
        <v>5</v>
      </c>
      <c r="AD5" s="3" t="s">
        <v>14</v>
      </c>
      <c r="AE5" s="3" t="s">
        <v>4</v>
      </c>
      <c r="AF5" s="3" t="s">
        <v>5</v>
      </c>
      <c r="AG5" s="3" t="s">
        <v>15</v>
      </c>
      <c r="AH5" s="3" t="s">
        <v>4</v>
      </c>
      <c r="AI5" s="3" t="s">
        <v>5</v>
      </c>
      <c r="AJ5" s="3" t="s">
        <v>16</v>
      </c>
    </row>
    <row r="6" spans="1:38" x14ac:dyDescent="0.25">
      <c r="A6" s="2" t="s">
        <v>1</v>
      </c>
      <c r="B6" s="4" t="s">
        <v>17</v>
      </c>
      <c r="C6" s="5">
        <v>3803831.8499999996</v>
      </c>
      <c r="D6" s="6">
        <v>88923.329999999609</v>
      </c>
      <c r="E6" s="6">
        <f>17865.5+16107.38+17792.58+17187+17724.37+17119.63+17655.54+17622.22+17019.21+16953.51+17477.29+17552.44</f>
        <v>208076.67</v>
      </c>
      <c r="F6" s="7">
        <f>+C6-D6</f>
        <v>3714908.52</v>
      </c>
      <c r="G6" s="8">
        <v>93989.979999999981</v>
      </c>
      <c r="H6" s="9">
        <f>17447.85+15727.27+17371.19+16777.29+17299.08+16704.93+17226.3+17190.96+16602.06+17117.19+16529.18+20322.79</f>
        <v>206316.09000000003</v>
      </c>
      <c r="I6" s="7">
        <f>+F6-G6</f>
        <v>3620918.54</v>
      </c>
      <c r="J6" s="8">
        <v>99292.990000000689</v>
      </c>
      <c r="K6" s="9">
        <f>16959.95+16918.33+16881.65+16301.42+17344.7+16227.09+16728.07+17761.93+16115.53+16612.27+16039.51+16533.36-1094.19-543.38-1079.23-3306.07</f>
        <v>194400.93999999997</v>
      </c>
      <c r="L6" s="10">
        <f>+I6-J6</f>
        <v>3521625.5499999993</v>
      </c>
      <c r="M6" s="8">
        <v>3521625.5499999993</v>
      </c>
      <c r="N6" s="9">
        <v>13338.76</v>
      </c>
      <c r="O6" s="11">
        <f t="shared" ref="O6:O11" si="0">+L6-M6</f>
        <v>0</v>
      </c>
      <c r="P6" s="11">
        <v>0</v>
      </c>
      <c r="Q6" s="12">
        <v>0</v>
      </c>
      <c r="R6" s="11">
        <f>+O6-P6</f>
        <v>0</v>
      </c>
      <c r="S6" s="11">
        <v>0</v>
      </c>
      <c r="T6" s="12">
        <v>0</v>
      </c>
      <c r="U6" s="11">
        <f t="shared" ref="U6:W11" si="1">+R6-S6</f>
        <v>0</v>
      </c>
      <c r="V6" s="11">
        <f t="shared" si="1"/>
        <v>0</v>
      </c>
      <c r="W6" s="12">
        <f t="shared" si="1"/>
        <v>0</v>
      </c>
      <c r="X6" s="11">
        <f t="shared" ref="X6:X11" si="2">+U6-V6</f>
        <v>0</v>
      </c>
      <c r="Y6" s="11">
        <f t="shared" ref="Y6:Y11" si="3">+V6-W6</f>
        <v>0</v>
      </c>
      <c r="Z6" s="12">
        <f t="shared" ref="Z6:Z11" si="4">+W6-X6</f>
        <v>0</v>
      </c>
      <c r="AA6" s="11">
        <f t="shared" ref="AA6:AA11" si="5">+X6-Y6</f>
        <v>0</v>
      </c>
      <c r="AB6" s="8">
        <v>0</v>
      </c>
      <c r="AC6" s="9">
        <v>0</v>
      </c>
      <c r="AD6" s="8">
        <f>+AA6-AB6</f>
        <v>0</v>
      </c>
      <c r="AE6" s="8">
        <v>0</v>
      </c>
      <c r="AF6" s="9">
        <v>0</v>
      </c>
      <c r="AG6" s="11">
        <f t="shared" ref="AG6:AG11" si="6">+AD6-AE6</f>
        <v>0</v>
      </c>
      <c r="AH6" s="8">
        <v>0</v>
      </c>
      <c r="AI6" s="9">
        <v>0</v>
      </c>
      <c r="AJ6" s="8">
        <f>+AG6-AH6</f>
        <v>0</v>
      </c>
    </row>
    <row r="7" spans="1:38" x14ac:dyDescent="0.25">
      <c r="A7" s="2" t="s">
        <v>1</v>
      </c>
      <c r="B7" s="4" t="s">
        <v>18</v>
      </c>
      <c r="C7" s="5">
        <v>255492.19999999992</v>
      </c>
      <c r="D7" s="6">
        <v>8660.0899999999092</v>
      </c>
      <c r="E7" s="6">
        <f>542.48+488.63+539.39+520.53+536.34+517.54+533.29+531.78+513.06+510.18+525.42+528.71</f>
        <v>6287.3499999999995</v>
      </c>
      <c r="F7" s="7">
        <f t="shared" ref="F7:F19" si="7">+C7-D7</f>
        <v>246832.11000000002</v>
      </c>
      <c r="G7" s="8">
        <v>8879.5000000000291</v>
      </c>
      <c r="H7" s="9">
        <f>524.1+471.94+520.91+502.63+517.81+499.51+514.67+513.12+495.07+509.97+491.96+604.65</f>
        <v>6166.3399999999992</v>
      </c>
      <c r="I7" s="7">
        <f t="shared" ref="I7:I19" si="8">+F7-G7</f>
        <v>237952.61</v>
      </c>
      <c r="J7" s="8">
        <v>9103.3399999999092</v>
      </c>
      <c r="K7" s="9">
        <f>503.86+502.22+500.65+482.97+513.47+479.88+494.25+524.37+475.22+489.43+472.09+486.19-32.51-16.1-31.89-98.4</f>
        <v>5745.7</v>
      </c>
      <c r="L7" s="10">
        <f t="shared" ref="L7:L19" si="9">+I7-J7</f>
        <v>228849.27000000008</v>
      </c>
      <c r="M7" s="8">
        <v>228849.27000000008</v>
      </c>
      <c r="N7" s="9">
        <v>391.87</v>
      </c>
      <c r="O7" s="11">
        <f t="shared" si="0"/>
        <v>0</v>
      </c>
      <c r="P7" s="11">
        <v>0</v>
      </c>
      <c r="Q7" s="12">
        <v>0</v>
      </c>
      <c r="R7" s="11">
        <f t="shared" ref="R7:R11" si="10">+O7-P7</f>
        <v>0</v>
      </c>
      <c r="S7" s="11">
        <v>0</v>
      </c>
      <c r="T7" s="12">
        <v>0</v>
      </c>
      <c r="U7" s="11">
        <f t="shared" si="1"/>
        <v>0</v>
      </c>
      <c r="V7" s="11">
        <f t="shared" si="1"/>
        <v>0</v>
      </c>
      <c r="W7" s="12">
        <f t="shared" si="1"/>
        <v>0</v>
      </c>
      <c r="X7" s="11">
        <f t="shared" si="2"/>
        <v>0</v>
      </c>
      <c r="Y7" s="11">
        <f t="shared" si="3"/>
        <v>0</v>
      </c>
      <c r="Z7" s="12">
        <f t="shared" si="4"/>
        <v>0</v>
      </c>
      <c r="AA7" s="11">
        <f t="shared" si="5"/>
        <v>0</v>
      </c>
      <c r="AB7" s="8">
        <v>0</v>
      </c>
      <c r="AC7" s="9">
        <v>0</v>
      </c>
      <c r="AD7" s="8">
        <f t="shared" ref="AD7:AD22" si="11">+AA7-AB7</f>
        <v>0</v>
      </c>
      <c r="AE7" s="8">
        <v>0</v>
      </c>
      <c r="AF7" s="9">
        <v>0</v>
      </c>
      <c r="AG7" s="11">
        <f t="shared" si="6"/>
        <v>0</v>
      </c>
      <c r="AH7" s="8">
        <v>0</v>
      </c>
      <c r="AI7" s="9">
        <v>0</v>
      </c>
      <c r="AJ7" s="8">
        <f t="shared" ref="AJ7:AJ27" si="12">+AG7-AH7</f>
        <v>0</v>
      </c>
    </row>
    <row r="8" spans="1:38" x14ac:dyDescent="0.25">
      <c r="A8" s="2" t="s">
        <v>1</v>
      </c>
      <c r="B8" s="4" t="s">
        <v>19</v>
      </c>
      <c r="C8" s="5">
        <v>2314276.1199999996</v>
      </c>
      <c r="D8" s="6">
        <v>78443.669999998994</v>
      </c>
      <c r="E8" s="6">
        <f>4913.87+4426.13+4885.79+4715.04+4858.26+4687.91+4830.62+4816.92+4647.36+4621.27+4759.34+4789.1</f>
        <v>56951.609999999993</v>
      </c>
      <c r="F8" s="7">
        <f t="shared" si="7"/>
        <v>2235832.4500000007</v>
      </c>
      <c r="G8" s="8">
        <v>80431.110000000801</v>
      </c>
      <c r="H8" s="9">
        <f>4747.32+4274.92+4718.56+4552.86+4690.33+4524.58+4661.98+4647.93+4484.35+4619.41+4456.24+5477.03</f>
        <v>55855.509999999987</v>
      </c>
      <c r="I8" s="7">
        <f t="shared" si="8"/>
        <v>2155401.34</v>
      </c>
      <c r="J8" s="8">
        <v>82458.649999998743</v>
      </c>
      <c r="K8" s="9">
        <f>4564.03+4549.18+4534.92+4374.81+4651.04+4346.76+4476.97+4749.81+4304.62+4433.33+4276.29+4403.99-294.45-145.83-288.84-891.34</f>
        <v>52045.290000000008</v>
      </c>
      <c r="L8" s="10">
        <f t="shared" si="9"/>
        <v>2072942.6900000011</v>
      </c>
      <c r="M8" s="8">
        <v>2072942.6900000011</v>
      </c>
      <c r="N8" s="9">
        <v>3549.56</v>
      </c>
      <c r="O8" s="11">
        <f t="shared" si="0"/>
        <v>0</v>
      </c>
      <c r="P8" s="11">
        <v>0</v>
      </c>
      <c r="Q8" s="12">
        <v>0</v>
      </c>
      <c r="R8" s="11">
        <f t="shared" si="10"/>
        <v>0</v>
      </c>
      <c r="S8" s="11">
        <v>0</v>
      </c>
      <c r="T8" s="12">
        <v>0</v>
      </c>
      <c r="U8" s="11">
        <f t="shared" si="1"/>
        <v>0</v>
      </c>
      <c r="V8" s="11">
        <f t="shared" si="1"/>
        <v>0</v>
      </c>
      <c r="W8" s="12">
        <f t="shared" si="1"/>
        <v>0</v>
      </c>
      <c r="X8" s="11">
        <f t="shared" si="2"/>
        <v>0</v>
      </c>
      <c r="Y8" s="11">
        <f t="shared" si="3"/>
        <v>0</v>
      </c>
      <c r="Z8" s="12">
        <f t="shared" si="4"/>
        <v>0</v>
      </c>
      <c r="AA8" s="11">
        <f t="shared" si="5"/>
        <v>0</v>
      </c>
      <c r="AB8" s="8">
        <v>0</v>
      </c>
      <c r="AC8" s="9">
        <v>0</v>
      </c>
      <c r="AD8" s="8">
        <f t="shared" si="11"/>
        <v>0</v>
      </c>
      <c r="AE8" s="8">
        <v>0</v>
      </c>
      <c r="AF8" s="9">
        <v>0</v>
      </c>
      <c r="AG8" s="11">
        <f t="shared" si="6"/>
        <v>0</v>
      </c>
      <c r="AH8" s="8">
        <v>0</v>
      </c>
      <c r="AI8" s="9">
        <v>0</v>
      </c>
      <c r="AJ8" s="8">
        <f t="shared" si="12"/>
        <v>0</v>
      </c>
    </row>
    <row r="9" spans="1:38" x14ac:dyDescent="0.25">
      <c r="A9" s="2" t="s">
        <v>1</v>
      </c>
      <c r="B9" s="4" t="s">
        <v>20</v>
      </c>
      <c r="C9" s="5">
        <v>2616123.5199999996</v>
      </c>
      <c r="D9" s="6">
        <v>50307.529999999795</v>
      </c>
      <c r="E9" s="6">
        <f>10109.7+9117.69+10075.63+9735.84+10043.79+9704.43+10011.73+9996.23+9657.71+9627.2+9928.93+9963.79</f>
        <v>117972.67000000001</v>
      </c>
      <c r="F9" s="7">
        <f t="shared" si="7"/>
        <v>2565815.9899999998</v>
      </c>
      <c r="G9" s="8">
        <v>52655.409999999683</v>
      </c>
      <c r="H9" s="9">
        <f>9915.29+8940.9+9879.78+9545.58+9846.46+9512.18+9812.9+9796.62+9464.79+9762.68+9431.28+11602.69</f>
        <v>117511.15</v>
      </c>
      <c r="I9" s="7">
        <f t="shared" si="8"/>
        <v>2513160.58</v>
      </c>
      <c r="J9" s="8">
        <v>55088.600000001024</v>
      </c>
      <c r="K9" s="9">
        <f>9685.28+9666.16+9649.36+9321.78+9923.29+9287.8+9579.14+10176.38+9236.91+9526.36+9202.29+9490.45-624.86-310.73-618.01-1886.36</f>
        <v>111305.24</v>
      </c>
      <c r="L9" s="10">
        <f t="shared" si="9"/>
        <v>2458071.9799999991</v>
      </c>
      <c r="M9" s="8">
        <v>2458071.9799999991</v>
      </c>
      <c r="N9" s="9">
        <v>7660.43</v>
      </c>
      <c r="O9" s="11">
        <f t="shared" si="0"/>
        <v>0</v>
      </c>
      <c r="P9" s="11">
        <v>0</v>
      </c>
      <c r="Q9" s="12">
        <v>0</v>
      </c>
      <c r="R9" s="11">
        <f t="shared" si="10"/>
        <v>0</v>
      </c>
      <c r="S9" s="11">
        <v>0</v>
      </c>
      <c r="T9" s="12">
        <v>0</v>
      </c>
      <c r="U9" s="11">
        <f t="shared" si="1"/>
        <v>0</v>
      </c>
      <c r="V9" s="11">
        <f t="shared" si="1"/>
        <v>0</v>
      </c>
      <c r="W9" s="12">
        <f t="shared" si="1"/>
        <v>0</v>
      </c>
      <c r="X9" s="11">
        <f t="shared" si="2"/>
        <v>0</v>
      </c>
      <c r="Y9" s="11">
        <f t="shared" si="3"/>
        <v>0</v>
      </c>
      <c r="Z9" s="12">
        <f t="shared" si="4"/>
        <v>0</v>
      </c>
      <c r="AA9" s="11">
        <f t="shared" si="5"/>
        <v>0</v>
      </c>
      <c r="AB9" s="8">
        <v>0</v>
      </c>
      <c r="AC9" s="9">
        <v>0</v>
      </c>
      <c r="AD9" s="8">
        <f t="shared" si="11"/>
        <v>0</v>
      </c>
      <c r="AE9" s="8">
        <v>0</v>
      </c>
      <c r="AF9" s="9">
        <v>0</v>
      </c>
      <c r="AG9" s="11">
        <f t="shared" si="6"/>
        <v>0</v>
      </c>
      <c r="AH9" s="8">
        <v>0</v>
      </c>
      <c r="AI9" s="9">
        <v>0</v>
      </c>
      <c r="AJ9" s="8">
        <f t="shared" si="12"/>
        <v>0</v>
      </c>
    </row>
    <row r="10" spans="1:38" x14ac:dyDescent="0.25">
      <c r="A10" s="2" t="s">
        <v>1</v>
      </c>
      <c r="B10" s="4" t="s">
        <v>21</v>
      </c>
      <c r="C10" s="5">
        <v>2029090.9500000002</v>
      </c>
      <c r="D10" s="6">
        <v>37180.710000000428</v>
      </c>
      <c r="E10" s="6">
        <f>7841.19+7072.29+7815.91+7552.9+7792.41+7529.69+7768.71+7757.28+7495.19+7472.66+7707.55+7733.31</f>
        <v>91539.09</v>
      </c>
      <c r="F10" s="7">
        <f t="shared" si="7"/>
        <v>1991910.2399999998</v>
      </c>
      <c r="G10" s="8">
        <v>38916.279999999795</v>
      </c>
      <c r="H10" s="9">
        <f>7697.51+6941.63+7671.18+7412.29+7646.56+7387.6+7621.75+7609.76+7352.62+7584.67+7327.86+9015.74</f>
        <v>91269.17</v>
      </c>
      <c r="I10" s="7">
        <f t="shared" si="8"/>
        <v>1952993.96</v>
      </c>
      <c r="J10" s="8">
        <v>40714.289999999804</v>
      </c>
      <c r="K10" s="9">
        <f>7526.5+7512.29+7499.91+7245.94+7714.19+7220.82+7448+7913.1+7183.23+7409.02+7157.65+7382.48-485.58-241.53-480.51-1465.65</f>
        <v>86539.86</v>
      </c>
      <c r="L10" s="10">
        <f t="shared" si="9"/>
        <v>1912279.6700000002</v>
      </c>
      <c r="M10" s="8">
        <v>1912279.6700000002</v>
      </c>
      <c r="N10" s="9">
        <v>5959.5</v>
      </c>
      <c r="O10" s="11">
        <f t="shared" si="0"/>
        <v>0</v>
      </c>
      <c r="P10" s="11">
        <v>0</v>
      </c>
      <c r="Q10" s="12">
        <v>0</v>
      </c>
      <c r="R10" s="11">
        <f t="shared" si="10"/>
        <v>0</v>
      </c>
      <c r="S10" s="11">
        <v>0</v>
      </c>
      <c r="T10" s="12">
        <v>0</v>
      </c>
      <c r="U10" s="11">
        <f t="shared" si="1"/>
        <v>0</v>
      </c>
      <c r="V10" s="11">
        <f t="shared" si="1"/>
        <v>0</v>
      </c>
      <c r="W10" s="12">
        <f t="shared" si="1"/>
        <v>0</v>
      </c>
      <c r="X10" s="11">
        <f t="shared" si="2"/>
        <v>0</v>
      </c>
      <c r="Y10" s="11">
        <f t="shared" si="3"/>
        <v>0</v>
      </c>
      <c r="Z10" s="12">
        <f t="shared" si="4"/>
        <v>0</v>
      </c>
      <c r="AA10" s="11">
        <f t="shared" si="5"/>
        <v>0</v>
      </c>
      <c r="AB10" s="8">
        <v>0</v>
      </c>
      <c r="AC10" s="9">
        <v>0</v>
      </c>
      <c r="AD10" s="8">
        <f t="shared" si="11"/>
        <v>0</v>
      </c>
      <c r="AE10" s="8">
        <v>0</v>
      </c>
      <c r="AF10" s="9">
        <v>0</v>
      </c>
      <c r="AG10" s="11">
        <f t="shared" si="6"/>
        <v>0</v>
      </c>
      <c r="AH10" s="8">
        <v>0</v>
      </c>
      <c r="AI10" s="9">
        <v>0</v>
      </c>
      <c r="AJ10" s="8">
        <f t="shared" si="12"/>
        <v>0</v>
      </c>
    </row>
    <row r="11" spans="1:38" x14ac:dyDescent="0.25">
      <c r="A11" s="2" t="s">
        <v>1</v>
      </c>
      <c r="B11" s="4" t="s">
        <v>22</v>
      </c>
      <c r="C11" s="5">
        <v>9259110.1100000013</v>
      </c>
      <c r="D11" s="6">
        <v>195392.9000000041</v>
      </c>
      <c r="E11" s="6">
        <f>28939.16+26094.95+28833.63+27856.42+28733.27+27757.41+28632.29+28583+27609.94+27514.19+28371.75+28481.09</f>
        <v>337407.10000000003</v>
      </c>
      <c r="F11" s="7">
        <f t="shared" si="7"/>
        <v>9063717.2099999972</v>
      </c>
      <c r="G11" s="8">
        <v>202731.59999999776</v>
      </c>
      <c r="H11" s="9">
        <f>28328.46+25540+28219.29+27260.04+28115.14+27155.66+28010.35+27959.12+27007.49+27853.37+26903.16+33097.28</f>
        <v>335449.36</v>
      </c>
      <c r="I11" s="7">
        <f t="shared" si="8"/>
        <v>8860985.6099999994</v>
      </c>
      <c r="J11" s="8">
        <v>210284.49000000395</v>
      </c>
      <c r="K11" s="9">
        <f>27619.16+27561.3+27508.82+26570.48+28281.63+26465.41+27291.69+28989.84+26307.91+27128.45+26201.24+27017.89-1781.88-885.68-1760.75-5380.96</f>
        <v>317134.55</v>
      </c>
      <c r="L11" s="10">
        <f t="shared" si="9"/>
        <v>8650701.1199999955</v>
      </c>
      <c r="M11" s="8">
        <v>8650701.1199999955</v>
      </c>
      <c r="N11" s="9">
        <v>21804.51</v>
      </c>
      <c r="O11" s="11">
        <f t="shared" si="0"/>
        <v>0</v>
      </c>
      <c r="P11" s="11">
        <v>0</v>
      </c>
      <c r="Q11" s="12">
        <v>0</v>
      </c>
      <c r="R11" s="11">
        <f t="shared" si="10"/>
        <v>0</v>
      </c>
      <c r="S11" s="11">
        <v>0</v>
      </c>
      <c r="T11" s="12">
        <v>0</v>
      </c>
      <c r="U11" s="11">
        <f t="shared" si="1"/>
        <v>0</v>
      </c>
      <c r="V11" s="11">
        <f t="shared" si="1"/>
        <v>0</v>
      </c>
      <c r="W11" s="12">
        <f t="shared" si="1"/>
        <v>0</v>
      </c>
      <c r="X11" s="11">
        <f t="shared" si="2"/>
        <v>0</v>
      </c>
      <c r="Y11" s="11">
        <f t="shared" si="3"/>
        <v>0</v>
      </c>
      <c r="Z11" s="12">
        <f t="shared" si="4"/>
        <v>0</v>
      </c>
      <c r="AA11" s="11">
        <f t="shared" si="5"/>
        <v>0</v>
      </c>
      <c r="AB11" s="8">
        <v>0</v>
      </c>
      <c r="AC11" s="9">
        <v>0</v>
      </c>
      <c r="AD11" s="8">
        <f t="shared" si="11"/>
        <v>0</v>
      </c>
      <c r="AE11" s="8">
        <v>0</v>
      </c>
      <c r="AF11" s="9">
        <v>0</v>
      </c>
      <c r="AG11" s="11">
        <f t="shared" si="6"/>
        <v>0</v>
      </c>
      <c r="AH11" s="8">
        <v>0</v>
      </c>
      <c r="AI11" s="9">
        <v>0</v>
      </c>
      <c r="AJ11" s="8">
        <f t="shared" si="12"/>
        <v>0</v>
      </c>
    </row>
    <row r="12" spans="1:38" x14ac:dyDescent="0.25">
      <c r="A12" s="2" t="s">
        <v>2</v>
      </c>
      <c r="B12" s="4" t="s">
        <v>23</v>
      </c>
      <c r="C12" s="5">
        <v>1806030.6399999997</v>
      </c>
      <c r="D12" s="6">
        <v>82092.320000000065</v>
      </c>
      <c r="E12" s="6">
        <f>10384.92+556.65+10380.99+556.44+10374.43+556.09+10253.8+549.62</f>
        <v>43612.939999999995</v>
      </c>
      <c r="F12" s="7">
        <f t="shared" si="7"/>
        <v>1723938.3199999996</v>
      </c>
      <c r="G12" s="8">
        <v>82092.320000000298</v>
      </c>
      <c r="H12" s="9">
        <f>9912.88+531.35+9903.7+530.86+9891.9+530.23+9771.27+523.76</f>
        <v>41595.950000000004</v>
      </c>
      <c r="I12" s="7">
        <f t="shared" si="8"/>
        <v>1641845.9999999993</v>
      </c>
      <c r="J12" s="8">
        <v>82092.320000000298</v>
      </c>
      <c r="K12" s="9">
        <f>9519.66+510.27+9400.66+503.89+9383.66+502.98+9566.25+512.77-318.26</f>
        <v>39581.87999999999</v>
      </c>
      <c r="L12" s="10">
        <f t="shared" si="9"/>
        <v>1559753.679999999</v>
      </c>
      <c r="M12" s="8">
        <v>82092.319999999367</v>
      </c>
      <c r="N12" s="9">
        <f>8669.84+464.72+8949.13+479.69+9120.9+488.9+8806.2+472.03+318.26</f>
        <v>37769.670000000006</v>
      </c>
      <c r="O12" s="11">
        <f>+L12-M12</f>
        <v>1477661.3599999996</v>
      </c>
      <c r="P12" s="8">
        <v>82092.319999999832</v>
      </c>
      <c r="Q12" s="9">
        <f>8496.76+455.44+8471.84+454.11+8352.52+447.71+8233.2+441.32</f>
        <v>35352.9</v>
      </c>
      <c r="R12" s="11">
        <f>+O12-P12</f>
        <v>1395569.0399999998</v>
      </c>
      <c r="S12" s="8">
        <v>82092.320000000065</v>
      </c>
      <c r="T12" s="9">
        <f>8113.88+434.92+7994.55+428.52+7875.23+422.13+7841.14+420.3</f>
        <v>33530.670000000006</v>
      </c>
      <c r="U12" s="11">
        <f>+R12-S12</f>
        <v>1313476.7199999997</v>
      </c>
      <c r="V12" s="9">
        <v>82092.320000000007</v>
      </c>
      <c r="W12" s="9">
        <f>7615.72+408.22+7496.73+401.84+7458.81+399.81+7338.5+393.36</f>
        <v>31512.99</v>
      </c>
      <c r="X12" s="11">
        <f>+U12-V12</f>
        <v>1231384.3999999997</v>
      </c>
      <c r="Y12" s="8">
        <v>82092.320000000065</v>
      </c>
      <c r="Z12" s="9">
        <f>7080.63+379.54+7039.98+377.36+6996.71+375.04+7100.3+380.59</f>
        <v>29730.15</v>
      </c>
      <c r="AA12" s="11">
        <f>+X12-Y12</f>
        <v>1149292.0799999996</v>
      </c>
      <c r="AB12" s="8">
        <v>82092.319999999832</v>
      </c>
      <c r="AC12" s="9">
        <f>6388.3+342.43+6562.69+351.77+6514.18+349.17+6602.03+353.88+0.58</f>
        <v>27465.030000000002</v>
      </c>
      <c r="AD12" s="8">
        <f t="shared" si="11"/>
        <v>1067199.7599999998</v>
      </c>
      <c r="AE12" s="9">
        <v>82092.3199999996</v>
      </c>
      <c r="AF12" s="9">
        <f>5931.99+317.97+6085.41+326.19+6162.77+330.34+5910.66+316.82</f>
        <v>25382.15</v>
      </c>
      <c r="AG12" s="11">
        <f>+AD12-AE12</f>
        <v>985107.44000000018</v>
      </c>
      <c r="AH12" s="8">
        <v>20523.080000000191</v>
      </c>
      <c r="AI12" s="9">
        <v>5951.83</v>
      </c>
      <c r="AJ12" s="8">
        <f t="shared" si="12"/>
        <v>964584.36</v>
      </c>
      <c r="AL12" s="8"/>
    </row>
    <row r="13" spans="1:38" x14ac:dyDescent="0.25">
      <c r="A13" s="2" t="s">
        <v>2</v>
      </c>
      <c r="B13" s="4" t="s">
        <v>25</v>
      </c>
      <c r="C13" s="5">
        <v>1571428.6800000004</v>
      </c>
      <c r="D13" s="6">
        <v>71428.560000000056</v>
      </c>
      <c r="E13" s="6">
        <f>9035.93+484.34+9032.51+484.16+9026.8+483.86+8921.84+478.23</f>
        <v>37947.670000000006</v>
      </c>
      <c r="F13" s="7">
        <f t="shared" si="7"/>
        <v>1500000.1200000003</v>
      </c>
      <c r="G13" s="8">
        <v>71428.55999999959</v>
      </c>
      <c r="H13" s="9">
        <f>8625.21+462.33+8617.22+461.9+8606.95+461.35+8501.99+455.72</f>
        <v>36192.67</v>
      </c>
      <c r="I13" s="7">
        <f t="shared" si="8"/>
        <v>1428571.5600000008</v>
      </c>
      <c r="J13" s="8">
        <v>71428.55999999959</v>
      </c>
      <c r="K13" s="9">
        <f>8283.06+443.99+8179.52+438.44+8164.73+437.65+8323.6+446.16-276.9</f>
        <v>34440.25</v>
      </c>
      <c r="L13" s="10">
        <f t="shared" si="9"/>
        <v>1357143.0000000012</v>
      </c>
      <c r="M13" s="8">
        <v>71428.560000000754</v>
      </c>
      <c r="N13" s="9">
        <f>7543.63+404.35+7786.64+417.38+7936.1+425.39+7662.29+410.71+276.9</f>
        <v>32863.39</v>
      </c>
      <c r="O13" s="11">
        <f t="shared" ref="O13:O19" si="13">+L13-M13</f>
        <v>1285714.4400000004</v>
      </c>
      <c r="P13" s="8">
        <v>71428.560000000056</v>
      </c>
      <c r="Q13" s="9">
        <f>7393.03+396.28+7371.36+395.12+7267.54+389.55+7163.71+383.99</f>
        <v>30760.579999999998</v>
      </c>
      <c r="R13" s="11">
        <f t="shared" ref="R13:R19" si="14">+O13-P13</f>
        <v>1214285.8800000004</v>
      </c>
      <c r="S13" s="8">
        <v>71428.560000000056</v>
      </c>
      <c r="T13" s="9">
        <f>7059.89+378.42+6956.07+372.86+6852.25+367.29+6822.58+365.7</f>
        <v>29175.06</v>
      </c>
      <c r="U13" s="11">
        <f t="shared" ref="U13:U19" si="15">+R13-S13</f>
        <v>1142857.3200000003</v>
      </c>
      <c r="V13" s="9">
        <v>71428.56</v>
      </c>
      <c r="W13" s="9">
        <f>6626.45+355.19+6522.91+349.64+6489.92+347.87+6385.24+342.26</f>
        <v>27419.48</v>
      </c>
      <c r="X13" s="11">
        <f t="shared" ref="X13:X19" si="16">+U13-V13</f>
        <v>1071428.7600000002</v>
      </c>
      <c r="Y13" s="8">
        <v>71428.560000000172</v>
      </c>
      <c r="Z13" s="9">
        <f>6160.86+330.23+6125.49+328.34+6087.84+326.32+6177.98+331.15</f>
        <v>25868.210000000003</v>
      </c>
      <c r="AA13" s="11">
        <f t="shared" ref="AA13:AA21" si="17">+X13-Y13</f>
        <v>1000000.2000000001</v>
      </c>
      <c r="AB13" s="8">
        <v>71428.560000000172</v>
      </c>
      <c r="AC13" s="9">
        <f>5558.47+297.95+5710.21+306.08+5667.99+303.82+5744.43+307.91+0.5</f>
        <v>23897.360000000001</v>
      </c>
      <c r="AD13" s="8">
        <f t="shared" si="11"/>
        <v>928571.6399999999</v>
      </c>
      <c r="AE13" s="9">
        <v>71428.559999999939</v>
      </c>
      <c r="AF13" s="9">
        <f>5161.43+276.66+5294.92+283.82+5362.23+287.43+5142.87+275.67</f>
        <v>22085.029999999995</v>
      </c>
      <c r="AG13" s="11">
        <f t="shared" ref="AG13:AG25" si="18">+AD13-AE13</f>
        <v>857143.08</v>
      </c>
      <c r="AH13" s="8">
        <v>17857.140000000014</v>
      </c>
      <c r="AI13" s="9">
        <v>5178.6900000000005</v>
      </c>
      <c r="AJ13" s="8">
        <f t="shared" si="12"/>
        <v>839285.94</v>
      </c>
      <c r="AL13" s="8"/>
    </row>
    <row r="14" spans="1:38" x14ac:dyDescent="0.25">
      <c r="A14" s="2" t="s">
        <v>2</v>
      </c>
      <c r="B14" s="4" t="s">
        <v>26</v>
      </c>
      <c r="C14" s="5">
        <v>1571428.6800000004</v>
      </c>
      <c r="D14" s="6">
        <v>71428.560000000056</v>
      </c>
      <c r="E14" s="6">
        <f>19985.99+484.34+19978.42+484.16+19965.8+483.86+19733.64+478.23</f>
        <v>81594.44</v>
      </c>
      <c r="F14" s="7">
        <f t="shared" si="7"/>
        <v>1500000.1200000003</v>
      </c>
      <c r="G14" s="8">
        <v>71428.55999999959</v>
      </c>
      <c r="H14" s="9">
        <f>19077.54+462.33+19059.87+461.9+19037.16+461.35+18805+455.72</f>
        <v>77820.87</v>
      </c>
      <c r="I14" s="7">
        <f t="shared" si="8"/>
        <v>1428571.5600000008</v>
      </c>
      <c r="J14" s="8">
        <v>71428.55999999959</v>
      </c>
      <c r="K14" s="9">
        <f>18320.77+443.99+18091.76+438.44+18059.04+437.65+18410.44+446.16-595.42</f>
        <v>74052.830000000016</v>
      </c>
      <c r="L14" s="10">
        <f t="shared" si="9"/>
        <v>1357143.0000000012</v>
      </c>
      <c r="M14" s="8">
        <v>71428.560000000754</v>
      </c>
      <c r="N14" s="9">
        <f>16685.27+404.35+17222.78+417.38+17553.35+425.39+16947.72+410.71+595.42</f>
        <v>70662.37</v>
      </c>
      <c r="O14" s="11">
        <f t="shared" si="13"/>
        <v>1285714.4400000004</v>
      </c>
      <c r="P14" s="8">
        <v>71428.560000000056</v>
      </c>
      <c r="Q14" s="9">
        <f>16352.17+396.28+16304.23+395.12+16074.59+389.55+15844.95+383.99</f>
        <v>66140.88</v>
      </c>
      <c r="R14" s="11">
        <f t="shared" si="14"/>
        <v>1214285.8800000004</v>
      </c>
      <c r="S14" s="8">
        <v>71428.560000000056</v>
      </c>
      <c r="T14" s="9">
        <f>15615.32+378.42+15385.68+372.86+15156.04+367.29+15090.43+365.7</f>
        <v>62731.74</v>
      </c>
      <c r="U14" s="11">
        <f t="shared" si="15"/>
        <v>1142857.3200000003</v>
      </c>
      <c r="V14" s="9">
        <v>1142857.32</v>
      </c>
      <c r="W14" s="9">
        <f>14656.61+355.19+14427.6+349.64+294.94+12170.22</f>
        <v>42254.2</v>
      </c>
      <c r="X14" s="11">
        <f t="shared" si="16"/>
        <v>0</v>
      </c>
      <c r="Y14" s="8">
        <v>0</v>
      </c>
      <c r="Z14" s="9"/>
      <c r="AA14" s="11">
        <f t="shared" si="17"/>
        <v>0</v>
      </c>
      <c r="AB14" s="8">
        <v>0</v>
      </c>
      <c r="AC14" s="9">
        <v>0</v>
      </c>
      <c r="AD14" s="8">
        <f t="shared" si="11"/>
        <v>0</v>
      </c>
      <c r="AE14" s="9">
        <v>0</v>
      </c>
      <c r="AF14" s="9"/>
      <c r="AG14" s="11">
        <f t="shared" si="18"/>
        <v>0</v>
      </c>
      <c r="AH14" s="8">
        <v>0</v>
      </c>
      <c r="AI14" s="9">
        <v>0</v>
      </c>
      <c r="AJ14" s="8">
        <f t="shared" si="12"/>
        <v>0</v>
      </c>
      <c r="AL14" s="8"/>
    </row>
    <row r="15" spans="1:38" x14ac:dyDescent="0.25">
      <c r="A15" s="2" t="s">
        <v>2</v>
      </c>
      <c r="B15" s="4" t="s">
        <v>27</v>
      </c>
      <c r="C15" s="5">
        <v>3999999.8500000006</v>
      </c>
      <c r="D15" s="6">
        <v>181818.19999999972</v>
      </c>
      <c r="E15" s="6">
        <f>43486.03+43469.55+1232.88+1232.41+43442.1+1231.63+42936.96+1217.31</f>
        <v>178248.87</v>
      </c>
      <c r="F15" s="7">
        <f t="shared" si="7"/>
        <v>3818181.6500000008</v>
      </c>
      <c r="G15" s="8">
        <v>181818.19999999925</v>
      </c>
      <c r="H15" s="9">
        <f>41509.39+1176.84+41470.95+1175.75+41421.54+1174.35+40916.4+1160.02</f>
        <v>170005.24</v>
      </c>
      <c r="I15" s="7">
        <f t="shared" si="8"/>
        <v>3636363.4500000016</v>
      </c>
      <c r="J15" s="8">
        <v>181818.19999999925</v>
      </c>
      <c r="K15" s="9">
        <f>39862.79+1130.15+39364.5+1116.03+39293.32+1114.01+40057.9+1135.69-1300.74</f>
        <v>161773.65000000002</v>
      </c>
      <c r="L15" s="10">
        <f t="shared" si="9"/>
        <v>3454545.2500000023</v>
      </c>
      <c r="M15" s="8">
        <v>181818.20000000158</v>
      </c>
      <c r="N15" s="9">
        <f>36304.24+1029.27+37473.75+1062.42+38193.03+1082.81+36875.27+1045.45+1300.74</f>
        <v>154366.97999999998</v>
      </c>
      <c r="O15" s="11">
        <f t="shared" si="13"/>
        <v>3272727.0500000007</v>
      </c>
      <c r="P15" s="8">
        <v>181818.20000000019</v>
      </c>
      <c r="Q15" s="9">
        <f>35579.47+1008.72+35475.15+1005.76+34975.5+991.59+34475.85+977.43</f>
        <v>144489.46999999997</v>
      </c>
      <c r="R15" s="11">
        <f t="shared" si="14"/>
        <v>3090908.8500000006</v>
      </c>
      <c r="S15" s="8">
        <v>181818.19999999972</v>
      </c>
      <c r="T15" s="9">
        <f>33976.2+963.26+33476.55+949.1+32976.9+934.93+32834.14+930.88</f>
        <v>137041.96000000002</v>
      </c>
      <c r="U15" s="11">
        <f t="shared" si="15"/>
        <v>2909090.6500000008</v>
      </c>
      <c r="V15" s="9">
        <v>2909090.65</v>
      </c>
      <c r="W15" s="9">
        <f>31890.23+904.12+31391.95+890+446.56+12.66+740.01+26101.67</f>
        <v>92377.2</v>
      </c>
      <c r="X15" s="11">
        <f t="shared" si="16"/>
        <v>0</v>
      </c>
      <c r="Y15" s="8">
        <v>0</v>
      </c>
      <c r="Z15" s="9"/>
      <c r="AA15" s="11">
        <f t="shared" si="17"/>
        <v>0</v>
      </c>
      <c r="AB15" s="8">
        <v>0</v>
      </c>
      <c r="AC15" s="9">
        <v>0</v>
      </c>
      <c r="AD15" s="8">
        <f t="shared" si="11"/>
        <v>0</v>
      </c>
      <c r="AE15" s="9">
        <v>0</v>
      </c>
      <c r="AF15" s="9"/>
      <c r="AG15" s="11">
        <f t="shared" si="18"/>
        <v>0</v>
      </c>
      <c r="AH15" s="8">
        <v>0</v>
      </c>
      <c r="AI15" s="9">
        <v>0</v>
      </c>
      <c r="AJ15" s="8">
        <f t="shared" si="12"/>
        <v>0</v>
      </c>
      <c r="AL15" s="8"/>
    </row>
    <row r="16" spans="1:38" x14ac:dyDescent="0.25">
      <c r="A16" s="2" t="s">
        <v>2</v>
      </c>
      <c r="B16" s="4" t="s">
        <v>28</v>
      </c>
      <c r="C16" s="5">
        <v>4379293.99</v>
      </c>
      <c r="D16" s="6">
        <v>199058.83999999985</v>
      </c>
      <c r="E16" s="6">
        <f>51702.06+1349.78+51682.48+1349.27+51649.84+1348.42+51049.26+1332.74</f>
        <v>211463.85</v>
      </c>
      <c r="F16" s="7">
        <f t="shared" si="7"/>
        <v>4180235.1500000004</v>
      </c>
      <c r="G16" s="8">
        <v>199058.83999999985</v>
      </c>
      <c r="H16" s="9">
        <f>49351.97+1288.43+49306.27+1287.24+49247.52+1285.7+48646.94+1270.02</f>
        <v>201684.09</v>
      </c>
      <c r="I16" s="7">
        <f t="shared" si="8"/>
        <v>3981176.3100000005</v>
      </c>
      <c r="J16" s="8">
        <v>199058.83999999985</v>
      </c>
      <c r="K16" s="9">
        <f>47394.27+1237.32+46801.84+1221.85+46717.21+1219.64+47626.25+1243.38-1543.12</f>
        <v>191918.64</v>
      </c>
      <c r="L16" s="10">
        <f t="shared" si="9"/>
        <v>3782117.4700000007</v>
      </c>
      <c r="M16" s="8">
        <v>199058.84000000032</v>
      </c>
      <c r="N16" s="9">
        <f>43163.39+1126.86+44553.86+1163.16+45409.03+1185.49+43842.31+1144.59+1543.12</f>
        <v>183131.80999999997</v>
      </c>
      <c r="O16" s="11">
        <f t="shared" si="13"/>
        <v>3583058.6300000004</v>
      </c>
      <c r="P16" s="8">
        <v>199058.84000000032</v>
      </c>
      <c r="Q16" s="9">
        <f>42301.69+1104.37+42177.66+1101.13+41583.6+1085.62+40989.55+1070.11</f>
        <v>171413.72999999998</v>
      </c>
      <c r="R16" s="11">
        <f t="shared" si="14"/>
        <v>3383999.79</v>
      </c>
      <c r="S16" s="8">
        <v>199058.83999999985</v>
      </c>
      <c r="T16" s="9">
        <f>40395.5+1054.6+39801.45+1039.09+39207.4+1023.58+39037.67+1019.15</f>
        <v>162578.43999999997</v>
      </c>
      <c r="U16" s="11">
        <f t="shared" si="15"/>
        <v>3184940.95</v>
      </c>
      <c r="V16" s="9">
        <v>3184940.95</v>
      </c>
      <c r="W16" s="9">
        <f>37915.42+989.86+37322.99+974.39+821.93+31483.34</f>
        <v>109507.92999999998</v>
      </c>
      <c r="X16" s="11">
        <f t="shared" si="16"/>
        <v>0</v>
      </c>
      <c r="Y16" s="8">
        <v>0</v>
      </c>
      <c r="Z16" s="9">
        <v>0</v>
      </c>
      <c r="AA16" s="11">
        <f t="shared" si="17"/>
        <v>0</v>
      </c>
      <c r="AB16" s="8">
        <v>0</v>
      </c>
      <c r="AC16" s="9">
        <v>0</v>
      </c>
      <c r="AD16" s="8">
        <f t="shared" si="11"/>
        <v>0</v>
      </c>
      <c r="AE16" s="9">
        <v>0</v>
      </c>
      <c r="AF16" s="9"/>
      <c r="AG16" s="11">
        <f t="shared" si="18"/>
        <v>0</v>
      </c>
      <c r="AH16" s="8">
        <v>0</v>
      </c>
      <c r="AI16" s="9">
        <v>0</v>
      </c>
      <c r="AJ16" s="8">
        <f t="shared" si="12"/>
        <v>0</v>
      </c>
      <c r="AL16" s="8"/>
    </row>
    <row r="17" spans="1:38" x14ac:dyDescent="0.25">
      <c r="A17" s="2" t="s">
        <v>2</v>
      </c>
      <c r="B17" s="4" t="s">
        <v>29</v>
      </c>
      <c r="C17" s="5">
        <v>3815384.62</v>
      </c>
      <c r="D17" s="6">
        <v>123076.91999999993</v>
      </c>
      <c r="E17" s="6">
        <f>38938.87+1175.97+39054.02+1179.45+39162.18+1182.72+38841.18+1173.02</f>
        <v>160707.40999999997</v>
      </c>
      <c r="F17" s="7">
        <f t="shared" si="7"/>
        <v>3692307.7</v>
      </c>
      <c r="G17" s="8">
        <v>123076.91999999993</v>
      </c>
      <c r="H17" s="9">
        <f>37682.78+1138.04+37783.97+1141.1+37878.17+1143.94+37557.17+1134.25</f>
        <v>155459.42000000001</v>
      </c>
      <c r="I17" s="7">
        <f t="shared" si="8"/>
        <v>3569230.7800000003</v>
      </c>
      <c r="J17" s="8">
        <v>123076.91999999993</v>
      </c>
      <c r="K17" s="9">
        <f>36730.8+1109.29+36414.15+1099.73+36494.18+1102.14+37356.88+1128.2-1215.22</f>
        <v>150220.15</v>
      </c>
      <c r="L17" s="10">
        <f t="shared" si="9"/>
        <v>3446153.8600000003</v>
      </c>
      <c r="M17" s="8">
        <v>123076.92000000039</v>
      </c>
      <c r="N17" s="9">
        <f>33998.24+1026.77+35243.87+1064.38+36077.77+1089.57+34989.16+1056.69+1215.22</f>
        <v>145761.67000000001</v>
      </c>
      <c r="O17" s="11">
        <f t="shared" si="13"/>
        <v>3323076.94</v>
      </c>
      <c r="P17" s="8">
        <v>123076.91999999993</v>
      </c>
      <c r="Q17" s="9">
        <f>33914.5+1024.24+33973.82+1026.03+33656.31+1016.44+33338.79+1006.85</f>
        <v>138956.98000000001</v>
      </c>
      <c r="R17" s="11">
        <f t="shared" si="14"/>
        <v>3200000.02</v>
      </c>
      <c r="S17" s="8">
        <v>123076.91999999993</v>
      </c>
      <c r="T17" s="9">
        <f>33021.28+997.26+32703.77+987.67+32386.26+978.08+32421.15+979.14</f>
        <v>134474.61000000002</v>
      </c>
      <c r="U17" s="11">
        <f t="shared" si="15"/>
        <v>3076923.1</v>
      </c>
      <c r="V17" s="9">
        <v>123076.92</v>
      </c>
      <c r="W17" s="9">
        <f>31664.48+956.28+31347.84+946.72+31372.19+947.46+31052.07+937.79</f>
        <v>129224.83</v>
      </c>
      <c r="X17" s="11">
        <f t="shared" si="16"/>
        <v>2953846.18</v>
      </c>
      <c r="Y17" s="8">
        <v>123076.91999999993</v>
      </c>
      <c r="Z17" s="9">
        <f>30146.23+910.43+30163.67+910.96+30174.14+911.28+30826.61+930.98</f>
        <v>124974.29999999999</v>
      </c>
      <c r="AA17" s="11">
        <f t="shared" si="17"/>
        <v>2830769.2600000002</v>
      </c>
      <c r="AB17" s="8">
        <v>123076.92000000039</v>
      </c>
      <c r="AC17" s="9">
        <f>27927.13+843.41+28893.62+872.6+28890.13+872.5+29500.73+890.94+1.25</f>
        <v>118692.31</v>
      </c>
      <c r="AD17" s="8">
        <f t="shared" si="11"/>
        <v>2707692.34</v>
      </c>
      <c r="AE17" s="9">
        <v>123076.91999999993</v>
      </c>
      <c r="AF17" s="9">
        <f>26712.91+806.74+27623.57+834.25+28206.26+851.84+27283.51+823.98</f>
        <v>113143.05999999998</v>
      </c>
      <c r="AG17" s="11">
        <f t="shared" si="18"/>
        <v>2584615.42</v>
      </c>
      <c r="AH17" s="8">
        <v>30769.229999999981</v>
      </c>
      <c r="AI17" s="9">
        <v>27100.33</v>
      </c>
      <c r="AJ17" s="8">
        <f t="shared" si="12"/>
        <v>2553846.19</v>
      </c>
      <c r="AL17" s="8"/>
    </row>
    <row r="18" spans="1:38" x14ac:dyDescent="0.25">
      <c r="A18" s="2" t="s">
        <v>2</v>
      </c>
      <c r="B18" s="4" t="s">
        <v>38</v>
      </c>
      <c r="C18" s="5">
        <v>3815384.62</v>
      </c>
      <c r="D18" s="6">
        <v>123076.91999999993</v>
      </c>
      <c r="E18" s="6">
        <f>37932.24+1175.97+38044.41+1179.45+38149.77+1182.72+37837.07+1173.02</f>
        <v>156674.65</v>
      </c>
      <c r="F18" s="7">
        <f t="shared" si="7"/>
        <v>3692307.7</v>
      </c>
      <c r="G18" s="8">
        <v>123076.91999999993</v>
      </c>
      <c r="H18" s="9">
        <f>36708.62+1138.04+36807.19+1141.1+36898.96+1143.94+36586.26+1134.25</f>
        <v>151558.36000000002</v>
      </c>
      <c r="I18" s="7">
        <f t="shared" si="8"/>
        <v>3569230.7800000003</v>
      </c>
      <c r="J18" s="8">
        <v>123076.91999999993</v>
      </c>
      <c r="K18" s="9">
        <f>35781.25+1109.29+35472.79+1099.73+35550.75+1102.14+36391.14+1128.2-1184.72</f>
        <v>146450.57</v>
      </c>
      <c r="L18" s="10">
        <f t="shared" si="9"/>
        <v>3446153.8600000003</v>
      </c>
      <c r="M18" s="8">
        <v>123076.92000000039</v>
      </c>
      <c r="N18" s="9">
        <f>33119.33+1026.77+34332.76+1064.38+35145.1+1089.57+34084.63+1056.69+1184.72</f>
        <v>142103.95000000001</v>
      </c>
      <c r="O18" s="11">
        <f t="shared" si="13"/>
        <v>3323076.94</v>
      </c>
      <c r="P18" s="8">
        <v>123076.91999999993</v>
      </c>
      <c r="Q18" s="9">
        <f>33037.76+1024.24+33095.54+1026.03+32786.24+1016.44+32476.93+1006.85</f>
        <v>135470.03</v>
      </c>
      <c r="R18" s="11">
        <f t="shared" si="14"/>
        <v>3200000.02</v>
      </c>
      <c r="S18" s="8">
        <v>123076.91999999993</v>
      </c>
      <c r="T18" s="9">
        <f>32167.63+997.26+31858.32+987.67+31549.02+978.08+31583.01+979.14</f>
        <v>131100.13</v>
      </c>
      <c r="U18" s="11">
        <f t="shared" si="15"/>
        <v>3076923.1</v>
      </c>
      <c r="V18" s="9">
        <v>123076.92</v>
      </c>
      <c r="W18" s="9">
        <f>30845.9+956.28+30537.44+946.72+30561.17+947.46+30249.32+937.79</f>
        <v>125982.08</v>
      </c>
      <c r="X18" s="11">
        <f t="shared" si="16"/>
        <v>2953846.18</v>
      </c>
      <c r="Y18" s="8">
        <v>123076.91999999993</v>
      </c>
      <c r="Z18" s="9">
        <f>29366.9+910.43+29383.89+910.96+29394.09+911.28+30029.69+930.98</f>
        <v>121838.22</v>
      </c>
      <c r="AA18" s="11">
        <f t="shared" si="17"/>
        <v>2830769.2600000002</v>
      </c>
      <c r="AB18" s="8">
        <v>123076.92000000039</v>
      </c>
      <c r="AC18" s="9">
        <f>27205.17+843.41+28146.67+872.6+28143.28+872.5+28738.09+890.94+1.24</f>
        <v>115713.90000000001</v>
      </c>
      <c r="AD18" s="8">
        <f t="shared" si="11"/>
        <v>2707692.34</v>
      </c>
      <c r="AE18" s="9">
        <v>123076.91999999993</v>
      </c>
      <c r="AF18" s="9">
        <f>26022.33+806.74+26909.46+834.25+27477.08+851.84+26578.18+823.98</f>
        <v>110303.86</v>
      </c>
      <c r="AG18" s="11">
        <f t="shared" si="18"/>
        <v>2584615.42</v>
      </c>
      <c r="AH18" s="8">
        <v>30769.229999999981</v>
      </c>
      <c r="AI18" s="9">
        <v>26420.280000000002</v>
      </c>
      <c r="AJ18" s="8">
        <f t="shared" si="12"/>
        <v>2553846.19</v>
      </c>
      <c r="AL18" s="8"/>
    </row>
    <row r="19" spans="1:38" x14ac:dyDescent="0.25">
      <c r="A19" s="2" t="s">
        <v>2</v>
      </c>
      <c r="B19" s="4" t="s">
        <v>39</v>
      </c>
      <c r="C19" s="5">
        <v>4843750</v>
      </c>
      <c r="D19" s="6">
        <v>156250</v>
      </c>
      <c r="E19" s="6">
        <f>8754.58+1492.94+8780.47+1497.35+8804.79+1501.5+8732.62+1489.19</f>
        <v>41053.440000000002</v>
      </c>
      <c r="F19" s="7">
        <f t="shared" si="7"/>
        <v>4687500</v>
      </c>
      <c r="G19" s="8">
        <v>156250</v>
      </c>
      <c r="H19" s="9">
        <f>8472.17+1444.78+8494.92+1448.66+8516.1+1452.27+8443.93+1439.96</f>
        <v>39712.79</v>
      </c>
      <c r="I19" s="7">
        <f t="shared" si="8"/>
        <v>4531250</v>
      </c>
      <c r="J19" s="8">
        <v>156250</v>
      </c>
      <c r="K19" s="9">
        <f>8258.14+1408.28+8186.95+1396.14+8204.94+1399.21+8398.9+1432.28-310.43</f>
        <v>38374.409999999996</v>
      </c>
      <c r="L19" s="10">
        <f t="shared" si="9"/>
        <v>4375000</v>
      </c>
      <c r="M19" s="8">
        <v>156250</v>
      </c>
      <c r="N19" s="9">
        <f>7643.78+1303.51+7923.84+1351.27+8111.32+1383.24+7866.57+1341.5+310.43</f>
        <v>37235.46</v>
      </c>
      <c r="O19" s="11">
        <f t="shared" si="13"/>
        <v>4218750</v>
      </c>
      <c r="P19" s="8">
        <v>156250</v>
      </c>
      <c r="Q19" s="9">
        <f>8925.26+21726.93+1302.57+21523.88+1290.4+21320.82+1278.23</f>
        <v>77368.09</v>
      </c>
      <c r="R19" s="11">
        <f t="shared" si="14"/>
        <v>4062500</v>
      </c>
      <c r="S19" s="8">
        <v>156250</v>
      </c>
      <c r="T19" s="9">
        <f>21117.77+1266.05+23994.24+1253.88+23761.28+1241.71+23786.88+1243.04</f>
        <v>97664.85</v>
      </c>
      <c r="U19" s="11">
        <f t="shared" si="15"/>
        <v>3906250</v>
      </c>
      <c r="V19" s="9">
        <v>156250</v>
      </c>
      <c r="W19" s="9">
        <f>23231.73+1214.03+1374.96+1201.89+1376.03+1202.83+1361.99+1190.55</f>
        <v>32154.009999999995</v>
      </c>
      <c r="X19" s="11">
        <f t="shared" si="16"/>
        <v>3750000</v>
      </c>
      <c r="Y19" s="8">
        <v>130293.64000000013</v>
      </c>
      <c r="Z19" s="9">
        <f>1322.26+1155.82+18679.64+1156.49+18729.22+1159.56+19179.45+1187.43</f>
        <v>62569.87</v>
      </c>
      <c r="AA19" s="11">
        <f t="shared" si="17"/>
        <v>3619706.36</v>
      </c>
      <c r="AB19" s="8">
        <v>124987.25</v>
      </c>
      <c r="AC19" s="9">
        <f>17419.51+1078.47+18060.07+1118.13+18099.69+1120.59+18526.08+1146.98+1.05</f>
        <v>76570.569999999992</v>
      </c>
      <c r="AD19" s="8">
        <f t="shared" si="11"/>
        <v>3494719.11</v>
      </c>
      <c r="AE19" s="9">
        <v>127713.46999999974</v>
      </c>
      <c r="AF19" s="9">
        <f>16818.02+1041.23+17427.9+1078.99+17836.86+1104.31+17296.35+1070.85</f>
        <v>73674.510000000009</v>
      </c>
      <c r="AG19" s="11">
        <f t="shared" si="18"/>
        <v>3367005.64</v>
      </c>
      <c r="AH19" s="8">
        <v>32556.790000000037</v>
      </c>
      <c r="AI19" s="9">
        <v>17751.3</v>
      </c>
      <c r="AJ19" s="8">
        <f t="shared" si="12"/>
        <v>3334448.85</v>
      </c>
      <c r="AL19" s="8"/>
    </row>
    <row r="20" spans="1:38" x14ac:dyDescent="0.25">
      <c r="A20" s="2" t="s">
        <v>2</v>
      </c>
      <c r="B20" s="4" t="s">
        <v>40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11">
        <v>0</v>
      </c>
      <c r="V20" s="9">
        <v>0</v>
      </c>
      <c r="W20" s="9">
        <f>40046.76+3545.22</f>
        <v>43591.98</v>
      </c>
      <c r="X20" s="11">
        <v>17897229.890000001</v>
      </c>
      <c r="Y20" s="8">
        <v>0</v>
      </c>
      <c r="Z20" s="9">
        <f>62311.78+5516.27+63004.13+5577.56+63696.49+5638.85+65773.55+5822.73</f>
        <v>277341.36</v>
      </c>
      <c r="AA20" s="11">
        <f t="shared" si="17"/>
        <v>17897229.890000001</v>
      </c>
      <c r="AB20" s="8">
        <v>214756.80999999866</v>
      </c>
      <c r="AC20" s="9">
        <f>60234.72+5332.39+63004.13+5577.56+63696.49+5638.85+65375.84+5787.52+1.29</f>
        <v>274648.78999999998</v>
      </c>
      <c r="AD20" s="8">
        <f t="shared" si="11"/>
        <v>17682473.080000002</v>
      </c>
      <c r="AE20" s="9">
        <v>441051.77000000328</v>
      </c>
      <c r="AF20" s="9">
        <f>59511.94+5268.41+61852.42+5475.6+63491.29+5620.69+61750.86+5466.61</f>
        <v>268437.82</v>
      </c>
      <c r="AG20" s="11">
        <f t="shared" si="18"/>
        <v>17241421.309999999</v>
      </c>
      <c r="AH20" s="8">
        <v>112050.08999999985</v>
      </c>
      <c r="AI20" s="9">
        <v>65164.100000000006</v>
      </c>
      <c r="AJ20" s="8">
        <f t="shared" si="12"/>
        <v>17129371.219999999</v>
      </c>
      <c r="AL20" s="8"/>
    </row>
    <row r="21" spans="1:38" x14ac:dyDescent="0.25">
      <c r="A21" s="2" t="s">
        <v>2</v>
      </c>
      <c r="B21" s="4" t="s">
        <v>41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1">
        <v>0</v>
      </c>
      <c r="V21" s="9">
        <v>0</v>
      </c>
      <c r="W21" s="9">
        <f>5281.41+462.63</f>
        <v>5744.04</v>
      </c>
      <c r="X21" s="11">
        <v>3010195.66</v>
      </c>
      <c r="Y21" s="8">
        <v>0</v>
      </c>
      <c r="Z21" s="9">
        <f>10591.77+927.8+10709.45+938.11+10827.14+948.42+11180.2+979.34</f>
        <v>47102.229999999996</v>
      </c>
      <c r="AA21" s="11">
        <f t="shared" si="17"/>
        <v>3010195.66</v>
      </c>
      <c r="AB21" s="8">
        <v>36020.850000000093</v>
      </c>
      <c r="AC21" s="9">
        <f>10238.71+896.87+10709.45+938.11+10827.14+948.42+11112.77+973.44+0.22</f>
        <v>46645.130000000005</v>
      </c>
      <c r="AD21" s="8">
        <f t="shared" si="11"/>
        <v>2974174.81</v>
      </c>
      <c r="AE21" s="9">
        <v>74000.929999999702</v>
      </c>
      <c r="AF21" s="9">
        <f>10116.19+886.14+10514.19+921+10792.94+945.42+10497.27+919.52</f>
        <v>45592.669999999991</v>
      </c>
      <c r="AG21" s="11">
        <f t="shared" si="18"/>
        <v>2900173.8800000004</v>
      </c>
      <c r="AH21" s="8">
        <v>18803.620000000577</v>
      </c>
      <c r="AI21" s="9">
        <v>11068.210000000001</v>
      </c>
      <c r="AJ21" s="8">
        <f t="shared" si="12"/>
        <v>2881370.26</v>
      </c>
      <c r="AL21" s="8"/>
    </row>
    <row r="22" spans="1:38" x14ac:dyDescent="0.25">
      <c r="A22" s="2" t="s">
        <v>2</v>
      </c>
      <c r="B22" s="4" t="s">
        <v>30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1">
        <v>0</v>
      </c>
      <c r="V22" s="9">
        <v>0</v>
      </c>
      <c r="W22" s="9"/>
      <c r="X22" s="11">
        <v>0</v>
      </c>
      <c r="Y22" s="8">
        <v>0</v>
      </c>
      <c r="Z22" s="9">
        <f>66028.94+4430.28</f>
        <v>70459.22</v>
      </c>
      <c r="AA22" s="11">
        <v>21926146.48</v>
      </c>
      <c r="AB22" s="8">
        <v>241795.72000000253</v>
      </c>
      <c r="AC22" s="9">
        <f>97364.71+6532.79+101841.24+6833.15+102960.38+6908.24+105724.86+7093.72+2.08</f>
        <v>435261.17</v>
      </c>
      <c r="AD22" s="8">
        <f t="shared" si="11"/>
        <v>21684350.759999998</v>
      </c>
      <c r="AE22" s="9">
        <v>501681.05999999493</v>
      </c>
      <c r="AF22" s="9">
        <f>96290.99+6460.75+100119.23+6717.61+102819.55+6898.79+100051.09+6713.04</f>
        <v>426071.05</v>
      </c>
      <c r="AG22" s="11">
        <f t="shared" si="18"/>
        <v>21182669.700000003</v>
      </c>
      <c r="AH22" s="8">
        <v>128199.54000000283</v>
      </c>
      <c r="AI22" s="9">
        <v>103552.01000000001</v>
      </c>
      <c r="AJ22" s="8">
        <f t="shared" si="12"/>
        <v>21054470.16</v>
      </c>
      <c r="AL22" s="8"/>
    </row>
    <row r="23" spans="1:38" x14ac:dyDescent="0.25">
      <c r="A23" s="2" t="s">
        <v>2</v>
      </c>
      <c r="B23" s="4" t="s">
        <v>31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1">
        <v>0</v>
      </c>
      <c r="V23" s="9">
        <v>0</v>
      </c>
      <c r="W23" s="9"/>
      <c r="X23" s="11">
        <v>0</v>
      </c>
      <c r="Y23" s="8">
        <v>0</v>
      </c>
      <c r="Z23" s="9">
        <v>0</v>
      </c>
      <c r="AA23" s="11">
        <v>0</v>
      </c>
      <c r="AB23" s="8">
        <v>31398.9</v>
      </c>
      <c r="AC23" s="9">
        <f>51161.92+2038.65+40757.84+1624.08</f>
        <v>95582.49</v>
      </c>
      <c r="AD23" s="11">
        <v>4970998.96</v>
      </c>
      <c r="AE23" s="9">
        <v>92249.910000000149</v>
      </c>
      <c r="AF23" s="9">
        <f>37169.32+1481.09+38686.71+1541.55+39776.51+1584.97+38754.87+1544.26</f>
        <v>160539.28</v>
      </c>
      <c r="AG23" s="11">
        <f t="shared" si="18"/>
        <v>4878749.05</v>
      </c>
      <c r="AH23" s="8">
        <v>24024.980000000447</v>
      </c>
      <c r="AI23" s="9">
        <v>39133.97</v>
      </c>
      <c r="AJ23" s="8">
        <f t="shared" si="12"/>
        <v>4854724.0699999994</v>
      </c>
      <c r="AL23" s="8"/>
    </row>
    <row r="24" spans="1:38" x14ac:dyDescent="0.25">
      <c r="A24" s="2" t="s">
        <v>2</v>
      </c>
      <c r="B24" s="4" t="s">
        <v>32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11">
        <v>0</v>
      </c>
      <c r="V24" s="9">
        <v>0</v>
      </c>
      <c r="W24" s="9"/>
      <c r="X24" s="11">
        <v>0</v>
      </c>
      <c r="Y24" s="8">
        <v>0</v>
      </c>
      <c r="Z24" s="9">
        <v>0</v>
      </c>
      <c r="AA24" s="11">
        <v>0</v>
      </c>
      <c r="AB24" s="8">
        <v>2577.5100000000002</v>
      </c>
      <c r="AC24" s="9">
        <f>23622.53+853.66</f>
        <v>24476.19</v>
      </c>
      <c r="AD24" s="11">
        <v>2024001.89</v>
      </c>
      <c r="AE24" s="9">
        <v>35460.749999999767</v>
      </c>
      <c r="AF24" s="9">
        <f>16687.37+603.04+17372.57+627.8+17866.65+645.66+17412.82+629.26</f>
        <v>71845.17</v>
      </c>
      <c r="AG24" s="11">
        <f t="shared" si="18"/>
        <v>1988541.1400000001</v>
      </c>
      <c r="AH24" s="8">
        <v>9286.0300000002608</v>
      </c>
      <c r="AI24" s="9">
        <v>17525.239999999998</v>
      </c>
      <c r="AJ24" s="8">
        <f t="shared" si="12"/>
        <v>1979255.1099999999</v>
      </c>
      <c r="AL24" s="8"/>
    </row>
    <row r="25" spans="1:38" x14ac:dyDescent="0.25">
      <c r="A25" s="2" t="s">
        <v>2</v>
      </c>
      <c r="B25" s="4" t="s">
        <v>42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1">
        <v>0</v>
      </c>
      <c r="V25" s="9">
        <v>0</v>
      </c>
      <c r="W25" s="9"/>
      <c r="X25" s="11">
        <v>0</v>
      </c>
      <c r="Y25" s="8">
        <v>0</v>
      </c>
      <c r="Z25" s="9">
        <v>0</v>
      </c>
      <c r="AA25" s="11">
        <v>0</v>
      </c>
      <c r="AB25" s="8">
        <v>0</v>
      </c>
      <c r="AC25" s="9"/>
      <c r="AD25" s="11">
        <v>2720289.03</v>
      </c>
      <c r="AE25" s="9">
        <v>40143.469999999739</v>
      </c>
      <c r="AF25" s="9">
        <f>29652.79+1006.13+24923.83+845.68+25637.21+869.88+24990.9+847.95</f>
        <v>108774.37000000001</v>
      </c>
      <c r="AG25" s="11">
        <f t="shared" si="18"/>
        <v>2680145.56</v>
      </c>
      <c r="AH25" s="8">
        <v>12057.569999999832</v>
      </c>
      <c r="AI25" s="9">
        <v>25103.3</v>
      </c>
      <c r="AJ25" s="8">
        <f t="shared" si="12"/>
        <v>2668087.9900000002</v>
      </c>
      <c r="AL25" s="8"/>
    </row>
    <row r="26" spans="1:38" x14ac:dyDescent="0.25">
      <c r="A26" s="2" t="s">
        <v>2</v>
      </c>
      <c r="B26" s="4" t="s">
        <v>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11">
        <v>0</v>
      </c>
      <c r="V26" s="9">
        <v>0</v>
      </c>
      <c r="W26" s="9"/>
      <c r="X26" s="11">
        <v>0</v>
      </c>
      <c r="Y26" s="8">
        <v>0</v>
      </c>
      <c r="Z26" s="9">
        <v>0</v>
      </c>
      <c r="AA26" s="11">
        <v>0</v>
      </c>
      <c r="AB26" s="11">
        <v>0</v>
      </c>
      <c r="AC26" s="12">
        <v>0</v>
      </c>
      <c r="AD26" s="11">
        <v>0</v>
      </c>
      <c r="AE26" s="9">
        <v>25372.97</v>
      </c>
      <c r="AF26" s="9">
        <f>46123.4+1479.45+39197.37+1257.29</f>
        <v>88057.51</v>
      </c>
      <c r="AG26" s="11">
        <v>3974627.03</v>
      </c>
      <c r="AH26" s="8">
        <v>17258.870000000112</v>
      </c>
      <c r="AI26" s="9">
        <v>39309.71</v>
      </c>
      <c r="AJ26" s="8">
        <f t="shared" si="12"/>
        <v>3957368.1599999997</v>
      </c>
      <c r="AL26" s="8"/>
    </row>
    <row r="27" spans="1:38" x14ac:dyDescent="0.25">
      <c r="A27" s="2" t="s">
        <v>2</v>
      </c>
      <c r="B27" s="4" t="s">
        <v>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11">
        <v>0</v>
      </c>
      <c r="V27" s="9">
        <v>0</v>
      </c>
      <c r="W27" s="9"/>
      <c r="X27" s="11">
        <v>0</v>
      </c>
      <c r="Y27" s="8">
        <v>0</v>
      </c>
      <c r="Z27" s="9">
        <v>0</v>
      </c>
      <c r="AA27" s="11">
        <v>0</v>
      </c>
      <c r="AB27" s="11">
        <v>0</v>
      </c>
      <c r="AC27" s="12">
        <v>0</v>
      </c>
      <c r="AD27" s="11">
        <v>0</v>
      </c>
      <c r="AE27" s="9">
        <v>0</v>
      </c>
      <c r="AF27" s="9">
        <f>32631.58+849.25</f>
        <v>33480.83</v>
      </c>
      <c r="AG27" s="11">
        <v>4960161.68</v>
      </c>
      <c r="AH27" s="8">
        <v>40001.299999999814</v>
      </c>
      <c r="AI27" s="9">
        <v>60107.4</v>
      </c>
      <c r="AJ27" s="8">
        <f t="shared" si="12"/>
        <v>4920160.38</v>
      </c>
      <c r="AL27" s="8"/>
    </row>
    <row r="28" spans="1:38" x14ac:dyDescent="0.25">
      <c r="K28" s="9"/>
      <c r="N28" s="9"/>
      <c r="T28" s="9"/>
      <c r="AC28" s="9"/>
    </row>
    <row r="29" spans="1:38" x14ac:dyDescent="0.25">
      <c r="H29" s="8"/>
      <c r="K29" s="9"/>
      <c r="N29" s="9"/>
      <c r="Q29" s="8"/>
      <c r="T29" s="8"/>
      <c r="W29" s="8"/>
      <c r="Z29" s="9"/>
      <c r="AC29" s="9"/>
      <c r="AF29" s="9"/>
      <c r="AG29" s="9"/>
    </row>
    <row r="30" spans="1:38" x14ac:dyDescent="0.25">
      <c r="N30" s="9"/>
      <c r="AC30" s="9"/>
      <c r="AF30" s="9"/>
      <c r="AG30" s="9"/>
    </row>
    <row r="31" spans="1:38" x14ac:dyDescent="0.25">
      <c r="E31" s="6"/>
      <c r="K31" s="8"/>
      <c r="N31" s="8"/>
    </row>
    <row r="32" spans="1:38" x14ac:dyDescent="0.25">
      <c r="E32" s="6"/>
    </row>
    <row r="33" spans="5:5" x14ac:dyDescent="0.25">
      <c r="E33" s="6"/>
    </row>
    <row r="34" spans="5:5" x14ac:dyDescent="0.25">
      <c r="E34" s="6"/>
    </row>
    <row r="35" spans="5:5" x14ac:dyDescent="0.25">
      <c r="E35" s="6"/>
    </row>
    <row r="36" spans="5:5" x14ac:dyDescent="0.25">
      <c r="E36" s="6"/>
    </row>
    <row r="37" spans="5:5" x14ac:dyDescent="0.25">
      <c r="E37" s="6"/>
    </row>
    <row r="38" spans="5:5" x14ac:dyDescent="0.25">
      <c r="E38" s="6"/>
    </row>
  </sheetData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D6AE75-0644-4CFF-B728-BFCEFCEDE14B}"/>
</file>

<file path=customXml/itemProps2.xml><?xml version="1.0" encoding="utf-8"?>
<ds:datastoreItem xmlns:ds="http://schemas.openxmlformats.org/officeDocument/2006/customXml" ds:itemID="{CE202F59-0999-48F9-A7C2-26F8D42D6D85}"/>
</file>

<file path=customXml/itemProps3.xml><?xml version="1.0" encoding="utf-8"?>
<ds:datastoreItem xmlns:ds="http://schemas.openxmlformats.org/officeDocument/2006/customXml" ds:itemID="{35A00E89-115F-4B2E-9F57-C5129EC46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RUS_FFB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2024-05-30T15:46:02Z</dcterms:created>
  <dcterms:modified xsi:type="dcterms:W3CDTF">2024-06-05T19:04:30Z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