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U:\PSC\Rate Case\Rate Case 2024\Second Data Request\"/>
    </mc:Choice>
  </mc:AlternateContent>
  <xr:revisionPtr revIDLastSave="0" documentId="13_ncr:1_{0FE0CAD0-3FD7-476B-BD0D-A30081C2D5B5}" xr6:coauthVersionLast="47" xr6:coauthVersionMax="47" xr10:uidLastSave="{00000000-0000-0000-0000-000000000000}"/>
  <bookViews>
    <workbookView xWindow="28680" yWindow="-120" windowWidth="29040" windowHeight="15840" xr2:uid="{83B02F93-C27C-4815-BAE9-E2BC92E0ED43}"/>
  </bookViews>
  <sheets>
    <sheet name="Test Year" sheetId="5" r:id="rId1"/>
  </sheets>
  <definedNames>
    <definedName name="_xlnm._FilterDatabase" localSheetId="0" hidden="1">'Test Year'!$A$1:$AC$72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3" i="5" l="1"/>
  <c r="K73" i="5"/>
  <c r="L73" i="5"/>
  <c r="M73" i="5"/>
  <c r="N73" i="5"/>
  <c r="O73" i="5"/>
  <c r="P73" i="5"/>
  <c r="Q73" i="5"/>
  <c r="R73" i="5"/>
  <c r="S73" i="5"/>
  <c r="T73" i="5"/>
  <c r="U73" i="5"/>
  <c r="V73" i="5"/>
  <c r="W73" i="5"/>
  <c r="X73" i="5"/>
  <c r="Y73" i="5"/>
  <c r="Z73" i="5"/>
  <c r="AA73" i="5"/>
  <c r="AB73" i="5"/>
  <c r="AC73" i="5"/>
  <c r="I73" i="5"/>
  <c r="J81" i="5"/>
  <c r="K81" i="5"/>
  <c r="L81" i="5"/>
  <c r="M81" i="5"/>
  <c r="N81" i="5"/>
  <c r="O81" i="5"/>
  <c r="P81" i="5"/>
  <c r="Q81" i="5"/>
  <c r="S81" i="5"/>
  <c r="T81" i="5"/>
  <c r="U81" i="5"/>
  <c r="V81" i="5"/>
  <c r="W81" i="5"/>
  <c r="X81" i="5"/>
  <c r="Y81" i="5"/>
  <c r="Z81" i="5"/>
  <c r="K82" i="5"/>
  <c r="L82" i="5"/>
  <c r="M82" i="5"/>
  <c r="N82" i="5"/>
  <c r="O82" i="5"/>
  <c r="P82" i="5"/>
  <c r="Q82" i="5"/>
  <c r="S82" i="5"/>
  <c r="T82" i="5"/>
  <c r="U82" i="5"/>
  <c r="V82" i="5"/>
  <c r="W82" i="5"/>
  <c r="X82" i="5"/>
  <c r="Y82" i="5"/>
  <c r="Z82" i="5"/>
  <c r="AA82" i="5"/>
  <c r="J77" i="5"/>
  <c r="K77" i="5"/>
  <c r="L77" i="5"/>
  <c r="M77" i="5"/>
  <c r="N77" i="5"/>
  <c r="O77" i="5"/>
  <c r="P77" i="5"/>
  <c r="Q77" i="5"/>
  <c r="S77" i="5"/>
  <c r="T77" i="5"/>
  <c r="U77" i="5"/>
  <c r="V77" i="5"/>
  <c r="W77" i="5"/>
  <c r="X77" i="5"/>
  <c r="Y77" i="5"/>
  <c r="Z77" i="5"/>
  <c r="J78" i="5"/>
  <c r="K78" i="5"/>
  <c r="L78" i="5"/>
  <c r="M78" i="5"/>
  <c r="N78" i="5"/>
  <c r="O78" i="5"/>
  <c r="P78" i="5"/>
  <c r="Q78" i="5"/>
  <c r="S78" i="5"/>
  <c r="T78" i="5"/>
  <c r="U78" i="5"/>
  <c r="V78" i="5"/>
  <c r="W78" i="5"/>
  <c r="X78" i="5"/>
  <c r="Y78" i="5"/>
  <c r="Z78" i="5"/>
  <c r="AA78" i="5"/>
  <c r="J72" i="5"/>
  <c r="I72" i="5"/>
  <c r="R72" i="5" s="1"/>
  <c r="J71" i="5"/>
  <c r="I71" i="5"/>
  <c r="R71" i="5" s="1"/>
  <c r="J70" i="5"/>
  <c r="I70" i="5"/>
  <c r="J69" i="5"/>
  <c r="R69" i="5" s="1"/>
  <c r="I69" i="5"/>
  <c r="I68" i="5"/>
  <c r="R68" i="5" s="1"/>
  <c r="I67" i="5"/>
  <c r="R67" i="5" s="1"/>
  <c r="I66" i="5"/>
  <c r="R66" i="5" s="1"/>
  <c r="J65" i="5"/>
  <c r="I65" i="5"/>
  <c r="J64" i="5"/>
  <c r="I64" i="5"/>
  <c r="I63" i="5"/>
  <c r="R63" i="5" s="1"/>
  <c r="J62" i="5"/>
  <c r="I62" i="5"/>
  <c r="J61" i="5"/>
  <c r="I61" i="5"/>
  <c r="J60" i="5"/>
  <c r="I60" i="5"/>
  <c r="R60" i="5" s="1"/>
  <c r="J59" i="5"/>
  <c r="I59" i="5"/>
  <c r="J58" i="5"/>
  <c r="I58" i="5"/>
  <c r="I57" i="5"/>
  <c r="R57" i="5" s="1"/>
  <c r="J56" i="5"/>
  <c r="I56" i="5"/>
  <c r="J55" i="5"/>
  <c r="I55" i="5"/>
  <c r="I54" i="5"/>
  <c r="I53" i="5"/>
  <c r="R53" i="5" s="1"/>
  <c r="I52" i="5"/>
  <c r="R52" i="5" s="1"/>
  <c r="I51" i="5"/>
  <c r="I50" i="5"/>
  <c r="R50" i="5" s="1"/>
  <c r="I49" i="5"/>
  <c r="R49" i="5" s="1"/>
  <c r="J48" i="5"/>
  <c r="I48" i="5"/>
  <c r="I47" i="5"/>
  <c r="R47" i="5" s="1"/>
  <c r="AC47" i="5"/>
  <c r="AB47" i="5"/>
  <c r="A54" i="5"/>
  <c r="A55" i="5" s="1"/>
  <c r="A58" i="5"/>
  <c r="A59" i="5" s="1"/>
  <c r="A60" i="5" s="1"/>
  <c r="A62" i="5"/>
  <c r="A63" i="5" s="1"/>
  <c r="A64" i="5" s="1"/>
  <c r="A65" i="5" s="1"/>
  <c r="A67" i="5"/>
  <c r="A68" i="5" s="1"/>
  <c r="A69" i="5" s="1"/>
  <c r="A70" i="5" s="1"/>
  <c r="A72" i="5"/>
  <c r="A48" i="5"/>
  <c r="A49" i="5" s="1"/>
  <c r="A50" i="5" s="1"/>
  <c r="A51" i="5" s="1"/>
  <c r="J46" i="5"/>
  <c r="I46" i="5"/>
  <c r="J45" i="5"/>
  <c r="I45" i="5"/>
  <c r="I44" i="5"/>
  <c r="R44" i="5" s="1"/>
  <c r="I43" i="5"/>
  <c r="R43" i="5" s="1"/>
  <c r="J41" i="5"/>
  <c r="I41" i="5"/>
  <c r="J40" i="5"/>
  <c r="I40" i="5"/>
  <c r="J39" i="5"/>
  <c r="I39" i="5"/>
  <c r="R39" i="5" s="1"/>
  <c r="J38" i="5"/>
  <c r="I38" i="5"/>
  <c r="J37" i="5"/>
  <c r="I37" i="5"/>
  <c r="I36" i="5"/>
  <c r="R36" i="5" s="1"/>
  <c r="I35" i="5"/>
  <c r="R35" i="5" s="1"/>
  <c r="I34" i="5"/>
  <c r="R34" i="5" s="1"/>
  <c r="J33" i="5"/>
  <c r="I33" i="5"/>
  <c r="J32" i="5"/>
  <c r="I32" i="5"/>
  <c r="I31" i="5"/>
  <c r="J31" i="5"/>
  <c r="J30" i="5"/>
  <c r="I30" i="5"/>
  <c r="J29" i="5"/>
  <c r="I29" i="5"/>
  <c r="J28" i="5"/>
  <c r="I28" i="5"/>
  <c r="J27" i="5"/>
  <c r="I27" i="5"/>
  <c r="J26" i="5"/>
  <c r="I26" i="5"/>
  <c r="J25" i="5"/>
  <c r="I25" i="5"/>
  <c r="J24" i="5"/>
  <c r="I24" i="5"/>
  <c r="J23" i="5"/>
  <c r="I23" i="5"/>
  <c r="I22" i="5"/>
  <c r="R22" i="5" s="1"/>
  <c r="J21" i="5"/>
  <c r="I21" i="5"/>
  <c r="J20" i="5"/>
  <c r="I20" i="5"/>
  <c r="J19" i="5"/>
  <c r="I19" i="5"/>
  <c r="J18" i="5"/>
  <c r="I18" i="5"/>
  <c r="J17" i="5"/>
  <c r="I17" i="5"/>
  <c r="R17" i="5" s="1"/>
  <c r="J16" i="5"/>
  <c r="I16" i="5"/>
  <c r="J15" i="5"/>
  <c r="I15" i="5"/>
  <c r="J14" i="5"/>
  <c r="I14" i="5"/>
  <c r="J13" i="5"/>
  <c r="I13" i="5"/>
  <c r="R13" i="5" s="1"/>
  <c r="J12" i="5"/>
  <c r="I12" i="5"/>
  <c r="J11" i="5"/>
  <c r="I11" i="5"/>
  <c r="J10" i="5"/>
  <c r="I10" i="5"/>
  <c r="J9" i="5"/>
  <c r="I9" i="5"/>
  <c r="J8" i="5"/>
  <c r="I8" i="5"/>
  <c r="J7" i="5"/>
  <c r="I7" i="5"/>
  <c r="I6" i="5"/>
  <c r="R6" i="5" s="1"/>
  <c r="J5" i="5"/>
  <c r="I5" i="5"/>
  <c r="J4" i="5"/>
  <c r="I4" i="5"/>
  <c r="J3" i="5"/>
  <c r="J82" i="5" s="1"/>
  <c r="I3" i="5"/>
  <c r="R42" i="5"/>
  <c r="R51" i="5"/>
  <c r="R54" i="5"/>
  <c r="R61" i="5"/>
  <c r="I2" i="5"/>
  <c r="R2" i="5" s="1"/>
  <c r="Z86" i="5"/>
  <c r="Y86" i="5"/>
  <c r="X86" i="5"/>
  <c r="W86" i="5"/>
  <c r="V86" i="5"/>
  <c r="U86" i="5"/>
  <c r="T86" i="5"/>
  <c r="S86" i="5"/>
  <c r="Q86" i="5"/>
  <c r="P86" i="5"/>
  <c r="O86" i="5"/>
  <c r="N86" i="5"/>
  <c r="M86" i="5"/>
  <c r="L86" i="5"/>
  <c r="K86" i="5"/>
  <c r="AA85" i="5"/>
  <c r="Z85" i="5"/>
  <c r="Y85" i="5"/>
  <c r="X85" i="5"/>
  <c r="W85" i="5"/>
  <c r="V85" i="5"/>
  <c r="U85" i="5"/>
  <c r="T85" i="5"/>
  <c r="S85" i="5"/>
  <c r="Q85" i="5"/>
  <c r="P85" i="5"/>
  <c r="O85" i="5"/>
  <c r="N85" i="5"/>
  <c r="M85" i="5"/>
  <c r="L85" i="5"/>
  <c r="K85" i="5"/>
  <c r="AC72" i="5"/>
  <c r="AB72" i="5"/>
  <c r="AC71" i="5"/>
  <c r="AB71" i="5"/>
  <c r="AC70" i="5"/>
  <c r="AB70" i="5"/>
  <c r="AC69" i="5"/>
  <c r="AB69" i="5"/>
  <c r="AC68" i="5"/>
  <c r="AB68" i="5"/>
  <c r="AC67" i="5"/>
  <c r="AB67" i="5"/>
  <c r="AC66" i="5"/>
  <c r="AB66" i="5"/>
  <c r="AC65" i="5"/>
  <c r="AB65" i="5"/>
  <c r="AC64" i="5"/>
  <c r="AB64" i="5"/>
  <c r="AC63" i="5"/>
  <c r="AB63" i="5"/>
  <c r="AC62" i="5"/>
  <c r="AB62" i="5"/>
  <c r="AC61" i="5"/>
  <c r="AB61" i="5"/>
  <c r="AC60" i="5"/>
  <c r="AB60" i="5"/>
  <c r="AC59" i="5"/>
  <c r="AB59" i="5"/>
  <c r="AC58" i="5"/>
  <c r="AB58" i="5"/>
  <c r="AC57" i="5"/>
  <c r="AB57" i="5"/>
  <c r="AC56" i="5"/>
  <c r="AB56" i="5"/>
  <c r="AC55" i="5"/>
  <c r="AB55" i="5"/>
  <c r="AC54" i="5"/>
  <c r="AB54" i="5"/>
  <c r="AC53" i="5"/>
  <c r="AB53" i="5"/>
  <c r="AC52" i="5"/>
  <c r="AB52" i="5"/>
  <c r="AC51" i="5"/>
  <c r="AB51" i="5"/>
  <c r="AC50" i="5"/>
  <c r="AB50" i="5"/>
  <c r="AC49" i="5"/>
  <c r="AA49" i="5"/>
  <c r="AA81" i="5" s="1"/>
  <c r="AC48" i="5"/>
  <c r="AB48" i="5"/>
  <c r="AC46" i="5"/>
  <c r="AB46" i="5"/>
  <c r="AC45" i="5"/>
  <c r="AB45" i="5"/>
  <c r="AC44" i="5"/>
  <c r="AB44" i="5"/>
  <c r="AC43" i="5"/>
  <c r="AB43" i="5"/>
  <c r="AC42" i="5"/>
  <c r="AC77" i="5" s="1"/>
  <c r="AB42" i="5"/>
  <c r="AC41" i="5"/>
  <c r="AB41" i="5"/>
  <c r="AC40" i="5"/>
  <c r="AB40" i="5"/>
  <c r="AC39" i="5"/>
  <c r="AB39" i="5"/>
  <c r="AC38" i="5"/>
  <c r="AB38" i="5"/>
  <c r="AC37" i="5"/>
  <c r="AB37" i="5"/>
  <c r="AC36" i="5"/>
  <c r="AB36" i="5"/>
  <c r="AC35" i="5"/>
  <c r="AB35" i="5"/>
  <c r="AC34" i="5"/>
  <c r="AB34" i="5"/>
  <c r="AC33" i="5"/>
  <c r="AB33" i="5"/>
  <c r="AC32" i="5"/>
  <c r="AB32" i="5"/>
  <c r="AC31" i="5"/>
  <c r="AB31" i="5"/>
  <c r="AC30" i="5"/>
  <c r="AB30" i="5"/>
  <c r="AC29" i="5"/>
  <c r="AB29" i="5"/>
  <c r="AC28" i="5"/>
  <c r="AB28" i="5"/>
  <c r="AC27" i="5"/>
  <c r="AB27" i="5"/>
  <c r="AC26" i="5"/>
  <c r="AB26" i="5"/>
  <c r="AC25" i="5"/>
  <c r="AB25" i="5"/>
  <c r="AC24" i="5"/>
  <c r="AB24" i="5"/>
  <c r="AC23" i="5"/>
  <c r="AB23" i="5"/>
  <c r="AC22" i="5"/>
  <c r="AB22" i="5"/>
  <c r="AC21" i="5"/>
  <c r="AB21" i="5"/>
  <c r="AC20" i="5"/>
  <c r="AB20" i="5"/>
  <c r="AC19" i="5"/>
  <c r="AB19" i="5"/>
  <c r="AC18" i="5"/>
  <c r="AB18" i="5"/>
  <c r="AC17" i="5"/>
  <c r="AB17" i="5"/>
  <c r="AC16" i="5"/>
  <c r="AB16" i="5"/>
  <c r="AC15" i="5"/>
  <c r="AB15" i="5"/>
  <c r="AC14" i="5"/>
  <c r="AB14" i="5"/>
  <c r="AC13" i="5"/>
  <c r="AB13" i="5"/>
  <c r="AC12" i="5"/>
  <c r="AB12" i="5"/>
  <c r="AC11" i="5"/>
  <c r="AB11" i="5"/>
  <c r="AC10" i="5"/>
  <c r="AB10" i="5"/>
  <c r="AC9" i="5"/>
  <c r="AB9" i="5"/>
  <c r="AC8" i="5"/>
  <c r="AB8" i="5"/>
  <c r="AC7" i="5"/>
  <c r="AB7" i="5"/>
  <c r="AC6" i="5"/>
  <c r="AB6" i="5"/>
  <c r="AC5" i="5"/>
  <c r="AB5" i="5"/>
  <c r="AC4" i="5"/>
  <c r="AB4" i="5"/>
  <c r="AC3" i="5"/>
  <c r="AB3" i="5"/>
  <c r="A3" i="5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C2" i="5"/>
  <c r="AB2" i="5"/>
  <c r="AB78" i="5" s="1"/>
  <c r="AC82" i="5" l="1"/>
  <c r="R81" i="5"/>
  <c r="R78" i="5"/>
  <c r="AB82" i="5"/>
  <c r="R77" i="5"/>
  <c r="AC78" i="5"/>
  <c r="I85" i="5"/>
  <c r="R64" i="5"/>
  <c r="R58" i="5"/>
  <c r="R7" i="5"/>
  <c r="R11" i="5"/>
  <c r="R19" i="5"/>
  <c r="R37" i="5"/>
  <c r="R46" i="5"/>
  <c r="I78" i="5"/>
  <c r="AA77" i="5"/>
  <c r="AA79" i="5" s="1"/>
  <c r="AC81" i="5"/>
  <c r="R55" i="5"/>
  <c r="I77" i="5"/>
  <c r="I81" i="5"/>
  <c r="I82" i="5"/>
  <c r="R62" i="5"/>
  <c r="R59" i="5"/>
  <c r="R8" i="5"/>
  <c r="R16" i="5"/>
  <c r="R20" i="5"/>
  <c r="R48" i="5"/>
  <c r="R21" i="5"/>
  <c r="R10" i="5"/>
  <c r="R14" i="5"/>
  <c r="R40" i="5"/>
  <c r="R70" i="5"/>
  <c r="R29" i="5"/>
  <c r="R5" i="5"/>
  <c r="R24" i="5"/>
  <c r="R27" i="5"/>
  <c r="R30" i="5"/>
  <c r="R56" i="5"/>
  <c r="R9" i="5"/>
  <c r="R12" i="5"/>
  <c r="R15" i="5"/>
  <c r="R38" i="5"/>
  <c r="R41" i="5"/>
  <c r="R65" i="5"/>
  <c r="R3" i="5"/>
  <c r="R25" i="5"/>
  <c r="R28" i="5"/>
  <c r="R31" i="5"/>
  <c r="R4" i="5"/>
  <c r="R23" i="5"/>
  <c r="R26" i="5"/>
  <c r="R32" i="5"/>
  <c r="R45" i="5"/>
  <c r="AA86" i="5"/>
  <c r="AA87" i="5" s="1"/>
  <c r="R33" i="5"/>
  <c r="R18" i="5"/>
  <c r="J86" i="5"/>
  <c r="X79" i="5"/>
  <c r="X83" i="5"/>
  <c r="W83" i="5"/>
  <c r="X87" i="5"/>
  <c r="U83" i="5"/>
  <c r="W87" i="5"/>
  <c r="Z79" i="5"/>
  <c r="M79" i="5"/>
  <c r="Y79" i="5"/>
  <c r="Y87" i="5"/>
  <c r="W79" i="5"/>
  <c r="S83" i="5"/>
  <c r="S87" i="5"/>
  <c r="Q83" i="5"/>
  <c r="O87" i="5"/>
  <c r="M83" i="5"/>
  <c r="L83" i="5"/>
  <c r="V83" i="5"/>
  <c r="V87" i="5"/>
  <c r="T87" i="5"/>
  <c r="T79" i="5"/>
  <c r="P87" i="5"/>
  <c r="N79" i="5"/>
  <c r="K83" i="5"/>
  <c r="Z87" i="5"/>
  <c r="Y83" i="5"/>
  <c r="V79" i="5"/>
  <c r="U79" i="5"/>
  <c r="S79" i="5"/>
  <c r="Q79" i="5"/>
  <c r="P79" i="5"/>
  <c r="L87" i="5"/>
  <c r="K79" i="5"/>
  <c r="J79" i="5"/>
  <c r="O79" i="5"/>
  <c r="K87" i="5"/>
  <c r="Q87" i="5"/>
  <c r="L79" i="5"/>
  <c r="O83" i="5"/>
  <c r="M87" i="5"/>
  <c r="P83" i="5"/>
  <c r="N87" i="5"/>
  <c r="U87" i="5"/>
  <c r="I86" i="5"/>
  <c r="N83" i="5"/>
  <c r="T83" i="5"/>
  <c r="Z83" i="5"/>
  <c r="AC85" i="5"/>
  <c r="AC86" i="5"/>
  <c r="J83" i="5"/>
  <c r="J85" i="5"/>
  <c r="AB49" i="5"/>
  <c r="AB77" i="5" s="1"/>
  <c r="AB85" i="5"/>
  <c r="AA83" i="5"/>
  <c r="I87" i="5" l="1"/>
  <c r="AB81" i="5"/>
  <c r="AB83" i="5" s="1"/>
  <c r="R82" i="5"/>
  <c r="I83" i="5"/>
  <c r="J87" i="5"/>
  <c r="AC87" i="5"/>
  <c r="AC79" i="5"/>
  <c r="AC83" i="5"/>
  <c r="R85" i="5"/>
  <c r="AB86" i="5"/>
  <c r="AB87" i="5" s="1"/>
  <c r="AB79" i="5"/>
  <c r="R86" i="5"/>
  <c r="R79" i="5"/>
  <c r="I79" i="5"/>
  <c r="R83" i="5" l="1"/>
  <c r="R8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Meredith Kendall</author>
    <author>Becky Blackwell</author>
  </authors>
  <commentList>
    <comment ref="A6" authorId="0" shapeId="0" xr:uid="{0D0C62F7-2703-4D26-B796-2862D3F8BBEA}">
      <text>
        <r>
          <rPr>
            <b/>
            <sz val="9"/>
            <color indexed="81"/>
            <rFont val="Tahoma"/>
            <family val="2"/>
          </rPr>
          <t>Meredith Kendall:</t>
        </r>
        <r>
          <rPr>
            <sz val="9"/>
            <color indexed="81"/>
            <rFont val="Tahoma"/>
            <family val="2"/>
          </rPr>
          <t xml:space="preserve">
Employee retired April 2023</t>
        </r>
      </text>
    </comment>
    <comment ref="A47" authorId="1" shapeId="0" xr:uid="{B4726108-4D82-48EB-8561-B79824FA7BAE}">
      <text>
        <r>
          <rPr>
            <b/>
            <sz val="9"/>
            <color indexed="81"/>
            <rFont val="Tahoma"/>
            <family val="2"/>
          </rPr>
          <t>Becky Blackwell:</t>
        </r>
        <r>
          <rPr>
            <sz val="9"/>
            <color indexed="81"/>
            <rFont val="Tahoma"/>
            <family val="2"/>
          </rPr>
          <t xml:space="preserve">
Employee resigned November 22
</t>
        </r>
      </text>
    </comment>
    <comment ref="A57" authorId="0" shapeId="0" xr:uid="{343A8B0C-10F0-4066-8B08-3F1D23F2F25E}">
      <text>
        <r>
          <rPr>
            <b/>
            <sz val="9"/>
            <color indexed="81"/>
            <rFont val="Tahoma"/>
            <family val="2"/>
          </rPr>
          <t>Meredith Kendall:</t>
        </r>
        <r>
          <rPr>
            <sz val="9"/>
            <color indexed="81"/>
            <rFont val="Tahoma"/>
            <family val="2"/>
          </rPr>
          <t xml:space="preserve">
Opted out of LTD</t>
        </r>
      </text>
    </comment>
    <comment ref="A62" authorId="0" shapeId="0" xr:uid="{4E9487FB-3909-4C5A-A58A-D8DD5FF11684}">
      <text>
        <r>
          <rPr>
            <b/>
            <sz val="9"/>
            <color indexed="81"/>
            <rFont val="Tahoma"/>
            <family val="2"/>
          </rPr>
          <t>Meredith Kendall:</t>
        </r>
        <r>
          <rPr>
            <sz val="9"/>
            <color indexed="81"/>
            <rFont val="Tahoma"/>
            <family val="2"/>
          </rPr>
          <t xml:space="preserve">
Employee resigned April 2023</t>
        </r>
      </text>
    </comment>
    <comment ref="A68" authorId="1" shapeId="0" xr:uid="{75679037-CEA4-42BA-8D1A-2F3E3161106D}">
      <text>
        <r>
          <rPr>
            <b/>
            <sz val="9"/>
            <color indexed="81"/>
            <rFont val="Tahoma"/>
            <family val="2"/>
          </rPr>
          <t>Becky Blackwell:</t>
        </r>
        <r>
          <rPr>
            <sz val="9"/>
            <color indexed="81"/>
            <rFont val="Tahoma"/>
            <family val="2"/>
          </rPr>
          <t xml:space="preserve">
Opted out of LTD</t>
        </r>
      </text>
    </comment>
  </commentList>
</comments>
</file>

<file path=xl/sharedStrings.xml><?xml version="1.0" encoding="utf-8"?>
<sst xmlns="http://schemas.openxmlformats.org/spreadsheetml/2006/main" count="214" uniqueCount="53">
  <si>
    <t>Empl</t>
  </si>
  <si>
    <t>Corp Officer</t>
  </si>
  <si>
    <t>Manager</t>
  </si>
  <si>
    <t>Supervisor</t>
  </si>
  <si>
    <t>Exempt</t>
  </si>
  <si>
    <t>Non-Exempt</t>
  </si>
  <si>
    <t>Union</t>
  </si>
  <si>
    <t>Non-Union</t>
  </si>
  <si>
    <t>Reg Salary</t>
  </si>
  <si>
    <t>OT Amount</t>
  </si>
  <si>
    <t>Vac Payout</t>
  </si>
  <si>
    <t>Bonus</t>
  </si>
  <si>
    <t>Sick Payout</t>
  </si>
  <si>
    <t>Other</t>
  </si>
  <si>
    <t>Total Comp</t>
  </si>
  <si>
    <t>Employer Paid Healthcare</t>
  </si>
  <si>
    <t>Employee Paid Healthcare</t>
  </si>
  <si>
    <t>Employer Paid Life Insurance</t>
  </si>
  <si>
    <t>Employer Paid Defined Benefit</t>
  </si>
  <si>
    <t>Employer Paid IBEW Defined Benefit</t>
  </si>
  <si>
    <t>Employer Long-term Disability</t>
  </si>
  <si>
    <t>Employee Long-term Disability</t>
  </si>
  <si>
    <t>Employer Contribution 457(b)</t>
  </si>
  <si>
    <t>X</t>
  </si>
  <si>
    <t>Employer Defined Contribution 401(k)</t>
  </si>
  <si>
    <t>Total ER Benefits</t>
  </si>
  <si>
    <t>Total EE Benefits</t>
  </si>
  <si>
    <t>Cell Phone Reimbursement</t>
  </si>
  <si>
    <t>Auto Allowance</t>
  </si>
  <si>
    <t>Deferred Comp Payout</t>
  </si>
  <si>
    <t>Summary:</t>
  </si>
  <si>
    <t>Total</t>
  </si>
  <si>
    <t>Reg Salary     September 2022 - August 2023</t>
  </si>
  <si>
    <t>OT Amount September 2022 - August 2023</t>
  </si>
  <si>
    <t>Vac Payout September 2022 - August 2023</t>
  </si>
  <si>
    <t>Bonus September 2022 - August 2023</t>
  </si>
  <si>
    <t>Sick Payout September 2022 - August 2023</t>
  </si>
  <si>
    <t>Other September 2022 - August 2023</t>
  </si>
  <si>
    <t>Cell Phone Reimbursement September 2022 - August 2023</t>
  </si>
  <si>
    <t>Deferred Comp Payout September 2022 - August 2023</t>
  </si>
  <si>
    <t>Auto Allowance September 2022 - August 2023</t>
  </si>
  <si>
    <t>Total Comp September 2022 - August 2023</t>
  </si>
  <si>
    <t>Employer Paid Healthcare September 2022 - August 2023</t>
  </si>
  <si>
    <t>Employee Paid Healthcare September 2022 - August 2023</t>
  </si>
  <si>
    <t>Employer Paid Life Insurance September 2022 - August 2023</t>
  </si>
  <si>
    <t>Employer Paid Defined Benefit September 2022 - August 2023</t>
  </si>
  <si>
    <t>Employer Paid IBEW Defined Benefit September 2022 - August 2023</t>
  </si>
  <si>
    <r>
      <t xml:space="preserve">Employer Defined Contribution 401(k) </t>
    </r>
    <r>
      <rPr>
        <sz val="9"/>
        <color rgb="FF000000"/>
        <rFont val="Arial"/>
        <family val="2"/>
      </rPr>
      <t>September 2022 - August 2023</t>
    </r>
  </si>
  <si>
    <r>
      <t xml:space="preserve">Employer Long-term Disability </t>
    </r>
    <r>
      <rPr>
        <sz val="9"/>
        <color rgb="FF000000"/>
        <rFont val="Arial"/>
        <family val="2"/>
      </rPr>
      <t>September 2022 - August 2023</t>
    </r>
  </si>
  <si>
    <r>
      <t xml:space="preserve">Employee Long-term Disability </t>
    </r>
    <r>
      <rPr>
        <sz val="9"/>
        <color rgb="FF000000"/>
        <rFont val="Arial"/>
        <family val="2"/>
      </rPr>
      <t>September 2022 - August 2023</t>
    </r>
  </si>
  <si>
    <t>Employer Contribution 457(b) &amp; 457(f) September 2022 - August 2023</t>
  </si>
  <si>
    <t>Total ER Benefits September 2022 - August 2023</t>
  </si>
  <si>
    <t>Total EE Benefits September 2022 -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</si>
</sst>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3" fontId="2" fillId="0" borderId="1" xfId="1" applyFont="1" applyBorder="1" applyAlignment="1">
      <alignment horizontal="center" vertical="top" wrapText="1"/>
    </xf>
    <xf numFmtId="43" fontId="2" fillId="0" borderId="2" xfId="1" applyFont="1" applyBorder="1" applyAlignment="1">
      <alignment horizontal="center" vertical="top" wrapText="1"/>
    </xf>
    <xf numFmtId="43" fontId="2" fillId="0" borderId="0" xfId="1" applyFont="1" applyAlignment="1">
      <alignment horizontal="center" vertical="top" wrapText="1"/>
    </xf>
    <xf numFmtId="43" fontId="0" fillId="0" borderId="0" xfId="1" applyFont="1"/>
    <xf numFmtId="0" fontId="0" fillId="0" borderId="0" xfId="0" applyAlignment="1">
      <alignment horizontal="center"/>
    </xf>
    <xf numFmtId="43" fontId="0" fillId="0" borderId="0" xfId="0" applyNumberFormat="1"/>
    <xf numFmtId="43" fontId="0" fillId="0" borderId="0" xfId="1" applyFont="1" applyFill="1"/>
    <xf numFmtId="43" fontId="0" fillId="0" borderId="3" xfId="1" applyFont="1" applyBorder="1"/>
    <xf numFmtId="43" fontId="2" fillId="0" borderId="2" xfId="1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/>
    </xf>
    <xf numFmtId="43" fontId="2" fillId="0" borderId="1" xfId="1" applyFont="1" applyFill="1" applyBorder="1" applyAlignment="1">
      <alignment horizontal="center" vertical="top" wrapText="1"/>
    </xf>
    <xf numFmtId="43" fontId="2" fillId="0" borderId="1" xfId="1" applyFont="1" applyFill="1" applyBorder="1" applyAlignment="1">
      <alignment horizontal="center" vertical="center" wrapText="1"/>
    </xf>
    <xf numFmtId="43" fontId="0" fillId="0" borderId="3" xfId="1" applyFont="1" applyFill="1" applyBorder="1"/>
    <xf numFmtId="43" fontId="2" fillId="0" borderId="0" xfId="1" applyFont="1" applyFill="1" applyAlignment="1">
      <alignment horizontal="center" vertical="top" wrapText="1"/>
    </xf>
    <xf numFmtId="43" fontId="2" fillId="0" borderId="2" xfId="1" applyFont="1" applyFill="1" applyBorder="1" applyAlignment="1">
      <alignment horizontal="center" vertical="center" wrapText="1"/>
    </xf>
    <xf numFmtId="43" fontId="0" fillId="0" borderId="0" xfId="1" quotePrefix="1" applyFont="1"/>
    <xf numFmtId="43" fontId="0" fillId="0" borderId="4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E5CF7-3155-4E5A-9D48-23C421033474}">
  <dimension ref="A1:AD113"/>
  <sheetViews>
    <sheetView tabSelected="1" zoomScaleNormal="100" workbookViewId="0">
      <pane ySplit="1" topLeftCell="A2" activePane="bottomLeft" state="frozen"/>
      <selection pane="bottomLeft" activeCell="Y75" sqref="Y75"/>
    </sheetView>
  </sheetViews>
  <sheetFormatPr defaultRowHeight="15" x14ac:dyDescent="0.25"/>
  <cols>
    <col min="1" max="1" width="9.5703125" bestFit="1" customWidth="1"/>
    <col min="2" max="2" width="15.42578125" style="7" customWidth="1"/>
    <col min="3" max="3" width="12.7109375" style="7" customWidth="1"/>
    <col min="4" max="4" width="14.42578125" style="7" customWidth="1"/>
    <col min="5" max="5" width="11.7109375" style="7" customWidth="1"/>
    <col min="6" max="6" width="15.42578125" style="7" customWidth="1"/>
    <col min="7" max="7" width="10.140625" style="7" customWidth="1"/>
    <col min="8" max="8" width="13.85546875" style="7" customWidth="1"/>
    <col min="9" max="9" width="15.28515625" style="6" customWidth="1"/>
    <col min="10" max="10" width="15.140625" style="6" customWidth="1"/>
    <col min="11" max="11" width="14.7109375" style="6" customWidth="1"/>
    <col min="12" max="13" width="15.140625" style="6" customWidth="1"/>
    <col min="14" max="14" width="15.42578125" style="6" customWidth="1"/>
    <col min="15" max="15" width="16.140625" style="6" customWidth="1"/>
    <col min="16" max="16" width="13.28515625" style="6" customWidth="1"/>
    <col min="17" max="17" width="16.140625" style="6" customWidth="1"/>
    <col min="18" max="18" width="14.7109375" style="6" customWidth="1"/>
    <col min="19" max="19" width="17.7109375" style="6" bestFit="1" customWidth="1"/>
    <col min="20" max="20" width="18" style="9" bestFit="1" customWidth="1"/>
    <col min="21" max="23" width="17.7109375" style="6" bestFit="1" customWidth="1"/>
    <col min="24" max="24" width="17.140625" style="6" customWidth="1"/>
    <col min="25" max="25" width="15.42578125" style="6" customWidth="1"/>
    <col min="26" max="26" width="15.5703125" style="9" customWidth="1"/>
    <col min="27" max="27" width="15.5703125" style="6" customWidth="1"/>
    <col min="28" max="28" width="20.140625" customWidth="1"/>
    <col min="29" max="29" width="20" customWidth="1"/>
  </cols>
  <sheetData>
    <row r="1" spans="1:30" s="2" customFormat="1" ht="62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4" t="s">
        <v>32</v>
      </c>
      <c r="J1" s="4" t="s">
        <v>33</v>
      </c>
      <c r="K1" s="4" t="s">
        <v>34</v>
      </c>
      <c r="L1" s="3" t="s">
        <v>35</v>
      </c>
      <c r="M1" s="3" t="s">
        <v>36</v>
      </c>
      <c r="N1" s="3" t="s">
        <v>37</v>
      </c>
      <c r="O1" s="3" t="s">
        <v>38</v>
      </c>
      <c r="P1" s="3" t="s">
        <v>39</v>
      </c>
      <c r="Q1" s="3" t="s">
        <v>40</v>
      </c>
      <c r="R1" s="3" t="s">
        <v>41</v>
      </c>
      <c r="S1" s="3" t="s">
        <v>42</v>
      </c>
      <c r="T1" s="16" t="s">
        <v>43</v>
      </c>
      <c r="U1" s="3" t="s">
        <v>44</v>
      </c>
      <c r="V1" s="4" t="s">
        <v>45</v>
      </c>
      <c r="W1" s="4" t="s">
        <v>46</v>
      </c>
      <c r="X1" s="4" t="s">
        <v>47</v>
      </c>
      <c r="Y1" s="5" t="s">
        <v>48</v>
      </c>
      <c r="Z1" s="19" t="s">
        <v>49</v>
      </c>
      <c r="AA1" s="5" t="s">
        <v>50</v>
      </c>
      <c r="AB1" s="5" t="s">
        <v>51</v>
      </c>
      <c r="AC1" s="5" t="s">
        <v>52</v>
      </c>
    </row>
    <row r="2" spans="1:30" x14ac:dyDescent="0.25">
      <c r="A2">
        <v>1</v>
      </c>
      <c r="C2" s="7" t="s">
        <v>23</v>
      </c>
      <c r="E2" s="7" t="s">
        <v>23</v>
      </c>
      <c r="H2" s="7" t="s">
        <v>23</v>
      </c>
      <c r="I2" s="6">
        <f>90701.17+4939.21+449.02+2245.08+10327.39+8082.29</f>
        <v>116744.16</v>
      </c>
      <c r="J2" s="6">
        <v>0</v>
      </c>
      <c r="K2" s="6">
        <v>0</v>
      </c>
      <c r="L2" s="6">
        <v>1811.1</v>
      </c>
      <c r="M2" s="6">
        <v>0</v>
      </c>
      <c r="N2" s="6">
        <v>0</v>
      </c>
      <c r="O2" s="6">
        <v>0</v>
      </c>
      <c r="P2" s="6">
        <v>0</v>
      </c>
      <c r="Q2" s="6">
        <v>0</v>
      </c>
      <c r="R2" s="6">
        <f>SUM(I2:Q2)</f>
        <v>118555.26000000001</v>
      </c>
      <c r="S2" s="6">
        <v>13726</v>
      </c>
      <c r="T2" s="9">
        <v>946.58</v>
      </c>
      <c r="U2" s="6">
        <v>492.16</v>
      </c>
      <c r="V2" s="6">
        <v>44055.21</v>
      </c>
      <c r="W2" s="6">
        <v>0</v>
      </c>
      <c r="X2" s="6">
        <v>4669.6000000000004</v>
      </c>
      <c r="Y2" s="6">
        <v>468.86</v>
      </c>
      <c r="Z2" s="9">
        <v>231.2</v>
      </c>
      <c r="AA2" s="6">
        <v>0</v>
      </c>
      <c r="AB2" s="8">
        <f t="shared" ref="AB2:AB65" si="0">+S2+U2+V2+W2+X2+Y2+AA2</f>
        <v>63411.829999999994</v>
      </c>
      <c r="AC2" s="8">
        <f>+T2+Z2</f>
        <v>1177.78</v>
      </c>
    </row>
    <row r="3" spans="1:30" x14ac:dyDescent="0.25">
      <c r="A3">
        <f>+A2+1</f>
        <v>2</v>
      </c>
      <c r="F3" s="7" t="s">
        <v>23</v>
      </c>
      <c r="G3" s="7" t="s">
        <v>23</v>
      </c>
      <c r="I3" s="6">
        <f>39925.93+2666+267.12+398.08+300.51+4237.52+4384.95</f>
        <v>52180.11</v>
      </c>
      <c r="J3" s="6">
        <f>4567.88+801.36</f>
        <v>5369.24</v>
      </c>
      <c r="K3" s="6">
        <v>7445.97</v>
      </c>
      <c r="L3" s="6">
        <v>310.8</v>
      </c>
      <c r="M3" s="6">
        <v>0</v>
      </c>
      <c r="N3" s="6">
        <v>0</v>
      </c>
      <c r="O3" s="6">
        <v>250</v>
      </c>
      <c r="P3" s="6">
        <v>0</v>
      </c>
      <c r="Q3" s="6">
        <v>0</v>
      </c>
      <c r="R3" s="6">
        <f t="shared" ref="R3:R66" si="1">SUM(I3:Q3)</f>
        <v>65556.12</v>
      </c>
      <c r="S3" s="6">
        <v>12198.36</v>
      </c>
      <c r="T3" s="9">
        <v>2587.5</v>
      </c>
      <c r="U3" s="6">
        <v>247.88</v>
      </c>
      <c r="V3" s="6">
        <v>21978.16</v>
      </c>
      <c r="W3" s="6">
        <v>2609.77</v>
      </c>
      <c r="X3" s="6">
        <v>0</v>
      </c>
      <c r="Y3" s="6">
        <v>233.3</v>
      </c>
      <c r="Z3" s="9">
        <v>113.42</v>
      </c>
      <c r="AA3" s="6">
        <v>0</v>
      </c>
      <c r="AB3" s="8">
        <f t="shared" si="0"/>
        <v>37267.47</v>
      </c>
      <c r="AC3" s="8">
        <f t="shared" ref="AC3:AC66" si="2">+T3+Z3</f>
        <v>2700.92</v>
      </c>
    </row>
    <row r="4" spans="1:30" x14ac:dyDescent="0.25">
      <c r="A4">
        <f t="shared" ref="A4:A67" si="3">+A3+1</f>
        <v>3</v>
      </c>
      <c r="F4" s="7" t="s">
        <v>23</v>
      </c>
      <c r="G4" s="7" t="s">
        <v>23</v>
      </c>
      <c r="I4" s="6">
        <f>61735.56+8934.66+3795.68+691.36+194.45+9333.36+345.68</f>
        <v>85030.749999999985</v>
      </c>
      <c r="J4" s="6">
        <f>5119.55+6135.82+18982.25+8044.72+12518.15+5683.32</f>
        <v>56483.81</v>
      </c>
      <c r="K4" s="6">
        <v>7.35</v>
      </c>
      <c r="L4" s="6">
        <v>310.81</v>
      </c>
      <c r="M4" s="6">
        <v>4148.16</v>
      </c>
      <c r="N4" s="6">
        <v>0</v>
      </c>
      <c r="O4" s="6">
        <v>300</v>
      </c>
      <c r="P4" s="6">
        <v>0</v>
      </c>
      <c r="Q4" s="6">
        <v>0</v>
      </c>
      <c r="R4" s="6">
        <f t="shared" si="1"/>
        <v>146280.88</v>
      </c>
      <c r="S4" s="6">
        <v>12104.5</v>
      </c>
      <c r="T4" s="9">
        <v>2567.7399999999998</v>
      </c>
      <c r="U4" s="6">
        <v>376.76</v>
      </c>
      <c r="V4" s="6">
        <v>33692.199999999997</v>
      </c>
      <c r="W4" s="6">
        <v>4476.84</v>
      </c>
      <c r="X4" s="6">
        <v>0</v>
      </c>
      <c r="Y4" s="6">
        <v>358.82</v>
      </c>
      <c r="Z4" s="9">
        <v>176.8</v>
      </c>
      <c r="AA4" s="6">
        <v>0</v>
      </c>
      <c r="AB4" s="8">
        <f t="shared" si="0"/>
        <v>51009.120000000003</v>
      </c>
      <c r="AC4" s="8">
        <f t="shared" si="2"/>
        <v>2744.54</v>
      </c>
    </row>
    <row r="5" spans="1:30" x14ac:dyDescent="0.25">
      <c r="A5">
        <f t="shared" si="3"/>
        <v>4</v>
      </c>
      <c r="F5" s="7" t="s">
        <v>23</v>
      </c>
      <c r="G5" s="7" t="s">
        <v>23</v>
      </c>
      <c r="I5" s="6">
        <f>57405.59+2933.12+267.12+267.12+1066.53+4832.04+2136.96</f>
        <v>68908.48000000001</v>
      </c>
      <c r="J5" s="6">
        <f>7079.01+2253.84</f>
        <v>9332.85</v>
      </c>
      <c r="K5" s="6">
        <v>1335.6</v>
      </c>
      <c r="L5" s="6">
        <v>310.8</v>
      </c>
      <c r="M5" s="6">
        <v>0</v>
      </c>
      <c r="N5" s="6">
        <v>0</v>
      </c>
      <c r="O5" s="6">
        <v>300</v>
      </c>
      <c r="P5" s="6">
        <v>0</v>
      </c>
      <c r="Q5" s="6">
        <v>0</v>
      </c>
      <c r="R5" s="6">
        <f t="shared" si="1"/>
        <v>80187.730000000025</v>
      </c>
      <c r="S5" s="6">
        <v>12104.5</v>
      </c>
      <c r="T5" s="9">
        <v>2567.7399999999998</v>
      </c>
      <c r="U5" s="6">
        <v>292.86</v>
      </c>
      <c r="V5" s="6">
        <v>26037.200000000001</v>
      </c>
      <c r="W5" s="6">
        <v>3459.56</v>
      </c>
      <c r="X5" s="6">
        <v>0</v>
      </c>
      <c r="Y5" s="6">
        <v>277.18</v>
      </c>
      <c r="Z5" s="9">
        <v>136.63999999999999</v>
      </c>
      <c r="AA5" s="6">
        <v>0</v>
      </c>
      <c r="AB5" s="8">
        <f t="shared" si="0"/>
        <v>42171.299999999996</v>
      </c>
      <c r="AC5" s="8">
        <f t="shared" si="2"/>
        <v>2704.3799999999997</v>
      </c>
    </row>
    <row r="6" spans="1:30" x14ac:dyDescent="0.25">
      <c r="A6">
        <f t="shared" si="3"/>
        <v>5</v>
      </c>
      <c r="E6" s="7" t="s">
        <v>23</v>
      </c>
      <c r="H6" s="7" t="s">
        <v>23</v>
      </c>
      <c r="I6" s="6">
        <f>41863.89+2898.27+1610.15+7406.7+966.09</f>
        <v>54745.099999999991</v>
      </c>
      <c r="J6" s="6">
        <v>0</v>
      </c>
      <c r="K6" s="6">
        <v>8050.8</v>
      </c>
      <c r="L6" s="6">
        <v>310.54000000000002</v>
      </c>
      <c r="M6" s="6">
        <v>10305.02</v>
      </c>
      <c r="N6" s="6">
        <v>1468.15</v>
      </c>
      <c r="O6" s="6">
        <v>0</v>
      </c>
      <c r="P6" s="6">
        <v>0</v>
      </c>
      <c r="Q6" s="6">
        <v>0</v>
      </c>
      <c r="R6" s="6">
        <f t="shared" si="1"/>
        <v>74879.609999999986</v>
      </c>
      <c r="S6" s="6">
        <v>11492.74</v>
      </c>
      <c r="T6" s="9">
        <v>781.46</v>
      </c>
      <c r="U6" s="6">
        <v>238.2</v>
      </c>
      <c r="V6" s="6">
        <v>21058.84</v>
      </c>
      <c r="W6" s="6">
        <v>0</v>
      </c>
      <c r="X6" s="6">
        <v>2189.94</v>
      </c>
      <c r="Y6" s="6">
        <v>223.48</v>
      </c>
      <c r="Z6" s="9">
        <v>108.22</v>
      </c>
      <c r="AA6" s="6">
        <v>0</v>
      </c>
      <c r="AB6" s="8">
        <f t="shared" si="0"/>
        <v>35203.200000000004</v>
      </c>
      <c r="AC6" s="8">
        <f t="shared" si="2"/>
        <v>889.68000000000006</v>
      </c>
    </row>
    <row r="7" spans="1:30" x14ac:dyDescent="0.25">
      <c r="A7">
        <f t="shared" si="3"/>
        <v>6</v>
      </c>
      <c r="F7" s="7" t="s">
        <v>23</v>
      </c>
      <c r="G7" s="7" t="s">
        <v>23</v>
      </c>
      <c r="I7" s="6">
        <f>56910.98+8538.3+3795.68+345.68+2460.42+5869.76+3954.92</f>
        <v>81875.739999999976</v>
      </c>
      <c r="J7" s="6">
        <f>17009.62+3543.22+18495.07+8257.43+8318.54+10268.4</f>
        <v>65892.28</v>
      </c>
      <c r="K7" s="6">
        <v>0</v>
      </c>
      <c r="L7" s="6">
        <v>310.8</v>
      </c>
      <c r="M7" s="6">
        <v>0</v>
      </c>
      <c r="N7" s="6">
        <v>466.2</v>
      </c>
      <c r="O7" s="6">
        <v>300</v>
      </c>
      <c r="P7" s="6">
        <v>0</v>
      </c>
      <c r="Q7" s="6">
        <v>0</v>
      </c>
      <c r="R7" s="6">
        <f t="shared" si="1"/>
        <v>148845.01999999996</v>
      </c>
      <c r="S7" s="6">
        <v>12104.5</v>
      </c>
      <c r="T7" s="9">
        <v>2567.7399999999998</v>
      </c>
      <c r="U7" s="6">
        <v>376.76</v>
      </c>
      <c r="V7" s="6">
        <v>33692.199999999997</v>
      </c>
      <c r="W7" s="6">
        <v>4476.84</v>
      </c>
      <c r="X7" s="6">
        <v>0</v>
      </c>
      <c r="Y7" s="6">
        <v>358.82</v>
      </c>
      <c r="Z7" s="9">
        <v>176.8</v>
      </c>
      <c r="AA7" s="6">
        <v>0</v>
      </c>
      <c r="AB7" s="8">
        <f t="shared" si="0"/>
        <v>51009.120000000003</v>
      </c>
      <c r="AC7" s="8">
        <f t="shared" si="2"/>
        <v>2744.54</v>
      </c>
    </row>
    <row r="8" spans="1:30" x14ac:dyDescent="0.25">
      <c r="A8">
        <f t="shared" si="3"/>
        <v>7</v>
      </c>
      <c r="F8" s="7" t="s">
        <v>23</v>
      </c>
      <c r="G8" s="7" t="s">
        <v>23</v>
      </c>
      <c r="I8" s="6">
        <f>61356.87+8792.65+4832.72+345.68+2654.02+6215.44+1023.44</f>
        <v>85220.82</v>
      </c>
      <c r="J8" s="6">
        <f>3276.25+7345.7+24687.88+10145.21+10450.44+2582.4</f>
        <v>58487.880000000005</v>
      </c>
      <c r="K8" s="6">
        <v>3283.96</v>
      </c>
      <c r="L8" s="6">
        <v>310.77</v>
      </c>
      <c r="M8" s="6">
        <v>1037.04</v>
      </c>
      <c r="N8" s="6">
        <v>0</v>
      </c>
      <c r="O8" s="6">
        <v>0</v>
      </c>
      <c r="P8" s="6">
        <v>0</v>
      </c>
      <c r="Q8" s="6">
        <v>0</v>
      </c>
      <c r="R8" s="6">
        <f t="shared" si="1"/>
        <v>148340.47</v>
      </c>
      <c r="S8" s="6">
        <v>12104.5</v>
      </c>
      <c r="T8" s="9">
        <v>2567.7399999999998</v>
      </c>
      <c r="U8" s="6">
        <v>376.76</v>
      </c>
      <c r="V8" s="6">
        <v>33692.199999999997</v>
      </c>
      <c r="W8" s="6">
        <v>4476.84</v>
      </c>
      <c r="X8" s="6">
        <v>0</v>
      </c>
      <c r="Y8" s="6">
        <v>358.82</v>
      </c>
      <c r="Z8" s="9">
        <v>176.8</v>
      </c>
      <c r="AA8" s="6">
        <v>0</v>
      </c>
      <c r="AB8" s="8">
        <f t="shared" si="0"/>
        <v>51009.120000000003</v>
      </c>
      <c r="AC8" s="8">
        <f>+T8+Z8</f>
        <v>2744.54</v>
      </c>
    </row>
    <row r="9" spans="1:30" x14ac:dyDescent="0.25">
      <c r="A9">
        <f t="shared" si="3"/>
        <v>8</v>
      </c>
      <c r="F9" s="7" t="s">
        <v>23</v>
      </c>
      <c r="G9" s="7" t="s">
        <v>23</v>
      </c>
      <c r="I9" s="6">
        <f>54985.73+12331.54+3795.68+345.68+2870.92+9777.08+4625.88+224.69</f>
        <v>88957.2</v>
      </c>
      <c r="J9" s="6">
        <f>3330.88+4018.53+19319.44+10246.52+6125.04+2592.6</f>
        <v>45633.009999999995</v>
      </c>
      <c r="K9" s="6">
        <v>0</v>
      </c>
      <c r="L9" s="6">
        <v>311.22000000000003</v>
      </c>
      <c r="M9" s="6">
        <v>0</v>
      </c>
      <c r="N9" s="6">
        <v>0</v>
      </c>
      <c r="O9" s="6">
        <v>300</v>
      </c>
      <c r="P9" s="6">
        <v>0</v>
      </c>
      <c r="Q9" s="6">
        <v>0</v>
      </c>
      <c r="R9" s="6">
        <f t="shared" si="1"/>
        <v>135201.43</v>
      </c>
      <c r="S9" s="6">
        <v>12104.5</v>
      </c>
      <c r="T9" s="9">
        <v>2567.7399999999998</v>
      </c>
      <c r="U9" s="6">
        <v>376.76</v>
      </c>
      <c r="V9" s="6">
        <v>33692.199999999997</v>
      </c>
      <c r="W9" s="6">
        <v>4476.84</v>
      </c>
      <c r="X9" s="6">
        <v>0</v>
      </c>
      <c r="Y9" s="6">
        <v>358.82</v>
      </c>
      <c r="Z9" s="9">
        <v>176.8</v>
      </c>
      <c r="AA9" s="6">
        <v>0</v>
      </c>
      <c r="AB9" s="8">
        <f t="shared" si="0"/>
        <v>51009.120000000003</v>
      </c>
      <c r="AC9" s="8">
        <f t="shared" si="2"/>
        <v>2744.54</v>
      </c>
    </row>
    <row r="10" spans="1:30" x14ac:dyDescent="0.25">
      <c r="A10">
        <f t="shared" si="3"/>
        <v>9</v>
      </c>
      <c r="F10" s="7" t="s">
        <v>23</v>
      </c>
      <c r="H10" s="7" t="s">
        <v>23</v>
      </c>
      <c r="I10" s="6">
        <f>47869.12+2407.78+217.7+5589.54+1870.35</f>
        <v>57954.49</v>
      </c>
      <c r="J10" s="6">
        <f>2454.1+142.87</f>
        <v>2596.9699999999998</v>
      </c>
      <c r="K10" s="6">
        <v>0</v>
      </c>
      <c r="L10" s="6">
        <v>310.77999999999997</v>
      </c>
      <c r="M10" s="6">
        <v>1319.83</v>
      </c>
      <c r="N10" s="6">
        <v>0</v>
      </c>
      <c r="O10" s="6">
        <v>0</v>
      </c>
      <c r="P10" s="6">
        <v>0</v>
      </c>
      <c r="Q10" s="6">
        <v>0</v>
      </c>
      <c r="R10" s="6">
        <f t="shared" si="1"/>
        <v>62182.07</v>
      </c>
      <c r="S10" s="6">
        <v>13726</v>
      </c>
      <c r="T10" s="9">
        <v>946.58</v>
      </c>
      <c r="U10" s="6">
        <v>236.46</v>
      </c>
      <c r="V10" s="6">
        <v>21149.35</v>
      </c>
      <c r="W10" s="6">
        <v>0</v>
      </c>
      <c r="X10" s="6">
        <v>2318.14</v>
      </c>
      <c r="Y10" s="6">
        <v>225.24</v>
      </c>
      <c r="Z10" s="9">
        <v>111</v>
      </c>
      <c r="AA10" s="6">
        <v>0</v>
      </c>
      <c r="AB10" s="8">
        <f t="shared" si="0"/>
        <v>37655.189999999995</v>
      </c>
      <c r="AC10" s="8">
        <f t="shared" si="2"/>
        <v>1057.58</v>
      </c>
    </row>
    <row r="11" spans="1:30" x14ac:dyDescent="0.25">
      <c r="A11">
        <f t="shared" si="3"/>
        <v>10</v>
      </c>
      <c r="F11" s="7" t="s">
        <v>23</v>
      </c>
      <c r="G11" s="7" t="s">
        <v>23</v>
      </c>
      <c r="I11" s="6">
        <f>56220.83+10749.88+3795.68+345.68+4398.07+7923.44+684.56</f>
        <v>84118.139999999985</v>
      </c>
      <c r="J11" s="6">
        <f>773.97+8339.53+20109.81+8673.67+12532.19+6222.24+3046.31</f>
        <v>59697.72</v>
      </c>
      <c r="K11" s="6">
        <v>0</v>
      </c>
      <c r="L11" s="6">
        <v>310.77999999999997</v>
      </c>
      <c r="M11" s="6">
        <v>3111.12</v>
      </c>
      <c r="N11" s="6">
        <v>388.51</v>
      </c>
      <c r="O11" s="6">
        <v>300</v>
      </c>
      <c r="P11" s="6">
        <v>0</v>
      </c>
      <c r="Q11" s="6">
        <v>0</v>
      </c>
      <c r="R11" s="6">
        <f t="shared" si="1"/>
        <v>147926.26999999999</v>
      </c>
      <c r="S11" s="6">
        <v>12104.5</v>
      </c>
      <c r="T11" s="9">
        <v>2567.7399999999998</v>
      </c>
      <c r="U11" s="6">
        <v>376.76</v>
      </c>
      <c r="V11" s="6">
        <v>33692.199999999997</v>
      </c>
      <c r="W11" s="6">
        <v>4476.84</v>
      </c>
      <c r="X11" s="6">
        <v>0</v>
      </c>
      <c r="Y11" s="6">
        <v>358.82</v>
      </c>
      <c r="Z11" s="9">
        <v>176.8</v>
      </c>
      <c r="AA11" s="6">
        <v>0</v>
      </c>
      <c r="AB11" s="8">
        <f t="shared" si="0"/>
        <v>51009.120000000003</v>
      </c>
      <c r="AC11" s="8">
        <f t="shared" si="2"/>
        <v>2744.54</v>
      </c>
    </row>
    <row r="12" spans="1:30" x14ac:dyDescent="0.25">
      <c r="A12">
        <f t="shared" si="3"/>
        <v>11</v>
      </c>
      <c r="F12" s="7" t="s">
        <v>23</v>
      </c>
      <c r="G12" s="7" t="s">
        <v>23</v>
      </c>
      <c r="I12" s="6">
        <f>54233.03+3676.61+3450.48+3199.01+672.64+3068.51+7061.16+1565.04</f>
        <v>76926.48</v>
      </c>
      <c r="J12" s="6">
        <f>4152.15+5420.64+14285.16+2808.52+2183.31+7706.03+2076.78+6805.26+4223.76+513.72</f>
        <v>50175.330000000009</v>
      </c>
      <c r="K12" s="6">
        <v>0</v>
      </c>
      <c r="L12" s="6">
        <v>310.55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f t="shared" si="1"/>
        <v>127412.36</v>
      </c>
      <c r="S12" s="6">
        <v>12104.5</v>
      </c>
      <c r="T12" s="9">
        <v>2567.7399999999998</v>
      </c>
      <c r="U12" s="6">
        <v>343.56</v>
      </c>
      <c r="V12" s="6">
        <v>30628.46</v>
      </c>
      <c r="W12" s="6">
        <v>4069.72</v>
      </c>
      <c r="X12" s="6">
        <v>0</v>
      </c>
      <c r="Y12" s="6">
        <v>326.14</v>
      </c>
      <c r="Z12" s="9">
        <v>160.76</v>
      </c>
      <c r="AA12" s="6">
        <v>0</v>
      </c>
      <c r="AB12" s="8">
        <f t="shared" si="0"/>
        <v>47472.38</v>
      </c>
      <c r="AC12" s="8">
        <f t="shared" si="2"/>
        <v>2728.5</v>
      </c>
    </row>
    <row r="13" spans="1:30" x14ac:dyDescent="0.25">
      <c r="A13">
        <f t="shared" si="3"/>
        <v>12</v>
      </c>
      <c r="F13" s="7" t="s">
        <v>23</v>
      </c>
      <c r="H13" s="7" t="s">
        <v>23</v>
      </c>
      <c r="I13" s="6">
        <f>53284.35+2881.12+261.92+7661.16+4043.39</f>
        <v>68131.94</v>
      </c>
      <c r="J13" s="6">
        <f>73.67</f>
        <v>73.67</v>
      </c>
      <c r="K13" s="6">
        <v>622.05999999999995</v>
      </c>
      <c r="L13" s="6">
        <v>1810.81</v>
      </c>
      <c r="M13" s="6">
        <v>605.69000000000005</v>
      </c>
      <c r="N13" s="6">
        <v>0</v>
      </c>
      <c r="O13" s="6">
        <v>300</v>
      </c>
      <c r="P13" s="6">
        <v>0</v>
      </c>
      <c r="Q13" s="6">
        <v>0</v>
      </c>
      <c r="R13" s="6">
        <f t="shared" si="1"/>
        <v>71544.17</v>
      </c>
      <c r="S13" s="6">
        <v>13726</v>
      </c>
      <c r="T13" s="9">
        <v>946.58</v>
      </c>
      <c r="U13" s="6">
        <v>290.14</v>
      </c>
      <c r="V13" s="6">
        <v>25697.5</v>
      </c>
      <c r="W13" s="9">
        <v>0</v>
      </c>
      <c r="X13" s="6">
        <v>2725.08</v>
      </c>
      <c r="Y13" s="6">
        <v>273.44</v>
      </c>
      <c r="Z13" s="9">
        <v>134.80000000000001</v>
      </c>
      <c r="AA13" s="6">
        <v>0</v>
      </c>
      <c r="AB13" s="8">
        <f t="shared" si="0"/>
        <v>42712.160000000003</v>
      </c>
      <c r="AC13" s="8">
        <f t="shared" si="2"/>
        <v>1081.3800000000001</v>
      </c>
      <c r="AD13" s="8"/>
    </row>
    <row r="14" spans="1:30" x14ac:dyDescent="0.25">
      <c r="A14">
        <f t="shared" si="3"/>
        <v>13</v>
      </c>
      <c r="F14" s="7" t="s">
        <v>23</v>
      </c>
      <c r="G14" s="7" t="s">
        <v>23</v>
      </c>
      <c r="I14" s="6">
        <f>61403+11208.08+4141.36+511.72+3516.53+4493.84+1030.24</f>
        <v>86304.77</v>
      </c>
      <c r="J14" s="6">
        <f>3743.99+7172.86+20423.64+6102.96+11043.34+4375.01+3046.31</f>
        <v>55908.109999999993</v>
      </c>
      <c r="K14" s="6">
        <v>0</v>
      </c>
      <c r="L14" s="6">
        <v>310.8</v>
      </c>
      <c r="M14" s="6">
        <v>3456.8</v>
      </c>
      <c r="N14" s="6">
        <v>0</v>
      </c>
      <c r="O14" s="6">
        <v>300</v>
      </c>
      <c r="P14" s="6">
        <v>0</v>
      </c>
      <c r="Q14" s="6">
        <v>0</v>
      </c>
      <c r="R14" s="6">
        <f t="shared" si="1"/>
        <v>146280.47999999998</v>
      </c>
      <c r="S14" s="6">
        <v>12104.5</v>
      </c>
      <c r="T14" s="9">
        <v>2567.7399999999998</v>
      </c>
      <c r="U14" s="6">
        <v>376.76</v>
      </c>
      <c r="V14" s="6">
        <v>33692.199999999997</v>
      </c>
      <c r="W14" s="6">
        <v>4476.84</v>
      </c>
      <c r="X14" s="6">
        <v>0</v>
      </c>
      <c r="Y14" s="6">
        <v>358.82</v>
      </c>
      <c r="Z14" s="9">
        <v>176.8</v>
      </c>
      <c r="AA14" s="6">
        <v>0</v>
      </c>
      <c r="AB14" s="8">
        <f t="shared" si="0"/>
        <v>51009.120000000003</v>
      </c>
      <c r="AC14" s="8">
        <f t="shared" si="2"/>
        <v>2744.54</v>
      </c>
    </row>
    <row r="15" spans="1:30" x14ac:dyDescent="0.25">
      <c r="A15">
        <f t="shared" si="3"/>
        <v>14</v>
      </c>
      <c r="F15" s="7" t="s">
        <v>23</v>
      </c>
      <c r="H15" s="7" t="s">
        <v>23</v>
      </c>
      <c r="I15" s="6">
        <f>46018.87+2260.37+207.84+4252.44+1554.93</f>
        <v>54294.450000000004</v>
      </c>
      <c r="J15" s="6">
        <f>2816.58+38.97</f>
        <v>2855.5499999999997</v>
      </c>
      <c r="K15" s="6">
        <v>1042.23</v>
      </c>
      <c r="L15" s="6">
        <v>310.8</v>
      </c>
      <c r="M15" s="6">
        <v>781.85</v>
      </c>
      <c r="N15" s="6">
        <v>0</v>
      </c>
      <c r="O15" s="6">
        <v>0</v>
      </c>
      <c r="P15" s="6">
        <v>0</v>
      </c>
      <c r="Q15" s="6">
        <v>0</v>
      </c>
      <c r="R15" s="6">
        <f t="shared" si="1"/>
        <v>59284.880000000012</v>
      </c>
      <c r="S15" s="6">
        <v>13726</v>
      </c>
      <c r="T15" s="9">
        <v>946.58</v>
      </c>
      <c r="U15" s="6">
        <v>218.6</v>
      </c>
      <c r="V15" s="6">
        <v>19442.400000000001</v>
      </c>
      <c r="W15" s="6">
        <v>0</v>
      </c>
      <c r="X15" s="6">
        <v>2171.73</v>
      </c>
      <c r="Y15" s="6">
        <v>207.1</v>
      </c>
      <c r="Z15" s="9">
        <v>102.08</v>
      </c>
      <c r="AA15" s="6">
        <v>0</v>
      </c>
      <c r="AB15" s="8">
        <f t="shared" si="0"/>
        <v>35765.83</v>
      </c>
      <c r="AC15" s="8">
        <f t="shared" si="2"/>
        <v>1048.6600000000001</v>
      </c>
    </row>
    <row r="16" spans="1:30" x14ac:dyDescent="0.25">
      <c r="A16">
        <f t="shared" si="3"/>
        <v>15</v>
      </c>
      <c r="F16" s="7" t="s">
        <v>23</v>
      </c>
      <c r="G16" s="7" t="s">
        <v>23</v>
      </c>
      <c r="I16" s="6">
        <f>46873.8+5565.98+3764.72+157.12+1944.36+9515.52+3696.72+8955.84</f>
        <v>80474.06</v>
      </c>
      <c r="J16" s="6">
        <f>2415.73+6716.88+6855.34+2144.68+379.52+642.15+6900.03+4984.75+7354.61+3446.82+2115.64+2036.4</f>
        <v>45992.55</v>
      </c>
      <c r="K16" s="6">
        <v>0</v>
      </c>
      <c r="L16" s="6">
        <v>310.81</v>
      </c>
      <c r="M16" s="6">
        <v>1571.2</v>
      </c>
      <c r="N16" s="6">
        <v>0</v>
      </c>
      <c r="O16" s="6">
        <v>0</v>
      </c>
      <c r="P16" s="6">
        <v>0</v>
      </c>
      <c r="Q16" s="6">
        <v>0</v>
      </c>
      <c r="R16" s="6">
        <f t="shared" si="1"/>
        <v>128348.62</v>
      </c>
      <c r="S16" s="6">
        <v>12104.5</v>
      </c>
      <c r="T16" s="9">
        <v>2567.7399999999998</v>
      </c>
      <c r="U16" s="6">
        <v>343.56</v>
      </c>
      <c r="V16" s="6">
        <v>30628.46</v>
      </c>
      <c r="W16" s="6">
        <v>4069.72</v>
      </c>
      <c r="X16" s="6">
        <v>0</v>
      </c>
      <c r="Y16" s="6">
        <v>326.14</v>
      </c>
      <c r="Z16" s="9">
        <v>160.76</v>
      </c>
      <c r="AA16" s="6">
        <v>0</v>
      </c>
      <c r="AB16" s="8">
        <f t="shared" si="0"/>
        <v>47472.38</v>
      </c>
      <c r="AC16" s="8">
        <f t="shared" si="2"/>
        <v>2728.5</v>
      </c>
    </row>
    <row r="17" spans="1:30" x14ac:dyDescent="0.25">
      <c r="A17">
        <f t="shared" si="3"/>
        <v>16</v>
      </c>
      <c r="F17" s="7" t="s">
        <v>23</v>
      </c>
      <c r="H17" s="7" t="s">
        <v>23</v>
      </c>
      <c r="I17" s="6">
        <f>55843.97+3847.65+58.09+2846.23</f>
        <v>62595.94</v>
      </c>
      <c r="J17" s="6">
        <f>14501.94</f>
        <v>14501.94</v>
      </c>
      <c r="K17" s="6">
        <v>2323.44</v>
      </c>
      <c r="L17" s="6">
        <v>310.8</v>
      </c>
      <c r="M17" s="6">
        <v>2323.44</v>
      </c>
      <c r="N17" s="6">
        <v>0</v>
      </c>
      <c r="O17" s="6">
        <v>0</v>
      </c>
      <c r="P17" s="6">
        <v>0</v>
      </c>
      <c r="Q17" s="6">
        <v>0</v>
      </c>
      <c r="R17" s="6">
        <f t="shared" si="1"/>
        <v>82055.560000000012</v>
      </c>
      <c r="S17" s="6">
        <v>13726</v>
      </c>
      <c r="T17" s="9">
        <v>946.58</v>
      </c>
      <c r="U17" s="6">
        <v>251.8</v>
      </c>
      <c r="V17" s="6">
        <v>22429.54</v>
      </c>
      <c r="W17" s="6">
        <v>0</v>
      </c>
      <c r="X17" s="6">
        <v>2503.87</v>
      </c>
      <c r="Y17" s="6">
        <v>238.84</v>
      </c>
      <c r="Z17" s="9">
        <v>117.76</v>
      </c>
      <c r="AA17" s="6">
        <v>0</v>
      </c>
      <c r="AB17" s="8">
        <f t="shared" si="0"/>
        <v>39150.049999999996</v>
      </c>
      <c r="AC17" s="8">
        <f t="shared" si="2"/>
        <v>1064.3400000000001</v>
      </c>
    </row>
    <row r="18" spans="1:30" x14ac:dyDescent="0.25">
      <c r="A18">
        <f t="shared" si="3"/>
        <v>17</v>
      </c>
      <c r="F18" s="7" t="s">
        <v>23</v>
      </c>
      <c r="G18" s="7" t="s">
        <v>23</v>
      </c>
      <c r="I18" s="6">
        <f>61502.29+9806.89+3795.68+338.88+2203.71+8608+1382.72</f>
        <v>87638.17</v>
      </c>
      <c r="J18" s="6">
        <f>1922.15+5177.55+24744.79+5570.89+6640.37+2074.08</f>
        <v>46129.830000000009</v>
      </c>
      <c r="K18" s="6">
        <v>216.05</v>
      </c>
      <c r="L18" s="6">
        <v>311.23</v>
      </c>
      <c r="M18" s="6">
        <v>3456.8</v>
      </c>
      <c r="N18" s="6">
        <v>0</v>
      </c>
      <c r="O18" s="6">
        <v>0</v>
      </c>
      <c r="P18" s="6">
        <v>0</v>
      </c>
      <c r="Q18" s="6">
        <v>0</v>
      </c>
      <c r="R18" s="6">
        <f t="shared" si="1"/>
        <v>137752.07999999999</v>
      </c>
      <c r="S18" s="6">
        <v>12104.5</v>
      </c>
      <c r="T18" s="9">
        <v>2567.7399999999998</v>
      </c>
      <c r="U18" s="6">
        <v>376.76</v>
      </c>
      <c r="V18" s="6">
        <v>33711.019999999997</v>
      </c>
      <c r="W18" s="6">
        <v>4476.84</v>
      </c>
      <c r="X18" s="6">
        <v>0</v>
      </c>
      <c r="Y18" s="6">
        <v>358.82</v>
      </c>
      <c r="Z18" s="9">
        <v>176.8</v>
      </c>
      <c r="AA18" s="6">
        <v>0</v>
      </c>
      <c r="AB18" s="8">
        <f t="shared" si="0"/>
        <v>51027.939999999995</v>
      </c>
      <c r="AC18" s="8">
        <f t="shared" si="2"/>
        <v>2744.54</v>
      </c>
    </row>
    <row r="19" spans="1:30" x14ac:dyDescent="0.25">
      <c r="A19">
        <f t="shared" si="3"/>
        <v>18</v>
      </c>
      <c r="F19" s="7" t="s">
        <v>23</v>
      </c>
      <c r="G19" s="7" t="s">
        <v>23</v>
      </c>
      <c r="I19" s="6">
        <f>46544.16+4069.11+3450.48+308.08+471.36+2861.28+10503.54+7837.52+2815.84</f>
        <v>78861.37000000001</v>
      </c>
      <c r="J19" s="6">
        <f>644.66+2710.32+9877.17+2592.26+1498.35+4235.89+1649.76+6004.11+513.72+802.69</f>
        <v>30528.929999999997</v>
      </c>
      <c r="K19" s="6">
        <v>0</v>
      </c>
      <c r="L19" s="6">
        <v>310.82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f t="shared" si="1"/>
        <v>109701.12000000001</v>
      </c>
      <c r="S19" s="6">
        <v>12104.5</v>
      </c>
      <c r="T19" s="9">
        <v>2567.7399999999998</v>
      </c>
      <c r="U19" s="6">
        <v>343.56</v>
      </c>
      <c r="V19" s="6">
        <v>30628.46</v>
      </c>
      <c r="W19" s="6">
        <v>4069.72</v>
      </c>
      <c r="X19" s="6">
        <v>0</v>
      </c>
      <c r="Y19" s="6">
        <v>326.14</v>
      </c>
      <c r="Z19" s="9">
        <v>160.76</v>
      </c>
      <c r="AA19" s="6">
        <v>0</v>
      </c>
      <c r="AB19" s="8">
        <f t="shared" si="0"/>
        <v>47472.38</v>
      </c>
      <c r="AC19" s="8">
        <f t="shared" si="2"/>
        <v>2728.5</v>
      </c>
    </row>
    <row r="20" spans="1:30" x14ac:dyDescent="0.25">
      <c r="A20">
        <f t="shared" si="3"/>
        <v>19</v>
      </c>
      <c r="F20" s="7" t="s">
        <v>23</v>
      </c>
      <c r="H20" s="7" t="s">
        <v>23</v>
      </c>
      <c r="I20" s="6">
        <f>31359.94+1908.67+172.73+4995.11+3882.11</f>
        <v>42318.560000000005</v>
      </c>
      <c r="J20" s="6">
        <f>2268.72+161.94</f>
        <v>2430.66</v>
      </c>
      <c r="K20" s="6">
        <v>6.69</v>
      </c>
      <c r="L20" s="6">
        <v>310.81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f t="shared" si="1"/>
        <v>45066.720000000001</v>
      </c>
      <c r="S20" s="6">
        <v>13726</v>
      </c>
      <c r="T20" s="9">
        <v>946.58</v>
      </c>
      <c r="U20" s="6">
        <v>187.92</v>
      </c>
      <c r="V20" s="6">
        <v>0</v>
      </c>
      <c r="W20" s="6">
        <v>0</v>
      </c>
      <c r="X20" s="6">
        <v>5924.6</v>
      </c>
      <c r="Y20" s="6">
        <v>178.14</v>
      </c>
      <c r="Z20" s="9">
        <v>87.84</v>
      </c>
      <c r="AA20" s="6">
        <v>0</v>
      </c>
      <c r="AB20" s="8">
        <f t="shared" si="0"/>
        <v>20016.66</v>
      </c>
      <c r="AC20" s="8">
        <f t="shared" si="2"/>
        <v>1034.42</v>
      </c>
    </row>
    <row r="21" spans="1:30" x14ac:dyDescent="0.25">
      <c r="A21">
        <f t="shared" si="3"/>
        <v>20</v>
      </c>
      <c r="F21" s="7" t="s">
        <v>23</v>
      </c>
      <c r="H21" s="7" t="s">
        <v>23</v>
      </c>
      <c r="I21" s="6">
        <f>60170.01+2880.02+1440.01+4726.93+520.8</f>
        <v>69737.77</v>
      </c>
      <c r="J21" s="6">
        <f>5017.31</f>
        <v>5017.3100000000004</v>
      </c>
      <c r="K21" s="6">
        <v>2262.23</v>
      </c>
      <c r="L21" s="6">
        <v>310.81</v>
      </c>
      <c r="M21" s="6">
        <v>3124.8</v>
      </c>
      <c r="N21" s="6">
        <v>0</v>
      </c>
      <c r="O21" s="6">
        <v>0</v>
      </c>
      <c r="P21" s="6">
        <v>0</v>
      </c>
      <c r="Q21" s="6">
        <v>0</v>
      </c>
      <c r="R21" s="6">
        <f t="shared" si="1"/>
        <v>80452.92</v>
      </c>
      <c r="S21" s="6">
        <v>13726</v>
      </c>
      <c r="T21" s="9">
        <v>946.58</v>
      </c>
      <c r="U21" s="6">
        <v>280.10000000000002</v>
      </c>
      <c r="V21" s="6">
        <v>24983.98</v>
      </c>
      <c r="W21" s="6">
        <v>0</v>
      </c>
      <c r="X21" s="6">
        <v>2789.47</v>
      </c>
      <c r="Y21" s="6">
        <v>266.04000000000002</v>
      </c>
      <c r="Z21" s="9">
        <v>131.24</v>
      </c>
      <c r="AA21" s="6">
        <v>0</v>
      </c>
      <c r="AB21" s="8">
        <f>+S21+U21+V21+W21+X21+Y21+AA21</f>
        <v>42045.590000000004</v>
      </c>
      <c r="AC21" s="8">
        <f t="shared" si="2"/>
        <v>1077.8200000000002</v>
      </c>
    </row>
    <row r="22" spans="1:30" x14ac:dyDescent="0.25">
      <c r="A22">
        <f t="shared" si="3"/>
        <v>21</v>
      </c>
      <c r="C22" s="7" t="s">
        <v>23</v>
      </c>
      <c r="E22" s="7" t="s">
        <v>23</v>
      </c>
      <c r="H22" s="7" t="s">
        <v>23</v>
      </c>
      <c r="I22" s="6">
        <f>105493.34+5151.77+465.38+3257.68+7771.9</f>
        <v>122140.06999999999</v>
      </c>
      <c r="J22" s="6">
        <v>0</v>
      </c>
      <c r="K22" s="6">
        <v>4658.49</v>
      </c>
      <c r="L22" s="6">
        <v>310.77</v>
      </c>
      <c r="M22" s="6">
        <v>3325.17</v>
      </c>
      <c r="N22" s="6">
        <v>0</v>
      </c>
      <c r="O22" s="6">
        <v>0</v>
      </c>
      <c r="P22" s="6">
        <v>0</v>
      </c>
      <c r="Q22" s="6">
        <v>0</v>
      </c>
      <c r="R22" s="6">
        <f t="shared" si="1"/>
        <v>130434.5</v>
      </c>
      <c r="S22" s="6">
        <v>13726</v>
      </c>
      <c r="T22" s="9">
        <v>946.58</v>
      </c>
      <c r="U22" s="6">
        <v>492.64</v>
      </c>
      <c r="V22" s="6">
        <v>44302.62</v>
      </c>
      <c r="W22" s="6">
        <v>0</v>
      </c>
      <c r="X22" s="6">
        <v>4885.7299999999996</v>
      </c>
      <c r="Y22" s="6">
        <v>481.68</v>
      </c>
      <c r="Z22" s="9">
        <v>232.52</v>
      </c>
      <c r="AA22" s="6">
        <v>0</v>
      </c>
      <c r="AB22" s="8">
        <f t="shared" si="0"/>
        <v>63888.670000000006</v>
      </c>
      <c r="AC22" s="8">
        <f t="shared" si="2"/>
        <v>1179.1000000000001</v>
      </c>
      <c r="AD22" s="8"/>
    </row>
    <row r="23" spans="1:30" x14ac:dyDescent="0.25">
      <c r="A23">
        <f t="shared" si="3"/>
        <v>22</v>
      </c>
      <c r="F23" s="7" t="s">
        <v>23</v>
      </c>
      <c r="G23" s="7" t="s">
        <v>23</v>
      </c>
      <c r="I23" s="6">
        <f>69499.88+3450.48+5960.94+1521.91</f>
        <v>80433.210000000006</v>
      </c>
      <c r="J23" s="6">
        <f>7625.54+2003.28+4006.56+1414.08</f>
        <v>15049.46</v>
      </c>
      <c r="K23" s="6">
        <v>0</v>
      </c>
      <c r="L23" s="6">
        <v>310.77999999999997</v>
      </c>
      <c r="M23" s="6">
        <v>0</v>
      </c>
      <c r="N23" s="6">
        <v>0</v>
      </c>
      <c r="O23" s="6">
        <v>300</v>
      </c>
      <c r="P23" s="6">
        <v>0</v>
      </c>
      <c r="Q23" s="6">
        <v>0</v>
      </c>
      <c r="R23" s="6">
        <f t="shared" si="1"/>
        <v>96093.450000000012</v>
      </c>
      <c r="S23" s="6">
        <v>12104.5</v>
      </c>
      <c r="T23" s="9">
        <v>2567.7399999999998</v>
      </c>
      <c r="U23" s="6">
        <v>343.56</v>
      </c>
      <c r="V23" s="6">
        <v>20237.740000000002</v>
      </c>
      <c r="W23" s="6">
        <v>4069.72</v>
      </c>
      <c r="X23" s="6">
        <v>0</v>
      </c>
      <c r="Y23" s="6">
        <v>326.14</v>
      </c>
      <c r="Z23" s="9">
        <v>160.76</v>
      </c>
      <c r="AA23" s="6">
        <v>0</v>
      </c>
      <c r="AB23" s="8">
        <f t="shared" si="0"/>
        <v>37081.660000000003</v>
      </c>
      <c r="AC23" s="8">
        <f t="shared" si="2"/>
        <v>2728.5</v>
      </c>
    </row>
    <row r="24" spans="1:30" x14ac:dyDescent="0.25">
      <c r="A24">
        <f t="shared" si="3"/>
        <v>23</v>
      </c>
      <c r="F24" s="7" t="s">
        <v>23</v>
      </c>
      <c r="H24" s="7" t="s">
        <v>23</v>
      </c>
      <c r="I24" s="6">
        <f>49624.49+2251.46+2962.66+685.8</f>
        <v>55524.41</v>
      </c>
      <c r="J24" s="6">
        <f>16008.86+342.9</f>
        <v>16351.76</v>
      </c>
      <c r="K24" s="6">
        <v>2032</v>
      </c>
      <c r="L24" s="6">
        <v>310.77999999999997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f t="shared" si="1"/>
        <v>74218.95</v>
      </c>
      <c r="S24" s="6">
        <v>13726</v>
      </c>
      <c r="T24" s="9">
        <v>946.58</v>
      </c>
      <c r="U24" s="6">
        <v>220.2</v>
      </c>
      <c r="V24" s="6">
        <v>0</v>
      </c>
      <c r="W24" s="6">
        <v>0</v>
      </c>
      <c r="X24" s="6">
        <v>7773.42</v>
      </c>
      <c r="Y24" s="6">
        <v>209.72</v>
      </c>
      <c r="Z24" s="9">
        <v>103.28</v>
      </c>
      <c r="AA24" s="6">
        <v>0</v>
      </c>
      <c r="AB24" s="8">
        <f t="shared" si="0"/>
        <v>21929.340000000004</v>
      </c>
      <c r="AC24" s="8">
        <f t="shared" si="2"/>
        <v>1049.8600000000001</v>
      </c>
    </row>
    <row r="25" spans="1:30" x14ac:dyDescent="0.25">
      <c r="A25">
        <f t="shared" si="3"/>
        <v>24</v>
      </c>
      <c r="F25" s="7" t="s">
        <v>23</v>
      </c>
      <c r="H25" s="7" t="s">
        <v>23</v>
      </c>
      <c r="I25" s="6">
        <f>35792.57+1825.84+328.98+3688.64+2169.21</f>
        <v>43805.24</v>
      </c>
      <c r="J25" s="6">
        <f>1821.22+77.11</f>
        <v>1898.33</v>
      </c>
      <c r="K25" s="6">
        <v>2.4700000000000002</v>
      </c>
      <c r="L25" s="6">
        <v>310.8</v>
      </c>
      <c r="M25" s="6">
        <v>0</v>
      </c>
      <c r="N25" s="6">
        <v>233.11</v>
      </c>
      <c r="O25" s="6">
        <v>0</v>
      </c>
      <c r="P25" s="6">
        <v>0</v>
      </c>
      <c r="Q25" s="6">
        <v>0</v>
      </c>
      <c r="R25" s="6">
        <f t="shared" si="1"/>
        <v>46249.950000000004</v>
      </c>
      <c r="S25" s="6">
        <v>13726</v>
      </c>
      <c r="T25" s="9">
        <v>946.58</v>
      </c>
      <c r="U25" s="6">
        <v>179.28</v>
      </c>
      <c r="V25" s="6">
        <v>0</v>
      </c>
      <c r="W25" s="6">
        <v>0</v>
      </c>
      <c r="X25" s="6">
        <v>6132.71</v>
      </c>
      <c r="Y25" s="6">
        <v>169.76</v>
      </c>
      <c r="Z25" s="9">
        <v>83.64</v>
      </c>
      <c r="AA25" s="6">
        <v>0</v>
      </c>
      <c r="AB25" s="8">
        <f t="shared" si="0"/>
        <v>20207.75</v>
      </c>
      <c r="AC25" s="8">
        <f t="shared" si="2"/>
        <v>1030.22</v>
      </c>
    </row>
    <row r="26" spans="1:30" x14ac:dyDescent="0.25">
      <c r="A26">
        <f t="shared" si="3"/>
        <v>25</v>
      </c>
      <c r="F26" s="7" t="s">
        <v>23</v>
      </c>
      <c r="G26" s="7" t="s">
        <v>23</v>
      </c>
      <c r="I26" s="6">
        <f>59649.42+6095.66+3450.48+314.24+157.12+2317.52+5939.76+2036.4</f>
        <v>79960.599999999991</v>
      </c>
      <c r="J26" s="6">
        <f>2336.01+3456.64+6922.94+4514.66+513.72+7910.89+1876.2+1123.77</f>
        <v>28654.83</v>
      </c>
      <c r="K26" s="6">
        <v>0</v>
      </c>
      <c r="L26" s="6">
        <v>311.20999999999998</v>
      </c>
      <c r="M26" s="6">
        <v>2199.6799999999998</v>
      </c>
      <c r="N26" s="6">
        <v>233.41</v>
      </c>
      <c r="O26" s="6">
        <v>0</v>
      </c>
      <c r="P26" s="6">
        <v>0</v>
      </c>
      <c r="Q26" s="6">
        <v>0</v>
      </c>
      <c r="R26" s="6">
        <f t="shared" si="1"/>
        <v>111359.73</v>
      </c>
      <c r="S26" s="6">
        <v>12104.5</v>
      </c>
      <c r="T26" s="9">
        <v>2567.7399999999998</v>
      </c>
      <c r="U26" s="6">
        <v>343.56</v>
      </c>
      <c r="V26" s="6">
        <v>20237.740000000002</v>
      </c>
      <c r="W26" s="6">
        <v>4069.72</v>
      </c>
      <c r="X26" s="6">
        <v>0</v>
      </c>
      <c r="Y26" s="6">
        <v>326.14</v>
      </c>
      <c r="Z26" s="9">
        <v>160.76</v>
      </c>
      <c r="AA26" s="6">
        <v>0</v>
      </c>
      <c r="AB26" s="8">
        <f t="shared" si="0"/>
        <v>37081.660000000003</v>
      </c>
      <c r="AC26" s="8">
        <f t="shared" si="2"/>
        <v>2728.5</v>
      </c>
    </row>
    <row r="27" spans="1:30" x14ac:dyDescent="0.25">
      <c r="A27">
        <f t="shared" si="3"/>
        <v>26</v>
      </c>
      <c r="F27" s="7" t="s">
        <v>23</v>
      </c>
      <c r="G27" s="7" t="s">
        <v>23</v>
      </c>
      <c r="I27" s="6">
        <f>61874.24+2933.12+267.12+2732.78+1368.34</f>
        <v>69175.600000000006</v>
      </c>
      <c r="J27" s="6">
        <f>775.35+467.46+1026.75</f>
        <v>2269.56</v>
      </c>
      <c r="K27" s="6">
        <v>404.02</v>
      </c>
      <c r="L27" s="6">
        <v>310.81</v>
      </c>
      <c r="M27" s="6">
        <v>968.31</v>
      </c>
      <c r="N27" s="6">
        <v>0</v>
      </c>
      <c r="O27" s="6">
        <v>0</v>
      </c>
      <c r="P27" s="6">
        <v>0</v>
      </c>
      <c r="Q27" s="6">
        <v>0</v>
      </c>
      <c r="R27" s="6">
        <f t="shared" si="1"/>
        <v>73128.3</v>
      </c>
      <c r="S27" s="6">
        <v>12104.5</v>
      </c>
      <c r="T27" s="9">
        <v>2567.7399999999998</v>
      </c>
      <c r="U27" s="6">
        <v>292.86</v>
      </c>
      <c r="V27" s="6">
        <v>17203.919999999998</v>
      </c>
      <c r="W27" s="6">
        <v>3459.56</v>
      </c>
      <c r="X27" s="6">
        <v>0</v>
      </c>
      <c r="Y27" s="6">
        <v>277.18</v>
      </c>
      <c r="Z27" s="9">
        <v>136.63999999999999</v>
      </c>
      <c r="AA27" s="6">
        <v>0</v>
      </c>
      <c r="AB27" s="8">
        <f t="shared" si="0"/>
        <v>33338.019999999997</v>
      </c>
      <c r="AC27" s="8">
        <f t="shared" si="2"/>
        <v>2704.3799999999997</v>
      </c>
    </row>
    <row r="28" spans="1:30" x14ac:dyDescent="0.25">
      <c r="A28">
        <f t="shared" si="3"/>
        <v>27</v>
      </c>
      <c r="F28" s="7" t="s">
        <v>23</v>
      </c>
      <c r="G28" s="7" t="s">
        <v>23</v>
      </c>
      <c r="I28" s="6">
        <f>64349.76+9419.39+3795.68+172.84+5503.68+1209.88</f>
        <v>84451.229999999981</v>
      </c>
      <c r="J28" s="6">
        <f>8856.52+8591.14+29612.95+5660.22+10176.01+2592.6</f>
        <v>65489.440000000002</v>
      </c>
      <c r="K28" s="6">
        <v>1382.72</v>
      </c>
      <c r="L28" s="6">
        <v>310.8</v>
      </c>
      <c r="M28" s="6">
        <v>4148.16</v>
      </c>
      <c r="N28" s="6">
        <v>0</v>
      </c>
      <c r="O28" s="6">
        <v>0</v>
      </c>
      <c r="P28" s="6">
        <v>0</v>
      </c>
      <c r="Q28" s="6">
        <v>0</v>
      </c>
      <c r="R28" s="6">
        <f t="shared" si="1"/>
        <v>155782.34999999998</v>
      </c>
      <c r="S28" s="6">
        <v>12104.5</v>
      </c>
      <c r="T28" s="9">
        <v>2567.7399999999998</v>
      </c>
      <c r="U28" s="6">
        <v>376.76</v>
      </c>
      <c r="V28" s="6">
        <v>22275.03</v>
      </c>
      <c r="W28" s="6">
        <v>4476.84</v>
      </c>
      <c r="X28" s="6">
        <v>0</v>
      </c>
      <c r="Y28" s="6">
        <v>358.82</v>
      </c>
      <c r="Z28" s="9">
        <v>176.8</v>
      </c>
      <c r="AA28" s="6">
        <v>0</v>
      </c>
      <c r="AB28" s="8">
        <f t="shared" si="0"/>
        <v>39591.950000000004</v>
      </c>
      <c r="AC28" s="8">
        <f t="shared" si="2"/>
        <v>2744.54</v>
      </c>
    </row>
    <row r="29" spans="1:30" x14ac:dyDescent="0.25">
      <c r="A29">
        <f t="shared" si="3"/>
        <v>28</v>
      </c>
      <c r="F29" s="7" t="s">
        <v>23</v>
      </c>
      <c r="H29" s="7" t="s">
        <v>23</v>
      </c>
      <c r="I29" s="6">
        <f>46999.11+2298.29+3403.39+2235.86</f>
        <v>54936.65</v>
      </c>
      <c r="J29" s="6">
        <f>4019.87+257.82</f>
        <v>4277.6899999999996</v>
      </c>
      <c r="K29" s="6">
        <v>9.58</v>
      </c>
      <c r="L29" s="6">
        <v>310.8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f t="shared" si="1"/>
        <v>59534.720000000008</v>
      </c>
      <c r="S29" s="6">
        <v>13726</v>
      </c>
      <c r="T29" s="9">
        <v>946.58</v>
      </c>
      <c r="U29" s="6">
        <v>223.84</v>
      </c>
      <c r="V29" s="6">
        <v>0</v>
      </c>
      <c r="W29" s="6">
        <v>0</v>
      </c>
      <c r="X29" s="6">
        <v>7691.19</v>
      </c>
      <c r="Y29" s="6">
        <v>213.12</v>
      </c>
      <c r="Z29" s="9">
        <v>105.04</v>
      </c>
      <c r="AA29" s="6">
        <v>0</v>
      </c>
      <c r="AB29" s="8">
        <f t="shared" si="0"/>
        <v>21854.149999999998</v>
      </c>
      <c r="AC29" s="8">
        <f t="shared" si="2"/>
        <v>1051.6200000000001</v>
      </c>
    </row>
    <row r="30" spans="1:30" x14ac:dyDescent="0.25">
      <c r="A30">
        <f t="shared" si="3"/>
        <v>29</v>
      </c>
      <c r="F30" s="7" t="s">
        <v>23</v>
      </c>
      <c r="H30" s="7" t="s">
        <v>23</v>
      </c>
      <c r="I30" s="6">
        <f>56634.04+3408.88+1211.4+2695.52+121.16</f>
        <v>64071</v>
      </c>
      <c r="J30" s="6">
        <f>6320.41+1761.25</f>
        <v>8081.66</v>
      </c>
      <c r="K30" s="6">
        <v>2180.52</v>
      </c>
      <c r="L30" s="6">
        <v>310.81</v>
      </c>
      <c r="M30" s="6">
        <v>2665.08</v>
      </c>
      <c r="N30" s="6">
        <v>0</v>
      </c>
      <c r="O30" s="6">
        <v>0</v>
      </c>
      <c r="P30" s="6">
        <v>0</v>
      </c>
      <c r="Q30" s="6">
        <v>0</v>
      </c>
      <c r="R30" s="6">
        <f t="shared" si="1"/>
        <v>77309.070000000007</v>
      </c>
      <c r="S30" s="6">
        <v>13726</v>
      </c>
      <c r="T30" s="9">
        <v>946.58</v>
      </c>
      <c r="U30" s="6">
        <v>260.44</v>
      </c>
      <c r="V30" s="6">
        <v>0</v>
      </c>
      <c r="W30" s="6">
        <v>0</v>
      </c>
      <c r="X30" s="6">
        <v>8970.1200000000008</v>
      </c>
      <c r="Y30" s="6">
        <v>248.32</v>
      </c>
      <c r="Z30" s="9">
        <v>122.44</v>
      </c>
      <c r="AA30" s="6">
        <v>0</v>
      </c>
      <c r="AB30" s="8">
        <f t="shared" si="0"/>
        <v>23204.880000000001</v>
      </c>
      <c r="AC30" s="8">
        <f t="shared" si="2"/>
        <v>1069.02</v>
      </c>
    </row>
    <row r="31" spans="1:30" x14ac:dyDescent="0.25">
      <c r="A31">
        <f t="shared" si="3"/>
        <v>30</v>
      </c>
      <c r="F31" s="7" t="s">
        <v>23</v>
      </c>
      <c r="G31" s="7" t="s">
        <v>23</v>
      </c>
      <c r="I31" s="6">
        <f>46754.42+5977.5+4078.96+314.24+3512.48+8470.22+1001.76+5512.3+1558.88</f>
        <v>77180.759999999995</v>
      </c>
      <c r="J31" s="6">
        <f>6433.85+5852.72+10261.64+4781.99+2020.48+1369.92+1293.94+9470.53+6552.84+4040.36+513.72</f>
        <v>52591.990000000005</v>
      </c>
      <c r="K31" s="6">
        <v>0</v>
      </c>
      <c r="L31" s="6">
        <v>310.81</v>
      </c>
      <c r="M31" s="6">
        <v>746.32</v>
      </c>
      <c r="N31" s="6">
        <v>0</v>
      </c>
      <c r="O31" s="6">
        <v>0</v>
      </c>
      <c r="P31" s="6">
        <v>0</v>
      </c>
      <c r="Q31" s="6">
        <v>0</v>
      </c>
      <c r="R31" s="6">
        <f t="shared" si="1"/>
        <v>130829.88</v>
      </c>
      <c r="S31" s="6">
        <v>12104.5</v>
      </c>
      <c r="T31" s="9">
        <v>2567.7399999999998</v>
      </c>
      <c r="U31" s="6">
        <v>343.56</v>
      </c>
      <c r="V31" s="6">
        <v>20237.740000000002</v>
      </c>
      <c r="W31" s="6">
        <v>4069.72</v>
      </c>
      <c r="X31" s="6">
        <v>0</v>
      </c>
      <c r="Y31" s="6">
        <v>326.14</v>
      </c>
      <c r="Z31" s="9">
        <v>160.76</v>
      </c>
      <c r="AA31" s="6">
        <v>0</v>
      </c>
      <c r="AB31" s="8">
        <f t="shared" si="0"/>
        <v>37081.660000000003</v>
      </c>
      <c r="AC31" s="8">
        <f t="shared" si="2"/>
        <v>2728.5</v>
      </c>
    </row>
    <row r="32" spans="1:30" x14ac:dyDescent="0.25">
      <c r="A32">
        <f t="shared" si="3"/>
        <v>31</v>
      </c>
      <c r="F32" s="7" t="s">
        <v>23</v>
      </c>
      <c r="H32" s="7" t="s">
        <v>23</v>
      </c>
      <c r="I32" s="6">
        <f>49638.75+2311.66+219.66+183.05+222.28+2182.89+156.91</f>
        <v>54915.200000000012</v>
      </c>
      <c r="J32" s="6">
        <f>431.48</f>
        <v>431.48</v>
      </c>
      <c r="K32" s="6">
        <v>2092</v>
      </c>
      <c r="L32" s="6">
        <v>310.8</v>
      </c>
      <c r="M32" s="6">
        <v>2092</v>
      </c>
      <c r="N32" s="6">
        <v>0</v>
      </c>
      <c r="O32" s="6">
        <v>0</v>
      </c>
      <c r="P32" s="6">
        <v>0</v>
      </c>
      <c r="Q32" s="6">
        <v>0</v>
      </c>
      <c r="R32" s="6">
        <f t="shared" si="1"/>
        <v>59841.480000000018</v>
      </c>
      <c r="S32" s="6">
        <v>13726</v>
      </c>
      <c r="T32" s="9">
        <v>946.58</v>
      </c>
      <c r="U32" s="6">
        <v>228.16</v>
      </c>
      <c r="V32" s="6">
        <v>0</v>
      </c>
      <c r="W32" s="6">
        <v>0</v>
      </c>
      <c r="X32" s="6">
        <v>7688.08</v>
      </c>
      <c r="Y32" s="6">
        <v>215.6</v>
      </c>
      <c r="Z32" s="9">
        <v>106.32</v>
      </c>
      <c r="AA32" s="6">
        <v>0</v>
      </c>
      <c r="AB32" s="8">
        <f t="shared" si="0"/>
        <v>21857.839999999997</v>
      </c>
      <c r="AC32" s="8">
        <f t="shared" si="2"/>
        <v>1052.9000000000001</v>
      </c>
    </row>
    <row r="33" spans="1:29" x14ac:dyDescent="0.25">
      <c r="A33">
        <f t="shared" si="3"/>
        <v>32</v>
      </c>
      <c r="F33" s="7" t="s">
        <v>23</v>
      </c>
      <c r="H33" s="7" t="s">
        <v>23</v>
      </c>
      <c r="I33" s="6">
        <f>37268.97+1770.66+90.14+2265.39+989.51</f>
        <v>42384.670000000006</v>
      </c>
      <c r="J33" s="6">
        <f>2169.27+210.32</f>
        <v>2379.59</v>
      </c>
      <c r="K33" s="6">
        <v>260.39</v>
      </c>
      <c r="L33" s="6">
        <v>310.81</v>
      </c>
      <c r="M33" s="6">
        <v>410.62</v>
      </c>
      <c r="N33" s="6">
        <v>0</v>
      </c>
      <c r="O33" s="6">
        <v>0</v>
      </c>
      <c r="P33" s="6">
        <v>0</v>
      </c>
      <c r="Q33" s="6">
        <v>0</v>
      </c>
      <c r="R33" s="6">
        <f t="shared" si="1"/>
        <v>45746.080000000009</v>
      </c>
      <c r="S33" s="6">
        <v>13726</v>
      </c>
      <c r="T33" s="9">
        <v>946.58</v>
      </c>
      <c r="U33" s="6">
        <v>175.3</v>
      </c>
      <c r="V33" s="6">
        <v>0</v>
      </c>
      <c r="W33" s="6">
        <v>0</v>
      </c>
      <c r="X33" s="6">
        <v>5933.89</v>
      </c>
      <c r="Y33" s="6">
        <v>165.38</v>
      </c>
      <c r="Z33" s="9">
        <v>81.52</v>
      </c>
      <c r="AA33" s="6">
        <v>0</v>
      </c>
      <c r="AB33" s="8">
        <f t="shared" si="0"/>
        <v>20000.57</v>
      </c>
      <c r="AC33" s="8">
        <f t="shared" si="2"/>
        <v>1028.1000000000001</v>
      </c>
    </row>
    <row r="34" spans="1:29" x14ac:dyDescent="0.25">
      <c r="A34">
        <f t="shared" si="3"/>
        <v>33</v>
      </c>
      <c r="F34" s="7" t="s">
        <v>23</v>
      </c>
      <c r="H34" s="7" t="s">
        <v>23</v>
      </c>
      <c r="I34" s="6">
        <f>75297.23+3748.91+937.23+5793.75+3386.79</f>
        <v>89163.909999999989</v>
      </c>
      <c r="J34" s="6">
        <v>1373.87</v>
      </c>
      <c r="K34" s="6">
        <v>0</v>
      </c>
      <c r="L34" s="6">
        <v>1810.81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f t="shared" si="1"/>
        <v>92348.589999999982</v>
      </c>
      <c r="S34" s="6">
        <v>13726</v>
      </c>
      <c r="T34" s="9">
        <v>946.58</v>
      </c>
      <c r="U34" s="6">
        <v>374.04</v>
      </c>
      <c r="V34" s="6">
        <v>0</v>
      </c>
      <c r="W34" s="6">
        <v>0</v>
      </c>
      <c r="X34" s="6">
        <v>12483.15</v>
      </c>
      <c r="Y34" s="6">
        <v>355.98</v>
      </c>
      <c r="Z34" s="9">
        <v>175.44</v>
      </c>
      <c r="AA34" s="6">
        <v>0</v>
      </c>
      <c r="AB34" s="8">
        <f t="shared" si="0"/>
        <v>26939.170000000002</v>
      </c>
      <c r="AC34" s="8">
        <f t="shared" si="2"/>
        <v>1122.02</v>
      </c>
    </row>
    <row r="35" spans="1:29" x14ac:dyDescent="0.25">
      <c r="A35">
        <f t="shared" si="3"/>
        <v>34</v>
      </c>
      <c r="F35" s="7" t="s">
        <v>23</v>
      </c>
      <c r="H35" s="7" t="s">
        <v>23</v>
      </c>
      <c r="I35" s="6">
        <f>54408.87+2485.62+1214.81+895.71</f>
        <v>59005.01</v>
      </c>
      <c r="J35" s="6">
        <v>264.52</v>
      </c>
      <c r="K35" s="6">
        <v>1539.51</v>
      </c>
      <c r="L35" s="6">
        <v>310.81</v>
      </c>
      <c r="M35" s="6">
        <v>643.79</v>
      </c>
      <c r="N35" s="6">
        <v>0</v>
      </c>
      <c r="O35" s="6">
        <v>0</v>
      </c>
      <c r="P35" s="6">
        <v>0</v>
      </c>
      <c r="Q35" s="6">
        <v>0</v>
      </c>
      <c r="R35" s="6">
        <f t="shared" si="1"/>
        <v>61763.64</v>
      </c>
      <c r="S35" s="6">
        <v>13726</v>
      </c>
      <c r="T35" s="9">
        <v>946.58</v>
      </c>
      <c r="U35" s="6">
        <v>241.9</v>
      </c>
      <c r="V35" s="6">
        <v>0</v>
      </c>
      <c r="W35" s="6">
        <v>0</v>
      </c>
      <c r="X35" s="6">
        <v>8260.69</v>
      </c>
      <c r="Y35" s="6">
        <v>228.64</v>
      </c>
      <c r="Z35" s="9">
        <v>112.8</v>
      </c>
      <c r="AA35" s="6">
        <v>0</v>
      </c>
      <c r="AB35" s="8">
        <f t="shared" si="0"/>
        <v>22457.23</v>
      </c>
      <c r="AC35" s="8">
        <f t="shared" si="2"/>
        <v>1059.3800000000001</v>
      </c>
    </row>
    <row r="36" spans="1:29" x14ac:dyDescent="0.25">
      <c r="A36">
        <f>+A35+1</f>
        <v>35</v>
      </c>
      <c r="C36" s="7" t="s">
        <v>23</v>
      </c>
      <c r="E36" s="7" t="s">
        <v>23</v>
      </c>
      <c r="H36" s="7" t="s">
        <v>23</v>
      </c>
      <c r="I36" s="6">
        <f>77038.19+3857.84+348.81+348.81+1395.23+5971.6+2462.6</f>
        <v>91423.08</v>
      </c>
      <c r="J36" s="6">
        <v>0</v>
      </c>
      <c r="K36" s="6">
        <v>3.49</v>
      </c>
      <c r="L36" s="6">
        <v>310.77999999999997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f t="shared" si="1"/>
        <v>91737.35</v>
      </c>
      <c r="S36" s="6">
        <v>13726</v>
      </c>
      <c r="T36" s="9">
        <v>946.58</v>
      </c>
      <c r="U36" s="6">
        <v>363.36</v>
      </c>
      <c r="V36" s="6">
        <v>0</v>
      </c>
      <c r="W36" s="6">
        <v>0</v>
      </c>
      <c r="X36" s="6">
        <v>12799.39</v>
      </c>
      <c r="Y36" s="6">
        <v>346.32</v>
      </c>
      <c r="Z36" s="9">
        <v>171.08</v>
      </c>
      <c r="AA36" s="6">
        <v>0</v>
      </c>
      <c r="AB36" s="8">
        <f t="shared" si="0"/>
        <v>27235.07</v>
      </c>
      <c r="AC36" s="8">
        <f t="shared" si="2"/>
        <v>1117.6600000000001</v>
      </c>
    </row>
    <row r="37" spans="1:29" x14ac:dyDescent="0.25">
      <c r="A37">
        <f t="shared" si="3"/>
        <v>36</v>
      </c>
      <c r="F37" s="7" t="s">
        <v>23</v>
      </c>
      <c r="G37" s="7" t="s">
        <v>23</v>
      </c>
      <c r="I37" s="6">
        <f>44937.91+4053.08+3450.48+314.24+1568.89+13613.73+2202.09+5342.08+1719.08</f>
        <v>77201.58</v>
      </c>
      <c r="J37" s="6">
        <f>3543.29+4910+20625.44+6032.58+608.31+2226.12+1364.66+9387.35+2356.8+1830.13+1027.44</f>
        <v>53912.12</v>
      </c>
      <c r="K37" s="6">
        <v>0</v>
      </c>
      <c r="L37" s="6">
        <v>310.8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f t="shared" si="1"/>
        <v>131424.5</v>
      </c>
      <c r="S37" s="6">
        <v>12104.5</v>
      </c>
      <c r="T37" s="9">
        <v>2567.7399999999998</v>
      </c>
      <c r="U37" s="6">
        <v>343.56</v>
      </c>
      <c r="V37" s="6">
        <v>20237.740000000002</v>
      </c>
      <c r="W37" s="6">
        <v>4069.72</v>
      </c>
      <c r="X37" s="6">
        <v>0</v>
      </c>
      <c r="Y37" s="6">
        <v>326.14</v>
      </c>
      <c r="Z37" s="9">
        <v>160.76</v>
      </c>
      <c r="AA37" s="6">
        <v>0</v>
      </c>
      <c r="AB37" s="8">
        <f t="shared" si="0"/>
        <v>37081.660000000003</v>
      </c>
      <c r="AC37" s="8">
        <f t="shared" si="2"/>
        <v>2728.5</v>
      </c>
    </row>
    <row r="38" spans="1:29" x14ac:dyDescent="0.25">
      <c r="A38">
        <f t="shared" si="3"/>
        <v>37</v>
      </c>
      <c r="F38" s="7" t="s">
        <v>23</v>
      </c>
      <c r="G38" s="7" t="s">
        <v>23</v>
      </c>
      <c r="I38" s="6">
        <f>58404.8+6912.68+3450.48+619.24+2622.52+171.24+4858.4+2181.2</f>
        <v>79220.560000000012</v>
      </c>
      <c r="J38" s="6">
        <f>2136.14+4006.56+10847.4+4831.06+513.72+8980.1+2356.8</f>
        <v>33671.780000000006</v>
      </c>
      <c r="K38" s="6">
        <v>0</v>
      </c>
      <c r="L38" s="6">
        <v>310.77999999999997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f t="shared" si="1"/>
        <v>113203.12000000002</v>
      </c>
      <c r="S38" s="6">
        <v>12104.5</v>
      </c>
      <c r="T38" s="9">
        <v>2567.7399999999998</v>
      </c>
      <c r="U38" s="6">
        <v>343.56</v>
      </c>
      <c r="V38" s="6">
        <v>20237.740000000002</v>
      </c>
      <c r="W38" s="6">
        <v>4069.72</v>
      </c>
      <c r="X38" s="6">
        <v>0</v>
      </c>
      <c r="Y38" s="6">
        <v>326.14</v>
      </c>
      <c r="Z38" s="9">
        <v>160.76</v>
      </c>
      <c r="AA38" s="6">
        <v>0</v>
      </c>
      <c r="AB38" s="8">
        <f t="shared" si="0"/>
        <v>37081.660000000003</v>
      </c>
      <c r="AC38" s="8">
        <f t="shared" si="2"/>
        <v>2728.5</v>
      </c>
    </row>
    <row r="39" spans="1:29" x14ac:dyDescent="0.25">
      <c r="A39">
        <f t="shared" si="3"/>
        <v>38</v>
      </c>
      <c r="F39" s="7" t="s">
        <v>23</v>
      </c>
      <c r="G39" s="7" t="s">
        <v>23</v>
      </c>
      <c r="I39" s="6">
        <f>45058.84+7753.72+3764.72+157.12+546.84+14078.33+874.43+5323.6+1401.76</f>
        <v>78959.359999999986</v>
      </c>
      <c r="J39" s="6">
        <f>8048.38+5931.28+9820.09+6722.41+3903.84+599.34+1311.66+11562.77+4685.88+1885.44+834.8</f>
        <v>55305.890000000007</v>
      </c>
      <c r="K39" s="6">
        <v>73.06</v>
      </c>
      <c r="L39" s="6">
        <v>310.8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f t="shared" si="1"/>
        <v>134649.10999999999</v>
      </c>
      <c r="S39" s="6">
        <v>12104.5</v>
      </c>
      <c r="T39" s="9">
        <v>2567.7399999999998</v>
      </c>
      <c r="U39" s="6">
        <v>343.56</v>
      </c>
      <c r="V39" s="6">
        <v>20237.740000000002</v>
      </c>
      <c r="W39" s="6">
        <v>4069.72</v>
      </c>
      <c r="X39" s="6">
        <v>0</v>
      </c>
      <c r="Y39" s="6">
        <v>326.14</v>
      </c>
      <c r="Z39" s="9">
        <v>160.76</v>
      </c>
      <c r="AA39" s="6">
        <v>0</v>
      </c>
      <c r="AB39" s="8">
        <f t="shared" si="0"/>
        <v>37081.660000000003</v>
      </c>
      <c r="AC39" s="8">
        <f t="shared" si="2"/>
        <v>2728.5</v>
      </c>
    </row>
    <row r="40" spans="1:29" x14ac:dyDescent="0.25">
      <c r="A40">
        <f t="shared" si="3"/>
        <v>39</v>
      </c>
      <c r="F40" s="7" t="s">
        <v>23</v>
      </c>
      <c r="H40" s="7" t="s">
        <v>23</v>
      </c>
      <c r="I40" s="6">
        <f>37302.93+1847.26+166.57+3709.48+1482.88</f>
        <v>44509.120000000003</v>
      </c>
      <c r="J40" s="6">
        <f>1895.16+129.14</f>
        <v>2024.3000000000002</v>
      </c>
      <c r="K40" s="6">
        <v>437.87</v>
      </c>
      <c r="L40" s="6">
        <v>310.81</v>
      </c>
      <c r="M40" s="6">
        <v>394.97</v>
      </c>
      <c r="N40" s="6">
        <v>0</v>
      </c>
      <c r="O40" s="6">
        <v>0</v>
      </c>
      <c r="P40" s="6">
        <v>0</v>
      </c>
      <c r="Q40" s="6">
        <v>0</v>
      </c>
      <c r="R40" s="6">
        <f t="shared" si="1"/>
        <v>47677.070000000007</v>
      </c>
      <c r="S40" s="6">
        <v>13726</v>
      </c>
      <c r="T40" s="9">
        <v>946.58</v>
      </c>
      <c r="U40" s="6">
        <v>182</v>
      </c>
      <c r="V40" s="6">
        <v>0</v>
      </c>
      <c r="W40" s="6">
        <v>0</v>
      </c>
      <c r="X40" s="6">
        <v>6231.33</v>
      </c>
      <c r="Y40" s="6">
        <v>171.8</v>
      </c>
      <c r="Z40" s="9">
        <v>84.68</v>
      </c>
      <c r="AA40" s="6">
        <v>0</v>
      </c>
      <c r="AB40" s="8">
        <f t="shared" si="0"/>
        <v>20311.13</v>
      </c>
      <c r="AC40" s="8">
        <f t="shared" si="2"/>
        <v>1031.26</v>
      </c>
    </row>
    <row r="41" spans="1:29" x14ac:dyDescent="0.25">
      <c r="A41">
        <f t="shared" si="3"/>
        <v>40</v>
      </c>
      <c r="F41" s="7" t="s">
        <v>23</v>
      </c>
      <c r="H41" s="7" t="s">
        <v>23</v>
      </c>
      <c r="I41" s="6">
        <f>42331.97+2011.02+2296.41+2307.14</f>
        <v>48946.539999999994</v>
      </c>
      <c r="J41" s="6">
        <f>6780.52+484.9</f>
        <v>7265.42</v>
      </c>
      <c r="K41" s="6">
        <v>0</v>
      </c>
      <c r="L41" s="6">
        <v>310.77999999999997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f t="shared" si="1"/>
        <v>56522.739999999991</v>
      </c>
      <c r="S41" s="6">
        <v>13726</v>
      </c>
      <c r="T41" s="9">
        <v>946.58</v>
      </c>
      <c r="U41" s="6">
        <v>193.36</v>
      </c>
      <c r="V41" s="6">
        <v>0</v>
      </c>
      <c r="W41" s="6">
        <v>0</v>
      </c>
      <c r="X41" s="6">
        <v>6852.38</v>
      </c>
      <c r="Y41" s="6">
        <v>183.76</v>
      </c>
      <c r="Z41" s="9">
        <v>90.6</v>
      </c>
      <c r="AA41" s="6">
        <v>0</v>
      </c>
      <c r="AB41" s="8">
        <f>+S41+U41+V41+W41+X41+Y41+AA41</f>
        <v>20955.5</v>
      </c>
      <c r="AC41" s="8">
        <f t="shared" si="2"/>
        <v>1037.18</v>
      </c>
    </row>
    <row r="42" spans="1:29" x14ac:dyDescent="0.25">
      <c r="A42">
        <f t="shared" si="3"/>
        <v>41</v>
      </c>
      <c r="B42" s="7" t="s">
        <v>23</v>
      </c>
      <c r="E42" s="7" t="s">
        <v>23</v>
      </c>
      <c r="H42" s="7" t="s">
        <v>23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13635.28</v>
      </c>
      <c r="Q42" s="9">
        <v>0</v>
      </c>
      <c r="R42" s="9">
        <f t="shared" si="1"/>
        <v>13635.28</v>
      </c>
      <c r="S42" s="9"/>
      <c r="U42" s="9"/>
      <c r="V42" s="9"/>
      <c r="W42" s="9"/>
      <c r="X42" s="9"/>
      <c r="Y42" s="9"/>
      <c r="AA42" s="9"/>
      <c r="AB42" s="8">
        <f t="shared" si="0"/>
        <v>0</v>
      </c>
      <c r="AC42" s="8">
        <f t="shared" si="2"/>
        <v>0</v>
      </c>
    </row>
    <row r="43" spans="1:29" x14ac:dyDescent="0.25">
      <c r="A43">
        <f>+A42+1</f>
        <v>42</v>
      </c>
      <c r="F43" s="7" t="s">
        <v>23</v>
      </c>
      <c r="H43" s="7" t="s">
        <v>23</v>
      </c>
      <c r="I43" s="6">
        <f>51385.16+3516.55+2560.51+318.24</f>
        <v>57780.460000000006</v>
      </c>
      <c r="J43" s="6">
        <v>7485.6</v>
      </c>
      <c r="K43" s="6">
        <v>1326</v>
      </c>
      <c r="L43" s="6">
        <v>310.81</v>
      </c>
      <c r="M43" s="6">
        <v>1445.34</v>
      </c>
      <c r="N43" s="6">
        <v>0</v>
      </c>
      <c r="O43" s="6">
        <v>0</v>
      </c>
      <c r="P43" s="6">
        <v>0</v>
      </c>
      <c r="Q43" s="6">
        <v>0</v>
      </c>
      <c r="R43" s="6">
        <f t="shared" si="1"/>
        <v>68348.209999999992</v>
      </c>
      <c r="S43" s="6">
        <v>13726</v>
      </c>
      <c r="T43" s="9">
        <v>946.58</v>
      </c>
      <c r="U43" s="6">
        <v>232.82</v>
      </c>
      <c r="V43" s="6">
        <v>0</v>
      </c>
      <c r="W43" s="6">
        <v>0</v>
      </c>
      <c r="X43" s="6">
        <v>8089.25</v>
      </c>
      <c r="Y43" s="6">
        <v>218.82</v>
      </c>
      <c r="Z43" s="9">
        <v>107.84</v>
      </c>
      <c r="AA43" s="6">
        <v>0</v>
      </c>
      <c r="AB43" s="8">
        <f t="shared" si="0"/>
        <v>22266.89</v>
      </c>
      <c r="AC43" s="8">
        <f t="shared" si="2"/>
        <v>1054.42</v>
      </c>
    </row>
    <row r="44" spans="1:29" x14ac:dyDescent="0.25">
      <c r="A44">
        <f>+A43+1</f>
        <v>43</v>
      </c>
      <c r="B44" s="7" t="s">
        <v>23</v>
      </c>
      <c r="E44" s="7" t="s">
        <v>23</v>
      </c>
      <c r="H44" s="7" t="s">
        <v>23</v>
      </c>
      <c r="I44" s="6">
        <f>135090.81+6322.7+1730.76+173.08+4498.28+2342.3</f>
        <v>150157.93</v>
      </c>
      <c r="J44" s="6">
        <v>0</v>
      </c>
      <c r="K44" s="6">
        <v>5192.28</v>
      </c>
      <c r="L44" s="6">
        <v>310.81</v>
      </c>
      <c r="M44" s="6">
        <v>5769.2</v>
      </c>
      <c r="N44" s="6">
        <v>77.7</v>
      </c>
      <c r="O44" s="6">
        <v>0</v>
      </c>
      <c r="P44" s="6">
        <v>0</v>
      </c>
      <c r="Q44" s="6">
        <v>0</v>
      </c>
      <c r="R44" s="6">
        <f t="shared" si="1"/>
        <v>161507.92000000001</v>
      </c>
      <c r="S44" s="6">
        <v>13726</v>
      </c>
      <c r="T44" s="9">
        <v>946.58</v>
      </c>
      <c r="U44" s="6">
        <v>605.4</v>
      </c>
      <c r="V44" s="6">
        <v>0</v>
      </c>
      <c r="W44" s="6">
        <v>0</v>
      </c>
      <c r="X44" s="6">
        <v>21022.21</v>
      </c>
      <c r="Y44" s="6">
        <v>578.36</v>
      </c>
      <c r="Z44" s="9">
        <v>284.95999999999998</v>
      </c>
      <c r="AA44" s="6">
        <v>0</v>
      </c>
      <c r="AB44" s="8">
        <f t="shared" si="0"/>
        <v>35931.97</v>
      </c>
      <c r="AC44" s="8">
        <f t="shared" si="2"/>
        <v>1231.54</v>
      </c>
    </row>
    <row r="45" spans="1:29" x14ac:dyDescent="0.25">
      <c r="A45">
        <f t="shared" si="3"/>
        <v>44</v>
      </c>
      <c r="F45" s="7" t="s">
        <v>23</v>
      </c>
      <c r="G45" s="7" t="s">
        <v>23</v>
      </c>
      <c r="I45" s="6">
        <f>59643.15+3572.3+3388.08+314.24+3031.29+556.53+3887.96+3802.72</f>
        <v>78196.27</v>
      </c>
      <c r="J45" s="6">
        <f>3588.33+3495.92+8836.4+4839.2+7765.36+1885.44</f>
        <v>30410.649999999998</v>
      </c>
      <c r="K45" s="6">
        <v>0</v>
      </c>
      <c r="L45" s="6">
        <v>310.8</v>
      </c>
      <c r="M45" s="6">
        <v>0</v>
      </c>
      <c r="N45" s="6">
        <v>77.72</v>
      </c>
      <c r="O45" s="6">
        <v>0</v>
      </c>
      <c r="P45" s="6">
        <v>0</v>
      </c>
      <c r="Q45" s="6">
        <v>0</v>
      </c>
      <c r="R45" s="6">
        <f t="shared" si="1"/>
        <v>108995.44</v>
      </c>
      <c r="S45" s="6">
        <v>12104.5</v>
      </c>
      <c r="T45" s="9">
        <v>2567.7399999999998</v>
      </c>
      <c r="U45" s="6">
        <v>320.68</v>
      </c>
      <c r="V45" s="6">
        <v>18976.5</v>
      </c>
      <c r="W45" s="6">
        <v>3835.68</v>
      </c>
      <c r="X45" s="6">
        <v>0</v>
      </c>
      <c r="Y45" s="6">
        <v>305.42</v>
      </c>
      <c r="Z45" s="9">
        <v>150.68</v>
      </c>
      <c r="AA45" s="6">
        <v>0</v>
      </c>
      <c r="AB45" s="8">
        <f t="shared" si="0"/>
        <v>35542.78</v>
      </c>
      <c r="AC45" s="8">
        <f t="shared" si="2"/>
        <v>2718.4199999999996</v>
      </c>
    </row>
    <row r="46" spans="1:29" x14ac:dyDescent="0.25">
      <c r="A46">
        <f t="shared" si="3"/>
        <v>45</v>
      </c>
      <c r="F46" s="7" t="s">
        <v>23</v>
      </c>
      <c r="G46" s="7" t="s">
        <v>23</v>
      </c>
      <c r="I46" s="6">
        <f>47578.14+8821.09+3764.72+308.08+3373.46+8127.74+2513.92+3576.8</f>
        <v>78063.95</v>
      </c>
      <c r="J46" s="6">
        <f>2344.1+5852.72+19435.93+11435.35+481.62+9147.05+4479.66+3531.83+513.72</f>
        <v>57221.98000000001</v>
      </c>
      <c r="K46" s="6">
        <v>0</v>
      </c>
      <c r="L46" s="6">
        <v>311.2</v>
      </c>
      <c r="M46" s="6">
        <v>0</v>
      </c>
      <c r="N46" s="6">
        <v>77.81</v>
      </c>
      <c r="O46" s="6">
        <v>0</v>
      </c>
      <c r="P46" s="6">
        <v>0</v>
      </c>
      <c r="Q46" s="6">
        <v>0</v>
      </c>
      <c r="R46" s="6">
        <f t="shared" si="1"/>
        <v>135674.94</v>
      </c>
      <c r="S46" s="6">
        <v>12104.5</v>
      </c>
      <c r="T46" s="9">
        <v>2567.7399999999998</v>
      </c>
      <c r="U46" s="6">
        <v>343.56</v>
      </c>
      <c r="V46" s="6">
        <v>20244.21</v>
      </c>
      <c r="W46" s="6">
        <v>4069.72</v>
      </c>
      <c r="X46" s="6">
        <v>0</v>
      </c>
      <c r="Y46" s="6">
        <v>326.14</v>
      </c>
      <c r="Z46" s="9">
        <v>160.76</v>
      </c>
      <c r="AA46" s="6">
        <v>0</v>
      </c>
      <c r="AB46" s="8">
        <f t="shared" si="0"/>
        <v>37088.129999999997</v>
      </c>
      <c r="AC46" s="8">
        <f t="shared" si="2"/>
        <v>2728.5</v>
      </c>
    </row>
    <row r="47" spans="1:29" x14ac:dyDescent="0.25">
      <c r="A47">
        <v>46</v>
      </c>
      <c r="F47" s="7" t="s">
        <v>23</v>
      </c>
      <c r="H47" s="7" t="s">
        <v>23</v>
      </c>
      <c r="I47" s="6">
        <f>10634.58+377.28+188.64+565.92</f>
        <v>11766.42</v>
      </c>
      <c r="J47" s="6">
        <v>159.16999999999999</v>
      </c>
      <c r="K47" s="6">
        <v>4.4800000000000004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f t="shared" si="1"/>
        <v>11930.07</v>
      </c>
      <c r="S47" s="6">
        <v>5708.74</v>
      </c>
      <c r="T47" s="9">
        <v>365.46</v>
      </c>
      <c r="U47" s="6">
        <v>53.97</v>
      </c>
      <c r="V47" s="6">
        <v>0</v>
      </c>
      <c r="W47" s="6">
        <v>0</v>
      </c>
      <c r="X47" s="6">
        <v>1647.32</v>
      </c>
      <c r="Y47" s="6">
        <v>48.77</v>
      </c>
      <c r="Z47" s="9">
        <v>22.95</v>
      </c>
      <c r="AB47" s="8">
        <f t="shared" si="0"/>
        <v>7458.8</v>
      </c>
      <c r="AC47" s="8">
        <f t="shared" si="2"/>
        <v>388.40999999999997</v>
      </c>
    </row>
    <row r="48" spans="1:29" x14ac:dyDescent="0.25">
      <c r="A48">
        <f t="shared" si="3"/>
        <v>47</v>
      </c>
      <c r="F48" s="7" t="s">
        <v>23</v>
      </c>
      <c r="H48" s="7" t="s">
        <v>23</v>
      </c>
      <c r="I48" s="6">
        <f>63067.48+2905.66+262.48+393.72+2329.51+683.76</f>
        <v>69642.609999999986</v>
      </c>
      <c r="J48" s="6">
        <f>2731.46</f>
        <v>2731.46</v>
      </c>
      <c r="K48" s="6">
        <v>787.44</v>
      </c>
      <c r="L48" s="6">
        <v>310.81</v>
      </c>
      <c r="M48" s="6">
        <v>2887.28</v>
      </c>
      <c r="N48" s="6">
        <v>0</v>
      </c>
      <c r="O48" s="6">
        <v>0</v>
      </c>
      <c r="P48" s="6">
        <v>0</v>
      </c>
      <c r="Q48" s="6">
        <v>0</v>
      </c>
      <c r="R48" s="6">
        <f t="shared" si="1"/>
        <v>76359.599999999991</v>
      </c>
      <c r="S48" s="6">
        <v>13726</v>
      </c>
      <c r="T48" s="9">
        <v>946.58</v>
      </c>
      <c r="U48" s="6">
        <v>282.82</v>
      </c>
      <c r="V48" s="6">
        <v>0</v>
      </c>
      <c r="W48" s="6">
        <v>0</v>
      </c>
      <c r="X48" s="6">
        <v>9750.1299999999992</v>
      </c>
      <c r="Y48" s="6">
        <v>267.95999999999998</v>
      </c>
      <c r="Z48" s="9">
        <v>132.19999999999999</v>
      </c>
      <c r="AA48" s="6">
        <v>0</v>
      </c>
      <c r="AB48" s="8">
        <f t="shared" si="0"/>
        <v>24026.909999999996</v>
      </c>
      <c r="AC48" s="8">
        <f t="shared" si="2"/>
        <v>1078.78</v>
      </c>
    </row>
    <row r="49" spans="1:30" x14ac:dyDescent="0.25">
      <c r="A49">
        <f t="shared" si="3"/>
        <v>48</v>
      </c>
      <c r="B49" s="7" t="s">
        <v>23</v>
      </c>
      <c r="E49" s="7" t="s">
        <v>23</v>
      </c>
      <c r="H49" s="7" t="s">
        <v>23</v>
      </c>
      <c r="I49" s="6">
        <f>257535.37+13921.17+1260.16+6300.8+39243.19+11460.26</f>
        <v>329720.94999999995</v>
      </c>
      <c r="J49" s="6">
        <v>0</v>
      </c>
      <c r="K49" s="6">
        <v>0</v>
      </c>
      <c r="L49" s="6">
        <v>287.16000000000003</v>
      </c>
      <c r="M49" s="6">
        <v>7560.96</v>
      </c>
      <c r="N49" s="6">
        <v>0</v>
      </c>
      <c r="O49" s="6">
        <v>0</v>
      </c>
      <c r="P49" s="6">
        <v>0</v>
      </c>
      <c r="Q49" s="6">
        <v>0</v>
      </c>
      <c r="R49" s="6">
        <f t="shared" si="1"/>
        <v>337569.06999999995</v>
      </c>
      <c r="S49" s="6">
        <v>13726</v>
      </c>
      <c r="T49" s="9">
        <v>946.58</v>
      </c>
      <c r="U49" s="6">
        <v>1352.3</v>
      </c>
      <c r="V49" s="6">
        <v>0</v>
      </c>
      <c r="W49" s="6">
        <v>0</v>
      </c>
      <c r="X49" s="6">
        <v>44329.25</v>
      </c>
      <c r="Y49" s="6">
        <v>1084.8399999999999</v>
      </c>
      <c r="Z49" s="9">
        <v>534.55999999999995</v>
      </c>
      <c r="AA49" s="9">
        <f>25000+22500</f>
        <v>47500</v>
      </c>
      <c r="AB49" s="8">
        <f t="shared" si="0"/>
        <v>107992.39</v>
      </c>
      <c r="AC49" s="8">
        <f t="shared" si="2"/>
        <v>1481.1399999999999</v>
      </c>
    </row>
    <row r="50" spans="1:30" x14ac:dyDescent="0.25">
      <c r="A50">
        <f t="shared" si="3"/>
        <v>49</v>
      </c>
      <c r="F50" s="7" t="s">
        <v>23</v>
      </c>
      <c r="H50" s="7" t="s">
        <v>23</v>
      </c>
      <c r="I50" s="6">
        <f>55042.77+2581.83+467.72+701.59+2338.64</f>
        <v>61132.549999999996</v>
      </c>
      <c r="J50" s="6">
        <v>65.78</v>
      </c>
      <c r="K50" s="6">
        <v>0</v>
      </c>
      <c r="L50" s="6">
        <v>310.81</v>
      </c>
      <c r="M50" s="6">
        <v>1973.23</v>
      </c>
      <c r="N50" s="6">
        <v>0</v>
      </c>
      <c r="O50" s="6">
        <v>0</v>
      </c>
      <c r="P50" s="6">
        <v>0</v>
      </c>
      <c r="Q50" s="6">
        <v>0</v>
      </c>
      <c r="R50" s="6">
        <f t="shared" si="1"/>
        <v>63482.369999999995</v>
      </c>
      <c r="S50" s="6">
        <v>13726</v>
      </c>
      <c r="T50" s="9">
        <v>946.58</v>
      </c>
      <c r="U50" s="6">
        <v>255</v>
      </c>
      <c r="V50" s="6">
        <v>0</v>
      </c>
      <c r="W50" s="6">
        <v>0</v>
      </c>
      <c r="X50" s="6">
        <v>8558.7000000000007</v>
      </c>
      <c r="Y50" s="6">
        <v>242.46</v>
      </c>
      <c r="Z50" s="9">
        <v>119.68</v>
      </c>
      <c r="AA50" s="6">
        <v>0</v>
      </c>
      <c r="AB50" s="8">
        <f t="shared" si="0"/>
        <v>22782.16</v>
      </c>
      <c r="AC50" s="8">
        <f t="shared" si="2"/>
        <v>1066.26</v>
      </c>
    </row>
    <row r="51" spans="1:30" x14ac:dyDescent="0.25">
      <c r="A51">
        <f t="shared" si="3"/>
        <v>50</v>
      </c>
      <c r="C51" s="7" t="s">
        <v>23</v>
      </c>
      <c r="E51" s="7" t="s">
        <v>23</v>
      </c>
      <c r="H51" s="7" t="s">
        <v>23</v>
      </c>
      <c r="I51" s="6">
        <f>86486.27+4088.57+368.34+736.67+1878.52+2762.55+736.67</f>
        <v>97057.590000000011</v>
      </c>
      <c r="J51" s="6">
        <v>0</v>
      </c>
      <c r="K51" s="6">
        <v>0</v>
      </c>
      <c r="L51" s="6">
        <v>310.8</v>
      </c>
      <c r="M51" s="6">
        <v>1841.68</v>
      </c>
      <c r="N51" s="6">
        <v>0</v>
      </c>
      <c r="O51" s="6">
        <v>0</v>
      </c>
      <c r="P51" s="6">
        <v>0</v>
      </c>
      <c r="Q51" s="6">
        <v>0</v>
      </c>
      <c r="R51" s="6">
        <f t="shared" si="1"/>
        <v>99210.07</v>
      </c>
      <c r="S51" s="6">
        <v>13726</v>
      </c>
      <c r="T51" s="9">
        <v>946.58</v>
      </c>
      <c r="U51" s="6">
        <v>382.56</v>
      </c>
      <c r="V51" s="6">
        <v>0</v>
      </c>
      <c r="W51" s="6">
        <v>0</v>
      </c>
      <c r="X51" s="6">
        <v>13588.14</v>
      </c>
      <c r="Y51" s="6">
        <v>365.96</v>
      </c>
      <c r="Z51" s="9">
        <v>180.68</v>
      </c>
      <c r="AA51" s="6">
        <v>0</v>
      </c>
      <c r="AB51" s="8">
        <f t="shared" si="0"/>
        <v>28062.659999999996</v>
      </c>
      <c r="AC51" s="8">
        <f t="shared" si="2"/>
        <v>1127.26</v>
      </c>
    </row>
    <row r="52" spans="1:30" x14ac:dyDescent="0.25">
      <c r="A52">
        <v>51</v>
      </c>
      <c r="F52" s="7" t="s">
        <v>23</v>
      </c>
      <c r="H52" s="7" t="s">
        <v>23</v>
      </c>
      <c r="I52" s="6">
        <f>60908.2+2959.01+551.14+2006.58+4472.66</f>
        <v>70897.59</v>
      </c>
      <c r="J52" s="6">
        <v>4494.8599999999997</v>
      </c>
      <c r="K52" s="6">
        <v>0</v>
      </c>
      <c r="L52" s="6">
        <v>310.81</v>
      </c>
      <c r="M52" s="6">
        <v>2357.73</v>
      </c>
      <c r="N52" s="6">
        <v>0</v>
      </c>
      <c r="O52" s="6">
        <v>0</v>
      </c>
      <c r="P52" s="6">
        <v>0</v>
      </c>
      <c r="Q52" s="6">
        <v>0</v>
      </c>
      <c r="R52" s="6">
        <f t="shared" si="1"/>
        <v>78060.989999999991</v>
      </c>
      <c r="S52" s="6">
        <v>13726</v>
      </c>
      <c r="T52" s="9">
        <v>946.58</v>
      </c>
      <c r="U52" s="6">
        <v>288.27999999999997</v>
      </c>
      <c r="V52" s="6">
        <v>0</v>
      </c>
      <c r="W52" s="6">
        <v>0</v>
      </c>
      <c r="X52" s="6">
        <v>9925.6299999999992</v>
      </c>
      <c r="Y52" s="6">
        <v>274.26</v>
      </c>
      <c r="Z52" s="9">
        <v>135.19999999999999</v>
      </c>
      <c r="AA52" s="6">
        <v>0</v>
      </c>
      <c r="AB52" s="8">
        <f t="shared" si="0"/>
        <v>24214.17</v>
      </c>
      <c r="AC52" s="8">
        <f t="shared" si="2"/>
        <v>1081.78</v>
      </c>
    </row>
    <row r="53" spans="1:30" x14ac:dyDescent="0.25">
      <c r="A53">
        <v>52</v>
      </c>
      <c r="B53" s="7" t="s">
        <v>23</v>
      </c>
      <c r="E53" s="7" t="s">
        <v>23</v>
      </c>
      <c r="H53" s="7" t="s">
        <v>23</v>
      </c>
      <c r="I53" s="6">
        <f>123079.34+6043.25+597.46+2722.9+4409.5+6043.23</f>
        <v>142895.68000000002</v>
      </c>
      <c r="J53" s="6">
        <v>0</v>
      </c>
      <c r="K53" s="6">
        <v>544.58000000000004</v>
      </c>
      <c r="L53" s="6">
        <v>310.81</v>
      </c>
      <c r="M53" s="6">
        <v>3812.03</v>
      </c>
      <c r="N53" s="6">
        <v>0</v>
      </c>
      <c r="O53" s="6">
        <v>0</v>
      </c>
      <c r="P53" s="6">
        <v>0</v>
      </c>
      <c r="Q53" s="6">
        <v>7705.61</v>
      </c>
      <c r="R53" s="6">
        <f t="shared" si="1"/>
        <v>155268.71</v>
      </c>
      <c r="S53" s="6">
        <v>13726</v>
      </c>
      <c r="T53" s="9">
        <v>946.58</v>
      </c>
      <c r="U53" s="6">
        <v>570.12</v>
      </c>
      <c r="V53" s="6">
        <v>0</v>
      </c>
      <c r="W53" s="6">
        <v>0</v>
      </c>
      <c r="X53" s="6">
        <v>20005.3</v>
      </c>
      <c r="Y53" s="6">
        <v>543.91999999999996</v>
      </c>
      <c r="Z53" s="9">
        <v>268.48</v>
      </c>
      <c r="AA53" s="6">
        <v>0</v>
      </c>
      <c r="AB53" s="8">
        <f t="shared" si="0"/>
        <v>34845.339999999997</v>
      </c>
      <c r="AC53" s="8">
        <f t="shared" si="2"/>
        <v>1215.06</v>
      </c>
    </row>
    <row r="54" spans="1:30" x14ac:dyDescent="0.25">
      <c r="A54">
        <f t="shared" si="3"/>
        <v>53</v>
      </c>
      <c r="C54" s="7" t="s">
        <v>23</v>
      </c>
      <c r="E54" s="7" t="s">
        <v>23</v>
      </c>
      <c r="H54" s="7" t="s">
        <v>23</v>
      </c>
      <c r="I54" s="6">
        <f>72717.18+3331.22+1865.01+1199.36</f>
        <v>79112.76999999999</v>
      </c>
      <c r="J54" s="6">
        <v>0</v>
      </c>
      <c r="K54" s="6">
        <v>1499.2</v>
      </c>
      <c r="L54" s="6">
        <v>310.81</v>
      </c>
      <c r="M54" s="6">
        <v>3598.08</v>
      </c>
      <c r="N54" s="6">
        <v>0</v>
      </c>
      <c r="O54" s="6">
        <v>0</v>
      </c>
      <c r="P54" s="6">
        <v>0</v>
      </c>
      <c r="Q54" s="6">
        <v>0</v>
      </c>
      <c r="R54" s="6">
        <f t="shared" si="1"/>
        <v>84520.859999999986</v>
      </c>
      <c r="S54" s="6">
        <v>13726</v>
      </c>
      <c r="T54" s="9">
        <v>946.58</v>
      </c>
      <c r="U54" s="6">
        <v>321.94</v>
      </c>
      <c r="V54" s="6">
        <v>0</v>
      </c>
      <c r="W54" s="6">
        <v>0</v>
      </c>
      <c r="X54" s="6">
        <v>11075.91</v>
      </c>
      <c r="Y54" s="6">
        <v>307.26</v>
      </c>
      <c r="Z54" s="9">
        <v>151.52000000000001</v>
      </c>
      <c r="AA54" s="6">
        <v>0</v>
      </c>
      <c r="AB54" s="8">
        <f t="shared" si="0"/>
        <v>25431.109999999997</v>
      </c>
      <c r="AC54" s="8">
        <f t="shared" si="2"/>
        <v>1098.1000000000001</v>
      </c>
    </row>
    <row r="55" spans="1:30" x14ac:dyDescent="0.25">
      <c r="A55">
        <f t="shared" si="3"/>
        <v>54</v>
      </c>
      <c r="F55" s="7" t="s">
        <v>23</v>
      </c>
      <c r="H55" s="7" t="s">
        <v>23</v>
      </c>
      <c r="I55" s="6">
        <f>41515.56+1964.66+181.28+453.2+1767.15</f>
        <v>45881.85</v>
      </c>
      <c r="J55" s="6">
        <f>1278.16+564.24</f>
        <v>1842.4</v>
      </c>
      <c r="K55" s="6">
        <v>8.16</v>
      </c>
      <c r="L55" s="6">
        <v>310.81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f t="shared" si="1"/>
        <v>48043.22</v>
      </c>
      <c r="S55" s="6">
        <v>13726</v>
      </c>
      <c r="T55" s="9">
        <v>946.58</v>
      </c>
      <c r="U55" s="6">
        <v>178.02</v>
      </c>
      <c r="V55" s="6">
        <v>0</v>
      </c>
      <c r="W55" s="6">
        <v>0</v>
      </c>
      <c r="X55" s="6">
        <v>6423.58</v>
      </c>
      <c r="Y55" s="6">
        <v>166.6</v>
      </c>
      <c r="Z55" s="9">
        <v>82.2</v>
      </c>
      <c r="AA55" s="6">
        <v>0</v>
      </c>
      <c r="AB55" s="8">
        <f>+S55+U55+V55+W55+X55+Y55+AA55</f>
        <v>20494.199999999997</v>
      </c>
      <c r="AC55" s="8">
        <f t="shared" si="2"/>
        <v>1028.78</v>
      </c>
    </row>
    <row r="56" spans="1:30" x14ac:dyDescent="0.25">
      <c r="A56">
        <v>55</v>
      </c>
      <c r="F56" s="7" t="s">
        <v>23</v>
      </c>
      <c r="H56" s="7" t="s">
        <v>23</v>
      </c>
      <c r="I56" s="6">
        <f>55270.89+2621.38+473.6+1894.4+2139.49</f>
        <v>62399.759999999995</v>
      </c>
      <c r="J56" s="6">
        <f>1119.32+222</f>
        <v>1341.32</v>
      </c>
      <c r="K56" s="6">
        <v>0</v>
      </c>
      <c r="L56" s="6">
        <v>310.81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f t="shared" si="1"/>
        <v>64051.889999999992</v>
      </c>
      <c r="S56" s="6">
        <v>13726</v>
      </c>
      <c r="T56" s="9">
        <v>946.58</v>
      </c>
      <c r="U56" s="6">
        <v>256.12</v>
      </c>
      <c r="V56" s="6">
        <v>0</v>
      </c>
      <c r="W56" s="6">
        <v>0</v>
      </c>
      <c r="X56" s="6">
        <v>8735.9500000000007</v>
      </c>
      <c r="Y56" s="6">
        <v>243.5</v>
      </c>
      <c r="Z56" s="9">
        <v>120</v>
      </c>
      <c r="AA56" s="6">
        <v>0</v>
      </c>
      <c r="AB56" s="8">
        <f t="shared" si="0"/>
        <v>22961.57</v>
      </c>
      <c r="AC56" s="8">
        <f t="shared" si="2"/>
        <v>1066.58</v>
      </c>
    </row>
    <row r="57" spans="1:30" x14ac:dyDescent="0.25">
      <c r="A57">
        <v>56</v>
      </c>
      <c r="F57" s="7" t="s">
        <v>23</v>
      </c>
      <c r="H57" s="7" t="s">
        <v>23</v>
      </c>
      <c r="I57" s="6">
        <f>46519.37+2123.67+1068.56+636.92</f>
        <v>50348.52</v>
      </c>
      <c r="J57" s="6">
        <v>143.88</v>
      </c>
      <c r="K57" s="6">
        <v>0</v>
      </c>
      <c r="L57" s="6">
        <v>310.81</v>
      </c>
      <c r="M57" s="6">
        <v>1990.34</v>
      </c>
      <c r="N57" s="6">
        <v>0</v>
      </c>
      <c r="O57" s="6">
        <v>0</v>
      </c>
      <c r="P57" s="6">
        <v>0</v>
      </c>
      <c r="Q57" s="6">
        <v>0</v>
      </c>
      <c r="R57" s="6">
        <f t="shared" si="1"/>
        <v>52793.549999999988</v>
      </c>
      <c r="S57" s="6">
        <v>13726</v>
      </c>
      <c r="T57" s="9">
        <v>946.58</v>
      </c>
      <c r="U57" s="6">
        <v>207.24</v>
      </c>
      <c r="V57" s="6">
        <v>0</v>
      </c>
      <c r="W57" s="6">
        <v>0</v>
      </c>
      <c r="X57" s="6">
        <v>7048.88</v>
      </c>
      <c r="Y57" s="6">
        <v>0</v>
      </c>
      <c r="Z57" s="9">
        <v>0</v>
      </c>
      <c r="AA57" s="6">
        <v>0</v>
      </c>
      <c r="AB57" s="8">
        <f t="shared" si="0"/>
        <v>20982.12</v>
      </c>
      <c r="AC57" s="8">
        <f t="shared" si="2"/>
        <v>946.58</v>
      </c>
    </row>
    <row r="58" spans="1:30" x14ac:dyDescent="0.25">
      <c r="A58">
        <f t="shared" si="3"/>
        <v>57</v>
      </c>
      <c r="F58" s="7" t="s">
        <v>23</v>
      </c>
      <c r="G58" s="7" t="s">
        <v>23</v>
      </c>
      <c r="I58" s="6">
        <f>49759.42+6520.38+3243.68+314.24+859.2+3873.5+128.43+2124.32+3992.64</f>
        <v>70815.81</v>
      </c>
      <c r="J58" s="6">
        <f>8048.68+7557.3+20674.95+6851.37+15568.79+6634.8+736.5</f>
        <v>66072.390000000014</v>
      </c>
      <c r="K58" s="6">
        <v>0</v>
      </c>
      <c r="L58" s="6">
        <v>315.74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f t="shared" si="1"/>
        <v>137203.94</v>
      </c>
      <c r="S58" s="6">
        <v>12104.5</v>
      </c>
      <c r="T58" s="9">
        <v>2567.7399999999998</v>
      </c>
      <c r="U58" s="6">
        <v>300.39999999999998</v>
      </c>
      <c r="V58" s="6">
        <v>17700.96</v>
      </c>
      <c r="W58" s="6">
        <v>3618.36</v>
      </c>
      <c r="X58" s="6">
        <v>0</v>
      </c>
      <c r="Y58" s="6">
        <v>284.8</v>
      </c>
      <c r="Z58" s="9">
        <v>140.63999999999999</v>
      </c>
      <c r="AA58" s="6">
        <v>0</v>
      </c>
      <c r="AB58" s="8">
        <f t="shared" si="0"/>
        <v>34009.020000000004</v>
      </c>
      <c r="AC58" s="8">
        <f t="shared" si="2"/>
        <v>2708.3799999999997</v>
      </c>
    </row>
    <row r="59" spans="1:30" x14ac:dyDescent="0.25">
      <c r="A59">
        <f t="shared" si="3"/>
        <v>58</v>
      </c>
      <c r="F59" s="7" t="s">
        <v>23</v>
      </c>
      <c r="G59" s="7" t="s">
        <v>23</v>
      </c>
      <c r="I59" s="6">
        <f>60615.66+2042.55+3450.48+314.24+3036.5+1712.4+2658.72+1256.96</f>
        <v>75087.510000000009</v>
      </c>
      <c r="J59" s="6">
        <f>9299.58+4595.76+13399.8+3574.48+1701.7+2482.98+12603.7+6580.56+1207.86+1862.24+513.72</f>
        <v>57822.38</v>
      </c>
      <c r="K59" s="6">
        <v>0</v>
      </c>
      <c r="L59" s="6">
        <v>310.8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f t="shared" si="1"/>
        <v>133220.69</v>
      </c>
      <c r="S59" s="6">
        <v>12104.5</v>
      </c>
      <c r="T59" s="9">
        <v>2567.7399999999998</v>
      </c>
      <c r="U59" s="6">
        <v>343.56</v>
      </c>
      <c r="V59" s="6">
        <v>20249.400000000001</v>
      </c>
      <c r="W59" s="6">
        <v>4069.72</v>
      </c>
      <c r="X59" s="6">
        <v>0</v>
      </c>
      <c r="Y59" s="6">
        <v>326.14</v>
      </c>
      <c r="Z59" s="9">
        <v>160.76</v>
      </c>
      <c r="AA59" s="6">
        <v>0</v>
      </c>
      <c r="AB59" s="8">
        <f t="shared" si="0"/>
        <v>37093.32</v>
      </c>
      <c r="AC59" s="8">
        <f t="shared" si="2"/>
        <v>2728.5</v>
      </c>
    </row>
    <row r="60" spans="1:30" x14ac:dyDescent="0.25">
      <c r="A60">
        <f t="shared" si="3"/>
        <v>59</v>
      </c>
      <c r="F60" s="7" t="s">
        <v>23</v>
      </c>
      <c r="G60" s="7" t="s">
        <v>23</v>
      </c>
      <c r="I60" s="6">
        <f>58519.18+4461.6+3450.48+314.24+942.72+4199.88+423.48+3299.52+2187.36</f>
        <v>77798.460000000006</v>
      </c>
      <c r="J60" s="6">
        <f>5474.97+4399.36+13926.23+3228.06+476.42+8590.77+3761.64+883.8</f>
        <v>40741.25</v>
      </c>
      <c r="K60" s="6">
        <v>0</v>
      </c>
      <c r="L60" s="6">
        <v>310.8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f t="shared" si="1"/>
        <v>118850.51000000001</v>
      </c>
      <c r="S60" s="6">
        <v>12104.5</v>
      </c>
      <c r="T60" s="9">
        <v>2567.7399999999998</v>
      </c>
      <c r="U60" s="6">
        <v>331.56</v>
      </c>
      <c r="V60" s="6">
        <v>19656.5</v>
      </c>
      <c r="W60" s="6">
        <v>4000.32</v>
      </c>
      <c r="X60" s="6">
        <v>0</v>
      </c>
      <c r="Y60" s="6">
        <v>316.3</v>
      </c>
      <c r="Z60" s="9">
        <v>156.12</v>
      </c>
      <c r="AA60" s="6">
        <v>0</v>
      </c>
      <c r="AB60" s="8">
        <f t="shared" si="0"/>
        <v>36409.18</v>
      </c>
      <c r="AC60" s="8">
        <f t="shared" si="2"/>
        <v>2723.8599999999997</v>
      </c>
    </row>
    <row r="61" spans="1:30" x14ac:dyDescent="0.25">
      <c r="A61">
        <v>60</v>
      </c>
      <c r="F61" s="7" t="s">
        <v>23</v>
      </c>
      <c r="H61" s="7" t="s">
        <v>23</v>
      </c>
      <c r="I61" s="6">
        <f>40814.28+3290.04+4384.25+5031.39</f>
        <v>53519.96</v>
      </c>
      <c r="J61" s="6">
        <f>11341.01+296.4</f>
        <v>11637.41</v>
      </c>
      <c r="K61" s="6">
        <v>0</v>
      </c>
      <c r="L61" s="6">
        <v>310.82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f t="shared" si="1"/>
        <v>65468.189999999995</v>
      </c>
      <c r="S61" s="6">
        <v>13726</v>
      </c>
      <c r="T61" s="9">
        <v>946.02</v>
      </c>
      <c r="U61" s="6">
        <v>212.34</v>
      </c>
      <c r="V61" s="6">
        <v>0</v>
      </c>
      <c r="W61" s="6">
        <v>0</v>
      </c>
      <c r="X61" s="6">
        <v>7492.81</v>
      </c>
      <c r="Y61" s="6">
        <v>201.2</v>
      </c>
      <c r="Z61" s="9">
        <v>99.28</v>
      </c>
      <c r="AA61" s="6">
        <v>0</v>
      </c>
      <c r="AB61" s="8">
        <f t="shared" si="0"/>
        <v>21632.350000000002</v>
      </c>
      <c r="AC61" s="8">
        <f t="shared" si="2"/>
        <v>1045.3</v>
      </c>
    </row>
    <row r="62" spans="1:30" x14ac:dyDescent="0.25">
      <c r="A62">
        <f t="shared" si="3"/>
        <v>61</v>
      </c>
      <c r="F62" s="7" t="s">
        <v>23</v>
      </c>
      <c r="H62" s="7" t="s">
        <v>23</v>
      </c>
      <c r="I62" s="6">
        <f>30726.25+1794.96+99.72+1770.03+1071.99</f>
        <v>35462.949999999997</v>
      </c>
      <c r="J62" s="6">
        <f>2711.17+149.58</f>
        <v>2860.75</v>
      </c>
      <c r="K62" s="6">
        <v>2094.12</v>
      </c>
      <c r="L62" s="6">
        <v>311.19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f t="shared" si="1"/>
        <v>40729.01</v>
      </c>
      <c r="S62" s="6">
        <v>11492.74</v>
      </c>
      <c r="T62" s="9">
        <v>781.46</v>
      </c>
      <c r="U62" s="6">
        <v>147.88</v>
      </c>
      <c r="V62" s="6">
        <v>0</v>
      </c>
      <c r="W62" s="6">
        <v>0</v>
      </c>
      <c r="X62" s="6">
        <v>4964.8500000000004</v>
      </c>
      <c r="Y62" s="6">
        <v>138.80000000000001</v>
      </c>
      <c r="Z62" s="9">
        <v>67.36</v>
      </c>
      <c r="AA62" s="6">
        <v>0</v>
      </c>
      <c r="AB62" s="8">
        <f t="shared" si="0"/>
        <v>16744.27</v>
      </c>
      <c r="AC62" s="8">
        <f t="shared" si="2"/>
        <v>848.82</v>
      </c>
    </row>
    <row r="63" spans="1:30" x14ac:dyDescent="0.25">
      <c r="A63">
        <f t="shared" si="3"/>
        <v>62</v>
      </c>
      <c r="B63" s="7" t="s">
        <v>23</v>
      </c>
      <c r="E63" s="7" t="s">
        <v>23</v>
      </c>
      <c r="H63" s="7" t="s">
        <v>23</v>
      </c>
      <c r="I63" s="6">
        <f>110346.32+5341.36+480.77+2456.74+8225.95</f>
        <v>126851.14000000001</v>
      </c>
      <c r="J63" s="6">
        <v>0</v>
      </c>
      <c r="K63" s="6">
        <v>0</v>
      </c>
      <c r="L63" s="6">
        <v>310.81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f t="shared" si="1"/>
        <v>127161.95000000001</v>
      </c>
      <c r="S63" s="6">
        <v>13726</v>
      </c>
      <c r="T63" s="9">
        <v>938.98</v>
      </c>
      <c r="U63" s="6">
        <v>488.2</v>
      </c>
      <c r="V63" s="6">
        <v>0</v>
      </c>
      <c r="W63" s="6">
        <v>0</v>
      </c>
      <c r="X63" s="6">
        <v>17759.22</v>
      </c>
      <c r="Y63" s="6">
        <v>468.28</v>
      </c>
      <c r="Z63" s="9">
        <v>231.48</v>
      </c>
      <c r="AA63" s="6">
        <v>0</v>
      </c>
      <c r="AB63" s="8">
        <f t="shared" si="0"/>
        <v>32441.7</v>
      </c>
      <c r="AC63" s="8">
        <f t="shared" si="2"/>
        <v>1170.46</v>
      </c>
      <c r="AD63" s="8"/>
    </row>
    <row r="64" spans="1:30" x14ac:dyDescent="0.25">
      <c r="A64">
        <f t="shared" si="3"/>
        <v>63</v>
      </c>
      <c r="F64" s="7" t="s">
        <v>23</v>
      </c>
      <c r="G64" s="7" t="s">
        <v>23</v>
      </c>
      <c r="I64" s="6">
        <f>53357+6162.62+3243.68+1247.32+1508.48+2930.88</f>
        <v>68449.98000000001</v>
      </c>
      <c r="J64" s="6">
        <f>19328.85+4147.34+10384.92+3991.26+14804.99+12802.56</f>
        <v>65459.92</v>
      </c>
      <c r="K64" s="6">
        <v>0</v>
      </c>
      <c r="L64" s="6">
        <v>310.8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f t="shared" si="1"/>
        <v>134220.70000000001</v>
      </c>
      <c r="S64" s="6">
        <v>12104.5</v>
      </c>
      <c r="T64" s="9">
        <v>2567.7399999999998</v>
      </c>
      <c r="U64" s="6">
        <v>306.45999999999998</v>
      </c>
      <c r="V64" s="6">
        <v>18025.82</v>
      </c>
      <c r="W64" s="6">
        <v>3656.97</v>
      </c>
      <c r="X64" s="6">
        <v>0</v>
      </c>
      <c r="Y64" s="6">
        <v>290.10000000000002</v>
      </c>
      <c r="Z64" s="9">
        <v>143.19999999999999</v>
      </c>
      <c r="AA64" s="6">
        <v>0</v>
      </c>
      <c r="AB64" s="8">
        <f t="shared" si="0"/>
        <v>34383.85</v>
      </c>
      <c r="AC64" s="8">
        <f t="shared" si="2"/>
        <v>2710.9399999999996</v>
      </c>
      <c r="AD64" s="8"/>
    </row>
    <row r="65" spans="1:30" x14ac:dyDescent="0.25">
      <c r="A65">
        <f t="shared" si="3"/>
        <v>64</v>
      </c>
      <c r="F65" s="7" t="s">
        <v>23</v>
      </c>
      <c r="G65" s="7" t="s">
        <v>23</v>
      </c>
      <c r="I65" s="6">
        <f>58655.32+4003.58+3627.2+927.04+1661.6+3640.72+1180</f>
        <v>73695.460000000006</v>
      </c>
      <c r="J65" s="6">
        <f>7346.18+9285.78+11146.94+2354.14+11034.84+6164.7+883.8</f>
        <v>48216.380000000005</v>
      </c>
      <c r="K65" s="6">
        <v>0</v>
      </c>
      <c r="L65" s="6">
        <v>310.8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f t="shared" si="1"/>
        <v>122222.64000000001</v>
      </c>
      <c r="S65" s="6">
        <v>12104.5</v>
      </c>
      <c r="T65" s="9">
        <v>2567.7399999999998</v>
      </c>
      <c r="U65" s="6">
        <v>314.62</v>
      </c>
      <c r="V65" s="6">
        <v>18573.900000000001</v>
      </c>
      <c r="W65" s="6">
        <v>3789.68</v>
      </c>
      <c r="X65" s="6">
        <v>0</v>
      </c>
      <c r="Y65" s="6">
        <v>298.94</v>
      </c>
      <c r="Z65" s="9">
        <v>147.6</v>
      </c>
      <c r="AA65" s="6">
        <v>0</v>
      </c>
      <c r="AB65" s="8">
        <f t="shared" si="0"/>
        <v>35081.640000000007</v>
      </c>
      <c r="AC65" s="8">
        <f t="shared" si="2"/>
        <v>2715.3399999999997</v>
      </c>
      <c r="AD65" s="8"/>
    </row>
    <row r="66" spans="1:30" x14ac:dyDescent="0.25">
      <c r="A66">
        <v>65</v>
      </c>
      <c r="C66" s="7" t="s">
        <v>23</v>
      </c>
      <c r="E66" s="7" t="s">
        <v>23</v>
      </c>
      <c r="H66" s="7" t="s">
        <v>23</v>
      </c>
      <c r="I66" s="6">
        <f>69962.38+3313.92+312.7+2443.87+1265+3266.57</f>
        <v>80564.44</v>
      </c>
      <c r="J66" s="6">
        <v>0</v>
      </c>
      <c r="K66" s="6">
        <v>0</v>
      </c>
      <c r="L66" s="6">
        <v>311.10000000000002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f t="shared" si="1"/>
        <v>80875.540000000008</v>
      </c>
      <c r="S66" s="9">
        <v>13641.94</v>
      </c>
      <c r="T66" s="9">
        <v>941.42</v>
      </c>
      <c r="U66" s="6">
        <v>313.5</v>
      </c>
      <c r="V66" s="6">
        <v>0</v>
      </c>
      <c r="W66" s="6">
        <v>0</v>
      </c>
      <c r="X66" s="6">
        <v>11278.84</v>
      </c>
      <c r="Y66" s="6">
        <v>299.64</v>
      </c>
      <c r="Z66" s="9">
        <v>148.07</v>
      </c>
      <c r="AA66" s="6">
        <v>0</v>
      </c>
      <c r="AB66" s="8">
        <f t="shared" ref="AB66:AB72" si="4">+S66+U66+V66+W66+X66+Y66+AA66</f>
        <v>25533.919999999998</v>
      </c>
      <c r="AC66" s="8">
        <f t="shared" si="2"/>
        <v>1089.49</v>
      </c>
    </row>
    <row r="67" spans="1:30" x14ac:dyDescent="0.25">
      <c r="A67">
        <f t="shared" si="3"/>
        <v>66</v>
      </c>
      <c r="B67" s="7" t="s">
        <v>23</v>
      </c>
      <c r="E67" s="7" t="s">
        <v>23</v>
      </c>
      <c r="H67" s="7" t="s">
        <v>23</v>
      </c>
      <c r="I67" s="6">
        <f>110730.92+4879.84+480.77+1173.08+1548.09+1692.32</f>
        <v>120505.02</v>
      </c>
      <c r="J67" s="6">
        <v>0</v>
      </c>
      <c r="K67" s="6">
        <v>1692.32</v>
      </c>
      <c r="L67" s="6">
        <v>310.81</v>
      </c>
      <c r="M67" s="6">
        <v>0</v>
      </c>
      <c r="N67" s="6">
        <v>0</v>
      </c>
      <c r="O67" s="6">
        <v>0</v>
      </c>
      <c r="P67" s="6">
        <v>0</v>
      </c>
      <c r="Q67" s="6">
        <v>3696.17</v>
      </c>
      <c r="R67" s="6">
        <f t="shared" ref="R67:R72" si="5">SUM(I67:Q67)</f>
        <v>126204.32</v>
      </c>
      <c r="S67" s="6">
        <v>13612.48</v>
      </c>
      <c r="T67" s="9">
        <v>939.68</v>
      </c>
      <c r="U67" s="6">
        <v>456.72</v>
      </c>
      <c r="V67" s="6">
        <v>0</v>
      </c>
      <c r="W67" s="6">
        <v>0</v>
      </c>
      <c r="X67" s="6">
        <v>16396.8</v>
      </c>
      <c r="Y67" s="6">
        <v>423.84</v>
      </c>
      <c r="Z67" s="9">
        <v>206.56</v>
      </c>
      <c r="AA67" s="6">
        <v>0</v>
      </c>
      <c r="AB67" s="8">
        <f t="shared" si="4"/>
        <v>30889.84</v>
      </c>
      <c r="AC67" s="8">
        <f t="shared" ref="AC67:AC72" si="6">+T67+Z67</f>
        <v>1146.24</v>
      </c>
    </row>
    <row r="68" spans="1:30" x14ac:dyDescent="0.25">
      <c r="A68">
        <f t="shared" ref="A68:A72" si="7">+A67+1</f>
        <v>67</v>
      </c>
      <c r="E68" s="7" t="s">
        <v>23</v>
      </c>
      <c r="H68" s="7" t="s">
        <v>23</v>
      </c>
      <c r="I68" s="6">
        <f>60833.15+2859.93+2123.36+1817.32+292.3</f>
        <v>67926.060000000012</v>
      </c>
      <c r="J68" s="6">
        <v>0</v>
      </c>
      <c r="K68" s="6">
        <v>0</v>
      </c>
      <c r="L68" s="6">
        <v>311.11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f t="shared" si="5"/>
        <v>68237.170000000013</v>
      </c>
      <c r="S68" s="6">
        <v>13473.95</v>
      </c>
      <c r="T68" s="9">
        <v>931.13</v>
      </c>
      <c r="U68" s="6">
        <v>299.20999999999998</v>
      </c>
      <c r="V68" s="6">
        <v>0</v>
      </c>
      <c r="W68" s="6">
        <v>0</v>
      </c>
      <c r="X68" s="6">
        <v>6943.87</v>
      </c>
      <c r="Y68" s="6">
        <v>0</v>
      </c>
      <c r="Z68" s="9">
        <v>0</v>
      </c>
      <c r="AA68" s="6">
        <v>0</v>
      </c>
      <c r="AB68" s="8">
        <f t="shared" si="4"/>
        <v>20717.03</v>
      </c>
      <c r="AC68" s="8">
        <f t="shared" si="6"/>
        <v>931.13</v>
      </c>
    </row>
    <row r="69" spans="1:30" x14ac:dyDescent="0.25">
      <c r="A69">
        <f t="shared" si="7"/>
        <v>68</v>
      </c>
      <c r="F69" s="7" t="s">
        <v>23</v>
      </c>
      <c r="G69" s="7" t="s">
        <v>23</v>
      </c>
      <c r="I69" s="6">
        <f>47134.6+2477.84+219.92+117.84+2785.22+1105.7+1845.28</f>
        <v>55686.399999999994</v>
      </c>
      <c r="J69" s="6">
        <f>8619.28+4697.75+9193.83+5329.8</f>
        <v>27840.66</v>
      </c>
      <c r="K69" s="6">
        <v>0</v>
      </c>
      <c r="L69" s="6">
        <v>311.20999999999998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f t="shared" si="5"/>
        <v>83838.27</v>
      </c>
      <c r="S69" s="6">
        <v>11944.54</v>
      </c>
      <c r="T69" s="9">
        <v>2533.84</v>
      </c>
      <c r="U69" s="6">
        <v>241.24</v>
      </c>
      <c r="V69" s="6">
        <v>8250.5</v>
      </c>
      <c r="W69" s="6">
        <v>1869.32</v>
      </c>
      <c r="X69" s="6">
        <v>0</v>
      </c>
      <c r="Y69" s="6">
        <v>225.78</v>
      </c>
      <c r="Z69" s="9">
        <v>112.52</v>
      </c>
      <c r="AA69" s="6">
        <v>0</v>
      </c>
      <c r="AB69" s="8">
        <f t="shared" si="4"/>
        <v>22531.379999999997</v>
      </c>
      <c r="AC69" s="8">
        <f t="shared" si="6"/>
        <v>2646.36</v>
      </c>
    </row>
    <row r="70" spans="1:30" x14ac:dyDescent="0.25">
      <c r="A70">
        <f t="shared" si="7"/>
        <v>69</v>
      </c>
      <c r="F70" s="7" t="s">
        <v>23</v>
      </c>
      <c r="G70" s="7" t="s">
        <v>23</v>
      </c>
      <c r="I70" s="6">
        <f>49093.59+2696.09+2807.36+3032.01+634.41+1869.84</f>
        <v>60133.299999999996</v>
      </c>
      <c r="J70" s="6">
        <f>16308.65+8408.35+10427.46+10129.08+3982.89+2394.93</f>
        <v>51651.360000000001</v>
      </c>
      <c r="K70" s="6">
        <v>0</v>
      </c>
      <c r="L70" s="6">
        <v>310.8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f t="shared" si="5"/>
        <v>112095.46</v>
      </c>
      <c r="S70" s="6">
        <v>10974.34</v>
      </c>
      <c r="T70" s="9">
        <v>2328.04</v>
      </c>
      <c r="U70" s="6">
        <v>272.74</v>
      </c>
      <c r="V70" s="6">
        <v>15993.72</v>
      </c>
      <c r="W70" s="6">
        <v>1822.36</v>
      </c>
      <c r="X70" s="6">
        <v>0</v>
      </c>
      <c r="Y70" s="6">
        <v>258.02</v>
      </c>
      <c r="Z70" s="9">
        <v>128.63999999999999</v>
      </c>
      <c r="AA70" s="6">
        <v>0</v>
      </c>
      <c r="AB70" s="8">
        <f t="shared" si="4"/>
        <v>29321.18</v>
      </c>
      <c r="AC70" s="8">
        <f t="shared" si="6"/>
        <v>2456.6799999999998</v>
      </c>
    </row>
    <row r="71" spans="1:30" x14ac:dyDescent="0.25">
      <c r="A71">
        <v>70</v>
      </c>
      <c r="F71" s="7" t="s">
        <v>23</v>
      </c>
      <c r="H71" s="7" t="s">
        <v>23</v>
      </c>
      <c r="I71" s="6">
        <f>46321.24+2855.86+378.51+752.28</f>
        <v>50307.89</v>
      </c>
      <c r="J71" s="6">
        <f>5675.57+70.97</f>
        <v>5746.54</v>
      </c>
      <c r="K71" s="6">
        <v>0</v>
      </c>
      <c r="L71" s="6">
        <v>310.81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f t="shared" si="5"/>
        <v>56365.24</v>
      </c>
      <c r="S71" s="6">
        <v>12439.66</v>
      </c>
      <c r="T71" s="9">
        <v>862.72</v>
      </c>
      <c r="U71" s="6">
        <v>207.96</v>
      </c>
      <c r="V71" s="6">
        <v>0</v>
      </c>
      <c r="W71" s="6">
        <v>0</v>
      </c>
      <c r="X71" s="6">
        <v>3366.81</v>
      </c>
      <c r="Y71" s="6">
        <v>168.51</v>
      </c>
      <c r="Z71" s="9">
        <v>89.57</v>
      </c>
      <c r="AA71" s="6">
        <v>0</v>
      </c>
      <c r="AB71" s="8">
        <f t="shared" si="4"/>
        <v>16182.939999999999</v>
      </c>
      <c r="AC71" s="8">
        <f t="shared" si="6"/>
        <v>952.29</v>
      </c>
    </row>
    <row r="72" spans="1:30" x14ac:dyDescent="0.25">
      <c r="A72">
        <f t="shared" si="7"/>
        <v>71</v>
      </c>
      <c r="F72" s="7" t="s">
        <v>23</v>
      </c>
      <c r="G72" s="7" t="s">
        <v>23</v>
      </c>
      <c r="I72" s="6">
        <f>39743.71+2116.88+92.4+2264.6+25.53+1598.72</f>
        <v>45841.84</v>
      </c>
      <c r="J72" s="6">
        <f>10433.37+4667.89+6777.78+7454.52</f>
        <v>29333.56</v>
      </c>
      <c r="K72" s="6">
        <v>0</v>
      </c>
      <c r="L72" s="6">
        <v>310.8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f t="shared" si="5"/>
        <v>75486.2</v>
      </c>
      <c r="S72" s="6">
        <v>10974.34</v>
      </c>
      <c r="T72" s="9">
        <v>2328.04</v>
      </c>
      <c r="U72" s="6">
        <v>206.52</v>
      </c>
      <c r="V72" s="6">
        <v>6156.02</v>
      </c>
      <c r="W72" s="6">
        <v>1319.36</v>
      </c>
      <c r="X72" s="6">
        <v>0</v>
      </c>
      <c r="Y72" s="6">
        <v>178.86</v>
      </c>
      <c r="Z72" s="9">
        <v>88.68</v>
      </c>
      <c r="AA72" s="6">
        <v>0</v>
      </c>
      <c r="AB72" s="8">
        <f t="shared" si="4"/>
        <v>18835.100000000002</v>
      </c>
      <c r="AC72" s="8">
        <f t="shared" si="6"/>
        <v>2416.7199999999998</v>
      </c>
    </row>
    <row r="73" spans="1:30" ht="15.75" thickBot="1" x14ac:dyDescent="0.3">
      <c r="I73" s="22">
        <f>+SUM(I2:I72)</f>
        <v>5328127.4199999981</v>
      </c>
      <c r="J73" s="22">
        <f t="shared" ref="J73:AC73" si="8">+SUM(J2:J72)</f>
        <v>1421681.0299999998</v>
      </c>
      <c r="K73" s="22">
        <f t="shared" si="8"/>
        <v>54821.08</v>
      </c>
      <c r="L73" s="22">
        <f t="shared" si="8"/>
        <v>25929.450000000004</v>
      </c>
      <c r="M73" s="22">
        <f t="shared" si="8"/>
        <v>86071.719999999972</v>
      </c>
      <c r="N73" s="22">
        <f t="shared" si="8"/>
        <v>3022.6099999999997</v>
      </c>
      <c r="O73" s="22">
        <f t="shared" si="8"/>
        <v>2650</v>
      </c>
      <c r="P73" s="22">
        <f t="shared" si="8"/>
        <v>13635.28</v>
      </c>
      <c r="Q73" s="22">
        <f t="shared" si="8"/>
        <v>11401.779999999999</v>
      </c>
      <c r="R73" s="22">
        <f t="shared" si="8"/>
        <v>6947340.370000002</v>
      </c>
      <c r="S73" s="22">
        <f t="shared" si="8"/>
        <v>895628.82999999984</v>
      </c>
      <c r="T73" s="22">
        <f t="shared" si="8"/>
        <v>113370.97000000006</v>
      </c>
      <c r="U73" s="22">
        <f t="shared" si="8"/>
        <v>22363.360000000004</v>
      </c>
      <c r="V73" s="22">
        <f t="shared" si="8"/>
        <v>923617.32</v>
      </c>
      <c r="W73" s="22">
        <f t="shared" si="8"/>
        <v>114022.58</v>
      </c>
      <c r="X73" s="22">
        <f t="shared" si="8"/>
        <v>359397.96</v>
      </c>
      <c r="Y73" s="22">
        <f t="shared" si="8"/>
        <v>20518.179999999989</v>
      </c>
      <c r="Z73" s="22">
        <f t="shared" si="8"/>
        <v>10113.630000000006</v>
      </c>
      <c r="AA73" s="22">
        <f t="shared" si="8"/>
        <v>47500</v>
      </c>
      <c r="AB73" s="22">
        <f t="shared" si="8"/>
        <v>2383048.2299999991</v>
      </c>
      <c r="AC73" s="22">
        <f t="shared" si="8"/>
        <v>123484.59999999999</v>
      </c>
    </row>
    <row r="74" spans="1:30" ht="15.75" thickTop="1" x14ac:dyDescent="0.25"/>
    <row r="76" spans="1:30" ht="36" x14ac:dyDescent="0.25">
      <c r="H76" s="15" t="s">
        <v>30</v>
      </c>
      <c r="I76" s="11" t="s">
        <v>8</v>
      </c>
      <c r="J76" s="11" t="s">
        <v>9</v>
      </c>
      <c r="K76" s="11" t="s">
        <v>10</v>
      </c>
      <c r="L76" s="12" t="s">
        <v>11</v>
      </c>
      <c r="M76" s="12" t="s">
        <v>12</v>
      </c>
      <c r="N76" s="12" t="s">
        <v>13</v>
      </c>
      <c r="O76" s="13" t="s">
        <v>27</v>
      </c>
      <c r="P76" s="13" t="s">
        <v>29</v>
      </c>
      <c r="Q76" s="13" t="s">
        <v>28</v>
      </c>
      <c r="R76" s="12" t="s">
        <v>14</v>
      </c>
      <c r="S76" s="13" t="s">
        <v>15</v>
      </c>
      <c r="T76" s="17" t="s">
        <v>16</v>
      </c>
      <c r="U76" s="13" t="s">
        <v>17</v>
      </c>
      <c r="V76" s="14" t="s">
        <v>18</v>
      </c>
      <c r="W76" s="14" t="s">
        <v>19</v>
      </c>
      <c r="X76" s="14" t="s">
        <v>24</v>
      </c>
      <c r="Y76" s="14" t="s">
        <v>20</v>
      </c>
      <c r="Z76" s="20" t="s">
        <v>21</v>
      </c>
      <c r="AA76" s="14" t="s">
        <v>22</v>
      </c>
      <c r="AB76" s="14" t="s">
        <v>25</v>
      </c>
      <c r="AC76" s="14" t="s">
        <v>26</v>
      </c>
    </row>
    <row r="77" spans="1:30" s="6" customFormat="1" x14ac:dyDescent="0.25">
      <c r="A77"/>
      <c r="B77" s="7"/>
      <c r="C77" s="7"/>
      <c r="D77" s="7"/>
      <c r="E77" s="7"/>
      <c r="F77" s="7"/>
      <c r="G77" s="7"/>
      <c r="H77" s="7" t="s">
        <v>1</v>
      </c>
      <c r="I77" s="6">
        <f>+SUMIF($B$2:$B$72,"X",I2:I72)</f>
        <v>870130.72</v>
      </c>
      <c r="J77" s="6">
        <f>+SUMIF($B$2:$B$72,"X",J2:J72)</f>
        <v>0</v>
      </c>
      <c r="K77" s="6">
        <f>+SUMIF($B$2:$B$72,"X",K2:K72)</f>
        <v>7429.1799999999994</v>
      </c>
      <c r="L77" s="6">
        <f>+SUMIF($B$2:$B$72,"X",L2:L72)</f>
        <v>1530.3999999999999</v>
      </c>
      <c r="M77" s="6">
        <f>+SUMIF($B$2:$B$72,"X",M2:M72)</f>
        <v>17142.189999999999</v>
      </c>
      <c r="N77" s="6">
        <f>+SUMIF($B$2:$B$72,"X",N2:N72)</f>
        <v>77.7</v>
      </c>
      <c r="O77" s="6">
        <f>+SUMIF($B$2:$B$72,"X",O2:O72)</f>
        <v>0</v>
      </c>
      <c r="P77" s="6">
        <f>+SUMIF($B$2:$B$72,"X",P2:P72)</f>
        <v>13635.28</v>
      </c>
      <c r="Q77" s="6">
        <f>+SUMIF($B$2:$B$72,"X",Q2:Q72)</f>
        <v>11401.779999999999</v>
      </c>
      <c r="R77" s="6">
        <f>+SUMIF($B$2:$B$72,"X",R2:R72)</f>
        <v>921347.25</v>
      </c>
      <c r="S77" s="6">
        <f>+SUMIF($B$2:$B$72,"X",S2:S72)</f>
        <v>68516.479999999996</v>
      </c>
      <c r="T77" s="6">
        <f>+SUMIF($B$2:$B$72,"X",T2:T72)</f>
        <v>4718.4000000000005</v>
      </c>
      <c r="U77" s="6">
        <f>+SUMIF($B$2:$B$72,"X",U2:U72)</f>
        <v>3472.74</v>
      </c>
      <c r="V77" s="6">
        <f>+SUMIF($B$2:$B$72,"X",V2:V72)</f>
        <v>0</v>
      </c>
      <c r="W77" s="6">
        <f>+SUMIF($B$2:$B$72,"X",W2:W72)</f>
        <v>0</v>
      </c>
      <c r="X77" s="6">
        <f>+SUMIF($B$2:$B$72,"X",X2:X72)</f>
        <v>119512.78</v>
      </c>
      <c r="Y77" s="6">
        <f>+SUMIF($B$2:$B$72,"X",Y2:Y72)</f>
        <v>3099.24</v>
      </c>
      <c r="Z77" s="6">
        <f>+SUMIF($B$2:$B$72,"X",Z2:Z72)</f>
        <v>1526.04</v>
      </c>
      <c r="AA77" s="6">
        <f>+SUMIF($B$2:$B$72,"X",AA2:AA72)</f>
        <v>47500</v>
      </c>
      <c r="AB77" s="6">
        <f>+SUMIF($B$2:$B$72,"X",AB2:AB72)</f>
        <v>242101.24</v>
      </c>
      <c r="AC77" s="6">
        <f>+SUMIF($B$2:$B$72,"X",AC2:AC72)</f>
        <v>6244.44</v>
      </c>
      <c r="AD77"/>
    </row>
    <row r="78" spans="1:30" s="6" customFormat="1" x14ac:dyDescent="0.25">
      <c r="A78"/>
      <c r="B78" s="7"/>
      <c r="C78" s="7"/>
      <c r="D78" s="7"/>
      <c r="E78" s="7"/>
      <c r="F78" s="7"/>
      <c r="G78" s="7"/>
      <c r="H78" s="7" t="s">
        <v>2</v>
      </c>
      <c r="I78" s="6">
        <f>+SUMIF($C$2:$C$72,"X",I2:I72)</f>
        <v>587042.1100000001</v>
      </c>
      <c r="J78" s="6">
        <f>+SUMIF($C$2:$C$72,"X",J2:J72)</f>
        <v>0</v>
      </c>
      <c r="K78" s="6">
        <f>+SUMIF($C$2:$C$72,"X",K2:K72)</f>
        <v>6161.1799999999994</v>
      </c>
      <c r="L78" s="6">
        <f>+SUMIF($C$2:$C$72,"X",L2:L72)</f>
        <v>3365.3599999999997</v>
      </c>
      <c r="M78" s="6">
        <f>+SUMIF($C$2:$C$72,"X",M2:M72)</f>
        <v>8764.93</v>
      </c>
      <c r="N78" s="6">
        <f>+SUMIF($C$2:$C$72,"X",N2:N72)</f>
        <v>0</v>
      </c>
      <c r="O78" s="6">
        <f>+SUMIF($C$2:$C$72,"X",O2:O72)</f>
        <v>0</v>
      </c>
      <c r="P78" s="6">
        <f>+SUMIF($C$2:$C$72,"X",P2:P72)</f>
        <v>0</v>
      </c>
      <c r="Q78" s="6">
        <f>+SUMIF($C$2:$C$72,"X",Q2:Q72)</f>
        <v>0</v>
      </c>
      <c r="R78" s="6">
        <f>+SUMIF($C$2:$C$72,"X",R2:R72)</f>
        <v>605333.58000000007</v>
      </c>
      <c r="S78" s="6">
        <f>+SUMIF($C$2:$C$72,"X",S2:S72)</f>
        <v>82271.94</v>
      </c>
      <c r="T78" s="6">
        <f>+SUMIF($C$2:$C$72,"X",T2:T72)</f>
        <v>5674.3200000000006</v>
      </c>
      <c r="U78" s="6">
        <f>+SUMIF($C$2:$C$72,"X",U2:U72)</f>
        <v>2366.16</v>
      </c>
      <c r="V78" s="6">
        <f>+SUMIF($C$2:$C$72,"X",V2:V72)</f>
        <v>88357.83</v>
      </c>
      <c r="W78" s="6">
        <f>+SUMIF($C$2:$C$72,"X",W2:W72)</f>
        <v>0</v>
      </c>
      <c r="X78" s="6">
        <f>+SUMIF($C$2:$C$72,"X",X2:X72)</f>
        <v>58297.61</v>
      </c>
      <c r="Y78" s="6">
        <f>+SUMIF($C$2:$C$72,"X",Y2:Y72)</f>
        <v>2269.7199999999998</v>
      </c>
      <c r="Z78" s="6">
        <f>+SUMIF($C$2:$C$72,"X",Z2:Z72)</f>
        <v>1115.07</v>
      </c>
      <c r="AA78" s="6">
        <f>+SUMIF($C$2:$C$72,"X",AA2:AA72)</f>
        <v>0</v>
      </c>
      <c r="AB78" s="6">
        <f>+SUMIF($C$2:$C$72,"X",AB2:AB72)</f>
        <v>233563.26</v>
      </c>
      <c r="AC78" s="6">
        <f>+SUMIF($C$2:$C$72,"X",AC2:AC72)</f>
        <v>6789.39</v>
      </c>
      <c r="AD78"/>
    </row>
    <row r="79" spans="1:30" s="6" customFormat="1" ht="15.75" thickBot="1" x14ac:dyDescent="0.3">
      <c r="A79"/>
      <c r="B79" s="7"/>
      <c r="C79" s="7"/>
      <c r="D79" s="7"/>
      <c r="E79" s="7"/>
      <c r="F79" s="7"/>
      <c r="G79" s="7"/>
      <c r="H79" s="7" t="s">
        <v>31</v>
      </c>
      <c r="I79" s="10">
        <f>+SUM(I77:I78)</f>
        <v>1457172.83</v>
      </c>
      <c r="J79" s="10">
        <f t="shared" ref="J79:AC79" si="9">+SUM(J77:J78)</f>
        <v>0</v>
      </c>
      <c r="K79" s="10">
        <f t="shared" si="9"/>
        <v>13590.359999999999</v>
      </c>
      <c r="L79" s="10">
        <f t="shared" si="9"/>
        <v>4895.7599999999993</v>
      </c>
      <c r="M79" s="10">
        <f t="shared" si="9"/>
        <v>25907.119999999999</v>
      </c>
      <c r="N79" s="10">
        <f t="shared" si="9"/>
        <v>77.7</v>
      </c>
      <c r="O79" s="10">
        <f t="shared" si="9"/>
        <v>0</v>
      </c>
      <c r="P79" s="10">
        <f t="shared" si="9"/>
        <v>13635.28</v>
      </c>
      <c r="Q79" s="10">
        <f t="shared" si="9"/>
        <v>11401.779999999999</v>
      </c>
      <c r="R79" s="10">
        <f t="shared" si="9"/>
        <v>1526680.83</v>
      </c>
      <c r="S79" s="10">
        <f t="shared" si="9"/>
        <v>150788.41999999998</v>
      </c>
      <c r="T79" s="18">
        <f t="shared" si="9"/>
        <v>10392.720000000001</v>
      </c>
      <c r="U79" s="10">
        <f t="shared" si="9"/>
        <v>5838.9</v>
      </c>
      <c r="V79" s="10">
        <f t="shared" si="9"/>
        <v>88357.83</v>
      </c>
      <c r="W79" s="10">
        <f t="shared" si="9"/>
        <v>0</v>
      </c>
      <c r="X79" s="10">
        <f t="shared" si="9"/>
        <v>177810.39</v>
      </c>
      <c r="Y79" s="10">
        <f t="shared" si="9"/>
        <v>5368.9599999999991</v>
      </c>
      <c r="Z79" s="18">
        <f t="shared" si="9"/>
        <v>2641.1099999999997</v>
      </c>
      <c r="AA79" s="10">
        <f t="shared" si="9"/>
        <v>47500</v>
      </c>
      <c r="AB79" s="10">
        <f t="shared" si="9"/>
        <v>475664.5</v>
      </c>
      <c r="AC79" s="10">
        <f t="shared" si="9"/>
        <v>13033.83</v>
      </c>
      <c r="AD79"/>
    </row>
    <row r="81" spans="1:30" s="6" customFormat="1" x14ac:dyDescent="0.25">
      <c r="A81"/>
      <c r="B81" s="7"/>
      <c r="C81" s="7"/>
      <c r="D81" s="7"/>
      <c r="E81" s="7"/>
      <c r="F81" s="7"/>
      <c r="G81" s="7"/>
      <c r="H81" s="7" t="s">
        <v>4</v>
      </c>
      <c r="I81" s="6">
        <f>+SUMIF($E$2:$E$72,"X",I2:I72)</f>
        <v>1579843.9900000002</v>
      </c>
      <c r="J81" s="6">
        <f>+SUMIF($E$2:$E$72,"X",J2:J72)</f>
        <v>0</v>
      </c>
      <c r="K81" s="6">
        <f>+SUMIF($E$2:$E$72,"X",K2:K72)</f>
        <v>21641.160000000003</v>
      </c>
      <c r="L81" s="6">
        <f>+SUMIF($E$2:$E$72,"X",L2:L72)</f>
        <v>5517.4100000000008</v>
      </c>
      <c r="M81" s="6">
        <f>+SUMIF($E$2:$E$72,"X",M2:M72)</f>
        <v>36212.14</v>
      </c>
      <c r="N81" s="6">
        <f>+SUMIF($E$2:$E$72,"X",N2:N72)</f>
        <v>1545.8500000000001</v>
      </c>
      <c r="O81" s="6">
        <f>+SUMIF($E$2:$E$72,"X",O2:O72)</f>
        <v>0</v>
      </c>
      <c r="P81" s="6">
        <f>+SUMIF($E$2:$E$72,"X",P2:P72)</f>
        <v>13635.28</v>
      </c>
      <c r="Q81" s="6">
        <f>+SUMIF($E$2:$E$72,"X",Q2:Q72)</f>
        <v>11401.779999999999</v>
      </c>
      <c r="R81" s="6">
        <f>+SUMIF($E$2:$E$72,"X",R2:R72)</f>
        <v>1669797.6099999999</v>
      </c>
      <c r="S81" s="6">
        <f>+SUMIF($E$2:$E$72,"X",S2:S72)</f>
        <v>175755.11000000002</v>
      </c>
      <c r="T81" s="6">
        <f>+SUMIF($E$2:$E$72,"X",T2:T72)</f>
        <v>12105.31</v>
      </c>
      <c r="U81" s="6">
        <f>+SUMIF($E$2:$E$72,"X",U2:U72)</f>
        <v>6376.31</v>
      </c>
      <c r="V81" s="6">
        <f>+SUMIF($E$2:$E$72,"X",V2:V72)</f>
        <v>109416.67000000001</v>
      </c>
      <c r="W81" s="6">
        <f>+SUMIF($E$2:$E$72,"X",W2:W72)</f>
        <v>0</v>
      </c>
      <c r="X81" s="6">
        <f>+SUMIF($E$2:$E$72,"X",X2:X72)</f>
        <v>186944.19999999998</v>
      </c>
      <c r="Y81" s="6">
        <f>+SUMIF($E$2:$E$72,"X",Y2:Y72)</f>
        <v>5592.4400000000005</v>
      </c>
      <c r="Z81" s="6">
        <f>+SUMIF($E$2:$E$72,"X",Z2:Z72)</f>
        <v>2749.3300000000004</v>
      </c>
      <c r="AA81" s="6">
        <f>+SUMIF($E$2:$E$72,"X",AA2:AA72)</f>
        <v>47500</v>
      </c>
      <c r="AB81" s="6">
        <f>+SUMIF($E$2:$E$72,"X",AB2:AB72)</f>
        <v>531584.73</v>
      </c>
      <c r="AC81" s="6">
        <f>+SUMIF($E$2:$E$72,"X",AC2:AC72)</f>
        <v>14854.639999999998</v>
      </c>
      <c r="AD81"/>
    </row>
    <row r="82" spans="1:30" s="6" customFormat="1" x14ac:dyDescent="0.25">
      <c r="A82"/>
      <c r="B82" s="7"/>
      <c r="C82" s="7"/>
      <c r="D82" s="7"/>
      <c r="E82" s="7"/>
      <c r="F82" s="7"/>
      <c r="G82" s="7"/>
      <c r="H82" s="7" t="s">
        <v>5</v>
      </c>
      <c r="I82" s="6">
        <f>+SUMIF($F$2:$F$72,"X",I2:I72)</f>
        <v>3748283.4299999992</v>
      </c>
      <c r="J82" s="6">
        <f>+SUMIF($F$2:$F$72,"X",J2:J72)</f>
        <v>1421681.0299999998</v>
      </c>
      <c r="K82" s="6">
        <f>+SUMIF($F$2:$F$72,"X",K2:K72)</f>
        <v>33179.920000000006</v>
      </c>
      <c r="L82" s="6">
        <f>+SUMIF($F$2:$F$72,"X",L2:L72)</f>
        <v>20412.03999999999</v>
      </c>
      <c r="M82" s="6">
        <f>+SUMIF($F$2:$F$72,"X",M2:M72)</f>
        <v>49859.58</v>
      </c>
      <c r="N82" s="6">
        <f>+SUMIF($F$2:$F$72,"X",N2:N72)</f>
        <v>1476.7600000000002</v>
      </c>
      <c r="O82" s="6">
        <f>+SUMIF($F$2:$F$72,"X",O2:O72)</f>
        <v>2650</v>
      </c>
      <c r="P82" s="6">
        <f>+SUMIF($F$2:$F$72,"X",P2:P72)</f>
        <v>0</v>
      </c>
      <c r="Q82" s="6">
        <f>+SUMIF($F$2:$F$72,"X",Q2:Q72)</f>
        <v>0</v>
      </c>
      <c r="R82" s="6">
        <f>+SUMIF($F$2:$F$72,"X",R2:R72)</f>
        <v>5277542.7600000007</v>
      </c>
      <c r="S82" s="6">
        <f>+SUMIF($F$2:$F$72,"X",S2:S72)</f>
        <v>719873.72</v>
      </c>
      <c r="T82" s="6">
        <f>+SUMIF($F$2:$F$72,"X",T2:T72)</f>
        <v>101265.66000000005</v>
      </c>
      <c r="U82" s="6">
        <f>+SUMIF($F$2:$F$72,"X",U2:U72)</f>
        <v>15987.049999999997</v>
      </c>
      <c r="V82" s="6">
        <f>+SUMIF($F$2:$F$72,"X",V2:V72)</f>
        <v>814200.65</v>
      </c>
      <c r="W82" s="6">
        <f>+SUMIF($F$2:$F$72,"X",W2:W72)</f>
        <v>114022.58</v>
      </c>
      <c r="X82" s="6">
        <f>+SUMIF($F$2:$F$72,"X",X2:X72)</f>
        <v>172453.76000000001</v>
      </c>
      <c r="Y82" s="6">
        <f>+SUMIF($F$2:$F$72,"X",Y2:Y72)</f>
        <v>14925.739999999998</v>
      </c>
      <c r="Z82" s="6">
        <f>+SUMIF($F$2:$F$72,"X",Z2:Z72)</f>
        <v>7364.3000000000029</v>
      </c>
      <c r="AA82" s="6">
        <f>+SUMIF($F$2:$F$72,"X",AA2:AA72)</f>
        <v>0</v>
      </c>
      <c r="AB82" s="6">
        <f>+SUMIF($F$2:$F$72,"X",AB2:AB72)</f>
        <v>1851463.4999999993</v>
      </c>
      <c r="AC82" s="6">
        <f>+SUMIF($F$2:$F$72,"X",AC2:AC72)</f>
        <v>108629.95999999998</v>
      </c>
      <c r="AD82"/>
    </row>
    <row r="83" spans="1:30" s="6" customFormat="1" ht="15.75" thickBot="1" x14ac:dyDescent="0.3">
      <c r="A83"/>
      <c r="B83" s="7"/>
      <c r="C83" s="7"/>
      <c r="D83" s="7"/>
      <c r="E83" s="7"/>
      <c r="F83" s="7"/>
      <c r="G83" s="7"/>
      <c r="H83" s="7" t="s">
        <v>31</v>
      </c>
      <c r="I83" s="10">
        <f>+I81+I82</f>
        <v>5328127.42</v>
      </c>
      <c r="J83" s="10">
        <f t="shared" ref="J83:AC83" si="10">+J81+J82</f>
        <v>1421681.0299999998</v>
      </c>
      <c r="K83" s="10">
        <f t="shared" si="10"/>
        <v>54821.080000000009</v>
      </c>
      <c r="L83" s="10">
        <f t="shared" si="10"/>
        <v>25929.44999999999</v>
      </c>
      <c r="M83" s="10">
        <f t="shared" si="10"/>
        <v>86071.72</v>
      </c>
      <c r="N83" s="10">
        <f t="shared" si="10"/>
        <v>3022.6100000000006</v>
      </c>
      <c r="O83" s="10">
        <f t="shared" si="10"/>
        <v>2650</v>
      </c>
      <c r="P83" s="10">
        <f t="shared" si="10"/>
        <v>13635.28</v>
      </c>
      <c r="Q83" s="10">
        <f t="shared" si="10"/>
        <v>11401.779999999999</v>
      </c>
      <c r="R83" s="10">
        <f t="shared" si="10"/>
        <v>6947340.370000001</v>
      </c>
      <c r="S83" s="10">
        <f t="shared" si="10"/>
        <v>895628.83</v>
      </c>
      <c r="T83" s="18">
        <f t="shared" si="10"/>
        <v>113370.97000000004</v>
      </c>
      <c r="U83" s="10">
        <f t="shared" si="10"/>
        <v>22363.359999999997</v>
      </c>
      <c r="V83" s="10">
        <f t="shared" si="10"/>
        <v>923617.32000000007</v>
      </c>
      <c r="W83" s="10">
        <f t="shared" si="10"/>
        <v>114022.58</v>
      </c>
      <c r="X83" s="10">
        <f t="shared" si="10"/>
        <v>359397.95999999996</v>
      </c>
      <c r="Y83" s="10">
        <f t="shared" si="10"/>
        <v>20518.18</v>
      </c>
      <c r="Z83" s="18">
        <f t="shared" si="10"/>
        <v>10113.630000000003</v>
      </c>
      <c r="AA83" s="10">
        <f t="shared" si="10"/>
        <v>47500</v>
      </c>
      <c r="AB83" s="10">
        <f t="shared" si="10"/>
        <v>2383048.2299999995</v>
      </c>
      <c r="AC83" s="10">
        <f t="shared" si="10"/>
        <v>123484.59999999998</v>
      </c>
      <c r="AD83"/>
    </row>
    <row r="84" spans="1:30" s="6" customFormat="1" x14ac:dyDescent="0.25">
      <c r="A84"/>
      <c r="B84" s="7"/>
      <c r="C84" s="7"/>
      <c r="D84" s="7"/>
      <c r="E84" s="7"/>
      <c r="F84" s="7"/>
      <c r="G84" s="7"/>
      <c r="H84" s="7"/>
      <c r="T84" s="9"/>
      <c r="Z84" s="9"/>
      <c r="AD84"/>
    </row>
    <row r="85" spans="1:30" s="6" customFormat="1" x14ac:dyDescent="0.25">
      <c r="A85"/>
      <c r="B85" s="7"/>
      <c r="C85" s="7"/>
      <c r="D85" s="7"/>
      <c r="E85" s="7"/>
      <c r="F85" s="7"/>
      <c r="G85" s="7"/>
      <c r="H85" s="7" t="s">
        <v>6</v>
      </c>
      <c r="I85" s="6">
        <f>+SUMIF($G$2:$G$72,"X",I2:I72)</f>
        <v>2266847.9699999997</v>
      </c>
      <c r="J85" s="6">
        <f>+SUMIF($G$2:$G$72,"X",J2:J72)</f>
        <v>1311347.1400000001</v>
      </c>
      <c r="K85" s="6">
        <f>+SUMIF($G$2:$G$72,"X",K2:K72)</f>
        <v>14148.73</v>
      </c>
      <c r="L85" s="6">
        <f>+SUMIF($G$2:$G$72,"X",L2:L72)</f>
        <v>9330.73</v>
      </c>
      <c r="M85" s="6">
        <f>+SUMIF($G$2:$G$72,"X",M2:M72)</f>
        <v>24843.59</v>
      </c>
      <c r="N85" s="6">
        <f>+SUMIF($G$2:$G$72,"X",N2:N72)</f>
        <v>1243.6500000000001</v>
      </c>
      <c r="O85" s="6">
        <f>+SUMIF($G$2:$G$72,"X",O2:O72)</f>
        <v>2350</v>
      </c>
      <c r="P85" s="6">
        <f>+SUMIF($G$2:$G$72,"X",P2:P72)</f>
        <v>0</v>
      </c>
      <c r="Q85" s="6">
        <f>+SUMIF($G$2:$G$72,"X",Q2:Q72)</f>
        <v>0</v>
      </c>
      <c r="R85" s="6">
        <f>+SUMIF($G$2:$G$72,"X",R2:R72)</f>
        <v>3630111.8100000005</v>
      </c>
      <c r="S85" s="6">
        <f>+SUMIF($G$2:$G$72,"X",S2:S72)</f>
        <v>360808.58</v>
      </c>
      <c r="T85" s="9">
        <f>+SUMIF($G$2:$G$72,"X",T2:T72)</f>
        <v>76538.65999999996</v>
      </c>
      <c r="U85" s="6">
        <f>+SUMIF($G$2:$G$72,"X",U2:U72)</f>
        <v>9921.0600000000013</v>
      </c>
      <c r="V85" s="6">
        <f>+SUMIF($G$2:$G$72,"X",V2:V72)</f>
        <v>700497.87999999989</v>
      </c>
      <c r="W85" s="6">
        <f>+SUMIF($G$2:$G$72,"X",W2:W72)</f>
        <v>114022.58</v>
      </c>
      <c r="X85" s="6">
        <f>+SUMIF($G$2:$G$72,"X",X2:X72)</f>
        <v>0</v>
      </c>
      <c r="Y85" s="6">
        <f>+SUMIF($G$2:$G$72,"X",Y2:Y72)</f>
        <v>9403.980000000005</v>
      </c>
      <c r="Z85" s="9">
        <f>+SUMIF($G$2:$G$72,"X",Z2:Z72)</f>
        <v>4637.5400000000009</v>
      </c>
      <c r="AA85" s="6">
        <f>+SUMIF($G$2:$G$72,"X",AA2:AA72)</f>
        <v>0</v>
      </c>
      <c r="AB85" s="6">
        <f>+SUMIF($G$2:$G$72,"X",AB2:AB72)</f>
        <v>1194654.08</v>
      </c>
      <c r="AC85" s="6">
        <f>+SUMIF($G$2:$G$72,"X",AC2:AC72)</f>
        <v>81176.199999999983</v>
      </c>
      <c r="AD85"/>
    </row>
    <row r="86" spans="1:30" s="6" customFormat="1" x14ac:dyDescent="0.25">
      <c r="A86"/>
      <c r="B86" s="7"/>
      <c r="C86" s="7"/>
      <c r="D86" s="7"/>
      <c r="E86" s="7"/>
      <c r="F86" s="7"/>
      <c r="G86" s="7"/>
      <c r="H86" s="7" t="s">
        <v>7</v>
      </c>
      <c r="I86" s="6">
        <f>+SUMIF($H$2:$H$72,"X",I2:I72)</f>
        <v>3061279.4500000007</v>
      </c>
      <c r="J86" s="6">
        <f>+SUMIF($H$2:$H$72,"X",J2:J72)</f>
        <v>110333.89000000003</v>
      </c>
      <c r="K86" s="6">
        <f>+SUMIF($H$2:$H$72,"X",K2:K72)</f>
        <v>40672.350000000013</v>
      </c>
      <c r="L86" s="6">
        <f>+SUMIF($H$2:$H$72,"X",L2:L72)</f>
        <v>16598.719999999998</v>
      </c>
      <c r="M86" s="6">
        <f>+SUMIF($H$2:$H$72,"X",M2:M72)</f>
        <v>61228.130000000005</v>
      </c>
      <c r="N86" s="6">
        <f>+SUMIF($H$2:$H$72,"X",N2:N72)</f>
        <v>1778.9600000000003</v>
      </c>
      <c r="O86" s="6">
        <f>+SUMIF($H$2:$H$72,"X",O2:O72)</f>
        <v>300</v>
      </c>
      <c r="P86" s="6">
        <f>+SUMIF($H$2:$H$72,"X",P2:P72)</f>
        <v>13635.28</v>
      </c>
      <c r="Q86" s="6">
        <f>+SUMIF($H$2:$H$72,"X",Q2:Q72)</f>
        <v>11401.779999999999</v>
      </c>
      <c r="R86" s="6">
        <f>+SUMIF($H$2:$H$72,"X",R2:R72)</f>
        <v>3317228.56</v>
      </c>
      <c r="S86" s="6">
        <f>+SUMIF($H$2:$H$72,"X",S2:S72)</f>
        <v>534820.25</v>
      </c>
      <c r="T86" s="9">
        <f>+SUMIF($H$2:$H$72,"X",T2:T72)</f>
        <v>36832.310000000019</v>
      </c>
      <c r="U86" s="6">
        <f>+SUMIF($H$2:$H$72,"X",U2:U72)</f>
        <v>12442.3</v>
      </c>
      <c r="V86" s="6">
        <f>+SUMIF($H$2:$H$72,"X",V2:V72)</f>
        <v>223119.44</v>
      </c>
      <c r="W86" s="6">
        <f>+SUMIF($H$2:$H$72,"X",W2:W72)</f>
        <v>0</v>
      </c>
      <c r="X86" s="6">
        <f>+SUMIF($H$2:$H$72,"X",X2:X72)</f>
        <v>359397.96</v>
      </c>
      <c r="Y86" s="6">
        <f>+SUMIF($H$2:$H$72,"X",Y2:Y72)</f>
        <v>11114.2</v>
      </c>
      <c r="Z86" s="9">
        <f>+SUMIF($H$2:$H$72,"X",Z2:Z72)</f>
        <v>5476.0899999999983</v>
      </c>
      <c r="AA86" s="6">
        <f>+SUMIF($H$2:$H$72,"X",AA2:AA72)</f>
        <v>47500</v>
      </c>
      <c r="AB86" s="6">
        <f>+SUMIF($H$2:$H$72,"X",AB2:AB72)</f>
        <v>1188394.1499999999</v>
      </c>
      <c r="AC86" s="6">
        <f>+SUMIF($H$2:$H$72,"X",AC2:AC72)</f>
        <v>42308.399999999994</v>
      </c>
      <c r="AD86"/>
    </row>
    <row r="87" spans="1:30" s="6" customFormat="1" ht="15.75" thickBot="1" x14ac:dyDescent="0.3">
      <c r="A87"/>
      <c r="B87" s="7"/>
      <c r="C87" s="7"/>
      <c r="D87" s="7"/>
      <c r="E87" s="7"/>
      <c r="F87" s="7"/>
      <c r="G87" s="7"/>
      <c r="H87" s="7" t="s">
        <v>31</v>
      </c>
      <c r="I87" s="10">
        <f>+I85+I86</f>
        <v>5328127.42</v>
      </c>
      <c r="J87" s="10">
        <f t="shared" ref="J87:AC87" si="11">+J85+J86</f>
        <v>1421681.0300000003</v>
      </c>
      <c r="K87" s="10">
        <f t="shared" si="11"/>
        <v>54821.080000000016</v>
      </c>
      <c r="L87" s="10">
        <f t="shared" si="11"/>
        <v>25929.449999999997</v>
      </c>
      <c r="M87" s="10">
        <f t="shared" si="11"/>
        <v>86071.72</v>
      </c>
      <c r="N87" s="10">
        <f t="shared" si="11"/>
        <v>3022.6100000000006</v>
      </c>
      <c r="O87" s="10">
        <f t="shared" si="11"/>
        <v>2650</v>
      </c>
      <c r="P87" s="10">
        <f t="shared" si="11"/>
        <v>13635.28</v>
      </c>
      <c r="Q87" s="10">
        <f t="shared" si="11"/>
        <v>11401.779999999999</v>
      </c>
      <c r="R87" s="10">
        <f t="shared" si="11"/>
        <v>6947340.370000001</v>
      </c>
      <c r="S87" s="10">
        <f t="shared" si="11"/>
        <v>895628.83000000007</v>
      </c>
      <c r="T87" s="18">
        <f t="shared" si="11"/>
        <v>113370.96999999997</v>
      </c>
      <c r="U87" s="10">
        <f t="shared" si="11"/>
        <v>22363.360000000001</v>
      </c>
      <c r="V87" s="10">
        <f t="shared" si="11"/>
        <v>923617.31999999983</v>
      </c>
      <c r="W87" s="10">
        <f t="shared" si="11"/>
        <v>114022.58</v>
      </c>
      <c r="X87" s="10">
        <f t="shared" si="11"/>
        <v>359397.96</v>
      </c>
      <c r="Y87" s="10">
        <f t="shared" si="11"/>
        <v>20518.180000000008</v>
      </c>
      <c r="Z87" s="18">
        <f t="shared" si="11"/>
        <v>10113.629999999999</v>
      </c>
      <c r="AA87" s="10">
        <f t="shared" si="11"/>
        <v>47500</v>
      </c>
      <c r="AB87" s="10">
        <f t="shared" si="11"/>
        <v>2383048.23</v>
      </c>
      <c r="AC87" s="10">
        <f t="shared" si="11"/>
        <v>123484.59999999998</v>
      </c>
      <c r="AD87"/>
    </row>
    <row r="89" spans="1:30" x14ac:dyDescent="0.25">
      <c r="T89" s="6"/>
      <c r="Z89" s="6"/>
      <c r="AB89" s="6"/>
      <c r="AC89" s="6"/>
    </row>
    <row r="90" spans="1:30" s="6" customFormat="1" x14ac:dyDescent="0.25">
      <c r="A90"/>
      <c r="B90" s="7"/>
      <c r="C90" s="7"/>
      <c r="D90" s="7"/>
      <c r="E90" s="7"/>
      <c r="F90" s="7"/>
      <c r="G90" s="7"/>
      <c r="H90" s="7"/>
      <c r="T90" s="9"/>
      <c r="Z90" s="9"/>
      <c r="AD90"/>
    </row>
    <row r="113" spans="22:22" x14ac:dyDescent="0.25">
      <c r="V113" s="21"/>
    </row>
  </sheetData>
  <autoFilter ref="A1:AC72" xr:uid="{713D6F93-451C-4540-9664-6C65187BE982}"/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B8F9F80BF78479D539EABD46DA1AA" ma:contentTypeVersion="4" ma:contentTypeDescription="Create a new document." ma:contentTypeScope="" ma:versionID="e6ed01a1a62f24bde6d2b19d81c657ec">
  <xsd:schema xmlns:xsd="http://www.w3.org/2001/XMLSchema" xmlns:xs="http://www.w3.org/2001/XMLSchema" xmlns:p="http://schemas.microsoft.com/office/2006/metadata/properties" xmlns:ns2="d7aa59e4-26b3-4843-85f5-5d92debce9c4" targetNamespace="http://schemas.microsoft.com/office/2006/metadata/properties" ma:root="true" ma:fieldsID="c80119f8c39695031369cc7aeeea9260" ns2:_="">
    <xsd:import namespace="d7aa59e4-26b3-4843-85f5-5d92debce9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a59e4-26b3-4843-85f5-5d92debce9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E65FDC-5920-43A3-A055-A6670521F68D}"/>
</file>

<file path=customXml/itemProps2.xml><?xml version="1.0" encoding="utf-8"?>
<ds:datastoreItem xmlns:ds="http://schemas.openxmlformats.org/officeDocument/2006/customXml" ds:itemID="{D24D1E9D-699B-44E2-B2B6-7374E927E082}"/>
</file>

<file path=customXml/itemProps3.xml><?xml version="1.0" encoding="utf-8"?>
<ds:datastoreItem xmlns:ds="http://schemas.openxmlformats.org/officeDocument/2006/customXml" ds:itemID="{890065EB-232B-4386-9ED8-A73AFDB31E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Test 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 Kendall</dc:creator>
  <cp:lastModifiedBy>Meredith Kendall</cp:lastModifiedBy>
  <dcterms:created xsi:type="dcterms:W3CDTF">2024-04-25T19:24:27Z</dcterms:created>
  <dcterms:modified xsi:type="dcterms:W3CDTF">2024-05-30T00:29:19Z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0x010100DBDB8F9F80BF78479D539EABD46DA1AA</vt:lpwstr>
  </property>
</Properties>
</file>