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7DAF29E0-BA00-40C6-9AC5-D586CA54B7A0}" xr6:coauthVersionLast="47" xr6:coauthVersionMax="47" xr10:uidLastSave="{00000000-0000-0000-0000-000000000000}"/>
  <bookViews>
    <workbookView xWindow="28680" yWindow="-120" windowWidth="29040" windowHeight="15840" xr2:uid="{83B02F93-C27C-4815-BAE9-E2BC92E0ED43}"/>
  </bookViews>
  <sheets>
    <sheet name="2021" sheetId="1" r:id="rId1"/>
    <sheet name="2022" sheetId="2" r:id="rId2"/>
    <sheet name="2023" sheetId="3" r:id="rId3"/>
  </sheets>
  <definedNames>
    <definedName name="_xlnm._FilterDatabase" localSheetId="0" hidden="1">'2021'!$A$1:$AC$74</definedName>
    <definedName name="_xlnm._FilterDatabase" localSheetId="1" hidden="1">'2022'!$A$1:$AC$76</definedName>
    <definedName name="_xlnm._FilterDatabase" localSheetId="2" hidden="1">'2023'!$A$1:$AC$72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6" i="3" l="1"/>
  <c r="L86" i="3"/>
  <c r="M86" i="3"/>
  <c r="N86" i="3"/>
  <c r="O86" i="3"/>
  <c r="P86" i="3"/>
  <c r="Q86" i="3"/>
  <c r="S86" i="3"/>
  <c r="T86" i="3"/>
  <c r="U86" i="3"/>
  <c r="V86" i="3"/>
  <c r="W86" i="3"/>
  <c r="X86" i="3"/>
  <c r="Y86" i="3"/>
  <c r="Z86" i="3"/>
  <c r="AA86" i="3"/>
  <c r="K87" i="3"/>
  <c r="L87" i="3"/>
  <c r="M87" i="3"/>
  <c r="N87" i="3"/>
  <c r="O87" i="3"/>
  <c r="P87" i="3"/>
  <c r="Q87" i="3"/>
  <c r="S87" i="3"/>
  <c r="T87" i="3"/>
  <c r="U87" i="3"/>
  <c r="V87" i="3"/>
  <c r="W87" i="3"/>
  <c r="X87" i="3"/>
  <c r="Y87" i="3"/>
  <c r="Z87" i="3"/>
  <c r="J82" i="3"/>
  <c r="K82" i="3"/>
  <c r="L82" i="3"/>
  <c r="M82" i="3"/>
  <c r="N82" i="3"/>
  <c r="O82" i="3"/>
  <c r="P82" i="3"/>
  <c r="Q82" i="3"/>
  <c r="S82" i="3"/>
  <c r="T82" i="3"/>
  <c r="U82" i="3"/>
  <c r="V82" i="3"/>
  <c r="W82" i="3"/>
  <c r="X82" i="3"/>
  <c r="Y82" i="3"/>
  <c r="Z82" i="3"/>
  <c r="K83" i="3"/>
  <c r="L83" i="3"/>
  <c r="M83" i="3"/>
  <c r="N83" i="3"/>
  <c r="O83" i="3"/>
  <c r="P83" i="3"/>
  <c r="Q83" i="3"/>
  <c r="S83" i="3"/>
  <c r="T83" i="3"/>
  <c r="U83" i="3"/>
  <c r="V83" i="3"/>
  <c r="W83" i="3"/>
  <c r="X83" i="3"/>
  <c r="Y83" i="3"/>
  <c r="Z83" i="3"/>
  <c r="AA83" i="3"/>
  <c r="J78" i="3"/>
  <c r="K78" i="3"/>
  <c r="L78" i="3"/>
  <c r="M78" i="3"/>
  <c r="N78" i="3"/>
  <c r="O78" i="3"/>
  <c r="P78" i="3"/>
  <c r="Q78" i="3"/>
  <c r="S78" i="3"/>
  <c r="T78" i="3"/>
  <c r="U78" i="3"/>
  <c r="V78" i="3"/>
  <c r="W78" i="3"/>
  <c r="X78" i="3"/>
  <c r="Y78" i="3"/>
  <c r="Z78" i="3"/>
  <c r="J79" i="3"/>
  <c r="K79" i="3"/>
  <c r="L79" i="3"/>
  <c r="M79" i="3"/>
  <c r="N79" i="3"/>
  <c r="O79" i="3"/>
  <c r="P79" i="3"/>
  <c r="Q79" i="3"/>
  <c r="S79" i="3"/>
  <c r="T79" i="3"/>
  <c r="U79" i="3"/>
  <c r="V79" i="3"/>
  <c r="W79" i="3"/>
  <c r="X79" i="3"/>
  <c r="Y79" i="3"/>
  <c r="Z79" i="3"/>
  <c r="AA79" i="3"/>
  <c r="AB73" i="3"/>
  <c r="AC73" i="3"/>
  <c r="I73" i="3"/>
  <c r="R73" i="3" s="1"/>
  <c r="J72" i="3"/>
  <c r="I72" i="3"/>
  <c r="R72" i="3" s="1"/>
  <c r="J71" i="3"/>
  <c r="I71" i="3"/>
  <c r="I70" i="3"/>
  <c r="J70" i="3"/>
  <c r="J69" i="3"/>
  <c r="I69" i="3"/>
  <c r="I68" i="3"/>
  <c r="R68" i="3" s="1"/>
  <c r="I67" i="3"/>
  <c r="R67" i="3" s="1"/>
  <c r="I66" i="3"/>
  <c r="R66" i="3" s="1"/>
  <c r="J65" i="3"/>
  <c r="I65" i="3"/>
  <c r="J64" i="3"/>
  <c r="I64" i="3"/>
  <c r="I63" i="3"/>
  <c r="R63" i="3" s="1"/>
  <c r="J62" i="3"/>
  <c r="I62" i="3"/>
  <c r="R62" i="3" s="1"/>
  <c r="J61" i="3"/>
  <c r="I61" i="3"/>
  <c r="I60" i="3"/>
  <c r="J60" i="3"/>
  <c r="J59" i="3"/>
  <c r="I59" i="3"/>
  <c r="J58" i="3"/>
  <c r="I58" i="3"/>
  <c r="R58" i="3" s="1"/>
  <c r="I57" i="3"/>
  <c r="R57" i="3" s="1"/>
  <c r="J56" i="3"/>
  <c r="I56" i="3"/>
  <c r="AB55" i="3"/>
  <c r="AC55" i="3"/>
  <c r="J55" i="3"/>
  <c r="I55" i="3"/>
  <c r="AB54" i="3"/>
  <c r="J54" i="3"/>
  <c r="I54" i="3"/>
  <c r="I53" i="3"/>
  <c r="R53" i="3" s="1"/>
  <c r="I52" i="3"/>
  <c r="R52" i="3" s="1"/>
  <c r="I51" i="3"/>
  <c r="R51" i="3" s="1"/>
  <c r="I50" i="3"/>
  <c r="R50" i="3" s="1"/>
  <c r="I49" i="3"/>
  <c r="R49" i="3" s="1"/>
  <c r="AA48" i="3"/>
  <c r="AA82" i="3" s="1"/>
  <c r="I48" i="3"/>
  <c r="R48" i="3" s="1"/>
  <c r="I47" i="3"/>
  <c r="R47" i="3" s="1"/>
  <c r="J46" i="3"/>
  <c r="I46" i="3"/>
  <c r="J45" i="3"/>
  <c r="I45" i="3"/>
  <c r="I44" i="3"/>
  <c r="I43" i="3"/>
  <c r="R43" i="3" s="1"/>
  <c r="AB41" i="3"/>
  <c r="I41" i="3"/>
  <c r="J41" i="3"/>
  <c r="J40" i="3"/>
  <c r="I40" i="3"/>
  <c r="I39" i="3"/>
  <c r="J39" i="3"/>
  <c r="J38" i="3"/>
  <c r="I38" i="3"/>
  <c r="J37" i="3"/>
  <c r="I37" i="3"/>
  <c r="I36" i="3"/>
  <c r="R36" i="3" s="1"/>
  <c r="I35" i="3"/>
  <c r="R35" i="3" s="1"/>
  <c r="I34" i="3"/>
  <c r="R34" i="3" s="1"/>
  <c r="J33" i="3"/>
  <c r="I33" i="3"/>
  <c r="I32" i="3"/>
  <c r="R32" i="3" s="1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I24" i="3"/>
  <c r="J24" i="3"/>
  <c r="J23" i="3"/>
  <c r="I23" i="3"/>
  <c r="I22" i="3"/>
  <c r="R22" i="3" s="1"/>
  <c r="AB21" i="3"/>
  <c r="I21" i="3"/>
  <c r="R21" i="3" s="1"/>
  <c r="J20" i="3"/>
  <c r="I20" i="3"/>
  <c r="J19" i="3"/>
  <c r="I19" i="3"/>
  <c r="J18" i="3"/>
  <c r="I18" i="3"/>
  <c r="I17" i="3"/>
  <c r="R17" i="3" s="1"/>
  <c r="J16" i="3"/>
  <c r="I16" i="3"/>
  <c r="J15" i="3"/>
  <c r="I15" i="3"/>
  <c r="J14" i="3"/>
  <c r="I14" i="3"/>
  <c r="I13" i="3"/>
  <c r="R13" i="3" s="1"/>
  <c r="J12" i="3"/>
  <c r="I12" i="3"/>
  <c r="J11" i="3"/>
  <c r="I11" i="3"/>
  <c r="J10" i="3"/>
  <c r="I10" i="3"/>
  <c r="J9" i="3"/>
  <c r="I9" i="3"/>
  <c r="AC8" i="3"/>
  <c r="J8" i="3"/>
  <c r="I8" i="3"/>
  <c r="J7" i="3"/>
  <c r="I7" i="3"/>
  <c r="I6" i="3"/>
  <c r="R6" i="3" s="1"/>
  <c r="J5" i="3"/>
  <c r="I5" i="3"/>
  <c r="J4" i="3"/>
  <c r="I4" i="3"/>
  <c r="J3" i="3"/>
  <c r="I3" i="3"/>
  <c r="I2" i="3"/>
  <c r="R2" i="3" s="1"/>
  <c r="AC72" i="3"/>
  <c r="AB72" i="3"/>
  <c r="AC71" i="3"/>
  <c r="AB71" i="3"/>
  <c r="AC70" i="3"/>
  <c r="AB70" i="3"/>
  <c r="AC69" i="3"/>
  <c r="AB69" i="3"/>
  <c r="AC68" i="3"/>
  <c r="AB68" i="3"/>
  <c r="AC67" i="3"/>
  <c r="AB67" i="3"/>
  <c r="AC66" i="3"/>
  <c r="AB66" i="3"/>
  <c r="AC65" i="3"/>
  <c r="AB65" i="3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4" i="3"/>
  <c r="AC53" i="3"/>
  <c r="AB53" i="3"/>
  <c r="AC52" i="3"/>
  <c r="AB52" i="3"/>
  <c r="AC51" i="3"/>
  <c r="AB51" i="3"/>
  <c r="AC50" i="3"/>
  <c r="AB50" i="3"/>
  <c r="AC49" i="3"/>
  <c r="AB49" i="3"/>
  <c r="AC48" i="3"/>
  <c r="AC47" i="3"/>
  <c r="AB47" i="3"/>
  <c r="AC46" i="3"/>
  <c r="AB46" i="3"/>
  <c r="AC45" i="3"/>
  <c r="AB45" i="3"/>
  <c r="AC44" i="3"/>
  <c r="AB44" i="3"/>
  <c r="AC43" i="3"/>
  <c r="AB43" i="3"/>
  <c r="AC42" i="3"/>
  <c r="AC78" i="3" s="1"/>
  <c r="AB42" i="3"/>
  <c r="R42" i="3"/>
  <c r="AC41" i="3"/>
  <c r="AC40" i="3"/>
  <c r="AB40" i="3"/>
  <c r="AC39" i="3"/>
  <c r="AB39" i="3"/>
  <c r="AC38" i="3"/>
  <c r="AB38" i="3"/>
  <c r="AC37" i="3"/>
  <c r="AB37" i="3"/>
  <c r="AC36" i="3"/>
  <c r="AB36" i="3"/>
  <c r="AC35" i="3"/>
  <c r="AB35" i="3"/>
  <c r="AC34" i="3"/>
  <c r="AB34" i="3"/>
  <c r="AC33" i="3"/>
  <c r="AB33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C20" i="3"/>
  <c r="AB20" i="3"/>
  <c r="AC19" i="3"/>
  <c r="AB19" i="3"/>
  <c r="AC18" i="3"/>
  <c r="AB18" i="3"/>
  <c r="AC17" i="3"/>
  <c r="AB17" i="3"/>
  <c r="AC16" i="3"/>
  <c r="AB16" i="3"/>
  <c r="AC15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B8" i="3"/>
  <c r="AC7" i="3"/>
  <c r="AB7" i="3"/>
  <c r="AC6" i="3"/>
  <c r="AB6" i="3"/>
  <c r="AC5" i="3"/>
  <c r="AB5" i="3"/>
  <c r="AC4" i="3"/>
  <c r="AB4" i="3"/>
  <c r="AC3" i="3"/>
  <c r="AB3" i="3"/>
  <c r="A3" i="3"/>
  <c r="A4" i="3" s="1"/>
  <c r="A5" i="3" s="1"/>
  <c r="A6" i="3" s="1"/>
  <c r="A7" i="3" s="1"/>
  <c r="A8" i="3" s="1"/>
  <c r="AC2" i="3"/>
  <c r="AB2" i="3"/>
  <c r="I81" i="2"/>
  <c r="K89" i="2"/>
  <c r="L89" i="2"/>
  <c r="M89" i="2"/>
  <c r="N89" i="2"/>
  <c r="O89" i="2"/>
  <c r="P89" i="2"/>
  <c r="Q89" i="2"/>
  <c r="S89" i="2"/>
  <c r="T89" i="2"/>
  <c r="U89" i="2"/>
  <c r="V89" i="2"/>
  <c r="W89" i="2"/>
  <c r="X89" i="2"/>
  <c r="Y89" i="2"/>
  <c r="Z89" i="2"/>
  <c r="AA89" i="2"/>
  <c r="J90" i="2"/>
  <c r="K90" i="2"/>
  <c r="L90" i="2"/>
  <c r="M90" i="2"/>
  <c r="N90" i="2"/>
  <c r="O90" i="2"/>
  <c r="P90" i="2"/>
  <c r="Q90" i="2"/>
  <c r="S90" i="2"/>
  <c r="T90" i="2"/>
  <c r="U90" i="2"/>
  <c r="V90" i="2"/>
  <c r="W90" i="2"/>
  <c r="X90" i="2"/>
  <c r="Y90" i="2"/>
  <c r="Z90" i="2"/>
  <c r="AA90" i="2"/>
  <c r="J85" i="2"/>
  <c r="K85" i="2"/>
  <c r="L85" i="2"/>
  <c r="M85" i="2"/>
  <c r="N85" i="2"/>
  <c r="O85" i="2"/>
  <c r="P85" i="2"/>
  <c r="Q85" i="2"/>
  <c r="S85" i="2"/>
  <c r="T85" i="2"/>
  <c r="U85" i="2"/>
  <c r="V85" i="2"/>
  <c r="W85" i="2"/>
  <c r="X85" i="2"/>
  <c r="Y85" i="2"/>
  <c r="Z85" i="2"/>
  <c r="AA85" i="2"/>
  <c r="K86" i="2"/>
  <c r="L86" i="2"/>
  <c r="M86" i="2"/>
  <c r="N86" i="2"/>
  <c r="O86" i="2"/>
  <c r="P86" i="2"/>
  <c r="Q86" i="2"/>
  <c r="S86" i="2"/>
  <c r="T86" i="2"/>
  <c r="U86" i="2"/>
  <c r="V86" i="2"/>
  <c r="W86" i="2"/>
  <c r="X86" i="2"/>
  <c r="Y86" i="2"/>
  <c r="Z86" i="2"/>
  <c r="AA86" i="2"/>
  <c r="J82" i="2"/>
  <c r="K82" i="2"/>
  <c r="L82" i="2"/>
  <c r="M82" i="2"/>
  <c r="N82" i="2"/>
  <c r="O82" i="2"/>
  <c r="P82" i="2"/>
  <c r="Q82" i="2"/>
  <c r="S82" i="2"/>
  <c r="T82" i="2"/>
  <c r="U82" i="2"/>
  <c r="V82" i="2"/>
  <c r="W82" i="2"/>
  <c r="X82" i="2"/>
  <c r="Y82" i="2"/>
  <c r="Z82" i="2"/>
  <c r="AA82" i="2"/>
  <c r="J81" i="2"/>
  <c r="K81" i="2"/>
  <c r="L81" i="2"/>
  <c r="M81" i="2"/>
  <c r="N81" i="2"/>
  <c r="O81" i="2"/>
  <c r="P81" i="2"/>
  <c r="Q81" i="2"/>
  <c r="S81" i="2"/>
  <c r="T81" i="2"/>
  <c r="U81" i="2"/>
  <c r="V81" i="2"/>
  <c r="W81" i="2"/>
  <c r="X81" i="2"/>
  <c r="Y81" i="2"/>
  <c r="Z81" i="2"/>
  <c r="AA81" i="2"/>
  <c r="J76" i="2"/>
  <c r="R76" i="2" s="1"/>
  <c r="I76" i="2"/>
  <c r="I75" i="2"/>
  <c r="R75" i="2" s="1"/>
  <c r="AB74" i="2"/>
  <c r="J74" i="2"/>
  <c r="I74" i="2"/>
  <c r="R74" i="2" s="1"/>
  <c r="J73" i="2"/>
  <c r="I73" i="2"/>
  <c r="I72" i="2"/>
  <c r="R72" i="2" s="1"/>
  <c r="AB71" i="2"/>
  <c r="AC71" i="2"/>
  <c r="AB72" i="2"/>
  <c r="AC72" i="2"/>
  <c r="AB73" i="2"/>
  <c r="AC73" i="2"/>
  <c r="AC74" i="2"/>
  <c r="AB75" i="2"/>
  <c r="AC75" i="2"/>
  <c r="AB76" i="2"/>
  <c r="AC76" i="2"/>
  <c r="I71" i="2"/>
  <c r="R71" i="2" s="1"/>
  <c r="I70" i="2"/>
  <c r="R70" i="2" s="1"/>
  <c r="J69" i="2"/>
  <c r="I69" i="2"/>
  <c r="J68" i="2"/>
  <c r="I68" i="2"/>
  <c r="I67" i="2"/>
  <c r="R67" i="2" s="1"/>
  <c r="I66" i="2"/>
  <c r="R66" i="2" s="1"/>
  <c r="I65" i="2"/>
  <c r="R65" i="2" s="1"/>
  <c r="AB64" i="2"/>
  <c r="AC64" i="2"/>
  <c r="R64" i="2"/>
  <c r="J63" i="2"/>
  <c r="I63" i="2"/>
  <c r="J62" i="2"/>
  <c r="I62" i="2"/>
  <c r="J61" i="2"/>
  <c r="I61" i="2"/>
  <c r="I60" i="2"/>
  <c r="R60" i="2" s="1"/>
  <c r="I59" i="2"/>
  <c r="R59" i="2" s="1"/>
  <c r="I58" i="2"/>
  <c r="R58" i="2" s="1"/>
  <c r="I57" i="2"/>
  <c r="R57" i="2" s="1"/>
  <c r="I56" i="2"/>
  <c r="R56" i="2" s="1"/>
  <c r="I55" i="2"/>
  <c r="R55" i="2" s="1"/>
  <c r="I54" i="2"/>
  <c r="I53" i="2"/>
  <c r="R53" i="2" s="1"/>
  <c r="I52" i="2"/>
  <c r="R52" i="2" s="1"/>
  <c r="I51" i="2"/>
  <c r="R51" i="2" s="1"/>
  <c r="I50" i="2"/>
  <c r="R50" i="2" s="1"/>
  <c r="I49" i="2"/>
  <c r="R49" i="2" s="1"/>
  <c r="J48" i="2"/>
  <c r="I48" i="2"/>
  <c r="J47" i="2"/>
  <c r="I47" i="2"/>
  <c r="I46" i="2"/>
  <c r="R46" i="2" s="1"/>
  <c r="J45" i="2"/>
  <c r="I45" i="2"/>
  <c r="I44" i="2"/>
  <c r="R44" i="2" s="1"/>
  <c r="I42" i="2"/>
  <c r="R42" i="2" s="1"/>
  <c r="I41" i="2"/>
  <c r="R41" i="2" s="1"/>
  <c r="J40" i="2"/>
  <c r="I40" i="2"/>
  <c r="J39" i="2"/>
  <c r="I39" i="2"/>
  <c r="J38" i="2"/>
  <c r="I38" i="2"/>
  <c r="I37" i="2"/>
  <c r="R37" i="2" s="1"/>
  <c r="I36" i="2"/>
  <c r="R36" i="2" s="1"/>
  <c r="I35" i="2"/>
  <c r="R35" i="2" s="1"/>
  <c r="I34" i="2"/>
  <c r="I33" i="2"/>
  <c r="R33" i="2" s="1"/>
  <c r="J32" i="2"/>
  <c r="I32" i="2"/>
  <c r="I31" i="2"/>
  <c r="I30" i="2"/>
  <c r="R30" i="2" s="1"/>
  <c r="J29" i="2"/>
  <c r="I29" i="2"/>
  <c r="I28" i="2"/>
  <c r="R28" i="2" s="1"/>
  <c r="J27" i="2"/>
  <c r="I27" i="2"/>
  <c r="R27" i="2" s="1"/>
  <c r="I26" i="2"/>
  <c r="R26" i="2" s="1"/>
  <c r="I25" i="2"/>
  <c r="R25" i="2" s="1"/>
  <c r="J24" i="2"/>
  <c r="I24" i="2"/>
  <c r="R24" i="2" s="1"/>
  <c r="I23" i="2"/>
  <c r="I22" i="2"/>
  <c r="R22" i="2" s="1"/>
  <c r="I21" i="2"/>
  <c r="R21" i="2" s="1"/>
  <c r="J20" i="2"/>
  <c r="I20" i="2"/>
  <c r="J19" i="2"/>
  <c r="I19" i="2"/>
  <c r="I18" i="2"/>
  <c r="R18" i="2" s="1"/>
  <c r="J17" i="2"/>
  <c r="I17" i="2"/>
  <c r="I16" i="2"/>
  <c r="R16" i="2" s="1"/>
  <c r="J15" i="2"/>
  <c r="I15" i="2"/>
  <c r="I14" i="2"/>
  <c r="R14" i="2" s="1"/>
  <c r="J13" i="2"/>
  <c r="I13" i="2"/>
  <c r="J12" i="2"/>
  <c r="I12" i="2"/>
  <c r="I11" i="2"/>
  <c r="J10" i="2"/>
  <c r="I10" i="2"/>
  <c r="J9" i="2"/>
  <c r="I9" i="2"/>
  <c r="J8" i="2"/>
  <c r="I8" i="2"/>
  <c r="J7" i="2"/>
  <c r="I7" i="2"/>
  <c r="I6" i="2"/>
  <c r="R6" i="2" s="1"/>
  <c r="I5" i="2"/>
  <c r="J4" i="2"/>
  <c r="I4" i="2"/>
  <c r="I3" i="2"/>
  <c r="I89" i="2" s="1"/>
  <c r="I2" i="2"/>
  <c r="AC70" i="2"/>
  <c r="AB70" i="2"/>
  <c r="AC69" i="2"/>
  <c r="AB69" i="2"/>
  <c r="AC68" i="2"/>
  <c r="AB68" i="2"/>
  <c r="AC67" i="2"/>
  <c r="AB67" i="2"/>
  <c r="AC66" i="2"/>
  <c r="AB66" i="2"/>
  <c r="AC65" i="2"/>
  <c r="AB65" i="2"/>
  <c r="AC63" i="2"/>
  <c r="AB63" i="2"/>
  <c r="AC62" i="2"/>
  <c r="AB62" i="2"/>
  <c r="AC61" i="2"/>
  <c r="AB61" i="2"/>
  <c r="AC60" i="2"/>
  <c r="AB60" i="2"/>
  <c r="AC59" i="2"/>
  <c r="AB59" i="2"/>
  <c r="AC58" i="2"/>
  <c r="AB58" i="2"/>
  <c r="AC57" i="2"/>
  <c r="AB57" i="2"/>
  <c r="AC56" i="2"/>
  <c r="AB56" i="2"/>
  <c r="AC55" i="2"/>
  <c r="AB55" i="2"/>
  <c r="AC54" i="2"/>
  <c r="AB54" i="2"/>
  <c r="R54" i="2"/>
  <c r="AC53" i="2"/>
  <c r="AB53" i="2"/>
  <c r="AC52" i="2"/>
  <c r="AB52" i="2"/>
  <c r="AC51" i="2"/>
  <c r="AB51" i="2"/>
  <c r="AC50" i="2"/>
  <c r="AB50" i="2"/>
  <c r="AC49" i="2"/>
  <c r="AB49" i="2"/>
  <c r="AC48" i="2"/>
  <c r="AB48" i="2"/>
  <c r="AC47" i="2"/>
  <c r="AB47" i="2"/>
  <c r="AC46" i="2"/>
  <c r="AB46" i="2"/>
  <c r="AC45" i="2"/>
  <c r="AB45" i="2"/>
  <c r="AC44" i="2"/>
  <c r="AB44" i="2"/>
  <c r="AC43" i="2"/>
  <c r="AB43" i="2"/>
  <c r="R43" i="2"/>
  <c r="AC42" i="2"/>
  <c r="AB42" i="2"/>
  <c r="AC41" i="2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34" i="2"/>
  <c r="R34" i="2"/>
  <c r="AC33" i="2"/>
  <c r="AB33" i="2"/>
  <c r="AC32" i="2"/>
  <c r="AB32" i="2"/>
  <c r="AC31" i="2"/>
  <c r="AB31" i="2"/>
  <c r="R31" i="2"/>
  <c r="AC30" i="2"/>
  <c r="AB30" i="2"/>
  <c r="AC29" i="2"/>
  <c r="AB29" i="2"/>
  <c r="AC28" i="2"/>
  <c r="AB28" i="2"/>
  <c r="AC27" i="2"/>
  <c r="AB27" i="2"/>
  <c r="AC26" i="2"/>
  <c r="AB26" i="2"/>
  <c r="AC25" i="2"/>
  <c r="AB25" i="2"/>
  <c r="AC24" i="2"/>
  <c r="AB24" i="2"/>
  <c r="AC23" i="2"/>
  <c r="AB23" i="2"/>
  <c r="AC22" i="2"/>
  <c r="AB22" i="2"/>
  <c r="AC21" i="2"/>
  <c r="AB21" i="2"/>
  <c r="AC20" i="2"/>
  <c r="AB20" i="2"/>
  <c r="AC19" i="2"/>
  <c r="AB19" i="2"/>
  <c r="AC18" i="2"/>
  <c r="AB18" i="2"/>
  <c r="AC17" i="2"/>
  <c r="AB17" i="2"/>
  <c r="AC16" i="2"/>
  <c r="AB16" i="2"/>
  <c r="AC15" i="2"/>
  <c r="AB15" i="2"/>
  <c r="AC14" i="2"/>
  <c r="AB14" i="2"/>
  <c r="AC13" i="2"/>
  <c r="AB13" i="2"/>
  <c r="AC12" i="2"/>
  <c r="AB12" i="2"/>
  <c r="AC11" i="2"/>
  <c r="AB11" i="2"/>
  <c r="AC10" i="2"/>
  <c r="AB10" i="2"/>
  <c r="AC9" i="2"/>
  <c r="AB9" i="2"/>
  <c r="AC8" i="2"/>
  <c r="AB8" i="2"/>
  <c r="AC7" i="2"/>
  <c r="AB7" i="2"/>
  <c r="AC6" i="2"/>
  <c r="AB6" i="2"/>
  <c r="AC5" i="2"/>
  <c r="AB5" i="2"/>
  <c r="AC4" i="2"/>
  <c r="AB4" i="2"/>
  <c r="AC3" i="2"/>
  <c r="AB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C2" i="2"/>
  <c r="AB2" i="2"/>
  <c r="P89" i="1"/>
  <c r="J88" i="1"/>
  <c r="K88" i="1"/>
  <c r="L88" i="1"/>
  <c r="M88" i="1"/>
  <c r="O88" i="1"/>
  <c r="P88" i="1"/>
  <c r="Q88" i="1"/>
  <c r="S88" i="1"/>
  <c r="T88" i="1"/>
  <c r="U88" i="1"/>
  <c r="V88" i="1"/>
  <c r="W88" i="1"/>
  <c r="X88" i="1"/>
  <c r="Y88" i="1"/>
  <c r="Z88" i="1"/>
  <c r="AA88" i="1"/>
  <c r="K87" i="1"/>
  <c r="K89" i="1" s="1"/>
  <c r="L87" i="1"/>
  <c r="L89" i="1" s="1"/>
  <c r="M87" i="1"/>
  <c r="N87" i="1"/>
  <c r="O87" i="1"/>
  <c r="O89" i="1" s="1"/>
  <c r="P87" i="1"/>
  <c r="Q87" i="1"/>
  <c r="Q89" i="1" s="1"/>
  <c r="S87" i="1"/>
  <c r="S89" i="1" s="1"/>
  <c r="T87" i="1"/>
  <c r="T89" i="1" s="1"/>
  <c r="U87" i="1"/>
  <c r="U89" i="1" s="1"/>
  <c r="V87" i="1"/>
  <c r="V89" i="1" s="1"/>
  <c r="W87" i="1"/>
  <c r="W89" i="1" s="1"/>
  <c r="X87" i="1"/>
  <c r="X89" i="1" s="1"/>
  <c r="Y87" i="1"/>
  <c r="Y89" i="1" s="1"/>
  <c r="Z87" i="1"/>
  <c r="Z89" i="1" s="1"/>
  <c r="AA87" i="1"/>
  <c r="AA89" i="1" s="1"/>
  <c r="K84" i="1"/>
  <c r="L84" i="1"/>
  <c r="M84" i="1"/>
  <c r="N84" i="1"/>
  <c r="O84" i="1"/>
  <c r="P84" i="1"/>
  <c r="Q84" i="1"/>
  <c r="S84" i="1"/>
  <c r="T84" i="1"/>
  <c r="U84" i="1"/>
  <c r="V84" i="1"/>
  <c r="W84" i="1"/>
  <c r="X84" i="1"/>
  <c r="Y84" i="1"/>
  <c r="Z84" i="1"/>
  <c r="AA84" i="1"/>
  <c r="J83" i="1"/>
  <c r="K83" i="1"/>
  <c r="L83" i="1"/>
  <c r="L85" i="1" s="1"/>
  <c r="M83" i="1"/>
  <c r="M85" i="1" s="1"/>
  <c r="O83" i="1"/>
  <c r="O85" i="1" s="1"/>
  <c r="P83" i="1"/>
  <c r="P85" i="1" s="1"/>
  <c r="Q83" i="1"/>
  <c r="Q85" i="1" s="1"/>
  <c r="S83" i="1"/>
  <c r="S85" i="1" s="1"/>
  <c r="T83" i="1"/>
  <c r="T85" i="1" s="1"/>
  <c r="U83" i="1"/>
  <c r="U85" i="1" s="1"/>
  <c r="V83" i="1"/>
  <c r="V85" i="1" s="1"/>
  <c r="W83" i="1"/>
  <c r="X83" i="1"/>
  <c r="X85" i="1" s="1"/>
  <c r="Y83" i="1"/>
  <c r="Y85" i="1" s="1"/>
  <c r="Z83" i="1"/>
  <c r="AA83" i="1"/>
  <c r="AA85" i="1" s="1"/>
  <c r="J80" i="1"/>
  <c r="K80" i="1"/>
  <c r="L80" i="1"/>
  <c r="M80" i="1"/>
  <c r="O80" i="1"/>
  <c r="P80" i="1"/>
  <c r="Q80" i="1"/>
  <c r="S80" i="1"/>
  <c r="T80" i="1"/>
  <c r="T81" i="1" s="1"/>
  <c r="U80" i="1"/>
  <c r="V80" i="1"/>
  <c r="W80" i="1"/>
  <c r="X80" i="1"/>
  <c r="Y80" i="1"/>
  <c r="Z80" i="1"/>
  <c r="AA80" i="1"/>
  <c r="J79" i="1"/>
  <c r="K79" i="1"/>
  <c r="L79" i="1"/>
  <c r="M79" i="1"/>
  <c r="M81" i="1" s="1"/>
  <c r="N79" i="1"/>
  <c r="O79" i="1"/>
  <c r="P79" i="1"/>
  <c r="Q79" i="1"/>
  <c r="S79" i="1"/>
  <c r="T79" i="1"/>
  <c r="U79" i="1"/>
  <c r="V79" i="1"/>
  <c r="V81" i="1" s="1"/>
  <c r="W79" i="1"/>
  <c r="X79" i="1"/>
  <c r="Y79" i="1"/>
  <c r="Z79" i="1"/>
  <c r="AA79" i="1"/>
  <c r="N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I74" i="1"/>
  <c r="R74" i="1" s="1"/>
  <c r="AB74" i="1"/>
  <c r="AC73" i="1"/>
  <c r="AC74" i="1"/>
  <c r="AB73" i="1"/>
  <c r="J73" i="1"/>
  <c r="I73" i="1"/>
  <c r="AC72" i="1"/>
  <c r="AB72" i="1"/>
  <c r="J72" i="1"/>
  <c r="I72" i="1"/>
  <c r="I71" i="1"/>
  <c r="R71" i="1" s="1"/>
  <c r="I70" i="1"/>
  <c r="R70" i="1" s="1"/>
  <c r="I69" i="1"/>
  <c r="R69" i="1" s="1"/>
  <c r="I68" i="1"/>
  <c r="R68" i="1" s="1"/>
  <c r="J67" i="1"/>
  <c r="I67" i="1"/>
  <c r="J66" i="1"/>
  <c r="I66" i="1"/>
  <c r="J65" i="1"/>
  <c r="I65" i="1"/>
  <c r="I64" i="1"/>
  <c r="R64" i="1" s="1"/>
  <c r="I63" i="1"/>
  <c r="R63" i="1" s="1"/>
  <c r="I62" i="1"/>
  <c r="R62" i="1" s="1"/>
  <c r="I61" i="1"/>
  <c r="R61" i="1" s="1"/>
  <c r="I60" i="1"/>
  <c r="R60" i="1" s="1"/>
  <c r="I59" i="1"/>
  <c r="R59" i="1" s="1"/>
  <c r="I58" i="1"/>
  <c r="R58" i="1" s="1"/>
  <c r="I57" i="1"/>
  <c r="R57" i="1" s="1"/>
  <c r="I56" i="1"/>
  <c r="R56" i="1" s="1"/>
  <c r="I55" i="1"/>
  <c r="R55" i="1" s="1"/>
  <c r="I54" i="1"/>
  <c r="R54" i="1" s="1"/>
  <c r="I53" i="1"/>
  <c r="R53" i="1" s="1"/>
  <c r="J52" i="1"/>
  <c r="I52" i="1"/>
  <c r="J51" i="1"/>
  <c r="I51" i="1"/>
  <c r="I50" i="1"/>
  <c r="R50" i="1" s="1"/>
  <c r="J49" i="1"/>
  <c r="I49" i="1"/>
  <c r="I48" i="1"/>
  <c r="R48" i="1" s="1"/>
  <c r="I47" i="1"/>
  <c r="R47" i="1" s="1"/>
  <c r="I45" i="1"/>
  <c r="R45" i="1" s="1"/>
  <c r="I44" i="1"/>
  <c r="R44" i="1" s="1"/>
  <c r="J43" i="1"/>
  <c r="I43" i="1"/>
  <c r="J42" i="1"/>
  <c r="I42" i="1"/>
  <c r="J41" i="1"/>
  <c r="I41" i="1"/>
  <c r="I40" i="1"/>
  <c r="R40" i="1" s="1"/>
  <c r="R46" i="1"/>
  <c r="I39" i="1"/>
  <c r="R39" i="1" s="1"/>
  <c r="I38" i="1"/>
  <c r="R38" i="1" s="1"/>
  <c r="I37" i="1"/>
  <c r="R37" i="1" s="1"/>
  <c r="I36" i="1"/>
  <c r="R36" i="1" s="1"/>
  <c r="I35" i="1"/>
  <c r="R35" i="1" s="1"/>
  <c r="J34" i="1"/>
  <c r="I34" i="1"/>
  <c r="R34" i="1" s="1"/>
  <c r="I33" i="1"/>
  <c r="R33" i="1" s="1"/>
  <c r="I32" i="1"/>
  <c r="R32" i="1" s="1"/>
  <c r="I31" i="1"/>
  <c r="J31" i="1"/>
  <c r="I30" i="1"/>
  <c r="R30" i="1" s="1"/>
  <c r="I29" i="1"/>
  <c r="J29" i="1"/>
  <c r="I28" i="1"/>
  <c r="R28" i="1" s="1"/>
  <c r="I27" i="1"/>
  <c r="R27" i="1" s="1"/>
  <c r="J26" i="1"/>
  <c r="I26" i="1"/>
  <c r="I25" i="1"/>
  <c r="R25" i="1" s="1"/>
  <c r="I24" i="1"/>
  <c r="R24" i="1" s="1"/>
  <c r="I23" i="1"/>
  <c r="R23" i="1" s="1"/>
  <c r="AB22" i="1"/>
  <c r="J22" i="1"/>
  <c r="I22" i="1"/>
  <c r="J21" i="1"/>
  <c r="I21" i="1"/>
  <c r="I20" i="1"/>
  <c r="R20" i="1" s="1"/>
  <c r="J19" i="1"/>
  <c r="I19" i="1"/>
  <c r="I18" i="1"/>
  <c r="R18" i="1" s="1"/>
  <c r="I17" i="1"/>
  <c r="R17" i="1" s="1"/>
  <c r="J16" i="1"/>
  <c r="I16" i="1"/>
  <c r="I15" i="1"/>
  <c r="R15" i="1" s="1"/>
  <c r="J14" i="1"/>
  <c r="I14" i="1"/>
  <c r="J13" i="1"/>
  <c r="I13" i="1"/>
  <c r="I12" i="1"/>
  <c r="R12" i="1" s="1"/>
  <c r="J11" i="1"/>
  <c r="I11" i="1"/>
  <c r="J10" i="1"/>
  <c r="I10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J9" i="1"/>
  <c r="I9" i="1"/>
  <c r="I8" i="1"/>
  <c r="R8" i="1" s="1"/>
  <c r="J7" i="1"/>
  <c r="I7" i="1"/>
  <c r="Z85" i="1" l="1"/>
  <c r="R13" i="1"/>
  <c r="K85" i="1"/>
  <c r="R11" i="1"/>
  <c r="R79" i="1"/>
  <c r="M89" i="1"/>
  <c r="R7" i="1"/>
  <c r="W85" i="1"/>
  <c r="AC87" i="1"/>
  <c r="R52" i="1"/>
  <c r="AC83" i="1"/>
  <c r="R31" i="1"/>
  <c r="O81" i="1"/>
  <c r="R21" i="1"/>
  <c r="N88" i="1"/>
  <c r="N89" i="1" s="1"/>
  <c r="AC88" i="1"/>
  <c r="AC89" i="1" s="1"/>
  <c r="R49" i="1"/>
  <c r="I79" i="1"/>
  <c r="K81" i="1"/>
  <c r="AC84" i="1"/>
  <c r="AC80" i="1"/>
  <c r="Y81" i="1"/>
  <c r="N83" i="1"/>
  <c r="N85" i="1" s="1"/>
  <c r="AC79" i="1"/>
  <c r="R66" i="1"/>
  <c r="N80" i="1"/>
  <c r="N81" i="1" s="1"/>
  <c r="J89" i="2"/>
  <c r="R3" i="2"/>
  <c r="I86" i="2"/>
  <c r="J86" i="2"/>
  <c r="I85" i="2"/>
  <c r="R17" i="2"/>
  <c r="I90" i="2"/>
  <c r="R73" i="2"/>
  <c r="I82" i="2"/>
  <c r="AB79" i="3"/>
  <c r="R54" i="3"/>
  <c r="AC79" i="3"/>
  <c r="J87" i="3"/>
  <c r="R28" i="3"/>
  <c r="R5" i="3"/>
  <c r="R26" i="3"/>
  <c r="AC83" i="3"/>
  <c r="J83" i="3"/>
  <c r="J84" i="3" s="1"/>
  <c r="I78" i="3"/>
  <c r="I83" i="3"/>
  <c r="J86" i="3"/>
  <c r="R55" i="3"/>
  <c r="R70" i="3"/>
  <c r="AB86" i="3"/>
  <c r="I86" i="3"/>
  <c r="R61" i="3"/>
  <c r="R79" i="3"/>
  <c r="R69" i="3"/>
  <c r="R9" i="3"/>
  <c r="AC87" i="3"/>
  <c r="AB83" i="3"/>
  <c r="R56" i="3"/>
  <c r="R60" i="3"/>
  <c r="AA78" i="3"/>
  <c r="AA80" i="3" s="1"/>
  <c r="AC82" i="3"/>
  <c r="AA87" i="3"/>
  <c r="AA88" i="3" s="1"/>
  <c r="I79" i="3"/>
  <c r="I87" i="3"/>
  <c r="I82" i="3"/>
  <c r="AC86" i="3"/>
  <c r="R71" i="3"/>
  <c r="AB48" i="3"/>
  <c r="AB82" i="3" s="1"/>
  <c r="R30" i="3"/>
  <c r="R33" i="3"/>
  <c r="R39" i="3"/>
  <c r="R14" i="3"/>
  <c r="R37" i="3"/>
  <c r="R20" i="3"/>
  <c r="R29" i="3"/>
  <c r="R41" i="3"/>
  <c r="R45" i="3"/>
  <c r="R10" i="3"/>
  <c r="R31" i="3"/>
  <c r="Q84" i="3"/>
  <c r="R24" i="3"/>
  <c r="R27" i="3"/>
  <c r="R16" i="3"/>
  <c r="R19" i="3"/>
  <c r="R25" i="3"/>
  <c r="R59" i="3"/>
  <c r="R4" i="3"/>
  <c r="R7" i="3"/>
  <c r="R12" i="3"/>
  <c r="R15" i="3"/>
  <c r="R18" i="3"/>
  <c r="R23" i="3"/>
  <c r="R11" i="3"/>
  <c r="R40" i="3"/>
  <c r="R3" i="3"/>
  <c r="R8" i="3"/>
  <c r="R46" i="3"/>
  <c r="R64" i="3"/>
  <c r="P84" i="3"/>
  <c r="AA84" i="3"/>
  <c r="T84" i="3"/>
  <c r="W84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N80" i="3"/>
  <c r="R38" i="3"/>
  <c r="R44" i="3"/>
  <c r="R82" i="3" s="1"/>
  <c r="R65" i="3"/>
  <c r="S84" i="3"/>
  <c r="X84" i="3"/>
  <c r="M88" i="3"/>
  <c r="O84" i="3"/>
  <c r="N84" i="3"/>
  <c r="L80" i="3"/>
  <c r="P88" i="3"/>
  <c r="Z84" i="3"/>
  <c r="T80" i="3"/>
  <c r="Q88" i="3"/>
  <c r="Z88" i="3"/>
  <c r="P80" i="3"/>
  <c r="Y80" i="3"/>
  <c r="V84" i="3"/>
  <c r="M84" i="3"/>
  <c r="L84" i="3"/>
  <c r="M80" i="3"/>
  <c r="V80" i="3"/>
  <c r="K88" i="3"/>
  <c r="T88" i="3"/>
  <c r="Y88" i="3"/>
  <c r="W80" i="3"/>
  <c r="V88" i="3"/>
  <c r="U84" i="3"/>
  <c r="U80" i="3"/>
  <c r="L88" i="3"/>
  <c r="K84" i="3"/>
  <c r="K80" i="3"/>
  <c r="J80" i="3"/>
  <c r="O88" i="3"/>
  <c r="Y84" i="3"/>
  <c r="N88" i="3"/>
  <c r="W88" i="3"/>
  <c r="U88" i="3"/>
  <c r="S80" i="3"/>
  <c r="S88" i="3"/>
  <c r="O80" i="3"/>
  <c r="X80" i="3"/>
  <c r="Q80" i="3"/>
  <c r="Z80" i="3"/>
  <c r="X88" i="3"/>
  <c r="AB90" i="2"/>
  <c r="AC90" i="2"/>
  <c r="R81" i="2"/>
  <c r="AB81" i="2"/>
  <c r="AB86" i="2"/>
  <c r="AC85" i="2"/>
  <c r="AC89" i="2"/>
  <c r="AB89" i="2"/>
  <c r="AB85" i="2"/>
  <c r="AC86" i="2"/>
  <c r="AC81" i="2"/>
  <c r="AC82" i="2"/>
  <c r="AB82" i="2"/>
  <c r="R63" i="2"/>
  <c r="R15" i="2"/>
  <c r="R47" i="2"/>
  <c r="R48" i="2"/>
  <c r="R61" i="2"/>
  <c r="R69" i="2"/>
  <c r="R68" i="2"/>
  <c r="R62" i="2"/>
  <c r="R7" i="2"/>
  <c r="AA91" i="2"/>
  <c r="R4" i="2"/>
  <c r="R45" i="2"/>
  <c r="AA87" i="2"/>
  <c r="R20" i="2"/>
  <c r="W91" i="2"/>
  <c r="R23" i="2"/>
  <c r="R19" i="2"/>
  <c r="R38" i="2"/>
  <c r="K87" i="2"/>
  <c r="Q91" i="2"/>
  <c r="R9" i="2"/>
  <c r="P91" i="2"/>
  <c r="A14" i="2"/>
  <c r="A15" i="2" s="1"/>
  <c r="A16" i="2" s="1"/>
  <c r="L87" i="2"/>
  <c r="J91" i="2"/>
  <c r="R29" i="2"/>
  <c r="R39" i="2"/>
  <c r="R8" i="2"/>
  <c r="R13" i="2"/>
  <c r="R10" i="2"/>
  <c r="R12" i="2"/>
  <c r="R32" i="2"/>
  <c r="R40" i="2"/>
  <c r="S87" i="2"/>
  <c r="N87" i="2"/>
  <c r="M87" i="2"/>
  <c r="X87" i="2"/>
  <c r="V91" i="2"/>
  <c r="T91" i="2"/>
  <c r="U83" i="2"/>
  <c r="W87" i="2"/>
  <c r="K83" i="2"/>
  <c r="U91" i="2"/>
  <c r="Y91" i="2"/>
  <c r="W83" i="2"/>
  <c r="L91" i="2"/>
  <c r="Y87" i="2"/>
  <c r="V87" i="2"/>
  <c r="U87" i="2"/>
  <c r="T87" i="2"/>
  <c r="S91" i="2"/>
  <c r="J83" i="2"/>
  <c r="S83" i="2"/>
  <c r="AA83" i="2"/>
  <c r="Z91" i="2"/>
  <c r="Q87" i="2"/>
  <c r="X83" i="2"/>
  <c r="M91" i="2"/>
  <c r="P83" i="2"/>
  <c r="Y83" i="2"/>
  <c r="O87" i="2"/>
  <c r="X91" i="2"/>
  <c r="L83" i="2"/>
  <c r="O91" i="2"/>
  <c r="K91" i="2"/>
  <c r="Z83" i="2"/>
  <c r="Z87" i="2"/>
  <c r="V83" i="2"/>
  <c r="T83" i="2"/>
  <c r="Q83" i="2"/>
  <c r="P87" i="2"/>
  <c r="O83" i="2"/>
  <c r="M83" i="2"/>
  <c r="N83" i="2"/>
  <c r="R11" i="2"/>
  <c r="J87" i="2"/>
  <c r="N91" i="2"/>
  <c r="R5" i="2"/>
  <c r="R2" i="2"/>
  <c r="X81" i="1"/>
  <c r="U81" i="1"/>
  <c r="L81" i="1"/>
  <c r="P81" i="1"/>
  <c r="AA81" i="1"/>
  <c r="W81" i="1"/>
  <c r="S81" i="1"/>
  <c r="J81" i="1"/>
  <c r="Q81" i="1"/>
  <c r="Z81" i="1"/>
  <c r="R51" i="1"/>
  <c r="R67" i="1"/>
  <c r="R72" i="1"/>
  <c r="R41" i="1"/>
  <c r="R73" i="1"/>
  <c r="R65" i="1"/>
  <c r="R19" i="1"/>
  <c r="R14" i="1"/>
  <c r="R26" i="1"/>
  <c r="R16" i="1"/>
  <c r="R22" i="1"/>
  <c r="R42" i="1"/>
  <c r="R29" i="1"/>
  <c r="R9" i="1"/>
  <c r="R10" i="1"/>
  <c r="R43" i="1"/>
  <c r="I6" i="1"/>
  <c r="R6" i="1" s="1"/>
  <c r="I5" i="1"/>
  <c r="R5" i="1" s="1"/>
  <c r="J4" i="1"/>
  <c r="I4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2" i="1"/>
  <c r="I3" i="1"/>
  <c r="AC85" i="1" l="1"/>
  <c r="J87" i="1"/>
  <c r="J89" i="1" s="1"/>
  <c r="J84" i="1"/>
  <c r="J85" i="1" s="1"/>
  <c r="R3" i="1"/>
  <c r="I87" i="1"/>
  <c r="I84" i="1"/>
  <c r="AB79" i="1"/>
  <c r="AB83" i="1"/>
  <c r="AB85" i="1" s="1"/>
  <c r="AB88" i="1"/>
  <c r="AB80" i="1"/>
  <c r="AB87" i="1"/>
  <c r="AB84" i="1"/>
  <c r="R87" i="3"/>
  <c r="R78" i="3"/>
  <c r="R80" i="3" s="1"/>
  <c r="AB87" i="3"/>
  <c r="AB88" i="3" s="1"/>
  <c r="R86" i="3"/>
  <c r="R83" i="3"/>
  <c r="AB78" i="3"/>
  <c r="AB80" i="3" s="1"/>
  <c r="J88" i="3"/>
  <c r="I80" i="3"/>
  <c r="A44" i="3"/>
  <c r="A45" i="3" s="1"/>
  <c r="A46" i="3" s="1"/>
  <c r="I88" i="3"/>
  <c r="I84" i="3"/>
  <c r="AB84" i="3"/>
  <c r="AC80" i="3"/>
  <c r="AC84" i="3"/>
  <c r="AC88" i="3"/>
  <c r="R86" i="2"/>
  <c r="R89" i="2"/>
  <c r="R90" i="2"/>
  <c r="R82" i="2"/>
  <c r="R83" i="2" s="1"/>
  <c r="R85" i="2"/>
  <c r="I83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I91" i="2"/>
  <c r="I87" i="2"/>
  <c r="AC87" i="2"/>
  <c r="AB83" i="2"/>
  <c r="AC83" i="2"/>
  <c r="AC91" i="2"/>
  <c r="AB91" i="2"/>
  <c r="AB87" i="2"/>
  <c r="AC81" i="1"/>
  <c r="R4" i="1"/>
  <c r="I2" i="1"/>
  <c r="AB81" i="1" l="1"/>
  <c r="I80" i="1"/>
  <c r="I81" i="1" s="1"/>
  <c r="I83" i="1"/>
  <c r="I85" i="1" s="1"/>
  <c r="I88" i="1"/>
  <c r="I89" i="1" s="1"/>
  <c r="AB89" i="1"/>
  <c r="R87" i="1"/>
  <c r="R84" i="1"/>
  <c r="A47" i="3"/>
  <c r="A48" i="3" s="1"/>
  <c r="A49" i="3" s="1"/>
  <c r="A50" i="3" s="1"/>
  <c r="A51" i="3" s="1"/>
  <c r="A52" i="3" s="1"/>
  <c r="A53" i="3" s="1"/>
  <c r="A54" i="3" s="1"/>
  <c r="R88" i="3"/>
  <c r="R84" i="3"/>
  <c r="A37" i="2"/>
  <c r="A38" i="2" s="1"/>
  <c r="A39" i="2" s="1"/>
  <c r="A40" i="2" s="1"/>
  <c r="A41" i="2" s="1"/>
  <c r="A42" i="2" s="1"/>
  <c r="A43" i="2" s="1"/>
  <c r="R91" i="2"/>
  <c r="R87" i="2"/>
  <c r="R2" i="1"/>
  <c r="R88" i="1" l="1"/>
  <c r="R89" i="1" s="1"/>
  <c r="R80" i="1"/>
  <c r="R81" i="1" s="1"/>
  <c r="R83" i="1"/>
  <c r="R85" i="1" s="1"/>
  <c r="A56" i="3"/>
  <c r="A57" i="3" s="1"/>
  <c r="A58" i="3" s="1"/>
  <c r="A59" i="3" s="1"/>
  <c r="A60" i="3" s="1"/>
  <c r="A55" i="3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1" i="3" l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A8" authorId="0" shapeId="0" xr:uid="{F561A56C-1798-4094-AD80-61D226B7F3F2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Retired May 2021</t>
        </r>
      </text>
    </comment>
    <comment ref="A15" authorId="0" shapeId="0" xr:uid="{78913021-99E4-4499-A63C-B8025B9FAE98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switched from Union employee to Non-Union employee mid-year</t>
        </r>
      </text>
    </comment>
    <comment ref="A18" authorId="0" shapeId="0" xr:uid="{26A8F8BC-8400-4380-A2BE-FF18DE6B769F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Resigned August 2021</t>
        </r>
      </text>
    </comment>
    <comment ref="A25" authorId="0" shapeId="0" xr:uid="{C5826247-6612-4A98-B3AA-11112DD3E3D1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switched from non-management, non-exempt, Union status to exempt management non-Union position mid-year</t>
        </r>
      </text>
    </comment>
    <comment ref="A37" authorId="0" shapeId="0" xr:uid="{8B0D9578-2D6E-46ED-8E2D-13749A27AF0B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Changed from exempt, non-union to non-exempt, non-union mid-year.</t>
        </r>
      </text>
    </comment>
    <comment ref="A39" authorId="0" shapeId="0" xr:uid="{B33F22C1-BD45-40DD-8BED-AE171D5B7AE6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Resigned January 2021</t>
        </r>
      </text>
    </comment>
    <comment ref="A46" authorId="0" shapeId="0" xr:uid="{940CF863-970D-4E33-B0B7-97D93AEAD5A7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Deferred comp payout only.</t>
        </r>
      </text>
    </comment>
    <comment ref="A47" authorId="0" shapeId="0" xr:uid="{883B296F-D76E-47AE-933E-9E9FB30D87D5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Resigned May 2021</t>
        </r>
      </text>
    </comment>
    <comment ref="A64" authorId="0" shapeId="0" xr:uid="{5E6DBE90-3B11-4F0B-B410-353637C5B673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Opted out of LTD</t>
        </r>
      </text>
    </comment>
    <comment ref="A71" authorId="0" shapeId="0" xr:uid="{29C75A23-3C16-41E4-B008-5648454846A4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Hired March 2021</t>
        </r>
      </text>
    </comment>
    <comment ref="A72" authorId="0" shapeId="0" xr:uid="{458286AA-BD75-427D-9DCB-A0706CC3E6D6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Hired March 2021</t>
        </r>
      </text>
    </comment>
    <comment ref="A73" authorId="0" shapeId="0" xr:uid="{B3A0CB3A-FDAA-434D-B8AE-BF7CDD2A263F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Hired March 2021</t>
        </r>
      </text>
    </comment>
    <comment ref="A74" authorId="0" shapeId="0" xr:uid="{7EB51C34-7450-49F9-A82F-71CB142D3E65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Hired December 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A9" authorId="0" shapeId="0" xr:uid="{7385B2BA-6E3F-48D3-8D0D-8B9E3EC25A74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Retired August 2022</t>
        </r>
      </text>
    </comment>
    <comment ref="A43" authorId="0" shapeId="0" xr:uid="{C257005F-A7CD-4A55-AEC5-EC3467398534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Deferred comp payout only.</t>
        </r>
      </text>
    </comment>
    <comment ref="A45" authorId="0" shapeId="0" xr:uid="{B321A761-CE86-49CF-945F-C52BBD17ADCD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resigned May 2022</t>
        </r>
      </text>
    </comment>
    <comment ref="A49" authorId="0" shapeId="0" xr:uid="{9E9A7FAD-E00F-4ADD-8F7C-EA5699954060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resigned in June 2022</t>
        </r>
      </text>
    </comment>
    <comment ref="A50" authorId="0" shapeId="0" xr:uid="{E0F113D1-547F-4B6B-9271-079F8BC55E1E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resigned November 2022</t>
        </r>
      </text>
    </comment>
    <comment ref="A60" authorId="0" shapeId="0" xr:uid="{3B271C49-73AA-465B-AD78-B4C1FC9BDD08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Opted out of LTD</t>
        </r>
      </text>
    </comment>
    <comment ref="A64" authorId="0" shapeId="0" xr:uid="{04F4032A-71BF-459D-B181-565899C0A366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Only worked 72 hours in 2022</t>
        </r>
      </text>
    </comment>
    <comment ref="A71" authorId="0" shapeId="0" xr:uid="{C0CDAA51-145B-4541-B362-939473ACC6D0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hired February 2022</t>
        </r>
      </text>
    </comment>
    <comment ref="A72" authorId="0" shapeId="0" xr:uid="{0990AC56-7107-4D58-B39B-0F60FB4BD54E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hired May 2022</t>
        </r>
      </text>
    </comment>
    <comment ref="A73" authorId="0" shapeId="0" xr:uid="{359F2CE3-6B54-435E-8964-830132A6B0D7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hired July 2022</t>
        </r>
      </text>
    </comment>
    <comment ref="A74" authorId="0" shapeId="0" xr:uid="{A8B77E11-26E8-428F-9063-D8BE6940A733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hired August 2022</t>
        </r>
      </text>
    </comment>
    <comment ref="A75" authorId="0" shapeId="0" xr:uid="{64CFF605-51B0-473D-89A9-F570C5510CED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hired August 2022</t>
        </r>
      </text>
    </comment>
    <comment ref="A76" authorId="0" shapeId="0" xr:uid="{BF811028-6960-476C-AB25-A8F167A09217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hired August 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A6" authorId="0" shapeId="0" xr:uid="{CEC5F29A-1394-42AE-BED6-1EBE9E0CB174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retired April 2023</t>
        </r>
      </text>
    </comment>
    <comment ref="A32" authorId="0" shapeId="0" xr:uid="{0B62A772-B04E-41D4-AFFA-82DAB548A61E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resigned October 2023</t>
        </r>
      </text>
    </comment>
    <comment ref="A41" authorId="0" shapeId="0" xr:uid="{B26CA8F6-F1BA-418B-83B4-B21FF39651F1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resigned October 2023</t>
        </r>
      </text>
    </comment>
    <comment ref="A42" authorId="0" shapeId="0" xr:uid="{B82A1EE1-00F8-4E26-8807-700988EB2103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Deferred comp payout only.</t>
        </r>
      </text>
    </comment>
    <comment ref="A55" authorId="0" shapeId="0" xr:uid="{74E39832-49A0-4EFB-9B1C-85075426196D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hired October 2023</t>
        </r>
      </text>
    </comment>
    <comment ref="A57" authorId="0" shapeId="0" xr:uid="{51BCA096-A4CA-4DA5-8E2C-EF77681D52FD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Opted out of LTD</t>
        </r>
      </text>
    </comment>
    <comment ref="A62" authorId="0" shapeId="0" xr:uid="{0BDADCB1-A3CC-4BE4-B441-7001AE54A3F7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resigned April 2023</t>
        </r>
      </text>
    </comment>
    <comment ref="A73" authorId="0" shapeId="0" xr:uid="{7CA45A21-A83E-44D2-BC94-FC5F2B558037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Employee hired September 2023</t>
        </r>
      </text>
    </comment>
  </commentList>
</comments>
</file>

<file path=xl/sharedStrings.xml><?xml version="1.0" encoding="utf-8"?>
<sst xmlns="http://schemas.openxmlformats.org/spreadsheetml/2006/main" count="657" uniqueCount="33">
  <si>
    <t>Empl</t>
  </si>
  <si>
    <t>Corp Officer</t>
  </si>
  <si>
    <t>Manager</t>
  </si>
  <si>
    <t>Supervisor</t>
  </si>
  <si>
    <t>Exempt</t>
  </si>
  <si>
    <t>Non-Exempt</t>
  </si>
  <si>
    <t>Union</t>
  </si>
  <si>
    <t>Non-Union</t>
  </si>
  <si>
    <t>Reg Salary</t>
  </si>
  <si>
    <t>OT Amount</t>
  </si>
  <si>
    <t>Vac Payout</t>
  </si>
  <si>
    <t>Bonus</t>
  </si>
  <si>
    <t>Sick Payout</t>
  </si>
  <si>
    <t>Other</t>
  </si>
  <si>
    <t>Total Comp</t>
  </si>
  <si>
    <t>Employer Paid Healthcare</t>
  </si>
  <si>
    <t>Employee Paid Healthcare</t>
  </si>
  <si>
    <t>Employer Paid Life Insurance</t>
  </si>
  <si>
    <t>Employer Paid Defined Benefit</t>
  </si>
  <si>
    <t>Employer Paid IBEW Defined Benefit</t>
  </si>
  <si>
    <t>Employer Long-term Disability</t>
  </si>
  <si>
    <t>Employee Long-term Disability</t>
  </si>
  <si>
    <t>Employer Contribution 457(b)</t>
  </si>
  <si>
    <t>X</t>
  </si>
  <si>
    <t>Employer Defined Contribution 401(k)</t>
  </si>
  <si>
    <t>Total ER Benefits</t>
  </si>
  <si>
    <t>Total EE Benefits</t>
  </si>
  <si>
    <t>Cell Phone Reimbursement</t>
  </si>
  <si>
    <t>Auto Allowance</t>
  </si>
  <si>
    <t>Deferred Comp Payout</t>
  </si>
  <si>
    <t>Summary:</t>
  </si>
  <si>
    <t>Total</t>
  </si>
  <si>
    <t>Employer Contribution 457(b) &amp; 457(f)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</si>
</sst>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3" fontId="2" fillId="0" borderId="2" xfId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43" fontId="2" fillId="0" borderId="0" xfId="1" applyFont="1" applyAlignment="1">
      <alignment horizontal="center" vertical="top" wrapText="1"/>
    </xf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 applyFill="1"/>
    <xf numFmtId="43" fontId="0" fillId="0" borderId="3" xfId="1" applyFont="1" applyBorder="1"/>
    <xf numFmtId="43" fontId="2" fillId="0" borderId="2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6F93-451C-4540-9664-6C65187BE982}">
  <dimension ref="A1:AD92"/>
  <sheetViews>
    <sheetView tabSelected="1" zoomScaleNormal="100" workbookViewId="0">
      <pane ySplit="1" topLeftCell="A2" activePane="bottomLeft" state="frozen"/>
      <selection pane="bottomLeft" activeCell="A77" sqref="A77:XFD78"/>
    </sheetView>
  </sheetViews>
  <sheetFormatPr defaultRowHeight="15" x14ac:dyDescent="0.25"/>
  <cols>
    <col min="1" max="1" width="9.5703125" bestFit="1" customWidth="1"/>
    <col min="2" max="2" width="15.42578125" style="9" bestFit="1" customWidth="1"/>
    <col min="3" max="3" width="12.7109375" style="9" bestFit="1" customWidth="1"/>
    <col min="4" max="4" width="14.42578125" style="9" bestFit="1" customWidth="1"/>
    <col min="5" max="5" width="11.7109375" style="9" customWidth="1"/>
    <col min="6" max="6" width="15.42578125" style="9" customWidth="1"/>
    <col min="7" max="7" width="10.140625" style="9" customWidth="1"/>
    <col min="8" max="8" width="13.85546875" style="9" customWidth="1"/>
    <col min="9" max="9" width="14.28515625" style="8" customWidth="1"/>
    <col min="10" max="10" width="14.5703125" style="8" customWidth="1"/>
    <col min="11" max="11" width="14.7109375" style="8" customWidth="1"/>
    <col min="12" max="12" width="11.28515625" style="8" customWidth="1"/>
    <col min="13" max="13" width="15.140625" style="8" customWidth="1"/>
    <col min="14" max="14" width="10.140625" style="8" customWidth="1"/>
    <col min="15" max="17" width="16.140625" style="8" customWidth="1"/>
    <col min="18" max="18" width="14.7109375" style="8" customWidth="1"/>
    <col min="19" max="19" width="17.7109375" style="8" bestFit="1" customWidth="1"/>
    <col min="20" max="20" width="18" style="8" bestFit="1" customWidth="1"/>
    <col min="21" max="23" width="17.7109375" style="8" bestFit="1" customWidth="1"/>
    <col min="24" max="24" width="15.42578125" style="8" bestFit="1" customWidth="1"/>
    <col min="25" max="26" width="14" style="8" bestFit="1" customWidth="1"/>
    <col min="27" max="27" width="15.42578125" style="8" bestFit="1" customWidth="1"/>
    <col min="28" max="28" width="23.7109375" bestFit="1" customWidth="1"/>
    <col min="29" max="29" width="21" customWidth="1"/>
  </cols>
  <sheetData>
    <row r="1" spans="1:30" s="2" customFormat="1" ht="4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5" t="s">
        <v>27</v>
      </c>
      <c r="P1" s="5" t="s">
        <v>29</v>
      </c>
      <c r="Q1" s="5" t="s">
        <v>28</v>
      </c>
      <c r="R1" s="4" t="s">
        <v>14</v>
      </c>
      <c r="S1" s="5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24</v>
      </c>
      <c r="Y1" s="7" t="s">
        <v>20</v>
      </c>
      <c r="Z1" s="7" t="s">
        <v>21</v>
      </c>
      <c r="AA1" s="7" t="s">
        <v>22</v>
      </c>
      <c r="AB1" s="7" t="s">
        <v>25</v>
      </c>
      <c r="AC1" s="7" t="s">
        <v>26</v>
      </c>
    </row>
    <row r="2" spans="1:30" x14ac:dyDescent="0.25">
      <c r="A2">
        <v>1</v>
      </c>
      <c r="C2" s="9" t="s">
        <v>23</v>
      </c>
      <c r="E2" s="9" t="s">
        <v>23</v>
      </c>
      <c r="H2" s="9" t="s">
        <v>23</v>
      </c>
      <c r="I2" s="8">
        <f>90235.75+5771.49+438.06+224.51+2190.32+12495.77+5705.8+449.02</f>
        <v>117510.72000000002</v>
      </c>
      <c r="J2" s="8">
        <v>0</v>
      </c>
      <c r="K2" s="8">
        <v>0</v>
      </c>
      <c r="L2" s="8">
        <v>574.83000000000004</v>
      </c>
      <c r="M2" s="8">
        <v>0</v>
      </c>
      <c r="N2" s="8">
        <f>437.97</f>
        <v>437.97</v>
      </c>
      <c r="R2" s="8">
        <f>+SUM(I2:O2)</f>
        <v>118523.52000000002</v>
      </c>
      <c r="S2" s="8">
        <v>13113.6</v>
      </c>
      <c r="T2" s="8">
        <v>806.4</v>
      </c>
      <c r="U2" s="8">
        <v>516.72</v>
      </c>
      <c r="V2" s="8">
        <v>41321.519999999997</v>
      </c>
      <c r="W2" s="8">
        <v>0</v>
      </c>
      <c r="X2" s="8">
        <v>4700.2700000000004</v>
      </c>
      <c r="Y2" s="8">
        <v>453.96</v>
      </c>
      <c r="Z2" s="8">
        <v>223.68</v>
      </c>
      <c r="AA2" s="8">
        <v>0</v>
      </c>
      <c r="AB2" s="10">
        <f t="shared" ref="AB2:AB33" si="0">+S2+U2+V2+W2+X2+Y2+AA2</f>
        <v>60106.07</v>
      </c>
      <c r="AC2" s="10">
        <f>+T2+Z2</f>
        <v>1030.08</v>
      </c>
    </row>
    <row r="3" spans="1:30" x14ac:dyDescent="0.25">
      <c r="A3">
        <f>+A2+1</f>
        <v>2</v>
      </c>
      <c r="F3" s="9" t="s">
        <v>23</v>
      </c>
      <c r="G3" s="9" t="s">
        <v>23</v>
      </c>
      <c r="I3" s="8">
        <f>53694.55+3258+364+5826.72+3195.29</f>
        <v>66338.559999999998</v>
      </c>
      <c r="J3" s="8">
        <v>6882.52</v>
      </c>
      <c r="K3" s="8">
        <v>0</v>
      </c>
      <c r="L3" s="8">
        <v>218.94</v>
      </c>
      <c r="M3" s="8">
        <v>0</v>
      </c>
      <c r="N3" s="8">
        <v>0</v>
      </c>
      <c r="O3" s="8">
        <v>300</v>
      </c>
      <c r="Q3" s="8">
        <v>0</v>
      </c>
      <c r="R3" s="8">
        <f t="shared" ref="R3:R34" si="1">+SUM(I3:Q3)</f>
        <v>73740.02</v>
      </c>
      <c r="S3" s="8">
        <v>11687</v>
      </c>
      <c r="T3" s="8">
        <v>2233</v>
      </c>
      <c r="U3" s="8">
        <v>280.92</v>
      </c>
      <c r="V3" s="8">
        <v>21856.2</v>
      </c>
      <c r="W3" s="8">
        <v>3174.34</v>
      </c>
      <c r="X3" s="8">
        <v>0</v>
      </c>
      <c r="Y3" s="8">
        <v>244.2</v>
      </c>
      <c r="Z3" s="8">
        <v>120.36</v>
      </c>
      <c r="AA3" s="8">
        <v>0</v>
      </c>
      <c r="AB3" s="10">
        <f t="shared" si="0"/>
        <v>37242.660000000003</v>
      </c>
      <c r="AC3" s="10">
        <f t="shared" ref="AC3:AC66" si="2">+T3+Z3</f>
        <v>2353.36</v>
      </c>
    </row>
    <row r="4" spans="1:30" x14ac:dyDescent="0.25">
      <c r="A4">
        <f t="shared" ref="A4:A67" si="3">+A3+1</f>
        <v>3</v>
      </c>
      <c r="F4" s="9" t="s">
        <v>23</v>
      </c>
      <c r="G4" s="9" t="s">
        <v>23</v>
      </c>
      <c r="I4" s="8">
        <f>62834.78+9968.51+4684.56+166.12+1038.26+7661.44+1993.44</f>
        <v>88347.109999999986</v>
      </c>
      <c r="J4" s="8">
        <f>11257.99+6698.75+15409.58+4882.75</f>
        <v>38249.07</v>
      </c>
      <c r="K4" s="8">
        <v>0</v>
      </c>
      <c r="L4" s="8">
        <v>218.93</v>
      </c>
      <c r="M4" s="8">
        <v>7116.48</v>
      </c>
      <c r="N4" s="8">
        <v>0</v>
      </c>
      <c r="O4" s="8">
        <v>300</v>
      </c>
      <c r="Q4" s="8">
        <v>0</v>
      </c>
      <c r="R4" s="8">
        <f t="shared" si="1"/>
        <v>134231.59</v>
      </c>
      <c r="S4" s="8">
        <v>11687</v>
      </c>
      <c r="T4" s="8">
        <v>2233</v>
      </c>
      <c r="U4" s="8">
        <v>394.32</v>
      </c>
      <c r="V4" s="8">
        <v>30821.040000000001</v>
      </c>
      <c r="W4" s="8">
        <v>4415.46</v>
      </c>
      <c r="X4" s="8">
        <v>0</v>
      </c>
      <c r="Y4" s="8">
        <v>344.4</v>
      </c>
      <c r="Z4" s="8">
        <v>169.56</v>
      </c>
      <c r="AA4" s="8">
        <v>0</v>
      </c>
      <c r="AB4" s="10">
        <f t="shared" si="0"/>
        <v>47662.22</v>
      </c>
      <c r="AC4" s="10">
        <f t="shared" si="2"/>
        <v>2402.56</v>
      </c>
    </row>
    <row r="5" spans="1:30" x14ac:dyDescent="0.25">
      <c r="A5">
        <f t="shared" si="3"/>
        <v>4</v>
      </c>
      <c r="F5" s="9" t="s">
        <v>23</v>
      </c>
      <c r="G5" s="9" t="s">
        <v>23</v>
      </c>
      <c r="I5" s="8">
        <f>42812.14+3364+256.8+2733.62+5251.4+10272</f>
        <v>64689.960000000006</v>
      </c>
      <c r="J5" s="8">
        <v>2787.83</v>
      </c>
      <c r="K5" s="8">
        <v>0</v>
      </c>
      <c r="L5" s="8">
        <v>218.94</v>
      </c>
      <c r="M5" s="8">
        <v>0</v>
      </c>
      <c r="N5" s="8">
        <v>0</v>
      </c>
      <c r="O5" s="8">
        <v>300</v>
      </c>
      <c r="Q5" s="8">
        <v>0</v>
      </c>
      <c r="R5" s="8">
        <f t="shared" si="1"/>
        <v>67996.73000000001</v>
      </c>
      <c r="S5" s="8">
        <v>11687</v>
      </c>
      <c r="T5" s="8">
        <v>2233</v>
      </c>
      <c r="U5" s="8">
        <v>303.60000000000002</v>
      </c>
      <c r="V5" s="8">
        <v>23822.880000000001</v>
      </c>
      <c r="W5" s="8">
        <v>3251.38</v>
      </c>
      <c r="X5" s="8">
        <v>0</v>
      </c>
      <c r="Y5" s="8">
        <v>266.16000000000003</v>
      </c>
      <c r="Z5" s="8">
        <v>131.16</v>
      </c>
      <c r="AA5" s="8">
        <v>0</v>
      </c>
      <c r="AB5" s="10">
        <f t="shared" si="0"/>
        <v>39331.020000000004</v>
      </c>
      <c r="AC5" s="10">
        <f t="shared" si="2"/>
        <v>2364.16</v>
      </c>
    </row>
    <row r="6" spans="1:30" x14ac:dyDescent="0.25">
      <c r="A6">
        <f t="shared" si="3"/>
        <v>5</v>
      </c>
      <c r="E6" s="9" t="s">
        <v>23</v>
      </c>
      <c r="H6" s="9" t="s">
        <v>23</v>
      </c>
      <c r="I6" s="8">
        <f>67051.88+3992.28+300.62+1503.11+6842.19+1226.54+312.65</f>
        <v>81229.26999999999</v>
      </c>
      <c r="J6" s="8">
        <v>0</v>
      </c>
      <c r="K6" s="8">
        <v>3126.48</v>
      </c>
      <c r="L6" s="8">
        <v>219.13</v>
      </c>
      <c r="M6" s="8">
        <v>2501.1799999999998</v>
      </c>
      <c r="N6" s="8">
        <v>0</v>
      </c>
      <c r="O6" s="8">
        <v>0</v>
      </c>
      <c r="Q6" s="8">
        <v>0</v>
      </c>
      <c r="R6" s="8">
        <f t="shared" si="1"/>
        <v>87076.059999999983</v>
      </c>
      <c r="S6" s="8">
        <v>13113.6</v>
      </c>
      <c r="T6" s="8">
        <v>806.4</v>
      </c>
      <c r="U6" s="8">
        <v>358.08</v>
      </c>
      <c r="V6" s="8">
        <v>28357.200000000001</v>
      </c>
      <c r="W6" s="8">
        <v>0</v>
      </c>
      <c r="X6" s="8">
        <v>3249.29</v>
      </c>
      <c r="Y6" s="8">
        <v>311.52</v>
      </c>
      <c r="Z6" s="8">
        <v>153.47999999999999</v>
      </c>
      <c r="AA6" s="8">
        <v>0</v>
      </c>
      <c r="AB6" s="10">
        <f t="shared" si="0"/>
        <v>45389.69</v>
      </c>
      <c r="AC6" s="10">
        <f t="shared" si="2"/>
        <v>959.88</v>
      </c>
    </row>
    <row r="7" spans="1:30" x14ac:dyDescent="0.25">
      <c r="A7">
        <f t="shared" si="3"/>
        <v>6</v>
      </c>
      <c r="F7" s="9" t="s">
        <v>23</v>
      </c>
      <c r="G7" s="9" t="s">
        <v>23</v>
      </c>
      <c r="I7" s="8">
        <f>61299.84+7808.95+3674.56+332.24+1625.48+5335.76+3342.32+338.88</f>
        <v>83758.03</v>
      </c>
      <c r="J7" s="8">
        <f>23366.88+664.48+23551.69+9597.06</f>
        <v>57180.11</v>
      </c>
      <c r="K7" s="8">
        <v>0</v>
      </c>
      <c r="L7" s="8">
        <v>0</v>
      </c>
      <c r="M7" s="8">
        <v>1016.64</v>
      </c>
      <c r="N7" s="8">
        <v>0</v>
      </c>
      <c r="O7" s="8">
        <v>300</v>
      </c>
      <c r="Q7" s="8">
        <v>0</v>
      </c>
      <c r="R7" s="8">
        <f t="shared" si="1"/>
        <v>142254.78000000003</v>
      </c>
      <c r="S7" s="8">
        <v>11687</v>
      </c>
      <c r="T7" s="8">
        <v>2233</v>
      </c>
      <c r="U7" s="8">
        <v>394.32</v>
      </c>
      <c r="V7" s="8">
        <v>30821.040000000001</v>
      </c>
      <c r="W7" s="8">
        <v>4415.46</v>
      </c>
      <c r="X7" s="8">
        <v>0</v>
      </c>
      <c r="Y7" s="8">
        <v>344.4</v>
      </c>
      <c r="Z7" s="8">
        <v>169.56</v>
      </c>
      <c r="AA7" s="8">
        <v>0</v>
      </c>
      <c r="AB7" s="10">
        <f t="shared" si="0"/>
        <v>47662.22</v>
      </c>
      <c r="AC7" s="10">
        <f t="shared" si="2"/>
        <v>2402.56</v>
      </c>
    </row>
    <row r="8" spans="1:30" x14ac:dyDescent="0.25">
      <c r="A8">
        <f t="shared" si="3"/>
        <v>7</v>
      </c>
      <c r="F8" s="9" t="s">
        <v>23</v>
      </c>
      <c r="G8" s="9" t="s">
        <v>23</v>
      </c>
      <c r="I8" s="8">
        <f>28281.94+1661.2+1391.26+2657.92+2554.1</f>
        <v>36546.42</v>
      </c>
      <c r="J8" s="8">
        <v>249.19</v>
      </c>
      <c r="K8" s="8">
        <v>10631.68</v>
      </c>
      <c r="L8" s="8">
        <v>0</v>
      </c>
      <c r="M8" s="8">
        <v>7620.76</v>
      </c>
      <c r="N8" s="8">
        <v>603.48</v>
      </c>
      <c r="O8" s="8">
        <v>125</v>
      </c>
      <c r="Q8" s="8">
        <v>0</v>
      </c>
      <c r="R8" s="8">
        <f t="shared" si="1"/>
        <v>55776.530000000006</v>
      </c>
      <c r="S8" s="8">
        <v>6832.4</v>
      </c>
      <c r="T8" s="8">
        <v>1287.5999999999999</v>
      </c>
      <c r="U8" s="8">
        <v>164.3</v>
      </c>
      <c r="V8" s="8">
        <v>12842.1</v>
      </c>
      <c r="W8" s="8">
        <v>1827.32</v>
      </c>
      <c r="X8" s="8">
        <v>0</v>
      </c>
      <c r="Y8" s="8">
        <v>143.5</v>
      </c>
      <c r="Z8" s="8">
        <v>70.650000000000006</v>
      </c>
      <c r="AA8" s="8">
        <v>0</v>
      </c>
      <c r="AB8" s="10">
        <f t="shared" si="0"/>
        <v>21809.62</v>
      </c>
      <c r="AC8" s="10">
        <f t="shared" si="2"/>
        <v>1358.25</v>
      </c>
      <c r="AD8" s="10"/>
    </row>
    <row r="9" spans="1:30" x14ac:dyDescent="0.25">
      <c r="A9">
        <f t="shared" si="3"/>
        <v>8</v>
      </c>
      <c r="F9" s="9" t="s">
        <v>23</v>
      </c>
      <c r="G9" s="9" t="s">
        <v>23</v>
      </c>
      <c r="I9" s="8">
        <f>61405.72+13821.18+4352.32+2604.34+3016.72+249.18+338.88</f>
        <v>85788.34</v>
      </c>
      <c r="J9" s="8">
        <f>16949.86+4028.41+21136.82+6964.59</f>
        <v>49079.679999999993</v>
      </c>
      <c r="K9" s="8">
        <v>0</v>
      </c>
      <c r="L9" s="8">
        <v>218.94</v>
      </c>
      <c r="M9" s="8">
        <v>3812.4</v>
      </c>
      <c r="N9" s="8">
        <v>0</v>
      </c>
      <c r="O9" s="8">
        <v>0</v>
      </c>
      <c r="Q9" s="8">
        <v>0</v>
      </c>
      <c r="R9" s="8">
        <f t="shared" si="1"/>
        <v>138899.35999999999</v>
      </c>
      <c r="S9" s="8">
        <v>11687</v>
      </c>
      <c r="T9" s="8">
        <v>2233</v>
      </c>
      <c r="U9" s="8">
        <v>394.32</v>
      </c>
      <c r="V9" s="8">
        <v>30821.040000000001</v>
      </c>
      <c r="W9" s="8">
        <v>4415.46</v>
      </c>
      <c r="X9" s="8">
        <v>0</v>
      </c>
      <c r="Y9" s="8">
        <v>344.4</v>
      </c>
      <c r="Z9" s="8">
        <v>169.56</v>
      </c>
      <c r="AA9" s="8">
        <v>0</v>
      </c>
      <c r="AB9" s="10">
        <f t="shared" si="0"/>
        <v>47662.22</v>
      </c>
      <c r="AC9" s="10">
        <f t="shared" si="2"/>
        <v>2402.56</v>
      </c>
    </row>
    <row r="10" spans="1:30" x14ac:dyDescent="0.25">
      <c r="A10">
        <f t="shared" si="3"/>
        <v>9</v>
      </c>
      <c r="F10" s="9" t="s">
        <v>23</v>
      </c>
      <c r="G10" s="9" t="s">
        <v>23</v>
      </c>
      <c r="I10" s="8">
        <f>43267.06+400.5+3957.04+302.08+1927.26+8140.13+11227.21+4839.28+3039.68</f>
        <v>77100.239999999991</v>
      </c>
      <c r="J10" s="8">
        <f>17756.42+2657.19+6057.79+20688.16+9144.54</f>
        <v>56304.1</v>
      </c>
      <c r="K10" s="8">
        <v>0</v>
      </c>
      <c r="L10" s="8">
        <v>218.92</v>
      </c>
      <c r="M10" s="8">
        <v>0</v>
      </c>
      <c r="N10" s="8">
        <v>0</v>
      </c>
      <c r="O10" s="8">
        <v>300</v>
      </c>
      <c r="Q10" s="8">
        <v>0</v>
      </c>
      <c r="R10" s="8">
        <f t="shared" si="1"/>
        <v>133923.26</v>
      </c>
      <c r="S10" s="8">
        <v>11687</v>
      </c>
      <c r="T10" s="8">
        <v>2233</v>
      </c>
      <c r="U10" s="8">
        <v>358.08</v>
      </c>
      <c r="V10" s="8">
        <v>28023.119999999999</v>
      </c>
      <c r="W10" s="8">
        <v>4014.56</v>
      </c>
      <c r="X10" s="8">
        <v>0</v>
      </c>
      <c r="Y10" s="8">
        <v>313.08</v>
      </c>
      <c r="Z10" s="8">
        <v>154.19999999999999</v>
      </c>
      <c r="AA10" s="8">
        <v>0</v>
      </c>
      <c r="AB10" s="10">
        <f t="shared" si="0"/>
        <v>44395.839999999997</v>
      </c>
      <c r="AC10" s="10">
        <f t="shared" si="2"/>
        <v>2387.1999999999998</v>
      </c>
    </row>
    <row r="11" spans="1:30" x14ac:dyDescent="0.25">
      <c r="A11">
        <f t="shared" si="3"/>
        <v>10</v>
      </c>
      <c r="F11" s="9" t="s">
        <v>23</v>
      </c>
      <c r="G11" s="9" t="s">
        <v>23</v>
      </c>
      <c r="I11" s="8">
        <f>61316.45+4319.12+4352.32+332.24+166.12+2785.83+5342.4+4325.76+1328.96</f>
        <v>84269.199999999983</v>
      </c>
      <c r="J11" s="8">
        <f>22827.92+3587.32+6559.71+5344.92</f>
        <v>38319.869999999995</v>
      </c>
      <c r="K11" s="8">
        <v>0</v>
      </c>
      <c r="L11" s="8">
        <v>219.14</v>
      </c>
      <c r="M11" s="8">
        <v>0</v>
      </c>
      <c r="N11" s="8">
        <v>273.95</v>
      </c>
      <c r="O11" s="8">
        <v>300</v>
      </c>
      <c r="Q11" s="8">
        <v>0</v>
      </c>
      <c r="R11" s="8">
        <f t="shared" si="1"/>
        <v>123382.15999999997</v>
      </c>
      <c r="S11" s="8">
        <v>11687</v>
      </c>
      <c r="T11" s="8">
        <v>2233</v>
      </c>
      <c r="U11" s="8">
        <v>394.32</v>
      </c>
      <c r="V11" s="8">
        <v>30821.040000000001</v>
      </c>
      <c r="W11" s="8">
        <v>4415.46</v>
      </c>
      <c r="X11" s="8">
        <v>0</v>
      </c>
      <c r="Y11" s="8">
        <v>344.4</v>
      </c>
      <c r="Z11" s="8">
        <v>169.56</v>
      </c>
      <c r="AA11" s="8">
        <v>0</v>
      </c>
      <c r="AB11" s="10">
        <f t="shared" si="0"/>
        <v>47662.22</v>
      </c>
      <c r="AC11" s="10">
        <f t="shared" si="2"/>
        <v>2402.56</v>
      </c>
    </row>
    <row r="12" spans="1:30" x14ac:dyDescent="0.25">
      <c r="A12">
        <f t="shared" si="3"/>
        <v>11</v>
      </c>
      <c r="F12" s="9" t="s">
        <v>23</v>
      </c>
      <c r="H12" s="9" t="s">
        <v>23</v>
      </c>
      <c r="I12" s="8">
        <f>45846.19+2710.72+205.2+5830.3+1338.95+211.36</f>
        <v>56142.720000000001</v>
      </c>
      <c r="J12" s="8">
        <v>2869.69</v>
      </c>
      <c r="K12" s="8">
        <v>0</v>
      </c>
      <c r="L12" s="8">
        <v>218.93</v>
      </c>
      <c r="M12" s="8">
        <v>977.54</v>
      </c>
      <c r="N12" s="8">
        <v>273.67</v>
      </c>
      <c r="O12" s="8">
        <v>0</v>
      </c>
      <c r="Q12" s="8">
        <v>0</v>
      </c>
      <c r="R12" s="8">
        <f t="shared" si="1"/>
        <v>60482.55</v>
      </c>
      <c r="S12" s="8">
        <v>13113.6</v>
      </c>
      <c r="T12" s="8">
        <v>806.4</v>
      </c>
      <c r="U12" s="8">
        <v>244.8</v>
      </c>
      <c r="V12" s="8">
        <v>19356.12</v>
      </c>
      <c r="W12" s="8">
        <v>0</v>
      </c>
      <c r="X12" s="8">
        <v>2245.67</v>
      </c>
      <c r="Y12" s="8">
        <v>212.76</v>
      </c>
      <c r="Z12" s="8">
        <v>104.76</v>
      </c>
      <c r="AA12" s="8">
        <v>0</v>
      </c>
      <c r="AB12" s="10">
        <f t="shared" si="0"/>
        <v>35172.949999999997</v>
      </c>
      <c r="AC12" s="10">
        <f t="shared" si="2"/>
        <v>911.16</v>
      </c>
    </row>
    <row r="13" spans="1:30" x14ac:dyDescent="0.25">
      <c r="A13">
        <f t="shared" si="3"/>
        <v>12</v>
      </c>
      <c r="F13" s="9" t="s">
        <v>23</v>
      </c>
      <c r="G13" s="9" t="s">
        <v>23</v>
      </c>
      <c r="I13" s="8">
        <f>61373.77+6424.7+4352.32+1003.36+166.12+3074.88+5355.68</f>
        <v>81750.830000000016</v>
      </c>
      <c r="J13" s="8">
        <f>28027.71+8442.18+14131.72+6407.38</f>
        <v>57008.99</v>
      </c>
      <c r="K13" s="8">
        <v>0</v>
      </c>
      <c r="L13" s="8">
        <v>218.93</v>
      </c>
      <c r="M13" s="8">
        <v>7116.48</v>
      </c>
      <c r="N13" s="8">
        <v>0</v>
      </c>
      <c r="O13" s="8">
        <v>300</v>
      </c>
      <c r="Q13" s="8">
        <v>0</v>
      </c>
      <c r="R13" s="8">
        <f t="shared" si="1"/>
        <v>146395.23000000001</v>
      </c>
      <c r="S13" s="8">
        <v>11687</v>
      </c>
      <c r="T13" s="8">
        <v>2233</v>
      </c>
      <c r="U13" s="8">
        <v>394.32</v>
      </c>
      <c r="V13" s="8">
        <v>30821.040000000001</v>
      </c>
      <c r="W13" s="8">
        <v>4415.46</v>
      </c>
      <c r="X13" s="8">
        <v>0</v>
      </c>
      <c r="Y13" s="8">
        <v>344.4</v>
      </c>
      <c r="Z13" s="8">
        <v>169.56</v>
      </c>
      <c r="AA13" s="8">
        <v>0</v>
      </c>
      <c r="AB13" s="10">
        <f t="shared" si="0"/>
        <v>47662.22</v>
      </c>
      <c r="AC13" s="10">
        <f t="shared" si="2"/>
        <v>2402.56</v>
      </c>
    </row>
    <row r="14" spans="1:30" x14ac:dyDescent="0.25">
      <c r="A14">
        <f t="shared" si="3"/>
        <v>13</v>
      </c>
      <c r="F14" s="9" t="s">
        <v>23</v>
      </c>
      <c r="G14" s="9" t="s">
        <v>23</v>
      </c>
      <c r="I14" s="8">
        <f>46023.54+392.7+4265.12+2725.47+5736.67+8213.5+6820.8+2718.72+392.7+308.08</f>
        <v>77597.3</v>
      </c>
      <c r="J14" s="8">
        <f>14641.25+3549.44+1185.77+336.32+12838.62+6897.96</f>
        <v>39449.360000000001</v>
      </c>
      <c r="K14" s="8">
        <v>0</v>
      </c>
      <c r="L14" s="8">
        <v>218.94</v>
      </c>
      <c r="M14" s="8">
        <v>0</v>
      </c>
      <c r="N14" s="8">
        <v>0</v>
      </c>
      <c r="O14" s="8">
        <v>0</v>
      </c>
      <c r="Q14" s="8">
        <v>0</v>
      </c>
      <c r="R14" s="8">
        <f t="shared" si="1"/>
        <v>117265.60000000001</v>
      </c>
      <c r="S14" s="8">
        <v>11687</v>
      </c>
      <c r="T14" s="8">
        <v>2233</v>
      </c>
      <c r="U14" s="8">
        <v>358.08</v>
      </c>
      <c r="V14" s="8">
        <v>28023.119999999999</v>
      </c>
      <c r="W14" s="8">
        <v>3923.94</v>
      </c>
      <c r="X14" s="8">
        <v>0</v>
      </c>
      <c r="Y14" s="8">
        <v>313.08</v>
      </c>
      <c r="Z14" s="8">
        <v>154.19999999999999</v>
      </c>
      <c r="AA14" s="8">
        <v>0</v>
      </c>
      <c r="AB14" s="10">
        <f t="shared" si="0"/>
        <v>44305.22</v>
      </c>
      <c r="AC14" s="10">
        <f t="shared" si="2"/>
        <v>2387.1999999999998</v>
      </c>
    </row>
    <row r="15" spans="1:30" x14ac:dyDescent="0.25">
      <c r="A15">
        <f t="shared" si="3"/>
        <v>14</v>
      </c>
      <c r="F15" s="9" t="s">
        <v>23</v>
      </c>
      <c r="H15" s="9" t="s">
        <v>23</v>
      </c>
      <c r="I15" s="8">
        <f>54499.62+3374.24+658.05+6771.62+1331.46+2311.2</f>
        <v>68946.19</v>
      </c>
      <c r="J15" s="8">
        <v>1260.58</v>
      </c>
      <c r="K15" s="8">
        <v>229.18</v>
      </c>
      <c r="L15" s="8">
        <v>218.94</v>
      </c>
      <c r="M15" s="8">
        <v>1276.8599999999999</v>
      </c>
      <c r="N15" s="8">
        <v>0</v>
      </c>
      <c r="O15" s="8">
        <v>300</v>
      </c>
      <c r="Q15" s="8">
        <v>0</v>
      </c>
      <c r="R15" s="8">
        <f t="shared" si="1"/>
        <v>72231.75</v>
      </c>
      <c r="S15" s="8">
        <v>12533.2</v>
      </c>
      <c r="T15" s="8">
        <v>1386.8</v>
      </c>
      <c r="U15" s="8">
        <v>303.60000000000002</v>
      </c>
      <c r="V15" s="8">
        <v>24056.54</v>
      </c>
      <c r="W15" s="11">
        <v>1155.5999999999999</v>
      </c>
      <c r="X15" s="8">
        <v>1833.28</v>
      </c>
      <c r="Y15" s="8">
        <v>266.16000000000003</v>
      </c>
      <c r="Z15" s="8">
        <v>131.16</v>
      </c>
      <c r="AA15" s="8">
        <v>0</v>
      </c>
      <c r="AB15" s="10">
        <f t="shared" si="0"/>
        <v>40148.380000000005</v>
      </c>
      <c r="AC15" s="10">
        <f t="shared" si="2"/>
        <v>1517.96</v>
      </c>
      <c r="AD15" s="10"/>
    </row>
    <row r="16" spans="1:30" x14ac:dyDescent="0.25">
      <c r="A16">
        <f t="shared" si="3"/>
        <v>15</v>
      </c>
      <c r="F16" s="9" t="s">
        <v>23</v>
      </c>
      <c r="G16" s="9" t="s">
        <v>23</v>
      </c>
      <c r="I16" s="8">
        <f>67268.94+5614.86+4352.32+166.12+3491.43+3342.32</f>
        <v>84235.989999999991</v>
      </c>
      <c r="J16" s="8">
        <f>17701.68+6324.15+13929.23+4427.09</f>
        <v>42382.149999999994</v>
      </c>
      <c r="K16" s="8">
        <v>3388.8</v>
      </c>
      <c r="L16" s="8">
        <v>218.93</v>
      </c>
      <c r="M16" s="8">
        <v>4066.56</v>
      </c>
      <c r="N16" s="8">
        <v>0</v>
      </c>
      <c r="O16" s="8">
        <v>300</v>
      </c>
      <c r="Q16" s="8">
        <v>0</v>
      </c>
      <c r="R16" s="8">
        <f t="shared" si="1"/>
        <v>134592.43</v>
      </c>
      <c r="S16" s="8">
        <v>11687</v>
      </c>
      <c r="T16" s="8">
        <v>2233</v>
      </c>
      <c r="U16" s="8">
        <v>394.32</v>
      </c>
      <c r="V16" s="8">
        <v>30821.040000000001</v>
      </c>
      <c r="W16" s="8">
        <v>4415.46</v>
      </c>
      <c r="X16" s="8">
        <v>0</v>
      </c>
      <c r="Y16" s="8">
        <v>344.4</v>
      </c>
      <c r="Z16" s="8">
        <v>169.56</v>
      </c>
      <c r="AA16" s="8">
        <v>0</v>
      </c>
      <c r="AB16" s="10">
        <f t="shared" si="0"/>
        <v>47662.22</v>
      </c>
      <c r="AC16" s="10">
        <f t="shared" si="2"/>
        <v>2402.56</v>
      </c>
    </row>
    <row r="17" spans="1:30" x14ac:dyDescent="0.25">
      <c r="A17">
        <f t="shared" si="3"/>
        <v>16</v>
      </c>
      <c r="F17" s="9" t="s">
        <v>23</v>
      </c>
      <c r="H17" s="9" t="s">
        <v>23</v>
      </c>
      <c r="I17" s="8">
        <f>42601.69+2453.92+3266.1+1524.5+192.16</f>
        <v>50038.37</v>
      </c>
      <c r="J17" s="8">
        <v>548.15</v>
      </c>
      <c r="K17" s="8">
        <v>1921.6</v>
      </c>
      <c r="L17" s="8">
        <v>218.94</v>
      </c>
      <c r="M17" s="8">
        <v>936.78</v>
      </c>
      <c r="N17" s="8">
        <v>218.94</v>
      </c>
      <c r="O17" s="8">
        <v>0</v>
      </c>
      <c r="Q17" s="8">
        <v>0</v>
      </c>
      <c r="R17" s="8">
        <f t="shared" si="1"/>
        <v>53882.780000000006</v>
      </c>
      <c r="S17" s="8">
        <v>13113.6</v>
      </c>
      <c r="T17" s="8">
        <v>806.4</v>
      </c>
      <c r="U17" s="8">
        <v>222.12</v>
      </c>
      <c r="V17" s="8">
        <v>17431.8</v>
      </c>
      <c r="W17" s="8">
        <v>0</v>
      </c>
      <c r="X17" s="8">
        <v>2001.48</v>
      </c>
      <c r="Y17" s="8">
        <v>191.52</v>
      </c>
      <c r="Z17" s="8">
        <v>94.32</v>
      </c>
      <c r="AA17" s="8">
        <v>0</v>
      </c>
      <c r="AB17" s="10">
        <f t="shared" si="0"/>
        <v>32960.519999999997</v>
      </c>
      <c r="AC17" s="10">
        <f t="shared" si="2"/>
        <v>900.72</v>
      </c>
    </row>
    <row r="18" spans="1:30" x14ac:dyDescent="0.25">
      <c r="A18">
        <f t="shared" si="3"/>
        <v>17</v>
      </c>
      <c r="F18" s="9" t="s">
        <v>23</v>
      </c>
      <c r="H18" s="9" t="s">
        <v>23</v>
      </c>
      <c r="I18" s="8">
        <f>50343.18+2232.16+5719.91</f>
        <v>58295.25</v>
      </c>
      <c r="J18" s="8">
        <v>5500.69</v>
      </c>
      <c r="K18" s="8">
        <v>10622.69</v>
      </c>
      <c r="L18" s="8">
        <v>0</v>
      </c>
      <c r="M18" s="8">
        <v>10523.04</v>
      </c>
      <c r="N18" s="8">
        <v>383.15</v>
      </c>
      <c r="O18" s="8">
        <v>0</v>
      </c>
      <c r="Q18" s="8">
        <v>0</v>
      </c>
      <c r="R18" s="8">
        <f t="shared" si="1"/>
        <v>85324.82</v>
      </c>
      <c r="S18" s="8">
        <v>10928</v>
      </c>
      <c r="T18" s="8">
        <v>672</v>
      </c>
      <c r="U18" s="8">
        <v>250.8</v>
      </c>
      <c r="V18" s="8">
        <v>20052.72</v>
      </c>
      <c r="W18" s="8">
        <v>0</v>
      </c>
      <c r="X18" s="8">
        <v>2331.94</v>
      </c>
      <c r="Y18" s="8">
        <v>220.32</v>
      </c>
      <c r="Z18" s="8">
        <v>108.56</v>
      </c>
      <c r="AA18" s="8">
        <v>0</v>
      </c>
      <c r="AB18" s="10">
        <f t="shared" si="0"/>
        <v>33783.78</v>
      </c>
      <c r="AC18" s="10">
        <f t="shared" si="2"/>
        <v>780.56</v>
      </c>
      <c r="AD18" s="10"/>
    </row>
    <row r="19" spans="1:30" x14ac:dyDescent="0.25">
      <c r="A19">
        <f t="shared" si="3"/>
        <v>18</v>
      </c>
      <c r="F19" s="9" t="s">
        <v>23</v>
      </c>
      <c r="G19" s="9" t="s">
        <v>23</v>
      </c>
      <c r="I19" s="8">
        <f>50102.24+4869.28+154.04+1812.48+6936.72+9915.56+4250.12+1812.48</f>
        <v>79852.92</v>
      </c>
      <c r="J19" s="8">
        <f>15588.72+6813.79+1858.07+289.03+11719.47+6410.96</f>
        <v>42680.039999999994</v>
      </c>
      <c r="K19" s="8">
        <v>0</v>
      </c>
      <c r="L19" s="8">
        <v>218.95</v>
      </c>
      <c r="M19" s="8">
        <v>4005.04</v>
      </c>
      <c r="N19" s="8">
        <v>218.95</v>
      </c>
      <c r="O19" s="8">
        <v>0</v>
      </c>
      <c r="Q19" s="8">
        <v>0</v>
      </c>
      <c r="R19" s="8">
        <f t="shared" si="1"/>
        <v>126975.89999999998</v>
      </c>
      <c r="S19" s="8">
        <v>11687</v>
      </c>
      <c r="T19" s="8">
        <v>2233</v>
      </c>
      <c r="U19" s="8">
        <v>358.08</v>
      </c>
      <c r="V19" s="8">
        <v>28023.119999999999</v>
      </c>
      <c r="W19" s="8">
        <v>4014.56</v>
      </c>
      <c r="X19" s="8">
        <v>0</v>
      </c>
      <c r="Y19" s="8">
        <v>313.08</v>
      </c>
      <c r="Z19" s="8">
        <v>154.19999999999999</v>
      </c>
      <c r="AA19" s="8">
        <v>0</v>
      </c>
      <c r="AB19" s="10">
        <f t="shared" si="0"/>
        <v>44395.839999999997</v>
      </c>
      <c r="AC19" s="10">
        <f t="shared" si="2"/>
        <v>2387.1999999999998</v>
      </c>
    </row>
    <row r="20" spans="1:30" x14ac:dyDescent="0.25">
      <c r="A20">
        <f t="shared" si="3"/>
        <v>19</v>
      </c>
      <c r="F20" s="9" t="s">
        <v>23</v>
      </c>
      <c r="H20" s="9" t="s">
        <v>23</v>
      </c>
      <c r="I20" s="8">
        <f>52596.26+3919.44+2176.76</f>
        <v>58692.460000000006</v>
      </c>
      <c r="J20" s="8">
        <v>11556.51</v>
      </c>
      <c r="K20" s="8">
        <v>2212.8000000000002</v>
      </c>
      <c r="L20" s="8">
        <v>218.95</v>
      </c>
      <c r="M20" s="8">
        <v>2434.08</v>
      </c>
      <c r="N20" s="8">
        <v>218.95</v>
      </c>
      <c r="O20" s="8">
        <v>0</v>
      </c>
      <c r="Q20" s="8">
        <v>0</v>
      </c>
      <c r="R20" s="8">
        <f t="shared" si="1"/>
        <v>75333.75</v>
      </c>
      <c r="S20" s="8">
        <v>13113.6</v>
      </c>
      <c r="T20" s="8">
        <v>806.4</v>
      </c>
      <c r="U20" s="8">
        <v>253.8</v>
      </c>
      <c r="V20" s="8">
        <v>20073</v>
      </c>
      <c r="W20" s="8">
        <v>0</v>
      </c>
      <c r="X20" s="8">
        <v>2347.7399999999998</v>
      </c>
      <c r="Y20" s="8">
        <v>220.56</v>
      </c>
      <c r="Z20" s="8">
        <v>108.6</v>
      </c>
      <c r="AA20" s="8">
        <v>0</v>
      </c>
      <c r="AB20" s="10">
        <f t="shared" si="0"/>
        <v>36008.699999999997</v>
      </c>
      <c r="AC20" s="10">
        <f t="shared" si="2"/>
        <v>915</v>
      </c>
    </row>
    <row r="21" spans="1:30" x14ac:dyDescent="0.25">
      <c r="A21">
        <f t="shared" si="3"/>
        <v>20</v>
      </c>
      <c r="F21" s="9" t="s">
        <v>23</v>
      </c>
      <c r="G21" s="9" t="s">
        <v>23</v>
      </c>
      <c r="I21" s="8">
        <f>64243.32+3319.22+4201.52+2084.73+1651.6+4294.16+5383.15+1562.16+440.54</f>
        <v>87180.4</v>
      </c>
      <c r="J21" s="8">
        <f>5798.26+4451.48+4383.62+3064.38+456.17+2536.25+2200.75</f>
        <v>22890.91</v>
      </c>
      <c r="K21" s="8">
        <v>0</v>
      </c>
      <c r="L21" s="8">
        <v>219.08</v>
      </c>
      <c r="M21" s="8">
        <v>2529.7399999999998</v>
      </c>
      <c r="N21" s="8">
        <v>0</v>
      </c>
      <c r="O21" s="8">
        <v>0</v>
      </c>
      <c r="Q21" s="8">
        <v>0</v>
      </c>
      <c r="R21" s="8">
        <f t="shared" si="1"/>
        <v>112820.13</v>
      </c>
      <c r="S21" s="8">
        <v>11687</v>
      </c>
      <c r="T21" s="8">
        <v>2233</v>
      </c>
      <c r="U21" s="8">
        <v>358.08</v>
      </c>
      <c r="V21" s="8">
        <v>28023.119999999999</v>
      </c>
      <c r="W21" s="8">
        <v>4076.16</v>
      </c>
      <c r="X21" s="8">
        <v>0</v>
      </c>
      <c r="Y21" s="8">
        <v>313.08</v>
      </c>
      <c r="Z21" s="8">
        <v>154.19999999999999</v>
      </c>
      <c r="AA21" s="8">
        <v>0</v>
      </c>
      <c r="AB21" s="10">
        <f t="shared" si="0"/>
        <v>44457.440000000002</v>
      </c>
      <c r="AC21" s="10">
        <f t="shared" si="2"/>
        <v>2387.1999999999998</v>
      </c>
    </row>
    <row r="22" spans="1:30" x14ac:dyDescent="0.25">
      <c r="A22">
        <f t="shared" si="3"/>
        <v>21</v>
      </c>
      <c r="F22" s="9" t="s">
        <v>23</v>
      </c>
      <c r="G22" s="9" t="s">
        <v>23</v>
      </c>
      <c r="I22" s="8">
        <f>48872.17+5497.86+3957.04+302.08+1438.63+4324.16+8500.24+1742.96+1812.48</f>
        <v>76447.62000000001</v>
      </c>
      <c r="J22" s="8">
        <f>16009.02+6135.61+11228.88+3583.43+93.47+40.26</f>
        <v>37090.670000000006</v>
      </c>
      <c r="K22" s="8">
        <v>0</v>
      </c>
      <c r="L22" s="8">
        <v>218.92</v>
      </c>
      <c r="M22" s="8">
        <v>0</v>
      </c>
      <c r="N22" s="8">
        <v>0</v>
      </c>
      <c r="O22" s="8">
        <v>0</v>
      </c>
      <c r="Q22" s="8">
        <v>0</v>
      </c>
      <c r="R22" s="8">
        <f t="shared" si="1"/>
        <v>113757.21</v>
      </c>
      <c r="S22" s="8">
        <v>11687</v>
      </c>
      <c r="T22" s="8">
        <v>2233</v>
      </c>
      <c r="U22" s="8">
        <v>358.08</v>
      </c>
      <c r="V22" s="8">
        <v>28023.119999999999</v>
      </c>
      <c r="W22" s="8">
        <v>4014.56</v>
      </c>
      <c r="X22" s="8">
        <v>0</v>
      </c>
      <c r="Y22" s="8">
        <v>313.08</v>
      </c>
      <c r="Z22" s="8">
        <v>154.19999999999999</v>
      </c>
      <c r="AA22" s="8">
        <v>0</v>
      </c>
      <c r="AB22" s="10">
        <f t="shared" si="0"/>
        <v>44395.839999999997</v>
      </c>
      <c r="AC22" s="10">
        <f t="shared" si="2"/>
        <v>2387.1999999999998</v>
      </c>
    </row>
    <row r="23" spans="1:30" x14ac:dyDescent="0.25">
      <c r="A23">
        <f t="shared" si="3"/>
        <v>22</v>
      </c>
      <c r="F23" s="9" t="s">
        <v>23</v>
      </c>
      <c r="H23" s="9" t="s">
        <v>23</v>
      </c>
      <c r="I23" s="8">
        <f>35961.3+2130.24+166.08+3454.08+1532.4+166.08</f>
        <v>43410.180000000008</v>
      </c>
      <c r="J23" s="8">
        <v>515.42999999999995</v>
      </c>
      <c r="K23" s="8">
        <v>0</v>
      </c>
      <c r="L23" s="8">
        <v>218.93</v>
      </c>
      <c r="M23" s="8">
        <v>0</v>
      </c>
      <c r="N23" s="8">
        <v>164.2</v>
      </c>
      <c r="O23" s="8">
        <v>0</v>
      </c>
      <c r="Q23" s="8">
        <v>0</v>
      </c>
      <c r="R23" s="8">
        <f t="shared" si="1"/>
        <v>44308.740000000005</v>
      </c>
      <c r="S23" s="8">
        <v>13113.6</v>
      </c>
      <c r="T23" s="8">
        <v>806.4</v>
      </c>
      <c r="U23" s="8">
        <v>190.32</v>
      </c>
      <c r="V23" s="8">
        <v>0</v>
      </c>
      <c r="W23" s="8">
        <v>0</v>
      </c>
      <c r="X23" s="8">
        <v>6077.62</v>
      </c>
      <c r="Y23" s="8">
        <v>167.16</v>
      </c>
      <c r="Z23" s="8">
        <v>82.32</v>
      </c>
      <c r="AA23" s="8">
        <v>0</v>
      </c>
      <c r="AB23" s="10">
        <f t="shared" si="0"/>
        <v>19548.7</v>
      </c>
      <c r="AC23" s="10">
        <f t="shared" si="2"/>
        <v>888.72</v>
      </c>
    </row>
    <row r="24" spans="1:30" x14ac:dyDescent="0.25">
      <c r="A24">
        <f t="shared" si="3"/>
        <v>23</v>
      </c>
      <c r="F24" s="9" t="s">
        <v>23</v>
      </c>
      <c r="H24" s="9" t="s">
        <v>23</v>
      </c>
      <c r="I24" s="8">
        <f>60103.83+3100.8+2203.41+87.33+243.36</f>
        <v>65738.73000000001</v>
      </c>
      <c r="J24" s="8">
        <v>28315.31</v>
      </c>
      <c r="K24" s="8">
        <v>2433.6</v>
      </c>
      <c r="L24" s="8">
        <v>218.94</v>
      </c>
      <c r="M24" s="8">
        <v>2342.34</v>
      </c>
      <c r="N24" s="8">
        <v>0</v>
      </c>
      <c r="O24" s="8">
        <v>0</v>
      </c>
      <c r="Q24" s="8">
        <v>0</v>
      </c>
      <c r="R24" s="8">
        <f t="shared" si="1"/>
        <v>99048.920000000013</v>
      </c>
      <c r="S24" s="8">
        <v>13113.6</v>
      </c>
      <c r="T24" s="8">
        <v>806.4</v>
      </c>
      <c r="U24" s="8">
        <v>276.48</v>
      </c>
      <c r="V24" s="8">
        <v>21966.84</v>
      </c>
      <c r="W24" s="8">
        <v>0</v>
      </c>
      <c r="X24" s="8">
        <v>2629.6</v>
      </c>
      <c r="Y24" s="8">
        <v>241.32</v>
      </c>
      <c r="Z24" s="8">
        <v>118.92</v>
      </c>
      <c r="AA24" s="8">
        <v>0</v>
      </c>
      <c r="AB24" s="10">
        <f t="shared" si="0"/>
        <v>38227.839999999997</v>
      </c>
      <c r="AC24" s="10">
        <f t="shared" si="2"/>
        <v>925.31999999999994</v>
      </c>
    </row>
    <row r="25" spans="1:30" x14ac:dyDescent="0.25">
      <c r="A25">
        <f t="shared" si="3"/>
        <v>24</v>
      </c>
      <c r="C25" s="9" t="s">
        <v>23</v>
      </c>
      <c r="E25" s="9" t="s">
        <v>23</v>
      </c>
      <c r="H25" s="9" t="s">
        <v>23</v>
      </c>
      <c r="I25" s="8">
        <f>91210.4+5112.14+384.62+1923.08+5982.84+769.24+423.08</f>
        <v>105805.4</v>
      </c>
      <c r="J25" s="8">
        <v>1588.52</v>
      </c>
      <c r="K25" s="8">
        <v>4230.8</v>
      </c>
      <c r="L25" s="8">
        <v>574.72</v>
      </c>
      <c r="M25" s="8">
        <v>0</v>
      </c>
      <c r="N25" s="8">
        <v>0</v>
      </c>
      <c r="O25" s="8">
        <v>0</v>
      </c>
      <c r="Q25" s="8">
        <v>0</v>
      </c>
      <c r="R25" s="8">
        <f t="shared" si="1"/>
        <v>112199.44</v>
      </c>
      <c r="S25" s="8">
        <v>12770</v>
      </c>
      <c r="T25" s="8">
        <v>1150</v>
      </c>
      <c r="U25" s="8">
        <v>394.32</v>
      </c>
      <c r="V25" s="8">
        <v>31296.240000000002</v>
      </c>
      <c r="W25" s="8">
        <v>249.18</v>
      </c>
      <c r="X25" s="8">
        <v>4046.2</v>
      </c>
      <c r="Y25" s="8">
        <v>344.4</v>
      </c>
      <c r="Z25" s="8">
        <v>169.56</v>
      </c>
      <c r="AA25" s="8">
        <v>0</v>
      </c>
      <c r="AB25" s="10">
        <f t="shared" si="0"/>
        <v>49100.34</v>
      </c>
      <c r="AC25" s="10">
        <f t="shared" si="2"/>
        <v>1319.56</v>
      </c>
      <c r="AD25" s="10"/>
    </row>
    <row r="26" spans="1:30" x14ac:dyDescent="0.25">
      <c r="A26">
        <f t="shared" si="3"/>
        <v>25</v>
      </c>
      <c r="F26" s="9" t="s">
        <v>23</v>
      </c>
      <c r="G26" s="9" t="s">
        <v>23</v>
      </c>
      <c r="I26" s="8">
        <f>67792.66+3957.04+6534.73+1692.7</f>
        <v>79977.12999999999</v>
      </c>
      <c r="J26" s="8">
        <f>13142.55+1450.63</f>
        <v>14593.18</v>
      </c>
      <c r="K26" s="8">
        <v>0</v>
      </c>
      <c r="L26" s="8">
        <v>218.92</v>
      </c>
      <c r="M26" s="8">
        <v>1540.4</v>
      </c>
      <c r="N26" s="8">
        <v>164.21</v>
      </c>
      <c r="O26" s="8">
        <v>300</v>
      </c>
      <c r="Q26" s="8">
        <v>0</v>
      </c>
      <c r="R26" s="8">
        <f t="shared" si="1"/>
        <v>96793.84</v>
      </c>
      <c r="S26" s="8">
        <v>11687</v>
      </c>
      <c r="T26" s="8">
        <v>2233</v>
      </c>
      <c r="U26" s="8">
        <v>358.08</v>
      </c>
      <c r="V26" s="8">
        <v>19069.560000000001</v>
      </c>
      <c r="W26" s="8">
        <v>4014.56</v>
      </c>
      <c r="X26" s="8">
        <v>0</v>
      </c>
      <c r="Y26" s="8">
        <v>313.08</v>
      </c>
      <c r="Z26" s="8">
        <v>154.19999999999999</v>
      </c>
      <c r="AA26" s="8">
        <v>0</v>
      </c>
      <c r="AB26" s="10">
        <f t="shared" si="0"/>
        <v>35442.28</v>
      </c>
      <c r="AC26" s="10">
        <f t="shared" si="2"/>
        <v>2387.1999999999998</v>
      </c>
    </row>
    <row r="27" spans="1:30" x14ac:dyDescent="0.25">
      <c r="A27">
        <f t="shared" si="3"/>
        <v>26</v>
      </c>
      <c r="F27" s="9" t="s">
        <v>23</v>
      </c>
      <c r="H27" s="9" t="s">
        <v>23</v>
      </c>
      <c r="I27" s="8">
        <f>44398.65+2448+586.08+3183.6+1547.6</f>
        <v>52163.93</v>
      </c>
      <c r="J27" s="8">
        <v>17796.39</v>
      </c>
      <c r="K27" s="8">
        <v>976.8</v>
      </c>
      <c r="L27" s="8">
        <v>218.94</v>
      </c>
      <c r="M27" s="8">
        <v>976.8</v>
      </c>
      <c r="N27" s="8">
        <v>164.19</v>
      </c>
      <c r="O27" s="8">
        <v>0</v>
      </c>
      <c r="Q27" s="8">
        <v>0</v>
      </c>
      <c r="R27" s="8">
        <f t="shared" si="1"/>
        <v>72297.050000000017</v>
      </c>
      <c r="S27" s="8">
        <v>13113.6</v>
      </c>
      <c r="T27" s="8">
        <v>806.4</v>
      </c>
      <c r="U27" s="8">
        <v>213</v>
      </c>
      <c r="V27" s="8">
        <v>0</v>
      </c>
      <c r="W27" s="8">
        <v>0</v>
      </c>
      <c r="X27" s="8">
        <v>7302.99</v>
      </c>
      <c r="Y27" s="8">
        <v>186.72</v>
      </c>
      <c r="Z27" s="8">
        <v>91.92</v>
      </c>
      <c r="AA27" s="8">
        <v>0</v>
      </c>
      <c r="AB27" s="10">
        <f t="shared" si="0"/>
        <v>20816.310000000001</v>
      </c>
      <c r="AC27" s="10">
        <f t="shared" si="2"/>
        <v>898.31999999999994</v>
      </c>
    </row>
    <row r="28" spans="1:30" x14ac:dyDescent="0.25">
      <c r="A28">
        <f t="shared" si="3"/>
        <v>27</v>
      </c>
      <c r="F28" s="9" t="s">
        <v>23</v>
      </c>
      <c r="H28" s="9" t="s">
        <v>23</v>
      </c>
      <c r="I28" s="8">
        <f>33633.75+2019.6+158.16+59.31+2541.25+2230.27+158.16</f>
        <v>40800.5</v>
      </c>
      <c r="J28" s="8">
        <v>130.04</v>
      </c>
      <c r="K28" s="8">
        <v>0</v>
      </c>
      <c r="L28" s="8">
        <v>218.94</v>
      </c>
      <c r="M28" s="8">
        <v>0</v>
      </c>
      <c r="N28" s="8">
        <v>0</v>
      </c>
      <c r="O28" s="8">
        <v>0</v>
      </c>
      <c r="Q28" s="8">
        <v>0</v>
      </c>
      <c r="R28" s="8">
        <f t="shared" si="1"/>
        <v>41149.480000000003</v>
      </c>
      <c r="S28" s="8">
        <v>13113.6</v>
      </c>
      <c r="T28" s="8">
        <v>806.4</v>
      </c>
      <c r="U28" s="8">
        <v>181.32</v>
      </c>
      <c r="V28" s="8">
        <v>0</v>
      </c>
      <c r="W28" s="8">
        <v>0</v>
      </c>
      <c r="X28" s="8">
        <v>5712.11</v>
      </c>
      <c r="Y28" s="8">
        <v>157.68</v>
      </c>
      <c r="Z28" s="8">
        <v>77.64</v>
      </c>
      <c r="AA28" s="8">
        <v>0</v>
      </c>
      <c r="AB28" s="10">
        <f t="shared" si="0"/>
        <v>19164.71</v>
      </c>
      <c r="AC28" s="10">
        <f t="shared" si="2"/>
        <v>884.04</v>
      </c>
    </row>
    <row r="29" spans="1:30" x14ac:dyDescent="0.25">
      <c r="A29">
        <f t="shared" si="3"/>
        <v>28</v>
      </c>
      <c r="F29" s="9" t="s">
        <v>23</v>
      </c>
      <c r="G29" s="9" t="s">
        <v>23</v>
      </c>
      <c r="I29" s="8">
        <f>55995.54+10486.95+4259.12+308.08+1549.66+1321.28+4531.2+1812.48+308.08+429.42</f>
        <v>81001.81</v>
      </c>
      <c r="J29" s="8">
        <f>9633.1+2029.03+13679.72+5862.92</f>
        <v>31204.769999999997</v>
      </c>
      <c r="K29" s="8">
        <v>0</v>
      </c>
      <c r="L29" s="8">
        <v>219.16</v>
      </c>
      <c r="M29" s="8">
        <v>731.69</v>
      </c>
      <c r="N29" s="8">
        <v>0</v>
      </c>
      <c r="O29" s="8">
        <v>0</v>
      </c>
      <c r="Q29" s="8">
        <v>0</v>
      </c>
      <c r="R29" s="8">
        <f t="shared" si="1"/>
        <v>113157.43</v>
      </c>
      <c r="S29" s="8">
        <v>11687</v>
      </c>
      <c r="T29" s="8">
        <v>2233</v>
      </c>
      <c r="U29" s="8">
        <v>358.08</v>
      </c>
      <c r="V29" s="8">
        <v>19069.560000000001</v>
      </c>
      <c r="W29" s="8">
        <v>4014.56</v>
      </c>
      <c r="X29" s="8">
        <v>0</v>
      </c>
      <c r="Y29" s="8">
        <v>313.08</v>
      </c>
      <c r="Z29" s="8">
        <v>154.19999999999999</v>
      </c>
      <c r="AA29" s="8">
        <v>0</v>
      </c>
      <c r="AB29" s="10">
        <f t="shared" si="0"/>
        <v>35442.28</v>
      </c>
      <c r="AC29" s="10">
        <f t="shared" si="2"/>
        <v>2387.1999999999998</v>
      </c>
    </row>
    <row r="30" spans="1:30" x14ac:dyDescent="0.25">
      <c r="A30">
        <f t="shared" si="3"/>
        <v>29</v>
      </c>
      <c r="F30" s="9" t="s">
        <v>23</v>
      </c>
      <c r="G30" s="9" t="s">
        <v>23</v>
      </c>
      <c r="I30" s="8">
        <f>61478.09+3364+261.92+261.92+2054.4+564.31+261.92</f>
        <v>68246.559999999983</v>
      </c>
      <c r="J30" s="8">
        <v>3407.62</v>
      </c>
      <c r="K30" s="8">
        <v>1702.48</v>
      </c>
      <c r="L30" s="8">
        <v>218.93</v>
      </c>
      <c r="M30" s="8">
        <v>1424.19</v>
      </c>
      <c r="N30" s="8">
        <v>0</v>
      </c>
      <c r="O30" s="8">
        <v>0</v>
      </c>
      <c r="Q30" s="8">
        <v>0</v>
      </c>
      <c r="R30" s="8">
        <f t="shared" si="1"/>
        <v>74999.77999999997</v>
      </c>
      <c r="S30" s="8">
        <v>11687</v>
      </c>
      <c r="T30" s="8">
        <v>2233</v>
      </c>
      <c r="U30" s="8">
        <v>303.60000000000002</v>
      </c>
      <c r="V30" s="8">
        <v>16211.28</v>
      </c>
      <c r="W30" s="8">
        <v>3412.84</v>
      </c>
      <c r="X30" s="8">
        <v>0</v>
      </c>
      <c r="Y30" s="8">
        <v>266.16000000000003</v>
      </c>
      <c r="Z30" s="8">
        <v>131.16</v>
      </c>
      <c r="AA30" s="8">
        <v>0</v>
      </c>
      <c r="AB30" s="10">
        <f t="shared" si="0"/>
        <v>31880.880000000001</v>
      </c>
      <c r="AC30" s="10">
        <f t="shared" si="2"/>
        <v>2364.16</v>
      </c>
    </row>
    <row r="31" spans="1:30" x14ac:dyDescent="0.25">
      <c r="A31">
        <f t="shared" si="3"/>
        <v>30</v>
      </c>
      <c r="F31" s="9" t="s">
        <v>23</v>
      </c>
      <c r="G31" s="9" t="s">
        <v>23</v>
      </c>
      <c r="I31" s="8">
        <f>66950.82+7774.42+4954.8+2189.44+4231.68+249.18</f>
        <v>86350.34</v>
      </c>
      <c r="J31" s="8">
        <f>24727.65+6226.95+12471.54+5236.93+681.29</f>
        <v>49344.36</v>
      </c>
      <c r="K31" s="8">
        <v>3219.36</v>
      </c>
      <c r="L31" s="8">
        <v>218.95</v>
      </c>
      <c r="M31" s="8">
        <v>4617.24</v>
      </c>
      <c r="N31" s="8">
        <v>0</v>
      </c>
      <c r="O31" s="8">
        <v>0</v>
      </c>
      <c r="Q31" s="8">
        <v>0</v>
      </c>
      <c r="R31" s="8">
        <f t="shared" si="1"/>
        <v>143750.25</v>
      </c>
      <c r="S31" s="8">
        <v>11687</v>
      </c>
      <c r="T31" s="8">
        <v>2233</v>
      </c>
      <c r="U31" s="8">
        <v>358.08</v>
      </c>
      <c r="V31" s="8">
        <v>19069.560000000001</v>
      </c>
      <c r="W31" s="8">
        <v>4076.16</v>
      </c>
      <c r="X31" s="8">
        <v>0</v>
      </c>
      <c r="Y31" s="8">
        <v>313.08</v>
      </c>
      <c r="Z31" s="8">
        <v>154.19999999999999</v>
      </c>
      <c r="AA31" s="8">
        <v>0</v>
      </c>
      <c r="AB31" s="10">
        <f t="shared" si="0"/>
        <v>35503.880000000005</v>
      </c>
      <c r="AC31" s="10">
        <f t="shared" si="2"/>
        <v>2387.1999999999998</v>
      </c>
    </row>
    <row r="32" spans="1:30" x14ac:dyDescent="0.25">
      <c r="A32">
        <f t="shared" si="3"/>
        <v>31</v>
      </c>
      <c r="F32" s="9" t="s">
        <v>23</v>
      </c>
      <c r="H32" s="9" t="s">
        <v>23</v>
      </c>
      <c r="I32" s="8">
        <f>42829.21+2542.64+3448.57+3084.57</f>
        <v>51904.99</v>
      </c>
      <c r="J32" s="8">
        <v>454.3</v>
      </c>
      <c r="K32" s="8">
        <v>986.8</v>
      </c>
      <c r="L32" s="8">
        <v>218.94</v>
      </c>
      <c r="M32" s="8">
        <v>0</v>
      </c>
      <c r="N32" s="8">
        <v>0</v>
      </c>
      <c r="O32" s="8">
        <v>0</v>
      </c>
      <c r="Q32" s="8">
        <v>0</v>
      </c>
      <c r="R32" s="8">
        <f t="shared" si="1"/>
        <v>53565.030000000006</v>
      </c>
      <c r="S32" s="8">
        <v>13113.6</v>
      </c>
      <c r="T32" s="8">
        <v>806.4</v>
      </c>
      <c r="U32" s="8">
        <v>231.12</v>
      </c>
      <c r="V32" s="8">
        <v>0</v>
      </c>
      <c r="W32" s="8">
        <v>0</v>
      </c>
      <c r="X32" s="8">
        <v>7266.57</v>
      </c>
      <c r="Y32" s="8">
        <v>200.52</v>
      </c>
      <c r="Z32" s="8">
        <v>98.76</v>
      </c>
      <c r="AA32" s="8">
        <v>0</v>
      </c>
      <c r="AB32" s="10">
        <f t="shared" si="0"/>
        <v>20811.810000000001</v>
      </c>
      <c r="AC32" s="10">
        <f t="shared" si="2"/>
        <v>905.16</v>
      </c>
    </row>
    <row r="33" spans="1:30" x14ac:dyDescent="0.25">
      <c r="A33">
        <f t="shared" si="3"/>
        <v>32</v>
      </c>
      <c r="F33" s="9" t="s">
        <v>23</v>
      </c>
      <c r="H33" s="9" t="s">
        <v>23</v>
      </c>
      <c r="I33" s="8">
        <f>54450.91+4070.78+1244.12</f>
        <v>59765.810000000005</v>
      </c>
      <c r="J33" s="8">
        <v>12259.95</v>
      </c>
      <c r="K33" s="8">
        <v>2057.04</v>
      </c>
      <c r="L33" s="8">
        <v>218.94</v>
      </c>
      <c r="M33" s="8">
        <v>2742.72</v>
      </c>
      <c r="N33" s="8">
        <v>0</v>
      </c>
      <c r="O33" s="8">
        <v>0</v>
      </c>
      <c r="Q33" s="8">
        <v>0</v>
      </c>
      <c r="R33" s="8">
        <f t="shared" si="1"/>
        <v>77044.460000000006</v>
      </c>
      <c r="S33" s="8">
        <v>13113.6</v>
      </c>
      <c r="T33" s="8">
        <v>806.4</v>
      </c>
      <c r="U33" s="8">
        <v>258.24</v>
      </c>
      <c r="V33" s="8">
        <v>0</v>
      </c>
      <c r="W33" s="8">
        <v>0</v>
      </c>
      <c r="X33" s="8">
        <v>8367.18</v>
      </c>
      <c r="Y33" s="8">
        <v>223.56</v>
      </c>
      <c r="Z33" s="8">
        <v>110.04</v>
      </c>
      <c r="AA33" s="8">
        <v>0</v>
      </c>
      <c r="AB33" s="10">
        <f t="shared" si="0"/>
        <v>21962.58</v>
      </c>
      <c r="AC33" s="10">
        <f t="shared" si="2"/>
        <v>916.43999999999994</v>
      </c>
    </row>
    <row r="34" spans="1:30" x14ac:dyDescent="0.25">
      <c r="A34">
        <f t="shared" si="3"/>
        <v>33</v>
      </c>
      <c r="F34" s="9" t="s">
        <v>23</v>
      </c>
      <c r="G34" s="9" t="s">
        <v>23</v>
      </c>
      <c r="I34" s="8">
        <f>50236.65+6970.49+3957.04+302.08+1925.76+3144.04+6083.6+1859.99+302.08</f>
        <v>74781.73000000001</v>
      </c>
      <c r="J34" s="8">
        <f>27566.39+6699.01+7510.46+3436.16+3293.81</f>
        <v>48505.83</v>
      </c>
      <c r="K34" s="8">
        <v>0</v>
      </c>
      <c r="L34" s="8">
        <v>218.93</v>
      </c>
      <c r="M34" s="8">
        <v>2002.52</v>
      </c>
      <c r="N34" s="8">
        <v>0</v>
      </c>
      <c r="O34" s="8">
        <v>0</v>
      </c>
      <c r="Q34" s="8">
        <v>0</v>
      </c>
      <c r="R34" s="8">
        <f t="shared" si="1"/>
        <v>125509.01000000001</v>
      </c>
      <c r="S34" s="8">
        <v>11687</v>
      </c>
      <c r="T34" s="8">
        <v>2233</v>
      </c>
      <c r="U34" s="8">
        <v>358.08</v>
      </c>
      <c r="V34" s="8">
        <v>19069.560000000001</v>
      </c>
      <c r="W34" s="8">
        <v>4014.56</v>
      </c>
      <c r="X34" s="8">
        <v>0</v>
      </c>
      <c r="Y34" s="8">
        <v>313.08</v>
      </c>
      <c r="Z34" s="8">
        <v>154.19999999999999</v>
      </c>
      <c r="AA34" s="8">
        <v>0</v>
      </c>
      <c r="AB34" s="10">
        <f t="shared" ref="AB34:AB65" si="4">+S34+U34+V34+W34+X34+Y34+AA34</f>
        <v>35442.28</v>
      </c>
      <c r="AC34" s="10">
        <f t="shared" si="2"/>
        <v>2387.1999999999998</v>
      </c>
    </row>
    <row r="35" spans="1:30" x14ac:dyDescent="0.25">
      <c r="A35">
        <f t="shared" si="3"/>
        <v>34</v>
      </c>
      <c r="F35" s="9" t="s">
        <v>23</v>
      </c>
      <c r="H35" s="9" t="s">
        <v>23</v>
      </c>
      <c r="I35" s="8">
        <f>48471.75+2556.96+191.52+802.05+150.84</f>
        <v>52173.119999999995</v>
      </c>
      <c r="J35" s="8">
        <v>2581.36</v>
      </c>
      <c r="K35" s="8">
        <v>1709.52</v>
      </c>
      <c r="L35" s="8">
        <v>218.94</v>
      </c>
      <c r="M35" s="8">
        <v>2413.44</v>
      </c>
      <c r="N35" s="8">
        <v>0</v>
      </c>
      <c r="O35" s="8">
        <v>0</v>
      </c>
      <c r="Q35" s="8">
        <v>0</v>
      </c>
      <c r="R35" s="8">
        <f t="shared" ref="R35:R66" si="5">+SUM(I35:Q35)</f>
        <v>59096.38</v>
      </c>
      <c r="S35" s="8">
        <v>13113.6</v>
      </c>
      <c r="T35" s="8">
        <v>806.4</v>
      </c>
      <c r="U35" s="8">
        <v>226.56</v>
      </c>
      <c r="V35" s="8">
        <v>0</v>
      </c>
      <c r="W35" s="8">
        <v>0</v>
      </c>
      <c r="X35" s="8">
        <v>7304.03</v>
      </c>
      <c r="Y35" s="8">
        <v>198.48</v>
      </c>
      <c r="Z35" s="8">
        <v>97.8</v>
      </c>
      <c r="AA35" s="8">
        <v>0</v>
      </c>
      <c r="AB35" s="10">
        <f t="shared" si="4"/>
        <v>20842.669999999998</v>
      </c>
      <c r="AC35" s="10">
        <f t="shared" si="2"/>
        <v>904.19999999999993</v>
      </c>
    </row>
    <row r="36" spans="1:30" x14ac:dyDescent="0.25">
      <c r="A36">
        <f t="shared" si="3"/>
        <v>35</v>
      </c>
      <c r="F36" s="9" t="s">
        <v>23</v>
      </c>
      <c r="H36" s="9" t="s">
        <v>23</v>
      </c>
      <c r="I36" s="8">
        <f>36110.16+1994.16+1694.05+842.49</f>
        <v>40640.860000000008</v>
      </c>
      <c r="J36" s="8">
        <v>385.87</v>
      </c>
      <c r="K36" s="8">
        <v>919.13</v>
      </c>
      <c r="L36" s="8">
        <v>218.94</v>
      </c>
      <c r="M36" s="8">
        <v>928.8</v>
      </c>
      <c r="N36" s="8">
        <v>0</v>
      </c>
      <c r="O36" s="8">
        <v>0</v>
      </c>
      <c r="Q36" s="8">
        <v>0</v>
      </c>
      <c r="R36" s="8">
        <f t="shared" si="5"/>
        <v>43093.600000000013</v>
      </c>
      <c r="S36" s="8">
        <v>13113.6</v>
      </c>
      <c r="T36" s="8">
        <v>806.4</v>
      </c>
      <c r="U36" s="8">
        <v>181.32</v>
      </c>
      <c r="V36" s="8">
        <v>0</v>
      </c>
      <c r="W36" s="8">
        <v>0</v>
      </c>
      <c r="X36" s="8">
        <v>5689.67</v>
      </c>
      <c r="Y36" s="8">
        <v>157.32</v>
      </c>
      <c r="Z36" s="8">
        <v>77.400000000000006</v>
      </c>
      <c r="AA36" s="8">
        <v>0</v>
      </c>
      <c r="AB36" s="10">
        <f t="shared" si="4"/>
        <v>19141.91</v>
      </c>
      <c r="AC36" s="10">
        <f t="shared" si="2"/>
        <v>883.8</v>
      </c>
    </row>
    <row r="37" spans="1:30" x14ac:dyDescent="0.25">
      <c r="A37">
        <f t="shared" si="3"/>
        <v>36</v>
      </c>
      <c r="F37" s="9" t="s">
        <v>23</v>
      </c>
      <c r="H37" s="9" t="s">
        <v>23</v>
      </c>
      <c r="I37" s="8">
        <f>76745.65+4430.53+681.62+2044.86+4089.71+2492.16</f>
        <v>90484.53</v>
      </c>
      <c r="J37" s="8">
        <v>447.31</v>
      </c>
      <c r="K37" s="8">
        <v>0</v>
      </c>
      <c r="L37" s="8">
        <v>218.94</v>
      </c>
      <c r="M37" s="8">
        <v>1235.43</v>
      </c>
      <c r="N37" s="8">
        <v>109.47</v>
      </c>
      <c r="O37" s="8">
        <v>0</v>
      </c>
      <c r="Q37" s="8">
        <v>0</v>
      </c>
      <c r="R37" s="8">
        <f t="shared" si="5"/>
        <v>92495.679999999993</v>
      </c>
      <c r="S37" s="8">
        <v>13113.6</v>
      </c>
      <c r="T37" s="8">
        <v>806.4</v>
      </c>
      <c r="U37" s="8">
        <v>403.44</v>
      </c>
      <c r="V37" s="8">
        <v>0</v>
      </c>
      <c r="W37" s="8">
        <v>0</v>
      </c>
      <c r="X37" s="8">
        <v>12668.05</v>
      </c>
      <c r="Y37" s="8">
        <v>353.28</v>
      </c>
      <c r="Z37" s="8">
        <v>174</v>
      </c>
      <c r="AA37" s="8">
        <v>0</v>
      </c>
      <c r="AB37" s="10">
        <f t="shared" si="4"/>
        <v>26538.37</v>
      </c>
      <c r="AC37" s="10">
        <f t="shared" si="2"/>
        <v>980.4</v>
      </c>
    </row>
    <row r="38" spans="1:30" x14ac:dyDescent="0.25">
      <c r="A38">
        <f t="shared" si="3"/>
        <v>37</v>
      </c>
      <c r="F38" s="9" t="s">
        <v>23</v>
      </c>
      <c r="H38" s="9" t="s">
        <v>23</v>
      </c>
      <c r="I38" s="8">
        <f>45340.79+597.84+2033.96+3037.42+199.28+209.28+2660.64</f>
        <v>54079.209999999992</v>
      </c>
      <c r="J38" s="8">
        <v>0</v>
      </c>
      <c r="K38" s="8">
        <v>1281.8399999999999</v>
      </c>
      <c r="L38" s="8">
        <v>218.94</v>
      </c>
      <c r="M38" s="8">
        <v>0</v>
      </c>
      <c r="N38" s="8">
        <v>109.47</v>
      </c>
      <c r="O38" s="8">
        <v>0</v>
      </c>
      <c r="Q38" s="8">
        <v>0</v>
      </c>
      <c r="R38" s="8">
        <f t="shared" si="5"/>
        <v>55689.459999999992</v>
      </c>
      <c r="S38" s="8">
        <v>13113.6</v>
      </c>
      <c r="T38" s="8">
        <v>806.4</v>
      </c>
      <c r="U38" s="8">
        <v>235.68</v>
      </c>
      <c r="V38" s="8">
        <v>0</v>
      </c>
      <c r="W38" s="8">
        <v>0</v>
      </c>
      <c r="X38" s="8">
        <v>7571.3</v>
      </c>
      <c r="Y38" s="8">
        <v>206.52</v>
      </c>
      <c r="Z38" s="8">
        <v>101.76</v>
      </c>
      <c r="AA38" s="8">
        <v>0</v>
      </c>
      <c r="AB38" s="10">
        <f t="shared" si="4"/>
        <v>21127.100000000002</v>
      </c>
      <c r="AC38" s="10">
        <f t="shared" si="2"/>
        <v>908.16</v>
      </c>
    </row>
    <row r="39" spans="1:30" x14ac:dyDescent="0.25">
      <c r="A39">
        <f t="shared" si="3"/>
        <v>38</v>
      </c>
      <c r="B39" s="9" t="s">
        <v>23</v>
      </c>
      <c r="E39" s="9" t="s">
        <v>23</v>
      </c>
      <c r="H39" s="9" t="s">
        <v>23</v>
      </c>
      <c r="I39" s="8">
        <f>4768+38740.52+2384.03+1788.03</f>
        <v>47680.579999999994</v>
      </c>
      <c r="J39" s="8">
        <v>0</v>
      </c>
      <c r="K39" s="8">
        <v>22052.3</v>
      </c>
      <c r="L39" s="8">
        <v>0</v>
      </c>
      <c r="M39" s="8">
        <v>0</v>
      </c>
      <c r="N39" s="8">
        <v>0</v>
      </c>
      <c r="O39" s="8">
        <v>0</v>
      </c>
      <c r="Q39" s="8">
        <v>680.96</v>
      </c>
      <c r="R39" s="8">
        <f t="shared" si="5"/>
        <v>70413.84</v>
      </c>
      <c r="S39" s="8">
        <v>3278.4</v>
      </c>
      <c r="T39" s="8">
        <v>201.6</v>
      </c>
      <c r="U39" s="8">
        <v>58.54</v>
      </c>
      <c r="V39" s="8">
        <v>0</v>
      </c>
      <c r="W39" s="8">
        <v>0</v>
      </c>
      <c r="X39" s="8">
        <v>1251.5999999999999</v>
      </c>
      <c r="Y39" s="8">
        <v>51.48</v>
      </c>
      <c r="Z39" s="8">
        <v>25.36</v>
      </c>
      <c r="AA39" s="8">
        <v>0</v>
      </c>
      <c r="AB39" s="10">
        <f t="shared" si="4"/>
        <v>4640.0199999999995</v>
      </c>
      <c r="AC39" s="10">
        <f t="shared" si="2"/>
        <v>226.95999999999998</v>
      </c>
      <c r="AD39" s="10"/>
    </row>
    <row r="40" spans="1:30" x14ac:dyDescent="0.25">
      <c r="A40">
        <f t="shared" si="3"/>
        <v>39</v>
      </c>
      <c r="C40" s="9" t="s">
        <v>23</v>
      </c>
      <c r="E40" s="9" t="s">
        <v>23</v>
      </c>
      <c r="H40" s="9" t="s">
        <v>23</v>
      </c>
      <c r="I40" s="8">
        <f>60424.22+3684+266.18+1330.92+4674.23+4312.2</f>
        <v>74691.75</v>
      </c>
      <c r="J40" s="8">
        <v>0</v>
      </c>
      <c r="K40" s="8">
        <v>0</v>
      </c>
      <c r="L40" s="8">
        <v>574.72</v>
      </c>
      <c r="M40" s="8">
        <v>0</v>
      </c>
      <c r="N40" s="8">
        <v>0</v>
      </c>
      <c r="O40" s="8">
        <v>0</v>
      </c>
      <c r="Q40" s="8">
        <v>0</v>
      </c>
      <c r="R40" s="8">
        <f t="shared" si="5"/>
        <v>75266.47</v>
      </c>
      <c r="S40" s="8">
        <v>13113.6</v>
      </c>
      <c r="T40" s="8">
        <v>806.4</v>
      </c>
      <c r="U40" s="8">
        <v>317.27999999999997</v>
      </c>
      <c r="V40" s="8">
        <v>0</v>
      </c>
      <c r="W40" s="8">
        <v>0</v>
      </c>
      <c r="X40" s="8">
        <v>10456.85</v>
      </c>
      <c r="Y40" s="8">
        <v>275.88</v>
      </c>
      <c r="Z40" s="8">
        <v>135.84</v>
      </c>
      <c r="AA40" s="8">
        <v>0</v>
      </c>
      <c r="AB40" s="10">
        <f t="shared" si="4"/>
        <v>24163.610000000004</v>
      </c>
      <c r="AC40" s="10">
        <f t="shared" si="2"/>
        <v>942.24</v>
      </c>
    </row>
    <row r="41" spans="1:30" x14ac:dyDescent="0.25">
      <c r="A41">
        <f t="shared" si="3"/>
        <v>40</v>
      </c>
      <c r="F41" s="9" t="s">
        <v>23</v>
      </c>
      <c r="G41" s="9" t="s">
        <v>23</v>
      </c>
      <c r="I41" s="8">
        <f>51177.53+10045.14+3340.88+302.08+2364.13+2718.38+214.71+4543.2+2114.56</f>
        <v>76820.61</v>
      </c>
      <c r="J41" s="8">
        <f>15687.37+2882.51+20239.55+8676.55+726.11</f>
        <v>48212.09</v>
      </c>
      <c r="K41" s="8">
        <v>0</v>
      </c>
      <c r="L41" s="8">
        <v>218.94</v>
      </c>
      <c r="M41" s="8">
        <v>0</v>
      </c>
      <c r="N41" s="8">
        <v>0</v>
      </c>
      <c r="O41" s="8">
        <v>0</v>
      </c>
      <c r="Q41" s="8">
        <v>0</v>
      </c>
      <c r="R41" s="8">
        <f t="shared" si="5"/>
        <v>125251.64</v>
      </c>
      <c r="S41" s="8">
        <v>11687</v>
      </c>
      <c r="T41" s="8">
        <v>2233</v>
      </c>
      <c r="U41" s="8">
        <v>358.08</v>
      </c>
      <c r="V41" s="8">
        <v>19069.560000000001</v>
      </c>
      <c r="W41" s="8">
        <v>4014.56</v>
      </c>
      <c r="X41" s="8">
        <v>0</v>
      </c>
      <c r="Y41" s="8">
        <v>313.08</v>
      </c>
      <c r="Z41" s="8">
        <v>154.19999999999999</v>
      </c>
      <c r="AA41" s="8">
        <v>0</v>
      </c>
      <c r="AB41" s="10">
        <f t="shared" si="4"/>
        <v>35442.28</v>
      </c>
      <c r="AC41" s="10">
        <f t="shared" si="2"/>
        <v>2387.1999999999998</v>
      </c>
    </row>
    <row r="42" spans="1:30" x14ac:dyDescent="0.25">
      <c r="A42">
        <f t="shared" si="3"/>
        <v>41</v>
      </c>
      <c r="F42" s="9" t="s">
        <v>23</v>
      </c>
      <c r="G42" s="9" t="s">
        <v>23</v>
      </c>
      <c r="I42" s="8">
        <f>53358.24+8277.99+3957.04+302.08+2668.08+3951.04+4491.68</f>
        <v>77006.149999999994</v>
      </c>
      <c r="J42" s="8">
        <f>11785.43+2893.76+13307.89+5320.67</f>
        <v>33307.75</v>
      </c>
      <c r="K42" s="8">
        <v>0</v>
      </c>
      <c r="L42" s="8">
        <v>218.94</v>
      </c>
      <c r="M42" s="8">
        <v>0</v>
      </c>
      <c r="N42" s="8">
        <v>0</v>
      </c>
      <c r="O42" s="8">
        <v>0</v>
      </c>
      <c r="Q42" s="8">
        <v>0</v>
      </c>
      <c r="R42" s="8">
        <f t="shared" si="5"/>
        <v>110532.84</v>
      </c>
      <c r="S42" s="8">
        <v>11687</v>
      </c>
      <c r="T42" s="8">
        <v>2233</v>
      </c>
      <c r="U42" s="8">
        <v>358.08</v>
      </c>
      <c r="V42" s="8">
        <v>19069.560000000001</v>
      </c>
      <c r="W42" s="8">
        <v>3983.75</v>
      </c>
      <c r="X42" s="8">
        <v>0</v>
      </c>
      <c r="Y42" s="8">
        <v>313.08</v>
      </c>
      <c r="Z42" s="8">
        <v>154.19999999999999</v>
      </c>
      <c r="AA42" s="8">
        <v>0</v>
      </c>
      <c r="AB42" s="10">
        <f t="shared" si="4"/>
        <v>35411.47</v>
      </c>
      <c r="AC42" s="10">
        <f t="shared" si="2"/>
        <v>2387.1999999999998</v>
      </c>
    </row>
    <row r="43" spans="1:30" x14ac:dyDescent="0.25">
      <c r="A43">
        <f t="shared" si="3"/>
        <v>42</v>
      </c>
      <c r="F43" s="9" t="s">
        <v>23</v>
      </c>
      <c r="G43" s="9" t="s">
        <v>23</v>
      </c>
      <c r="I43" s="8">
        <f>52046.62+8639.49+3957.04+302.08+459.12+1644.06+598.71+429.42+3929.16+6204.64+302.08</f>
        <v>78512.420000000013</v>
      </c>
      <c r="J43" s="8">
        <f>13649.1+5010.31+18187.1+6185.1+1114.84</f>
        <v>44146.44999999999</v>
      </c>
      <c r="K43" s="8">
        <v>0</v>
      </c>
      <c r="L43" s="8">
        <v>218.95</v>
      </c>
      <c r="M43" s="8">
        <v>0</v>
      </c>
      <c r="N43" s="8">
        <v>0</v>
      </c>
      <c r="O43" s="8">
        <v>0</v>
      </c>
      <c r="Q43" s="8">
        <v>0</v>
      </c>
      <c r="R43" s="8">
        <f t="shared" si="5"/>
        <v>122877.81999999999</v>
      </c>
      <c r="S43" s="8">
        <v>11687</v>
      </c>
      <c r="T43" s="8">
        <v>2233</v>
      </c>
      <c r="U43" s="8">
        <v>358.08</v>
      </c>
      <c r="V43" s="8">
        <v>19069.560000000001</v>
      </c>
      <c r="W43" s="8">
        <v>4014.56</v>
      </c>
      <c r="X43" s="8">
        <v>0</v>
      </c>
      <c r="Y43" s="8">
        <v>313.08</v>
      </c>
      <c r="Z43" s="8">
        <v>154.19999999999999</v>
      </c>
      <c r="AA43" s="8">
        <v>0</v>
      </c>
      <c r="AB43" s="10">
        <f t="shared" si="4"/>
        <v>35442.28</v>
      </c>
      <c r="AC43" s="10">
        <f t="shared" si="2"/>
        <v>2387.1999999999998</v>
      </c>
    </row>
    <row r="44" spans="1:30" x14ac:dyDescent="0.25">
      <c r="A44">
        <f t="shared" si="3"/>
        <v>43</v>
      </c>
      <c r="F44" s="9" t="s">
        <v>23</v>
      </c>
      <c r="H44" s="9" t="s">
        <v>23</v>
      </c>
      <c r="I44" s="8">
        <f>36799.66+2054.24+480.48+1103.29+1330.9+160.16</f>
        <v>41928.73000000001</v>
      </c>
      <c r="J44" s="8">
        <v>221.75</v>
      </c>
      <c r="K44" s="8">
        <v>0</v>
      </c>
      <c r="L44" s="8">
        <v>218.95</v>
      </c>
      <c r="M44" s="8">
        <v>600.6</v>
      </c>
      <c r="N44" s="8">
        <v>0</v>
      </c>
      <c r="O44" s="8">
        <v>0</v>
      </c>
      <c r="Q44" s="8">
        <v>0</v>
      </c>
      <c r="R44" s="8">
        <f t="shared" si="5"/>
        <v>42970.030000000006</v>
      </c>
      <c r="S44" s="8">
        <v>13113.6</v>
      </c>
      <c r="T44" s="8">
        <v>806.4</v>
      </c>
      <c r="U44" s="8">
        <v>185.76</v>
      </c>
      <c r="V44" s="8">
        <v>0</v>
      </c>
      <c r="W44" s="8">
        <v>0</v>
      </c>
      <c r="X44" s="8">
        <v>5869.88</v>
      </c>
      <c r="Y44" s="8">
        <v>161.16</v>
      </c>
      <c r="Z44" s="8">
        <v>79.44</v>
      </c>
      <c r="AA44" s="8">
        <v>0</v>
      </c>
      <c r="AB44" s="10">
        <f t="shared" si="4"/>
        <v>19330.400000000001</v>
      </c>
      <c r="AC44" s="10">
        <f t="shared" si="2"/>
        <v>885.83999999999992</v>
      </c>
    </row>
    <row r="45" spans="1:30" x14ac:dyDescent="0.25">
      <c r="A45">
        <f t="shared" si="3"/>
        <v>44</v>
      </c>
      <c r="F45" s="9" t="s">
        <v>23</v>
      </c>
      <c r="H45" s="9" t="s">
        <v>23</v>
      </c>
      <c r="I45" s="8">
        <f>39320.73+2179.92+507.6+1516.24+2017.28</f>
        <v>45541.77</v>
      </c>
      <c r="J45" s="8">
        <v>9671.6299999999992</v>
      </c>
      <c r="K45" s="8">
        <v>0</v>
      </c>
      <c r="L45" s="8">
        <v>218.93</v>
      </c>
      <c r="M45" s="8">
        <v>0</v>
      </c>
      <c r="N45" s="8">
        <v>0</v>
      </c>
      <c r="O45" s="8">
        <v>0</v>
      </c>
      <c r="Q45" s="8">
        <v>0</v>
      </c>
      <c r="R45" s="8">
        <f t="shared" si="5"/>
        <v>55432.329999999994</v>
      </c>
      <c r="S45" s="8">
        <v>13113.6</v>
      </c>
      <c r="T45" s="8">
        <v>806.4</v>
      </c>
      <c r="U45" s="8">
        <v>199.44</v>
      </c>
      <c r="V45" s="8">
        <v>0</v>
      </c>
      <c r="W45" s="8">
        <v>0</v>
      </c>
      <c r="X45" s="8">
        <v>6375.75</v>
      </c>
      <c r="Y45" s="8">
        <v>171.96</v>
      </c>
      <c r="Z45" s="8">
        <v>84.72</v>
      </c>
      <c r="AA45" s="8">
        <v>0</v>
      </c>
      <c r="AB45" s="10">
        <f t="shared" si="4"/>
        <v>19860.75</v>
      </c>
      <c r="AC45" s="10">
        <f t="shared" si="2"/>
        <v>891.12</v>
      </c>
    </row>
    <row r="46" spans="1:30" s="18" customFormat="1" x14ac:dyDescent="0.25">
      <c r="A46" s="18">
        <f t="shared" si="3"/>
        <v>45</v>
      </c>
      <c r="B46" s="19" t="s">
        <v>23</v>
      </c>
      <c r="C46" s="19"/>
      <c r="D46" s="19"/>
      <c r="E46" s="19" t="s">
        <v>23</v>
      </c>
      <c r="F46" s="19"/>
      <c r="G46" s="19"/>
      <c r="H46" s="19" t="s">
        <v>23</v>
      </c>
      <c r="I46" s="11"/>
      <c r="J46" s="11"/>
      <c r="K46" s="11"/>
      <c r="L46" s="11"/>
      <c r="M46" s="11"/>
      <c r="N46" s="11"/>
      <c r="O46" s="11"/>
      <c r="P46" s="11">
        <v>13711.77</v>
      </c>
      <c r="Q46" s="11"/>
      <c r="R46" s="11">
        <f t="shared" si="5"/>
        <v>13711.77</v>
      </c>
      <c r="S46" s="11"/>
      <c r="T46" s="11"/>
      <c r="U46" s="11"/>
      <c r="V46" s="11"/>
      <c r="W46" s="11"/>
      <c r="X46" s="11"/>
      <c r="Y46" s="11"/>
      <c r="Z46" s="11"/>
      <c r="AA46" s="11"/>
      <c r="AB46" s="20">
        <f t="shared" si="4"/>
        <v>0</v>
      </c>
      <c r="AC46" s="20">
        <f t="shared" si="2"/>
        <v>0</v>
      </c>
    </row>
    <row r="47" spans="1:30" x14ac:dyDescent="0.25">
      <c r="A47">
        <f t="shared" si="3"/>
        <v>46</v>
      </c>
      <c r="E47" s="9" t="s">
        <v>23</v>
      </c>
      <c r="H47" s="9" t="s">
        <v>23</v>
      </c>
      <c r="I47" s="8">
        <f>31225.55+1561.29+312.26+1561.3+1249.04</f>
        <v>35909.440000000002</v>
      </c>
      <c r="J47" s="8">
        <v>0</v>
      </c>
      <c r="K47" s="8">
        <v>4683.84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f t="shared" si="5"/>
        <v>40593.279999999999</v>
      </c>
      <c r="S47" s="8">
        <v>7649.6</v>
      </c>
      <c r="T47" s="8">
        <v>470.4</v>
      </c>
      <c r="U47" s="8">
        <v>154.85</v>
      </c>
      <c r="V47" s="8">
        <v>0</v>
      </c>
      <c r="W47" s="8">
        <v>0</v>
      </c>
      <c r="X47" s="8">
        <v>5027.34</v>
      </c>
      <c r="Y47" s="8">
        <v>134.85</v>
      </c>
      <c r="Z47" s="8">
        <v>66.45</v>
      </c>
      <c r="AA47" s="8">
        <v>0</v>
      </c>
      <c r="AB47" s="10">
        <f t="shared" si="4"/>
        <v>12966.640000000001</v>
      </c>
      <c r="AC47" s="10">
        <f t="shared" si="2"/>
        <v>536.85</v>
      </c>
      <c r="AD47" s="10"/>
    </row>
    <row r="48" spans="1:30" x14ac:dyDescent="0.25">
      <c r="A48">
        <f t="shared" si="3"/>
        <v>47</v>
      </c>
      <c r="F48" s="9" t="s">
        <v>23</v>
      </c>
      <c r="H48" s="9" t="s">
        <v>23</v>
      </c>
      <c r="I48" s="8">
        <f>48793.56+3662.24+1231.86+588.48+204</f>
        <v>54480.14</v>
      </c>
      <c r="J48" s="8">
        <v>9761.2199999999993</v>
      </c>
      <c r="K48" s="8">
        <v>1530</v>
      </c>
      <c r="L48" s="8">
        <v>218.93</v>
      </c>
      <c r="M48" s="8">
        <v>1912.5</v>
      </c>
      <c r="N48" s="8">
        <v>54.74</v>
      </c>
      <c r="O48" s="8">
        <v>0</v>
      </c>
      <c r="P48" s="8">
        <v>0</v>
      </c>
      <c r="Q48" s="8">
        <v>0</v>
      </c>
      <c r="R48" s="8">
        <f t="shared" si="5"/>
        <v>67957.53</v>
      </c>
      <c r="S48" s="8">
        <v>13113.6</v>
      </c>
      <c r="T48" s="8">
        <v>806.4</v>
      </c>
      <c r="U48" s="8">
        <v>235.68</v>
      </c>
      <c r="V48" s="8">
        <v>0</v>
      </c>
      <c r="W48" s="8">
        <v>0</v>
      </c>
      <c r="X48" s="8">
        <v>7627.2</v>
      </c>
      <c r="Y48" s="8">
        <v>203.28</v>
      </c>
      <c r="Z48" s="8">
        <v>100.08</v>
      </c>
      <c r="AA48" s="8">
        <v>0</v>
      </c>
      <c r="AB48" s="10">
        <f t="shared" si="4"/>
        <v>21179.759999999998</v>
      </c>
      <c r="AC48" s="10">
        <f t="shared" si="2"/>
        <v>906.48</v>
      </c>
    </row>
    <row r="49" spans="1:29" x14ac:dyDescent="0.25">
      <c r="A49">
        <f t="shared" si="3"/>
        <v>48</v>
      </c>
      <c r="F49" s="9" t="s">
        <v>23</v>
      </c>
      <c r="G49" s="9" t="s">
        <v>23</v>
      </c>
      <c r="I49" s="8">
        <f>52984+10962.23+3957.04+302.08+2718.72+289.03+1311.65+2919.52+196.35+3322.88</f>
        <v>78963.5</v>
      </c>
      <c r="J49" s="8">
        <f>8335.62+3735.47+16768.84+10296.43</f>
        <v>39136.36</v>
      </c>
      <c r="K49" s="8">
        <v>0</v>
      </c>
      <c r="L49" s="8">
        <v>218.93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f t="shared" si="5"/>
        <v>118318.79</v>
      </c>
      <c r="S49" s="8">
        <v>11687</v>
      </c>
      <c r="T49" s="8">
        <v>2233</v>
      </c>
      <c r="U49" s="8">
        <v>358.08</v>
      </c>
      <c r="V49" s="8">
        <v>19069.560000000001</v>
      </c>
      <c r="W49" s="8">
        <v>4013.61</v>
      </c>
      <c r="X49" s="8">
        <v>0</v>
      </c>
      <c r="Y49" s="8">
        <v>313.08</v>
      </c>
      <c r="Z49" s="8">
        <v>154.19999999999999</v>
      </c>
      <c r="AA49" s="8">
        <v>0</v>
      </c>
      <c r="AB49" s="10">
        <f t="shared" si="4"/>
        <v>35441.33</v>
      </c>
      <c r="AC49" s="10">
        <f t="shared" si="2"/>
        <v>2387.1999999999998</v>
      </c>
    </row>
    <row r="50" spans="1:29" x14ac:dyDescent="0.25">
      <c r="A50">
        <f t="shared" si="3"/>
        <v>49</v>
      </c>
      <c r="B50" s="9" t="s">
        <v>23</v>
      </c>
      <c r="E50" s="9" t="s">
        <v>23</v>
      </c>
      <c r="H50" s="9" t="s">
        <v>23</v>
      </c>
      <c r="I50" s="8">
        <f>126589.57+6785.89+553.5+3248.25+553.5</f>
        <v>137730.71000000002</v>
      </c>
      <c r="J50" s="8">
        <v>0</v>
      </c>
      <c r="K50" s="8">
        <v>5535.04</v>
      </c>
      <c r="L50" s="8">
        <v>845.73</v>
      </c>
      <c r="M50" s="8">
        <v>5535.04</v>
      </c>
      <c r="N50" s="8">
        <v>0</v>
      </c>
      <c r="O50" s="8">
        <v>0</v>
      </c>
      <c r="P50" s="8">
        <v>0</v>
      </c>
      <c r="Q50" s="8">
        <v>3289.05</v>
      </c>
      <c r="R50" s="8">
        <f t="shared" si="5"/>
        <v>152935.57000000004</v>
      </c>
      <c r="S50" s="8">
        <v>13113.6</v>
      </c>
      <c r="T50" s="8">
        <v>806.4</v>
      </c>
      <c r="U50" s="8">
        <v>566.52</v>
      </c>
      <c r="V50" s="8">
        <v>0</v>
      </c>
      <c r="W50" s="8">
        <v>0</v>
      </c>
      <c r="X50" s="8">
        <v>19282.2</v>
      </c>
      <c r="Y50" s="8">
        <v>498.36</v>
      </c>
      <c r="Z50" s="8">
        <v>245.4</v>
      </c>
      <c r="AA50" s="8">
        <v>0</v>
      </c>
      <c r="AB50" s="10">
        <f t="shared" si="4"/>
        <v>33460.68</v>
      </c>
      <c r="AC50" s="10">
        <f t="shared" si="2"/>
        <v>1051.8</v>
      </c>
    </row>
    <row r="51" spans="1:29" x14ac:dyDescent="0.25">
      <c r="A51">
        <f t="shared" si="3"/>
        <v>50</v>
      </c>
      <c r="F51" s="9" t="s">
        <v>23</v>
      </c>
      <c r="G51" s="9" t="s">
        <v>23</v>
      </c>
      <c r="I51" s="8">
        <f>45162.17+6309.57+3516.8+256.8+824.4+2524.26+5213.29+2907.76+1284</f>
        <v>67999.05</v>
      </c>
      <c r="J51" s="8">
        <f>16849.42+3953.98+11730.53+4793.26</f>
        <v>37327.19</v>
      </c>
      <c r="K51" s="8">
        <v>0</v>
      </c>
      <c r="L51" s="8">
        <v>218.94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f t="shared" si="5"/>
        <v>105545.18000000001</v>
      </c>
      <c r="S51" s="8">
        <v>11687</v>
      </c>
      <c r="T51" s="8">
        <v>2233</v>
      </c>
      <c r="U51" s="8">
        <v>285.60000000000002</v>
      </c>
      <c r="V51" s="8">
        <v>15251.76</v>
      </c>
      <c r="W51" s="8">
        <v>3278.64</v>
      </c>
      <c r="X51" s="8">
        <v>0</v>
      </c>
      <c r="Y51" s="8">
        <v>250.44</v>
      </c>
      <c r="Z51" s="8">
        <v>123.36</v>
      </c>
      <c r="AA51" s="8">
        <v>0</v>
      </c>
      <c r="AB51" s="10">
        <f t="shared" si="4"/>
        <v>30753.439999999999</v>
      </c>
      <c r="AC51" s="10">
        <f t="shared" si="2"/>
        <v>2356.36</v>
      </c>
    </row>
    <row r="52" spans="1:29" x14ac:dyDescent="0.25">
      <c r="A52">
        <f t="shared" si="3"/>
        <v>51</v>
      </c>
      <c r="F52" s="9" t="s">
        <v>23</v>
      </c>
      <c r="G52" s="9" t="s">
        <v>23</v>
      </c>
      <c r="I52" s="8">
        <f>49926.7+6714.98+5177.36+302.08+944+3270.14+3229.61+3004.55+2582.68</f>
        <v>75152.099999999991</v>
      </c>
      <c r="J52" s="8">
        <f>21506.87+8182.15+16130.53+9448.3+314.18+165.16+644.13</f>
        <v>56391.319999999992</v>
      </c>
      <c r="K52" s="8">
        <v>0</v>
      </c>
      <c r="L52" s="8">
        <v>219.14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f t="shared" si="5"/>
        <v>131762.56</v>
      </c>
      <c r="S52" s="8">
        <v>11687</v>
      </c>
      <c r="T52" s="8">
        <v>2233</v>
      </c>
      <c r="U52" s="8">
        <v>339.96</v>
      </c>
      <c r="V52" s="8">
        <v>18115.080000000002</v>
      </c>
      <c r="W52" s="8">
        <v>3787.06</v>
      </c>
      <c r="X52" s="8">
        <v>0</v>
      </c>
      <c r="Y52" s="8">
        <v>297.36</v>
      </c>
      <c r="Z52" s="8">
        <v>146.52000000000001</v>
      </c>
      <c r="AA52" s="8">
        <v>0</v>
      </c>
      <c r="AB52" s="10">
        <f t="shared" si="4"/>
        <v>34226.46</v>
      </c>
      <c r="AC52" s="10">
        <f t="shared" si="2"/>
        <v>2379.52</v>
      </c>
    </row>
    <row r="53" spans="1:29" x14ac:dyDescent="0.25">
      <c r="A53">
        <f t="shared" si="3"/>
        <v>52</v>
      </c>
      <c r="B53" s="9" t="s">
        <v>23</v>
      </c>
      <c r="E53" s="9" t="s">
        <v>23</v>
      </c>
      <c r="H53" s="9" t="s">
        <v>23</v>
      </c>
      <c r="I53" s="8">
        <f>133910.64+8016.19+594.23+2376.92+2971.15+13738.7+635.83+635.83</f>
        <v>162879.49000000002</v>
      </c>
      <c r="J53" s="8">
        <v>0</v>
      </c>
      <c r="K53" s="8">
        <v>3179.16</v>
      </c>
      <c r="L53" s="8">
        <v>845.72</v>
      </c>
      <c r="M53" s="8">
        <v>7629.98</v>
      </c>
      <c r="N53" s="8">
        <v>0</v>
      </c>
      <c r="O53" s="8">
        <v>0</v>
      </c>
      <c r="P53" s="8">
        <v>0</v>
      </c>
      <c r="Q53" s="8">
        <v>4917.8100000000004</v>
      </c>
      <c r="R53" s="8">
        <f t="shared" si="5"/>
        <v>179452.16000000003</v>
      </c>
      <c r="S53" s="8">
        <v>13113.6</v>
      </c>
      <c r="T53" s="8">
        <v>806.4</v>
      </c>
      <c r="U53" s="8">
        <v>702.48</v>
      </c>
      <c r="V53" s="8">
        <v>0</v>
      </c>
      <c r="W53" s="8">
        <v>0</v>
      </c>
      <c r="X53" s="8">
        <v>22803</v>
      </c>
      <c r="Y53" s="8">
        <v>615.84</v>
      </c>
      <c r="Z53" s="8">
        <v>303.36</v>
      </c>
      <c r="AA53" s="8">
        <v>0</v>
      </c>
      <c r="AB53" s="10">
        <f t="shared" si="4"/>
        <v>37234.92</v>
      </c>
      <c r="AC53" s="10">
        <f t="shared" si="2"/>
        <v>1109.76</v>
      </c>
    </row>
    <row r="54" spans="1:29" x14ac:dyDescent="0.25">
      <c r="A54">
        <f t="shared" si="3"/>
        <v>53</v>
      </c>
      <c r="F54" s="9" t="s">
        <v>23</v>
      </c>
      <c r="H54" s="9" t="s">
        <v>23</v>
      </c>
      <c r="I54" s="8">
        <f>39488.51+2348.4+183.12+915.6+2088.68+2511.03+183.12</f>
        <v>47718.460000000006</v>
      </c>
      <c r="J54" s="8">
        <v>323.7</v>
      </c>
      <c r="K54" s="8">
        <v>0</v>
      </c>
      <c r="L54" s="8">
        <v>218.94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f t="shared" si="5"/>
        <v>48261.100000000006</v>
      </c>
      <c r="S54" s="8">
        <v>13113.6</v>
      </c>
      <c r="T54" s="8">
        <v>806.4</v>
      </c>
      <c r="U54" s="8">
        <v>213</v>
      </c>
      <c r="V54" s="8">
        <v>0</v>
      </c>
      <c r="W54" s="8">
        <v>0</v>
      </c>
      <c r="X54" s="8">
        <v>6680.45</v>
      </c>
      <c r="Y54" s="8">
        <v>184.2</v>
      </c>
      <c r="Z54" s="8">
        <v>90.72</v>
      </c>
      <c r="AA54" s="8">
        <v>0</v>
      </c>
      <c r="AB54" s="10">
        <f t="shared" si="4"/>
        <v>20191.25</v>
      </c>
      <c r="AC54" s="10">
        <f t="shared" si="2"/>
        <v>897.12</v>
      </c>
    </row>
    <row r="55" spans="1:29" x14ac:dyDescent="0.25">
      <c r="A55">
        <f t="shared" si="3"/>
        <v>54</v>
      </c>
      <c r="F55" s="9" t="s">
        <v>23</v>
      </c>
      <c r="H55" s="9" t="s">
        <v>23</v>
      </c>
      <c r="I55" s="8">
        <f>60151.26+3125.28+234.72+1011.78+45.99</f>
        <v>64569.03</v>
      </c>
      <c r="J55" s="8">
        <v>9439.11</v>
      </c>
      <c r="K55" s="8">
        <v>1195.74</v>
      </c>
      <c r="L55" s="8">
        <v>218.94</v>
      </c>
      <c r="M55" s="8">
        <v>2652.09</v>
      </c>
      <c r="N55" s="8">
        <v>0</v>
      </c>
      <c r="O55" s="8">
        <v>0</v>
      </c>
      <c r="P55" s="8">
        <v>0</v>
      </c>
      <c r="Q55" s="8">
        <v>0</v>
      </c>
      <c r="R55" s="8">
        <f t="shared" si="5"/>
        <v>78074.91</v>
      </c>
      <c r="S55" s="8">
        <v>13113.6</v>
      </c>
      <c r="T55" s="8">
        <v>806.4</v>
      </c>
      <c r="U55" s="8">
        <v>280.92</v>
      </c>
      <c r="V55" s="8">
        <v>0</v>
      </c>
      <c r="W55" s="8">
        <v>0</v>
      </c>
      <c r="X55" s="8">
        <v>9039.6299999999992</v>
      </c>
      <c r="Y55" s="8">
        <v>243.24</v>
      </c>
      <c r="Z55" s="8">
        <v>119.88</v>
      </c>
      <c r="AA55" s="8">
        <v>0</v>
      </c>
      <c r="AB55" s="10">
        <f t="shared" si="4"/>
        <v>22677.390000000003</v>
      </c>
      <c r="AC55" s="10">
        <f t="shared" si="2"/>
        <v>926.28</v>
      </c>
    </row>
    <row r="56" spans="1:29" x14ac:dyDescent="0.25">
      <c r="A56">
        <f t="shared" si="3"/>
        <v>55</v>
      </c>
      <c r="B56" s="9" t="s">
        <v>23</v>
      </c>
      <c r="E56" s="9" t="s">
        <v>23</v>
      </c>
      <c r="H56" s="9" t="s">
        <v>23</v>
      </c>
      <c r="I56" s="8">
        <f>245748.39+15115.14+1188.83+5661.11+33740.23+4755.32+1188.83</f>
        <v>307397.85000000003</v>
      </c>
      <c r="J56" s="8">
        <v>0</v>
      </c>
      <c r="K56" s="8">
        <v>0</v>
      </c>
      <c r="L56" s="8">
        <v>853.6</v>
      </c>
      <c r="M56" s="8">
        <v>20210.14</v>
      </c>
      <c r="N56" s="8">
        <v>0</v>
      </c>
      <c r="O56" s="8">
        <v>0</v>
      </c>
      <c r="P56" s="8">
        <v>0</v>
      </c>
      <c r="Q56" s="8">
        <v>0</v>
      </c>
      <c r="R56" s="8">
        <f t="shared" si="5"/>
        <v>328461.59000000003</v>
      </c>
      <c r="S56" s="8">
        <v>13113.6</v>
      </c>
      <c r="T56" s="8">
        <v>806.4</v>
      </c>
      <c r="U56" s="8">
        <v>1337.04</v>
      </c>
      <c r="V56" s="8">
        <v>0</v>
      </c>
      <c r="W56" s="8">
        <v>0</v>
      </c>
      <c r="X56" s="8">
        <v>40600</v>
      </c>
      <c r="Y56" s="8">
        <v>1076.28</v>
      </c>
      <c r="Z56" s="8">
        <v>530.16</v>
      </c>
      <c r="AA56" s="11">
        <v>19500</v>
      </c>
      <c r="AB56" s="10">
        <f t="shared" si="4"/>
        <v>75626.92</v>
      </c>
      <c r="AC56" s="10">
        <f t="shared" si="2"/>
        <v>1336.56</v>
      </c>
    </row>
    <row r="57" spans="1:29" x14ac:dyDescent="0.25">
      <c r="A57">
        <f t="shared" si="3"/>
        <v>56</v>
      </c>
      <c r="F57" s="9" t="s">
        <v>23</v>
      </c>
      <c r="H57" s="9" t="s">
        <v>23</v>
      </c>
      <c r="I57" s="8">
        <f>54043.16+2953.65+224.78+2472.62+229.28+229.28</f>
        <v>60152.770000000004</v>
      </c>
      <c r="J57" s="8">
        <v>632.20000000000005</v>
      </c>
      <c r="K57" s="8">
        <v>0</v>
      </c>
      <c r="L57" s="8">
        <v>218.93</v>
      </c>
      <c r="M57" s="8">
        <v>1146.4000000000001</v>
      </c>
      <c r="N57" s="8">
        <v>0</v>
      </c>
      <c r="O57" s="8">
        <v>0</v>
      </c>
      <c r="P57" s="8">
        <v>0</v>
      </c>
      <c r="Q57" s="8">
        <v>0</v>
      </c>
      <c r="R57" s="8">
        <f t="shared" si="5"/>
        <v>62150.3</v>
      </c>
      <c r="S57" s="8">
        <v>13113.6</v>
      </c>
      <c r="T57" s="8">
        <v>806.4</v>
      </c>
      <c r="U57" s="8">
        <v>267.48</v>
      </c>
      <c r="V57" s="8">
        <v>0</v>
      </c>
      <c r="W57" s="8">
        <v>0</v>
      </c>
      <c r="X57" s="8">
        <v>8421.4599999999991</v>
      </c>
      <c r="Y57" s="8">
        <v>233.04</v>
      </c>
      <c r="Z57" s="8">
        <v>114.72</v>
      </c>
      <c r="AA57" s="8">
        <v>0</v>
      </c>
      <c r="AB57" s="10">
        <f t="shared" si="4"/>
        <v>22035.58</v>
      </c>
      <c r="AC57" s="10">
        <f t="shared" si="2"/>
        <v>921.12</v>
      </c>
    </row>
    <row r="58" spans="1:29" x14ac:dyDescent="0.25">
      <c r="A58">
        <f t="shared" si="3"/>
        <v>57</v>
      </c>
      <c r="C58" s="9" t="s">
        <v>23</v>
      </c>
      <c r="E58" s="9" t="s">
        <v>23</v>
      </c>
      <c r="H58" s="9" t="s">
        <v>23</v>
      </c>
      <c r="I58" s="8">
        <f>70484.61+3952.77+291.5+1457.52+3777.88+314.82</f>
        <v>80279.10000000002</v>
      </c>
      <c r="J58" s="8">
        <v>0</v>
      </c>
      <c r="K58" s="8">
        <v>0</v>
      </c>
      <c r="L58" s="8">
        <v>2574.7199999999998</v>
      </c>
      <c r="M58" s="8">
        <v>3148.24</v>
      </c>
      <c r="N58" s="8">
        <v>0</v>
      </c>
      <c r="O58" s="8">
        <v>0</v>
      </c>
      <c r="P58" s="8">
        <v>0</v>
      </c>
      <c r="Q58" s="8">
        <v>0</v>
      </c>
      <c r="R58" s="8">
        <f t="shared" si="5"/>
        <v>86002.060000000027</v>
      </c>
      <c r="S58" s="8">
        <v>13113.6</v>
      </c>
      <c r="T58" s="8">
        <v>806.4</v>
      </c>
      <c r="U58" s="8">
        <v>344.4</v>
      </c>
      <c r="V58" s="8">
        <v>0</v>
      </c>
      <c r="W58" s="8">
        <v>0</v>
      </c>
      <c r="X58" s="8">
        <v>11238.97</v>
      </c>
      <c r="Y58" s="8">
        <v>302.16000000000003</v>
      </c>
      <c r="Z58" s="8">
        <v>148.80000000000001</v>
      </c>
      <c r="AA58" s="8">
        <v>0</v>
      </c>
      <c r="AB58" s="10">
        <f t="shared" si="4"/>
        <v>24999.13</v>
      </c>
      <c r="AC58" s="10">
        <f t="shared" si="2"/>
        <v>955.2</v>
      </c>
    </row>
    <row r="59" spans="1:29" x14ac:dyDescent="0.25">
      <c r="A59">
        <f t="shared" si="3"/>
        <v>58</v>
      </c>
      <c r="F59" s="9" t="s">
        <v>23</v>
      </c>
      <c r="H59" s="9" t="s">
        <v>23</v>
      </c>
      <c r="I59" s="8">
        <f>58986.87+3168.72+252.38+2100.79+175.26+252.38</f>
        <v>64936.4</v>
      </c>
      <c r="J59" s="8">
        <v>4818.8500000000004</v>
      </c>
      <c r="K59" s="8">
        <v>0</v>
      </c>
      <c r="L59" s="8">
        <v>574.72</v>
      </c>
      <c r="M59" s="8">
        <v>473.21</v>
      </c>
      <c r="N59" s="8">
        <v>0</v>
      </c>
      <c r="O59" s="8">
        <v>0</v>
      </c>
      <c r="P59" s="8">
        <v>0</v>
      </c>
      <c r="Q59" s="8">
        <v>0</v>
      </c>
      <c r="R59" s="8">
        <f t="shared" si="5"/>
        <v>70803.180000000008</v>
      </c>
      <c r="S59" s="8">
        <v>13113.6</v>
      </c>
      <c r="T59" s="8">
        <v>806.4</v>
      </c>
      <c r="U59" s="8">
        <v>276.48</v>
      </c>
      <c r="V59" s="8">
        <v>0</v>
      </c>
      <c r="W59" s="8">
        <v>0</v>
      </c>
      <c r="X59" s="8">
        <v>9091.1200000000008</v>
      </c>
      <c r="Y59" s="8">
        <v>242.28</v>
      </c>
      <c r="Z59" s="8">
        <v>119.28</v>
      </c>
      <c r="AA59" s="8">
        <v>0</v>
      </c>
      <c r="AB59" s="10">
        <f t="shared" si="4"/>
        <v>22723.48</v>
      </c>
      <c r="AC59" s="10">
        <f t="shared" si="2"/>
        <v>925.68</v>
      </c>
    </row>
    <row r="60" spans="1:29" x14ac:dyDescent="0.25">
      <c r="A60">
        <f t="shared" si="3"/>
        <v>59</v>
      </c>
      <c r="B60" s="9" t="s">
        <v>23</v>
      </c>
      <c r="E60" s="9" t="s">
        <v>23</v>
      </c>
      <c r="H60" s="9" t="s">
        <v>23</v>
      </c>
      <c r="I60" s="8">
        <f>104544.77+5807.14+473.54+2076.96+3314.81+1420.62</f>
        <v>117637.84</v>
      </c>
      <c r="J60" s="8">
        <v>0</v>
      </c>
      <c r="K60" s="8">
        <v>0</v>
      </c>
      <c r="L60" s="8">
        <v>903.13</v>
      </c>
      <c r="M60" s="8">
        <v>0</v>
      </c>
      <c r="N60" s="8">
        <v>0</v>
      </c>
      <c r="O60" s="8">
        <v>0</v>
      </c>
      <c r="P60" s="8">
        <v>0</v>
      </c>
      <c r="Q60" s="8">
        <v>7127.21</v>
      </c>
      <c r="R60" s="8">
        <f t="shared" si="5"/>
        <v>125668.18000000001</v>
      </c>
      <c r="S60" s="8">
        <v>13113.6</v>
      </c>
      <c r="T60" s="8">
        <v>806.4</v>
      </c>
      <c r="U60" s="8">
        <v>489.48</v>
      </c>
      <c r="V60" s="8">
        <v>0</v>
      </c>
      <c r="W60" s="8">
        <v>0</v>
      </c>
      <c r="X60" s="8">
        <v>16469.27</v>
      </c>
      <c r="Y60" s="8">
        <v>430.56</v>
      </c>
      <c r="Z60" s="8">
        <v>212.04</v>
      </c>
      <c r="AA60" s="8">
        <v>0</v>
      </c>
      <c r="AB60" s="10">
        <f t="shared" si="4"/>
        <v>30502.91</v>
      </c>
      <c r="AC60" s="10">
        <f t="shared" si="2"/>
        <v>1018.4399999999999</v>
      </c>
    </row>
    <row r="61" spans="1:29" x14ac:dyDescent="0.25">
      <c r="A61">
        <f t="shared" si="3"/>
        <v>60</v>
      </c>
      <c r="C61" s="9" t="s">
        <v>23</v>
      </c>
      <c r="E61" s="9" t="s">
        <v>23</v>
      </c>
      <c r="H61" s="9" t="s">
        <v>23</v>
      </c>
      <c r="I61" s="8">
        <f>65948.59+3596.49+1387.41+1643.34+282.87+282.87</f>
        <v>73141.569999999992</v>
      </c>
      <c r="J61" s="8">
        <v>0</v>
      </c>
      <c r="K61" s="8">
        <v>1414.35</v>
      </c>
      <c r="L61" s="8">
        <v>574.72</v>
      </c>
      <c r="M61" s="8">
        <v>2828.72</v>
      </c>
      <c r="N61" s="8">
        <v>0</v>
      </c>
      <c r="O61" s="8">
        <v>0</v>
      </c>
      <c r="P61" s="8">
        <v>0</v>
      </c>
      <c r="Q61" s="8">
        <v>0</v>
      </c>
      <c r="R61" s="8">
        <f t="shared" si="5"/>
        <v>77959.360000000001</v>
      </c>
      <c r="S61" s="8">
        <v>13113.6</v>
      </c>
      <c r="T61" s="8">
        <v>806.4</v>
      </c>
      <c r="U61" s="8">
        <v>321.72000000000003</v>
      </c>
      <c r="V61" s="8">
        <v>0</v>
      </c>
      <c r="W61" s="8">
        <v>0</v>
      </c>
      <c r="X61" s="8">
        <v>10239.92</v>
      </c>
      <c r="Y61" s="8">
        <v>279.24</v>
      </c>
      <c r="Z61" s="8">
        <v>137.52000000000001</v>
      </c>
      <c r="AA61" s="8">
        <v>0</v>
      </c>
      <c r="AB61" s="10">
        <f t="shared" si="4"/>
        <v>23954.48</v>
      </c>
      <c r="AC61" s="10">
        <f t="shared" si="2"/>
        <v>943.92</v>
      </c>
    </row>
    <row r="62" spans="1:29" x14ac:dyDescent="0.25">
      <c r="A62">
        <f t="shared" si="3"/>
        <v>61</v>
      </c>
      <c r="F62" s="9" t="s">
        <v>23</v>
      </c>
      <c r="H62" s="9" t="s">
        <v>23</v>
      </c>
      <c r="I62" s="8">
        <f>27612.89+1922.16+462.96+1675.78+2550.18</f>
        <v>34223.969999999994</v>
      </c>
      <c r="J62" s="8">
        <v>257.86</v>
      </c>
      <c r="K62" s="8">
        <v>0</v>
      </c>
      <c r="L62" s="8">
        <v>218.93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f t="shared" si="5"/>
        <v>34700.759999999995</v>
      </c>
      <c r="S62" s="8">
        <v>13113.6</v>
      </c>
      <c r="T62" s="8">
        <v>806.4</v>
      </c>
      <c r="U62" s="8">
        <v>167.64</v>
      </c>
      <c r="V62" s="8">
        <v>0</v>
      </c>
      <c r="W62" s="8">
        <v>0</v>
      </c>
      <c r="X62" s="8">
        <v>4791.2299999999996</v>
      </c>
      <c r="Y62" s="8">
        <v>145.44</v>
      </c>
      <c r="Z62" s="8">
        <v>71.64</v>
      </c>
      <c r="AA62" s="8">
        <v>0</v>
      </c>
      <c r="AB62" s="10">
        <f t="shared" si="4"/>
        <v>18217.91</v>
      </c>
      <c r="AC62" s="10">
        <f t="shared" si="2"/>
        <v>878.04</v>
      </c>
    </row>
    <row r="63" spans="1:29" x14ac:dyDescent="0.25">
      <c r="A63">
        <f t="shared" si="3"/>
        <v>62</v>
      </c>
      <c r="F63" s="9" t="s">
        <v>23</v>
      </c>
      <c r="H63" s="9" t="s">
        <v>23</v>
      </c>
      <c r="I63" s="8">
        <f>52304.12+2831.44+1996.24+1077.44</f>
        <v>58209.240000000005</v>
      </c>
      <c r="J63" s="8">
        <v>3026.43</v>
      </c>
      <c r="K63" s="8">
        <v>0</v>
      </c>
      <c r="L63" s="8">
        <v>218.94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5"/>
        <v>61454.610000000008</v>
      </c>
      <c r="S63" s="8">
        <v>13113.6</v>
      </c>
      <c r="T63" s="8">
        <v>806.4</v>
      </c>
      <c r="U63" s="8">
        <v>249.24</v>
      </c>
      <c r="V63" s="8">
        <v>0</v>
      </c>
      <c r="W63" s="8">
        <v>0</v>
      </c>
      <c r="X63" s="8">
        <v>8149.21</v>
      </c>
      <c r="Y63" s="8">
        <v>216.48</v>
      </c>
      <c r="Z63" s="8">
        <v>106.56</v>
      </c>
      <c r="AA63" s="8">
        <v>0</v>
      </c>
      <c r="AB63" s="10">
        <f t="shared" si="4"/>
        <v>21728.53</v>
      </c>
      <c r="AC63" s="10">
        <f t="shared" si="2"/>
        <v>912.96</v>
      </c>
    </row>
    <row r="64" spans="1:29" x14ac:dyDescent="0.25">
      <c r="A64">
        <f t="shared" si="3"/>
        <v>63</v>
      </c>
      <c r="F64" s="9" t="s">
        <v>23</v>
      </c>
      <c r="H64" s="9" t="s">
        <v>23</v>
      </c>
      <c r="I64" s="8">
        <f>41534.28+2202.72+1425.72+591.36</f>
        <v>45754.080000000002</v>
      </c>
      <c r="J64" s="8">
        <v>0</v>
      </c>
      <c r="K64" s="8">
        <v>0</v>
      </c>
      <c r="L64" s="8">
        <v>218.93</v>
      </c>
      <c r="M64" s="8">
        <v>1538.16</v>
      </c>
      <c r="N64" s="8">
        <v>0</v>
      </c>
      <c r="O64" s="8">
        <v>0</v>
      </c>
      <c r="P64" s="8">
        <v>0</v>
      </c>
      <c r="Q64" s="8">
        <v>0</v>
      </c>
      <c r="R64" s="8">
        <f t="shared" si="5"/>
        <v>47511.170000000006</v>
      </c>
      <c r="S64" s="8">
        <v>13113.6</v>
      </c>
      <c r="T64" s="8">
        <v>806.4</v>
      </c>
      <c r="U64" s="8">
        <v>163.19999999999999</v>
      </c>
      <c r="V64" s="8">
        <v>0</v>
      </c>
      <c r="W64" s="8">
        <v>0</v>
      </c>
      <c r="X64" s="8">
        <v>6405.44</v>
      </c>
      <c r="Y64" s="8">
        <v>0</v>
      </c>
      <c r="Z64" s="8">
        <v>0</v>
      </c>
      <c r="AA64" s="8">
        <v>0</v>
      </c>
      <c r="AB64" s="10">
        <f t="shared" si="4"/>
        <v>19682.240000000002</v>
      </c>
      <c r="AC64" s="10">
        <f t="shared" si="2"/>
        <v>806.4</v>
      </c>
    </row>
    <row r="65" spans="1:30" x14ac:dyDescent="0.25">
      <c r="A65">
        <f t="shared" si="3"/>
        <v>64</v>
      </c>
      <c r="F65" s="9" t="s">
        <v>23</v>
      </c>
      <c r="G65" s="9" t="s">
        <v>23</v>
      </c>
      <c r="I65" s="8">
        <f>45934.27+3105.84+241.6+226.56+2218.78+794.72+1661.12</f>
        <v>54182.89</v>
      </c>
      <c r="J65" s="8">
        <f>39694.66+5703.37</f>
        <v>45398.030000000006</v>
      </c>
      <c r="K65" s="8">
        <v>0</v>
      </c>
      <c r="L65" s="8">
        <v>221.36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f t="shared" si="5"/>
        <v>99802.280000000013</v>
      </c>
      <c r="S65" s="8">
        <v>11687</v>
      </c>
      <c r="T65" s="8">
        <v>2233</v>
      </c>
      <c r="U65" s="8">
        <v>249.24</v>
      </c>
      <c r="V65" s="8">
        <v>13347.72</v>
      </c>
      <c r="W65" s="8">
        <v>2871.66</v>
      </c>
      <c r="X65" s="8">
        <v>0</v>
      </c>
      <c r="Y65" s="8">
        <v>219.12</v>
      </c>
      <c r="Z65" s="8">
        <v>108</v>
      </c>
      <c r="AA65" s="8">
        <v>0</v>
      </c>
      <c r="AB65" s="10">
        <f t="shared" si="4"/>
        <v>28374.739999999998</v>
      </c>
      <c r="AC65" s="10">
        <f t="shared" si="2"/>
        <v>2341</v>
      </c>
    </row>
    <row r="66" spans="1:30" x14ac:dyDescent="0.25">
      <c r="A66">
        <f t="shared" si="3"/>
        <v>65</v>
      </c>
      <c r="F66" s="9" t="s">
        <v>23</v>
      </c>
      <c r="G66" s="9" t="s">
        <v>23</v>
      </c>
      <c r="I66" s="8">
        <f>52145.85+10111.72+4174.4+302.08+349.83+315.2+1480.16+3790.96+1848.48</f>
        <v>74518.680000000008</v>
      </c>
      <c r="J66" s="8">
        <f>29059.54+8196.82+16343.38+4788.79</f>
        <v>58388.53</v>
      </c>
      <c r="K66" s="8">
        <v>0</v>
      </c>
      <c r="L66" s="8">
        <v>218.94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f t="shared" si="5"/>
        <v>133126.15000000002</v>
      </c>
      <c r="S66" s="8">
        <v>11687</v>
      </c>
      <c r="T66" s="8">
        <v>2233</v>
      </c>
      <c r="U66" s="8">
        <v>326.27999999999997</v>
      </c>
      <c r="V66" s="8">
        <v>17347.560000000001</v>
      </c>
      <c r="W66" s="8">
        <v>3707.66</v>
      </c>
      <c r="X66" s="8">
        <v>0</v>
      </c>
      <c r="Y66" s="8">
        <v>284.76</v>
      </c>
      <c r="Z66" s="8">
        <v>140.28</v>
      </c>
      <c r="AA66" s="8">
        <v>0</v>
      </c>
      <c r="AB66" s="10">
        <f t="shared" ref="AB66:AB74" si="6">+S66+U66+V66+W66+X66+Y66+AA66</f>
        <v>33353.26</v>
      </c>
      <c r="AC66" s="10">
        <f t="shared" si="2"/>
        <v>2373.2800000000002</v>
      </c>
    </row>
    <row r="67" spans="1:30" x14ac:dyDescent="0.25">
      <c r="A67">
        <f t="shared" si="3"/>
        <v>66</v>
      </c>
      <c r="F67" s="9" t="s">
        <v>23</v>
      </c>
      <c r="G67" s="9" t="s">
        <v>23</v>
      </c>
      <c r="I67" s="8">
        <f>48539.62+2915.32+2867.76+274.8+2433.22+2370.72+3493.88+1449.6</f>
        <v>64344.920000000006</v>
      </c>
      <c r="J67" s="8">
        <f>30338.2+5045.76+5363.75+3370.85</f>
        <v>44118.559999999998</v>
      </c>
      <c r="K67" s="8">
        <v>0</v>
      </c>
      <c r="L67" s="8">
        <v>218.96</v>
      </c>
      <c r="M67" s="8">
        <v>1752</v>
      </c>
      <c r="N67" s="8">
        <v>0</v>
      </c>
      <c r="O67" s="8">
        <v>0</v>
      </c>
      <c r="P67" s="8">
        <v>0</v>
      </c>
      <c r="Q67" s="8">
        <v>0</v>
      </c>
      <c r="R67" s="8">
        <f t="shared" ref="R67:R74" si="7">+SUM(I67:Q67)</f>
        <v>110434.44000000002</v>
      </c>
      <c r="S67" s="8">
        <v>11687</v>
      </c>
      <c r="T67" s="8">
        <v>2233</v>
      </c>
      <c r="U67" s="8">
        <v>285.60000000000002</v>
      </c>
      <c r="V67" s="8">
        <v>15251.76</v>
      </c>
      <c r="W67" s="8">
        <v>3278.64</v>
      </c>
      <c r="X67" s="8">
        <v>0</v>
      </c>
      <c r="Y67" s="8">
        <v>250.44</v>
      </c>
      <c r="Z67" s="8">
        <v>123.36</v>
      </c>
      <c r="AA67" s="8">
        <v>0</v>
      </c>
      <c r="AB67" s="10">
        <f t="shared" si="6"/>
        <v>30753.439999999999</v>
      </c>
      <c r="AC67" s="10">
        <f t="shared" ref="AC67:AC74" si="8">+T67+Z67</f>
        <v>2356.36</v>
      </c>
    </row>
    <row r="68" spans="1:30" x14ac:dyDescent="0.25">
      <c r="A68">
        <f t="shared" ref="A68:A74" si="9">+A67+1</f>
        <v>67</v>
      </c>
      <c r="E68" s="9" t="s">
        <v>23</v>
      </c>
      <c r="H68" s="9" t="s">
        <v>23</v>
      </c>
      <c r="I68" s="8">
        <f>63719.57+2739.76+339.08+1695.4+3729.88+1763.2</f>
        <v>73986.89</v>
      </c>
      <c r="J68" s="8">
        <v>0</v>
      </c>
      <c r="K68" s="8">
        <v>1057.92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f t="shared" si="7"/>
        <v>75044.81</v>
      </c>
      <c r="S68" s="8">
        <v>13113.6</v>
      </c>
      <c r="T68" s="8">
        <v>806.4</v>
      </c>
      <c r="U68" s="8">
        <v>317.3</v>
      </c>
      <c r="V68" s="8">
        <v>0</v>
      </c>
      <c r="W68" s="8">
        <v>0</v>
      </c>
      <c r="X68" s="8">
        <v>10358.049999999999</v>
      </c>
      <c r="Y68" s="8">
        <v>276.2</v>
      </c>
      <c r="Z68" s="8">
        <v>136.1</v>
      </c>
      <c r="AA68" s="8">
        <v>0</v>
      </c>
      <c r="AB68" s="10">
        <f t="shared" si="6"/>
        <v>24065.149999999998</v>
      </c>
      <c r="AC68" s="10">
        <f t="shared" si="8"/>
        <v>942.5</v>
      </c>
    </row>
    <row r="69" spans="1:30" x14ac:dyDescent="0.25">
      <c r="A69">
        <f t="shared" si="9"/>
        <v>68</v>
      </c>
      <c r="F69" s="9" t="s">
        <v>23</v>
      </c>
      <c r="H69" s="9" t="s">
        <v>23</v>
      </c>
      <c r="I69" s="8">
        <f>43666.36+3240.48+274.44+1790.88+823.32</f>
        <v>49795.48</v>
      </c>
      <c r="J69" s="8">
        <v>8745.73</v>
      </c>
      <c r="K69" s="8">
        <v>365.92</v>
      </c>
      <c r="L69" s="8">
        <v>218.95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f t="shared" si="7"/>
        <v>59126.080000000002</v>
      </c>
      <c r="S69" s="8">
        <v>13113.6</v>
      </c>
      <c r="T69" s="8">
        <v>806.4</v>
      </c>
      <c r="U69" s="8">
        <v>204</v>
      </c>
      <c r="V69" s="8">
        <v>0</v>
      </c>
      <c r="W69" s="8">
        <v>0</v>
      </c>
      <c r="X69" s="8">
        <v>6971.27</v>
      </c>
      <c r="Y69" s="8">
        <v>177</v>
      </c>
      <c r="Z69" s="8">
        <v>87.24</v>
      </c>
      <c r="AA69" s="8">
        <v>0</v>
      </c>
      <c r="AB69" s="10">
        <f t="shared" si="6"/>
        <v>20465.870000000003</v>
      </c>
      <c r="AC69" s="10">
        <f t="shared" si="8"/>
        <v>893.64</v>
      </c>
    </row>
    <row r="70" spans="1:30" x14ac:dyDescent="0.25">
      <c r="A70">
        <f t="shared" si="9"/>
        <v>69</v>
      </c>
      <c r="F70" s="9" t="s">
        <v>23</v>
      </c>
      <c r="H70" s="9" t="s">
        <v>23</v>
      </c>
      <c r="I70" s="8">
        <f>46417.2+2496.64+2037.92+1932.64</f>
        <v>52884.399999999994</v>
      </c>
      <c r="J70" s="8">
        <v>13515.6</v>
      </c>
      <c r="K70" s="8">
        <v>0</v>
      </c>
      <c r="L70" s="8">
        <v>219.15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f t="shared" si="7"/>
        <v>66619.149999999994</v>
      </c>
      <c r="S70" s="8">
        <v>13113.6</v>
      </c>
      <c r="T70" s="8">
        <v>806.4</v>
      </c>
      <c r="U70" s="8">
        <v>222.12</v>
      </c>
      <c r="V70" s="8">
        <v>0</v>
      </c>
      <c r="W70" s="8">
        <v>0</v>
      </c>
      <c r="X70" s="8">
        <v>5426.48</v>
      </c>
      <c r="Y70" s="8">
        <v>194.88</v>
      </c>
      <c r="Z70" s="8">
        <v>96</v>
      </c>
      <c r="AA70" s="8">
        <v>0</v>
      </c>
      <c r="AB70" s="10">
        <f t="shared" si="6"/>
        <v>18957.080000000002</v>
      </c>
      <c r="AC70" s="10">
        <f t="shared" si="8"/>
        <v>902.4</v>
      </c>
    </row>
    <row r="71" spans="1:30" x14ac:dyDescent="0.25">
      <c r="A71">
        <f t="shared" si="9"/>
        <v>70</v>
      </c>
      <c r="C71" s="9" t="s">
        <v>23</v>
      </c>
      <c r="E71" s="9" t="s">
        <v>23</v>
      </c>
      <c r="H71" s="9" t="s">
        <v>23</v>
      </c>
      <c r="I71" s="8">
        <f>70538.49+3423.08+384.62+1903.84+1153.85</f>
        <v>77403.88</v>
      </c>
      <c r="J71" s="8">
        <v>0</v>
      </c>
      <c r="K71" s="8">
        <v>0</v>
      </c>
      <c r="L71" s="8">
        <v>2574.7199999999998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f t="shared" si="7"/>
        <v>79978.600000000006</v>
      </c>
      <c r="S71" s="8">
        <v>8742.4</v>
      </c>
      <c r="T71" s="8">
        <v>537.6</v>
      </c>
      <c r="U71" s="8">
        <v>322.92</v>
      </c>
      <c r="V71" s="8">
        <v>0</v>
      </c>
      <c r="W71" s="8">
        <v>0</v>
      </c>
      <c r="X71" s="8">
        <v>10836.53</v>
      </c>
      <c r="Y71" s="8">
        <v>284.04000000000002</v>
      </c>
      <c r="Z71" s="8">
        <v>139.86000000000001</v>
      </c>
      <c r="AA71" s="8">
        <v>0</v>
      </c>
      <c r="AB71" s="10">
        <f t="shared" si="6"/>
        <v>20185.89</v>
      </c>
      <c r="AC71" s="10">
        <f t="shared" si="8"/>
        <v>677.46</v>
      </c>
      <c r="AD71" s="10"/>
    </row>
    <row r="72" spans="1:30" x14ac:dyDescent="0.25">
      <c r="A72">
        <f t="shared" si="9"/>
        <v>71</v>
      </c>
      <c r="F72" s="9" t="s">
        <v>23</v>
      </c>
      <c r="G72" s="9" t="s">
        <v>23</v>
      </c>
      <c r="I72" s="8">
        <f>40699.7+2276+733.68+994.62+261.92</f>
        <v>44965.919999999998</v>
      </c>
      <c r="J72" s="8">
        <f>35030.98+4247.74</f>
        <v>39278.720000000001</v>
      </c>
      <c r="K72" s="8">
        <v>0</v>
      </c>
      <c r="L72" s="8">
        <v>218.94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f t="shared" si="7"/>
        <v>84463.58</v>
      </c>
      <c r="S72" s="8">
        <v>7777.8</v>
      </c>
      <c r="T72" s="8">
        <v>1502.2</v>
      </c>
      <c r="U72" s="8">
        <v>214.2</v>
      </c>
      <c r="V72" s="8">
        <v>11438.82</v>
      </c>
      <c r="W72" s="8">
        <v>1037.44</v>
      </c>
      <c r="X72" s="8">
        <v>0</v>
      </c>
      <c r="Y72" s="8">
        <v>166.96</v>
      </c>
      <c r="Z72" s="8">
        <v>82.24</v>
      </c>
      <c r="AA72" s="8">
        <v>0</v>
      </c>
      <c r="AB72" s="10">
        <f t="shared" si="6"/>
        <v>20635.219999999998</v>
      </c>
      <c r="AC72" s="10">
        <f t="shared" si="8"/>
        <v>1584.44</v>
      </c>
      <c r="AD72" s="10"/>
    </row>
    <row r="73" spans="1:30" x14ac:dyDescent="0.25">
      <c r="A73">
        <f t="shared" si="9"/>
        <v>72</v>
      </c>
      <c r="F73" s="9" t="s">
        <v>23</v>
      </c>
      <c r="G73" s="9" t="s">
        <v>23</v>
      </c>
      <c r="I73" s="8">
        <f>42191.89+2276+241.6+677.08+1286.55+765.44</f>
        <v>47438.560000000005</v>
      </c>
      <c r="J73" s="8">
        <f>19395.31+3197.76</f>
        <v>22593.07</v>
      </c>
      <c r="K73" s="8">
        <v>0</v>
      </c>
      <c r="L73" s="8">
        <v>218.94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f t="shared" si="7"/>
        <v>70250.570000000007</v>
      </c>
      <c r="S73" s="8">
        <v>7777.8</v>
      </c>
      <c r="T73" s="8">
        <v>1502.2</v>
      </c>
      <c r="U73" s="8">
        <v>214.2</v>
      </c>
      <c r="V73" s="8">
        <v>11438.82</v>
      </c>
      <c r="W73" s="8">
        <v>1037.44</v>
      </c>
      <c r="X73" s="8">
        <v>0</v>
      </c>
      <c r="Y73" s="8">
        <v>187.83</v>
      </c>
      <c r="Z73" s="8">
        <v>92.52</v>
      </c>
      <c r="AA73" s="8">
        <v>0</v>
      </c>
      <c r="AB73" s="10">
        <f t="shared" si="6"/>
        <v>20656.09</v>
      </c>
      <c r="AC73" s="10">
        <f t="shared" si="8"/>
        <v>1594.72</v>
      </c>
      <c r="AD73" s="10"/>
    </row>
    <row r="74" spans="1:30" x14ac:dyDescent="0.25">
      <c r="A74">
        <f t="shared" si="9"/>
        <v>73</v>
      </c>
      <c r="E74" s="9" t="s">
        <v>23</v>
      </c>
      <c r="H74" s="9" t="s">
        <v>23</v>
      </c>
      <c r="I74" s="8">
        <f>1346.15+538.46</f>
        <v>1884.6100000000001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f t="shared" si="7"/>
        <v>1884.6100000000001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10">
        <f t="shared" si="6"/>
        <v>0</v>
      </c>
      <c r="AC74" s="10">
        <f t="shared" si="8"/>
        <v>0</v>
      </c>
    </row>
    <row r="78" spans="1:30" ht="48" x14ac:dyDescent="0.25">
      <c r="H78" s="17" t="s">
        <v>30</v>
      </c>
      <c r="I78" s="13" t="s">
        <v>8</v>
      </c>
      <c r="J78" s="13" t="s">
        <v>9</v>
      </c>
      <c r="K78" s="13" t="s">
        <v>10</v>
      </c>
      <c r="L78" s="14" t="s">
        <v>11</v>
      </c>
      <c r="M78" s="14" t="s">
        <v>12</v>
      </c>
      <c r="N78" s="14" t="s">
        <v>13</v>
      </c>
      <c r="O78" s="15" t="s">
        <v>27</v>
      </c>
      <c r="P78" s="15" t="s">
        <v>29</v>
      </c>
      <c r="Q78" s="15" t="s">
        <v>28</v>
      </c>
      <c r="R78" s="14" t="s">
        <v>14</v>
      </c>
      <c r="S78" s="15" t="s">
        <v>15</v>
      </c>
      <c r="T78" s="15" t="s">
        <v>16</v>
      </c>
      <c r="U78" s="15" t="s">
        <v>17</v>
      </c>
      <c r="V78" s="16" t="s">
        <v>18</v>
      </c>
      <c r="W78" s="16" t="s">
        <v>19</v>
      </c>
      <c r="X78" s="16" t="s">
        <v>24</v>
      </c>
      <c r="Y78" s="16" t="s">
        <v>20</v>
      </c>
      <c r="Z78" s="16" t="s">
        <v>21</v>
      </c>
      <c r="AA78" s="16" t="s">
        <v>22</v>
      </c>
      <c r="AB78" s="16" t="s">
        <v>25</v>
      </c>
      <c r="AC78" s="16" t="s">
        <v>26</v>
      </c>
    </row>
    <row r="79" spans="1:30" x14ac:dyDescent="0.25">
      <c r="H79" s="9" t="s">
        <v>1</v>
      </c>
      <c r="I79" s="8">
        <f>+SUMIF($B$2:$B$74,"X",I2:I74)</f>
        <v>773326.47000000009</v>
      </c>
      <c r="J79" s="8">
        <f>+SUMIF($B$2:$B$74,"X",J2:J74)</f>
        <v>0</v>
      </c>
      <c r="K79" s="8">
        <f>+SUMIF($B$2:$B$74,"X",K2:K74)</f>
        <v>30766.5</v>
      </c>
      <c r="L79" s="8">
        <f>+SUMIF($B$2:$B$74,"X",L2:L74)</f>
        <v>3448.1800000000003</v>
      </c>
      <c r="M79" s="8">
        <f>+SUMIF($B$2:$B$74,"X",M2:M74)</f>
        <v>33375.160000000003</v>
      </c>
      <c r="N79" s="8">
        <f>+SUMIF($B$2:$B$74,"X",N2:N74)</f>
        <v>0</v>
      </c>
      <c r="O79" s="8">
        <f>+SUMIF($B$2:$B$74,"X",O2:O74)</f>
        <v>0</v>
      </c>
      <c r="P79" s="8">
        <f>+SUMIF($B$2:$B$74,"X",P2:P74)</f>
        <v>13711.77</v>
      </c>
      <c r="Q79" s="8">
        <f>+SUMIF($B$2:$B$74,"X",Q2:Q74)</f>
        <v>16015.029999999999</v>
      </c>
      <c r="R79" s="8">
        <f>+SUMIF($B$2:$B$74,"X",R2:R74)</f>
        <v>870643.11000000022</v>
      </c>
      <c r="S79" s="8">
        <f>+SUMIF($B$2:$B$74,"X",S2:S74)</f>
        <v>55732.799999999996</v>
      </c>
      <c r="T79" s="8">
        <f>+SUMIF($B$2:$B$74,"X",T2:T74)</f>
        <v>3427.2000000000003</v>
      </c>
      <c r="U79" s="8">
        <f>+SUMIF($B$2:$B$74,"X",U2:U74)</f>
        <v>3154.06</v>
      </c>
      <c r="V79" s="8">
        <f>+SUMIF($B$2:$B$74,"X",V2:V74)</f>
        <v>0</v>
      </c>
      <c r="W79" s="8">
        <f>+SUMIF($B$2:$B$74,"X",W2:W74)</f>
        <v>0</v>
      </c>
      <c r="X79" s="8">
        <f>+SUMIF($B$2:$B$74,"X",X2:X74)</f>
        <v>100406.07</v>
      </c>
      <c r="Y79" s="8">
        <f>+SUMIF($B$2:$B$74,"X",Y2:Y74)</f>
        <v>2672.52</v>
      </c>
      <c r="Z79" s="8">
        <f>+SUMIF($B$2:$B$74,"X",Z2:Z74)</f>
        <v>1316.32</v>
      </c>
      <c r="AA79" s="8">
        <f>+SUMIF($B$2:$B$74,"X",AA2:AA74)</f>
        <v>19500</v>
      </c>
      <c r="AB79" s="8">
        <f>+SUMIF($B$2:$B$74,"X",AB2:AB74)</f>
        <v>181465.44999999998</v>
      </c>
      <c r="AC79" s="8">
        <f>+SUMIF($B$2:$B$74,"X",AC2:AC74)</f>
        <v>4743.5199999999995</v>
      </c>
    </row>
    <row r="80" spans="1:30" x14ac:dyDescent="0.25">
      <c r="H80" s="9" t="s">
        <v>2</v>
      </c>
      <c r="I80" s="8">
        <f>+SUMIF($C$2:$C$74,"X",I2:I74)</f>
        <v>528832.42000000004</v>
      </c>
      <c r="J80" s="8">
        <f>+SUMIF($C$2:$C$74,"X",J2:J74)</f>
        <v>1588.52</v>
      </c>
      <c r="K80" s="8">
        <f>+SUMIF($C$2:$C$74,"X",K2:K74)</f>
        <v>5645.15</v>
      </c>
      <c r="L80" s="8">
        <f>+SUMIF($C$2:$C$74,"X",L2:L74)</f>
        <v>7448.43</v>
      </c>
      <c r="M80" s="8">
        <f>+SUMIF($C$2:$C$74,"X",M2:M74)</f>
        <v>5976.9599999999991</v>
      </c>
      <c r="N80" s="8">
        <f>+SUMIF($C$2:$C$74,"X",N2:N74)</f>
        <v>437.97</v>
      </c>
      <c r="O80" s="8">
        <f>+SUMIF($C$2:$C$74,"X",O2:O74)</f>
        <v>0</v>
      </c>
      <c r="P80" s="8">
        <f>+SUMIF($C$2:$C$74,"X",P2:P74)</f>
        <v>0</v>
      </c>
      <c r="Q80" s="8">
        <f>+SUMIF($C$2:$C$74,"X",Q2:Q74)</f>
        <v>0</v>
      </c>
      <c r="R80" s="8">
        <f>+SUMIF($C$2:$C$74,"X",R2:R74)</f>
        <v>549929.45000000007</v>
      </c>
      <c r="S80" s="8">
        <f>+SUMIF($C$2:$C$74,"X",S2:S74)</f>
        <v>73966.799999999988</v>
      </c>
      <c r="T80" s="8">
        <f>+SUMIF($C$2:$C$74,"X",T2:T74)</f>
        <v>4913.2000000000007</v>
      </c>
      <c r="U80" s="8">
        <f>+SUMIF($C$2:$C$74,"X",U2:U74)</f>
        <v>2217.3599999999997</v>
      </c>
      <c r="V80" s="8">
        <f>+SUMIF($C$2:$C$74,"X",V2:V74)</f>
        <v>72617.759999999995</v>
      </c>
      <c r="W80" s="8">
        <f>+SUMIF($C$2:$C$74,"X",W2:W74)</f>
        <v>249.18</v>
      </c>
      <c r="X80" s="8">
        <f>+SUMIF($C$2:$C$74,"X",X2:X74)</f>
        <v>51518.74</v>
      </c>
      <c r="Y80" s="8">
        <f>+SUMIF($C$2:$C$74,"X",Y2:Y74)</f>
        <v>1939.6799999999998</v>
      </c>
      <c r="Z80" s="8">
        <f>+SUMIF($C$2:$C$74,"X",Z2:Z74)</f>
        <v>955.2600000000001</v>
      </c>
      <c r="AA80" s="8">
        <f>+SUMIF($C$2:$C$74,"X",AA2:AA74)</f>
        <v>0</v>
      </c>
      <c r="AB80" s="8">
        <f>+SUMIF($C$2:$C$74,"X",AB2:AB74)</f>
        <v>202509.52000000002</v>
      </c>
      <c r="AC80" s="8">
        <f>+SUMIF($C$2:$C$74,"X",AC2:AC74)</f>
        <v>5868.46</v>
      </c>
    </row>
    <row r="81" spans="8:29" ht="15.75" thickBot="1" x14ac:dyDescent="0.3">
      <c r="H81" s="9" t="s">
        <v>31</v>
      </c>
      <c r="I81" s="12">
        <f>+SUM(I79:I80)</f>
        <v>1302158.8900000001</v>
      </c>
      <c r="J81" s="12">
        <f t="shared" ref="J81:AC81" si="10">+SUM(J79:J80)</f>
        <v>1588.52</v>
      </c>
      <c r="K81" s="12">
        <f t="shared" si="10"/>
        <v>36411.65</v>
      </c>
      <c r="L81" s="12">
        <f t="shared" si="10"/>
        <v>10896.61</v>
      </c>
      <c r="M81" s="12">
        <f t="shared" si="10"/>
        <v>39352.120000000003</v>
      </c>
      <c r="N81" s="12">
        <f t="shared" si="10"/>
        <v>437.97</v>
      </c>
      <c r="O81" s="12">
        <f t="shared" si="10"/>
        <v>0</v>
      </c>
      <c r="P81" s="12">
        <f t="shared" si="10"/>
        <v>13711.77</v>
      </c>
      <c r="Q81" s="12">
        <f t="shared" si="10"/>
        <v>16015.029999999999</v>
      </c>
      <c r="R81" s="12">
        <f t="shared" si="10"/>
        <v>1420572.5600000003</v>
      </c>
      <c r="S81" s="12">
        <f t="shared" si="10"/>
        <v>129699.59999999998</v>
      </c>
      <c r="T81" s="12">
        <f t="shared" si="10"/>
        <v>8340.4000000000015</v>
      </c>
      <c r="U81" s="12">
        <f t="shared" si="10"/>
        <v>5371.42</v>
      </c>
      <c r="V81" s="12">
        <f t="shared" si="10"/>
        <v>72617.759999999995</v>
      </c>
      <c r="W81" s="12">
        <f t="shared" si="10"/>
        <v>249.18</v>
      </c>
      <c r="X81" s="12">
        <f t="shared" si="10"/>
        <v>151924.81</v>
      </c>
      <c r="Y81" s="12">
        <f t="shared" si="10"/>
        <v>4612.2</v>
      </c>
      <c r="Z81" s="12">
        <f t="shared" si="10"/>
        <v>2271.58</v>
      </c>
      <c r="AA81" s="12">
        <f t="shared" si="10"/>
        <v>19500</v>
      </c>
      <c r="AB81" s="12">
        <f t="shared" si="10"/>
        <v>383974.97</v>
      </c>
      <c r="AC81" s="12">
        <f t="shared" si="10"/>
        <v>10611.98</v>
      </c>
    </row>
    <row r="83" spans="8:29" x14ac:dyDescent="0.25">
      <c r="H83" s="9" t="s">
        <v>4</v>
      </c>
      <c r="I83" s="8">
        <f>+SUMIF($E$2:$E$74,"X",I2:I74)</f>
        <v>1495169.1000000003</v>
      </c>
      <c r="J83" s="8">
        <f>+SUMIF($E$2:$E$74,"X",J2:J74)</f>
        <v>1588.52</v>
      </c>
      <c r="K83" s="8">
        <f>+SUMIF($E$2:$E$74,"X",K2:K74)</f>
        <v>45279.889999999992</v>
      </c>
      <c r="L83" s="8">
        <f>+SUMIF($E$2:$E$74,"X",L2:L74)</f>
        <v>11115.74</v>
      </c>
      <c r="M83" s="8">
        <f>+SUMIF($E$2:$E$74,"X",M2:M74)</f>
        <v>41853.299999999996</v>
      </c>
      <c r="N83" s="8">
        <f>+SUMIF($E$2:$E$74,"X",N2:N74)</f>
        <v>437.97</v>
      </c>
      <c r="O83" s="8">
        <f>+SUMIF($E$2:$E$74,"X",O2:O74)</f>
        <v>0</v>
      </c>
      <c r="P83" s="8">
        <f>+SUMIF($E$2:$E$74,"X",P2:P74)</f>
        <v>13711.77</v>
      </c>
      <c r="Q83" s="8">
        <f>+SUMIF($E$2:$E$74,"X",Q2:Q74)</f>
        <v>16015.029999999999</v>
      </c>
      <c r="R83" s="8">
        <f>+SUMIF($E$2:$E$74,"X",R2:R74)</f>
        <v>1625171.3200000005</v>
      </c>
      <c r="S83" s="8">
        <f>+SUMIF($E$2:$E$74,"X",S2:S74)</f>
        <v>163576.40000000002</v>
      </c>
      <c r="T83" s="8">
        <f>+SUMIF($E$2:$E$74,"X",T2:T74)</f>
        <v>10423.599999999999</v>
      </c>
      <c r="U83" s="8">
        <f>+SUMIF($E$2:$E$74,"X",U2:U74)</f>
        <v>6201.65</v>
      </c>
      <c r="V83" s="8">
        <f>+SUMIF($E$2:$E$74,"X",V2:V74)</f>
        <v>100974.96</v>
      </c>
      <c r="W83" s="8">
        <f>+SUMIF($E$2:$E$74,"X",W2:W74)</f>
        <v>249.18</v>
      </c>
      <c r="X83" s="8">
        <f>+SUMIF($E$2:$E$74,"X",X2:X74)</f>
        <v>170559.49</v>
      </c>
      <c r="Y83" s="8">
        <f>+SUMIF($E$2:$E$74,"X",Y2:Y74)</f>
        <v>5334.77</v>
      </c>
      <c r="Z83" s="8">
        <f>+SUMIF($E$2:$E$74,"X",Z2:Z74)</f>
        <v>2627.61</v>
      </c>
      <c r="AA83" s="8">
        <f>+SUMIF($E$2:$E$74,"X",AA2:AA74)</f>
        <v>19500</v>
      </c>
      <c r="AB83" s="8">
        <f>+SUMIF($E$2:$E$74,"X",AB2:AB74)</f>
        <v>466396.45</v>
      </c>
      <c r="AC83" s="8">
        <f>+SUMIF($E$2:$E$74,"X",AC2:AC74)</f>
        <v>13051.210000000003</v>
      </c>
    </row>
    <row r="84" spans="8:29" x14ac:dyDescent="0.25">
      <c r="H84" s="9" t="s">
        <v>5</v>
      </c>
      <c r="I84" s="8">
        <f>+SUMIF($F$2:$F$74,"X",I2:I74)</f>
        <v>3667636.6099999994</v>
      </c>
      <c r="J84" s="8">
        <f>+SUMIF($F$2:$F$74,"X",J2:J74)</f>
        <v>1250943.98</v>
      </c>
      <c r="K84" s="8">
        <f>+SUMIF($F$2:$F$74,"X",K2:K74)</f>
        <v>47384.979999999989</v>
      </c>
      <c r="L84" s="8">
        <f>+SUMIF($F$2:$F$74,"X",L2:L74)</f>
        <v>12181.82</v>
      </c>
      <c r="M84" s="8">
        <f>+SUMIF($F$2:$F$74,"X",M2:M74)</f>
        <v>84462.930000000022</v>
      </c>
      <c r="N84" s="8">
        <f>+SUMIF($F$2:$F$74,"X",N2:N74)</f>
        <v>2957.3699999999994</v>
      </c>
      <c r="O84" s="8">
        <f>+SUMIF($F$2:$F$74,"X",O2:O74)</f>
        <v>3125</v>
      </c>
      <c r="P84" s="8">
        <f>+SUMIF($F$2:$F$74,"X",P2:P74)</f>
        <v>0</v>
      </c>
      <c r="Q84" s="8">
        <f>+SUMIF($F$2:$F$74,"X",Q2:Q74)</f>
        <v>0</v>
      </c>
      <c r="R84" s="8">
        <f>+SUMIF($F$2:$F$74,"X",R2:R74)</f>
        <v>5068692.6900000013</v>
      </c>
      <c r="S84" s="8">
        <f>+SUMIF($F$2:$F$74,"X",S2:S74)</f>
        <v>689238.19999999972</v>
      </c>
      <c r="T84" s="8">
        <f>+SUMIF($F$2:$F$74,"X",T2:T74)</f>
        <v>86801.799999999959</v>
      </c>
      <c r="U84" s="8">
        <f>+SUMIF($F$2:$F$74,"X",U2:U74)</f>
        <v>16326.020000000002</v>
      </c>
      <c r="V84" s="8">
        <f>+SUMIF($F$2:$F$74,"X",V2:V74)</f>
        <v>777459.3200000003</v>
      </c>
      <c r="W84" s="8">
        <f>+SUMIF($F$2:$F$74,"X",W2:W74)</f>
        <v>110502.87999999999</v>
      </c>
      <c r="X84" s="8">
        <f>+SUMIF($F$2:$F$74,"X",X2:X74)</f>
        <v>166198.35</v>
      </c>
      <c r="Y84" s="8">
        <f>+SUMIF($F$2:$F$74,"X",Y2:Y74)</f>
        <v>14090.210000000005</v>
      </c>
      <c r="Z84" s="8">
        <f>+SUMIF($F$2:$F$74,"X",Z2:Z74)</f>
        <v>6939.8099999999986</v>
      </c>
      <c r="AA84" s="8">
        <f>+SUMIF($F$2:$F$74,"X",AA2:AA74)</f>
        <v>0</v>
      </c>
      <c r="AB84" s="8">
        <f>+SUMIF($F$2:$F$74,"X",AB2:AB74)</f>
        <v>1773814.9800000002</v>
      </c>
      <c r="AC84" s="8">
        <f>+SUMIF($F$2:$F$74,"X",AC2:AC74)</f>
        <v>93741.609999999957</v>
      </c>
    </row>
    <row r="85" spans="8:29" ht="15.75" thickBot="1" x14ac:dyDescent="0.3">
      <c r="H85" s="9" t="s">
        <v>31</v>
      </c>
      <c r="I85" s="12">
        <f>+I83+I84</f>
        <v>5162805.71</v>
      </c>
      <c r="J85" s="12">
        <f t="shared" ref="J85:AC85" si="11">+J83+J84</f>
        <v>1252532.5</v>
      </c>
      <c r="K85" s="12">
        <f t="shared" si="11"/>
        <v>92664.869999999981</v>
      </c>
      <c r="L85" s="12">
        <f t="shared" si="11"/>
        <v>23297.559999999998</v>
      </c>
      <c r="M85" s="12">
        <f t="shared" si="11"/>
        <v>126316.23000000001</v>
      </c>
      <c r="N85" s="12">
        <f t="shared" si="11"/>
        <v>3395.3399999999992</v>
      </c>
      <c r="O85" s="12">
        <f t="shared" si="11"/>
        <v>3125</v>
      </c>
      <c r="P85" s="12">
        <f t="shared" si="11"/>
        <v>13711.77</v>
      </c>
      <c r="Q85" s="12">
        <f t="shared" si="11"/>
        <v>16015.029999999999</v>
      </c>
      <c r="R85" s="12">
        <f t="shared" si="11"/>
        <v>6693864.0100000016</v>
      </c>
      <c r="S85" s="12">
        <f t="shared" si="11"/>
        <v>852814.59999999974</v>
      </c>
      <c r="T85" s="12">
        <f t="shared" si="11"/>
        <v>97225.399999999965</v>
      </c>
      <c r="U85" s="12">
        <f t="shared" si="11"/>
        <v>22527.670000000002</v>
      </c>
      <c r="V85" s="12">
        <f t="shared" si="11"/>
        <v>878434.28000000026</v>
      </c>
      <c r="W85" s="12">
        <f t="shared" si="11"/>
        <v>110752.05999999998</v>
      </c>
      <c r="X85" s="12">
        <f t="shared" si="11"/>
        <v>336757.83999999997</v>
      </c>
      <c r="Y85" s="12">
        <f t="shared" si="11"/>
        <v>19424.980000000003</v>
      </c>
      <c r="Z85" s="12">
        <f t="shared" si="11"/>
        <v>9567.4199999999983</v>
      </c>
      <c r="AA85" s="12">
        <f t="shared" si="11"/>
        <v>19500</v>
      </c>
      <c r="AB85" s="12">
        <f t="shared" si="11"/>
        <v>2240211.4300000002</v>
      </c>
      <c r="AC85" s="12">
        <f t="shared" si="11"/>
        <v>106792.81999999996</v>
      </c>
    </row>
    <row r="86" spans="8:29" x14ac:dyDescent="0.25">
      <c r="AB86" s="8"/>
      <c r="AC86" s="8"/>
    </row>
    <row r="87" spans="8:29" x14ac:dyDescent="0.25">
      <c r="H87" s="9" t="s">
        <v>6</v>
      </c>
      <c r="I87" s="8">
        <f>+SUMIF($G$2:$G$74,"X",I2:I74)</f>
        <v>2204165.29</v>
      </c>
      <c r="J87" s="8">
        <f>+SUMIF($G$2:$G$74,"X",J2:J74)</f>
        <v>1105908.3199999998</v>
      </c>
      <c r="K87" s="8">
        <f>+SUMIF($G$2:$G$74,"X",K2:K74)</f>
        <v>18942.32</v>
      </c>
      <c r="L87" s="8">
        <f>+SUMIF($G$2:$G$74,"X",L2:L74)</f>
        <v>6133.4299999999976</v>
      </c>
      <c r="M87" s="8">
        <f>+SUMIF($G$2:$G$74,"X",M2:M74)</f>
        <v>49352.14</v>
      </c>
      <c r="N87" s="8">
        <f>+SUMIF($G$2:$G$74,"X",N2:N74)</f>
        <v>1260.5900000000001</v>
      </c>
      <c r="O87" s="8">
        <f>+SUMIF($G$2:$G$74,"X",O2:O74)</f>
        <v>2825</v>
      </c>
      <c r="P87" s="8">
        <f>+SUMIF($G$2:$G$74,"X",P2:P74)</f>
        <v>0</v>
      </c>
      <c r="Q87" s="8">
        <f>+SUMIF($G$2:$G$74,"X",Q2:Q74)</f>
        <v>0</v>
      </c>
      <c r="R87" s="8">
        <f>+SUMIF($G$2:$G$74,"X",R2:R74)</f>
        <v>3388587.0899999994</v>
      </c>
      <c r="S87" s="8">
        <f>+SUMIF($G$2:$G$74,"X",S2:S74)</f>
        <v>337937</v>
      </c>
      <c r="T87" s="8">
        <f>+SUMIF($G$2:$G$74,"X",T2:T74)</f>
        <v>64582.999999999993</v>
      </c>
      <c r="U87" s="8">
        <f>+SUMIF($G$2:$G$74,"X",U2:U74)</f>
        <v>9988.4600000000009</v>
      </c>
      <c r="V87" s="8">
        <f>+SUMIF($G$2:$G$74,"X",V2:V74)</f>
        <v>654522.30000000005</v>
      </c>
      <c r="W87" s="8">
        <f>+SUMIF($G$2:$G$74,"X",W2:W74)</f>
        <v>109347.28</v>
      </c>
      <c r="X87" s="8">
        <f>+SUMIF($G$2:$G$74,"X",X2:X74)</f>
        <v>0</v>
      </c>
      <c r="Y87" s="8">
        <f>+SUMIF($G$2:$G$74,"X",Y2:Y74)</f>
        <v>8713.3699999999972</v>
      </c>
      <c r="Z87" s="8">
        <f>+SUMIF($G$2:$G$74,"X",Z2:Z74)</f>
        <v>4291.5699999999988</v>
      </c>
      <c r="AA87" s="8">
        <f>+SUMIF($G$2:$G$74,"X",AA2:AA74)</f>
        <v>0</v>
      </c>
      <c r="AB87" s="8">
        <f>+SUMIF($G$2:$G$74,"X",AB2:AB74)</f>
        <v>1120508.4099999999</v>
      </c>
      <c r="AC87" s="8">
        <f>+SUMIF($G$2:$G$74,"X",AC2:AC74)</f>
        <v>68874.569999999978</v>
      </c>
    </row>
    <row r="88" spans="8:29" x14ac:dyDescent="0.25">
      <c r="H88" s="9" t="s">
        <v>7</v>
      </c>
      <c r="I88" s="8">
        <f>+SUMIF($H$2:$H$74,"X",I2:I74)</f>
        <v>2958640.42</v>
      </c>
      <c r="J88" s="8">
        <f>+SUMIF($H$2:$H$74,"X",J2:J74)</f>
        <v>146624.18</v>
      </c>
      <c r="K88" s="8">
        <f>+SUMIF($H$2:$H$74,"X",K2:K74)</f>
        <v>73722.55</v>
      </c>
      <c r="L88" s="8">
        <f>+SUMIF($H$2:$H$74,"X",L2:L74)</f>
        <v>17164.129999999997</v>
      </c>
      <c r="M88" s="8">
        <f>+SUMIF($H$2:$H$74,"X",M2:M74)</f>
        <v>76964.090000000011</v>
      </c>
      <c r="N88" s="8">
        <f>+SUMIF($H$2:$H$74,"X",N2:N74)</f>
        <v>2134.75</v>
      </c>
      <c r="O88" s="8">
        <f>+SUMIF($H$2:$H$74,"X",O2:O74)</f>
        <v>300</v>
      </c>
      <c r="P88" s="8">
        <f>+SUMIF($H$2:$H$74,"X",P2:P74)</f>
        <v>13711.77</v>
      </c>
      <c r="Q88" s="8">
        <f>+SUMIF($H$2:$H$74,"X",Q2:Q74)</f>
        <v>16015.029999999999</v>
      </c>
      <c r="R88" s="8">
        <f>+SUMIF($H$2:$H$74,"X",R2:R74)</f>
        <v>3305276.92</v>
      </c>
      <c r="S88" s="8">
        <f>+SUMIF($H$2:$H$74,"X",S2:S74)</f>
        <v>514877.59999999963</v>
      </c>
      <c r="T88" s="8">
        <f>+SUMIF($H$2:$H$74,"X",T2:T74)</f>
        <v>32642.400000000023</v>
      </c>
      <c r="U88" s="8">
        <f>+SUMIF($H$2:$H$74,"X",U2:U74)</f>
        <v>12539.209999999997</v>
      </c>
      <c r="V88" s="8">
        <f>+SUMIF($H$2:$H$74,"X",V2:V74)</f>
        <v>223911.98</v>
      </c>
      <c r="W88" s="8">
        <f>+SUMIF($H$2:$H$74,"X",W2:W74)</f>
        <v>1404.78</v>
      </c>
      <c r="X88" s="8">
        <f>+SUMIF($H$2:$H$74,"X",X2:X74)</f>
        <v>336757.84</v>
      </c>
      <c r="Y88" s="8">
        <f>+SUMIF($H$2:$H$74,"X",Y2:Y74)</f>
        <v>10711.61</v>
      </c>
      <c r="Z88" s="8">
        <f>+SUMIF($H$2:$H$74,"X",Z2:Z74)</f>
        <v>5275.85</v>
      </c>
      <c r="AA88" s="8">
        <f>+SUMIF($H$2:$H$74,"X",AA2:AA74)</f>
        <v>19500</v>
      </c>
      <c r="AB88" s="8">
        <f>+SUMIF($H$2:$H$74,"X",AB2:AB74)</f>
        <v>1119703.0200000003</v>
      </c>
      <c r="AC88" s="8">
        <f>+SUMIF($H$2:$H$74,"X",AC2:AC74)</f>
        <v>37918.249999999993</v>
      </c>
    </row>
    <row r="89" spans="8:29" ht="15.75" thickBot="1" x14ac:dyDescent="0.3">
      <c r="H89" s="9" t="s">
        <v>31</v>
      </c>
      <c r="I89" s="12">
        <f>+I87+I88</f>
        <v>5162805.71</v>
      </c>
      <c r="J89" s="12">
        <f t="shared" ref="J89:AC89" si="12">+J87+J88</f>
        <v>1252532.4999999998</v>
      </c>
      <c r="K89" s="12">
        <f t="shared" si="12"/>
        <v>92664.87</v>
      </c>
      <c r="L89" s="12">
        <f t="shared" si="12"/>
        <v>23297.559999999994</v>
      </c>
      <c r="M89" s="12">
        <f t="shared" si="12"/>
        <v>126316.23000000001</v>
      </c>
      <c r="N89" s="12">
        <f t="shared" si="12"/>
        <v>3395.34</v>
      </c>
      <c r="O89" s="12">
        <f t="shared" si="12"/>
        <v>3125</v>
      </c>
      <c r="P89" s="12">
        <f t="shared" si="12"/>
        <v>13711.77</v>
      </c>
      <c r="Q89" s="12">
        <f t="shared" si="12"/>
        <v>16015.029999999999</v>
      </c>
      <c r="R89" s="12">
        <f t="shared" si="12"/>
        <v>6693864.0099999998</v>
      </c>
      <c r="S89" s="12">
        <f t="shared" si="12"/>
        <v>852814.59999999963</v>
      </c>
      <c r="T89" s="12">
        <f t="shared" si="12"/>
        <v>97225.400000000023</v>
      </c>
      <c r="U89" s="12">
        <f t="shared" si="12"/>
        <v>22527.67</v>
      </c>
      <c r="V89" s="12">
        <f t="shared" si="12"/>
        <v>878434.28</v>
      </c>
      <c r="W89" s="12">
        <f t="shared" si="12"/>
        <v>110752.06</v>
      </c>
      <c r="X89" s="12">
        <f t="shared" si="12"/>
        <v>336757.84</v>
      </c>
      <c r="Y89" s="12">
        <f t="shared" si="12"/>
        <v>19424.979999999996</v>
      </c>
      <c r="Z89" s="12">
        <f t="shared" si="12"/>
        <v>9567.4199999999983</v>
      </c>
      <c r="AA89" s="12">
        <f t="shared" si="12"/>
        <v>19500</v>
      </c>
      <c r="AB89" s="12">
        <f t="shared" si="12"/>
        <v>2240211.4300000002</v>
      </c>
      <c r="AC89" s="12">
        <f t="shared" si="12"/>
        <v>106792.81999999998</v>
      </c>
    </row>
    <row r="92" spans="8:29" x14ac:dyDescent="0.25">
      <c r="AB92" s="8"/>
      <c r="AC92" s="8"/>
    </row>
  </sheetData>
  <autoFilter ref="A1:AC74" xr:uid="{713D6F93-451C-4540-9664-6C65187BE982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557C-7662-4BC8-971A-084ED44F3395}">
  <dimension ref="A1:AD94"/>
  <sheetViews>
    <sheetView zoomScaleNormal="100" workbookViewId="0">
      <pane ySplit="1" topLeftCell="A2" activePane="bottomLeft" state="frozen"/>
      <selection pane="bottomLeft" activeCell="L86" sqref="L86"/>
    </sheetView>
  </sheetViews>
  <sheetFormatPr defaultRowHeight="15" x14ac:dyDescent="0.25"/>
  <cols>
    <col min="1" max="1" width="9.5703125" bestFit="1" customWidth="1"/>
    <col min="2" max="2" width="15.42578125" style="9" customWidth="1"/>
    <col min="3" max="3" width="12.7109375" style="9" customWidth="1"/>
    <col min="4" max="4" width="14.42578125" style="9" customWidth="1"/>
    <col min="5" max="5" width="11.7109375" style="9" customWidth="1"/>
    <col min="6" max="6" width="15.42578125" style="9" customWidth="1"/>
    <col min="7" max="7" width="10.140625" style="9" customWidth="1"/>
    <col min="8" max="8" width="13.85546875" style="9" customWidth="1"/>
    <col min="9" max="9" width="14.28515625" style="8" customWidth="1"/>
    <col min="10" max="10" width="14.5703125" style="8" customWidth="1"/>
    <col min="11" max="11" width="14.7109375" style="8" customWidth="1"/>
    <col min="12" max="12" width="11.28515625" style="8" customWidth="1"/>
    <col min="13" max="13" width="15.140625" style="8" customWidth="1"/>
    <col min="14" max="14" width="10.140625" style="8" customWidth="1"/>
    <col min="15" max="17" width="16.140625" style="8" customWidth="1"/>
    <col min="18" max="18" width="14.7109375" style="8" customWidth="1"/>
    <col min="19" max="19" width="17.7109375" style="8" bestFit="1" customWidth="1"/>
    <col min="20" max="20" width="18" style="8" bestFit="1" customWidth="1"/>
    <col min="21" max="23" width="17.7109375" style="8" bestFit="1" customWidth="1"/>
    <col min="24" max="24" width="15.42578125" style="8" bestFit="1" customWidth="1"/>
    <col min="25" max="26" width="14" style="8" bestFit="1" customWidth="1"/>
    <col min="27" max="27" width="15.42578125" style="8" bestFit="1" customWidth="1"/>
    <col min="28" max="28" width="23.7109375" bestFit="1" customWidth="1"/>
    <col min="29" max="29" width="21" customWidth="1"/>
  </cols>
  <sheetData>
    <row r="1" spans="1:30" s="2" customFormat="1" ht="4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5" t="s">
        <v>27</v>
      </c>
      <c r="P1" s="5" t="s">
        <v>29</v>
      </c>
      <c r="Q1" s="5" t="s">
        <v>28</v>
      </c>
      <c r="R1" s="4" t="s">
        <v>14</v>
      </c>
      <c r="S1" s="5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24</v>
      </c>
      <c r="Y1" s="7" t="s">
        <v>20</v>
      </c>
      <c r="Z1" s="7" t="s">
        <v>21</v>
      </c>
      <c r="AA1" s="7" t="s">
        <v>22</v>
      </c>
      <c r="AB1" s="7" t="s">
        <v>25</v>
      </c>
      <c r="AC1" s="7" t="s">
        <v>26</v>
      </c>
    </row>
    <row r="2" spans="1:30" x14ac:dyDescent="0.25">
      <c r="A2">
        <v>1</v>
      </c>
      <c r="C2" s="9" t="s">
        <v>23</v>
      </c>
      <c r="E2" s="9" t="s">
        <v>23</v>
      </c>
      <c r="H2" s="9" t="s">
        <v>23</v>
      </c>
      <c r="I2" s="8">
        <f>95640.33+4490.19+449.02+2245.08+9429.37+4490.17</f>
        <v>116744.16</v>
      </c>
      <c r="J2" s="8">
        <v>0</v>
      </c>
      <c r="K2" s="8">
        <v>0</v>
      </c>
      <c r="L2" s="8">
        <v>4200.03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f>+SUM(I2:O2)</f>
        <v>120944.19</v>
      </c>
      <c r="S2" s="8">
        <v>13177.6</v>
      </c>
      <c r="T2" s="8">
        <v>822.4</v>
      </c>
      <c r="U2" s="8">
        <v>505.08</v>
      </c>
      <c r="V2" s="8">
        <v>43195.32</v>
      </c>
      <c r="W2" s="8">
        <v>0</v>
      </c>
      <c r="X2" s="8">
        <v>4669.6000000000004</v>
      </c>
      <c r="Y2" s="8">
        <v>456.96</v>
      </c>
      <c r="Z2" s="8">
        <v>225.12</v>
      </c>
      <c r="AA2" s="8">
        <v>0</v>
      </c>
      <c r="AB2" s="10">
        <f t="shared" ref="AB2:AB61" si="0">+S2+U2+V2+W2+X2+Y2+AA2</f>
        <v>62004.56</v>
      </c>
      <c r="AC2" s="10">
        <f>+T2+Z2</f>
        <v>1047.52</v>
      </c>
    </row>
    <row r="3" spans="1:30" x14ac:dyDescent="0.25">
      <c r="A3">
        <f>+A2+1</f>
        <v>2</v>
      </c>
      <c r="F3" s="9" t="s">
        <v>23</v>
      </c>
      <c r="G3" s="9" t="s">
        <v>23</v>
      </c>
      <c r="I3" s="8">
        <f>54095.27+2640+261.92+130.96+1004.42+7644.02+2515.01</f>
        <v>68291.599999999991</v>
      </c>
      <c r="J3" s="8">
        <v>7599.31</v>
      </c>
      <c r="K3" s="8">
        <v>0</v>
      </c>
      <c r="L3" s="8">
        <v>310.8</v>
      </c>
      <c r="M3" s="8">
        <v>0</v>
      </c>
      <c r="N3" s="8">
        <v>0</v>
      </c>
      <c r="O3" s="8">
        <v>300</v>
      </c>
      <c r="P3" s="8">
        <v>0</v>
      </c>
      <c r="Q3" s="8">
        <v>0</v>
      </c>
      <c r="R3" s="8">
        <f t="shared" ref="R3:R56" si="1">+SUM(I3:Q3)</f>
        <v>76501.709999999992</v>
      </c>
      <c r="S3" s="8">
        <v>11550</v>
      </c>
      <c r="T3" s="8">
        <v>2450</v>
      </c>
      <c r="U3" s="8">
        <v>297.95999999999998</v>
      </c>
      <c r="V3" s="8">
        <v>25196.639999999999</v>
      </c>
      <c r="W3" s="8">
        <v>3415.36</v>
      </c>
      <c r="X3" s="8">
        <v>0</v>
      </c>
      <c r="Y3" s="8">
        <v>266.64</v>
      </c>
      <c r="Z3" s="8">
        <v>131.28</v>
      </c>
      <c r="AA3" s="8">
        <v>0</v>
      </c>
      <c r="AB3" s="10">
        <f t="shared" si="0"/>
        <v>40726.6</v>
      </c>
      <c r="AC3" s="10">
        <f t="shared" ref="AC3:AC62" si="2">+T3+Z3</f>
        <v>2581.2800000000002</v>
      </c>
    </row>
    <row r="4" spans="1:30" x14ac:dyDescent="0.25">
      <c r="A4">
        <f t="shared" ref="A4:A65" si="3">+A3+1</f>
        <v>3</v>
      </c>
      <c r="F4" s="9" t="s">
        <v>23</v>
      </c>
      <c r="G4" s="9" t="s">
        <v>23</v>
      </c>
      <c r="I4" s="8">
        <f>66436.98+6608.17+3416+345.68+783.66+8221.52+338.88</f>
        <v>86150.89</v>
      </c>
      <c r="J4" s="8">
        <f>6671.7+2090.09+14248.86+5286.53+6928.52+2551.8</f>
        <v>37777.5</v>
      </c>
      <c r="K4" s="8">
        <v>7.35</v>
      </c>
      <c r="L4" s="8">
        <v>310.81</v>
      </c>
      <c r="M4" s="8">
        <v>4148.16</v>
      </c>
      <c r="N4" s="8">
        <v>0</v>
      </c>
      <c r="O4" s="8">
        <v>300</v>
      </c>
      <c r="P4" s="8">
        <v>0</v>
      </c>
      <c r="Q4" s="8">
        <v>0</v>
      </c>
      <c r="R4" s="8">
        <f t="shared" si="1"/>
        <v>128694.71</v>
      </c>
      <c r="S4" s="8">
        <v>11550</v>
      </c>
      <c r="T4" s="8">
        <v>2450</v>
      </c>
      <c r="U4" s="8">
        <v>384.24</v>
      </c>
      <c r="V4" s="8">
        <v>32599.919999999998</v>
      </c>
      <c r="W4" s="8">
        <v>4419.04</v>
      </c>
      <c r="X4" s="8">
        <v>0</v>
      </c>
      <c r="Y4" s="8">
        <v>344.88</v>
      </c>
      <c r="Z4" s="8">
        <v>169.92</v>
      </c>
      <c r="AA4" s="8">
        <v>0</v>
      </c>
      <c r="AB4" s="10">
        <f t="shared" si="0"/>
        <v>49298.079999999994</v>
      </c>
      <c r="AC4" s="10">
        <f t="shared" si="2"/>
        <v>2619.92</v>
      </c>
    </row>
    <row r="5" spans="1:30" x14ac:dyDescent="0.25">
      <c r="A5">
        <f t="shared" si="3"/>
        <v>4</v>
      </c>
      <c r="F5" s="9" t="s">
        <v>23</v>
      </c>
      <c r="G5" s="9" t="s">
        <v>23</v>
      </c>
      <c r="I5" s="8">
        <f>54906.62+2640+261.92+785.76+2654.54+5198.92+1843.84</f>
        <v>68291.600000000006</v>
      </c>
      <c r="J5" s="8">
        <v>11313.83</v>
      </c>
      <c r="K5" s="8">
        <v>1335.6</v>
      </c>
      <c r="L5" s="8">
        <v>310.8</v>
      </c>
      <c r="M5" s="8">
        <v>0</v>
      </c>
      <c r="N5" s="8">
        <v>0</v>
      </c>
      <c r="O5" s="8">
        <v>300</v>
      </c>
      <c r="P5" s="8">
        <v>0</v>
      </c>
      <c r="Q5" s="8">
        <v>0</v>
      </c>
      <c r="R5" s="8">
        <f t="shared" si="1"/>
        <v>81551.830000000016</v>
      </c>
      <c r="S5" s="8">
        <v>11550</v>
      </c>
      <c r="T5" s="8">
        <v>2450</v>
      </c>
      <c r="U5" s="8">
        <v>297.95999999999998</v>
      </c>
      <c r="V5" s="8">
        <v>25196.639999999999</v>
      </c>
      <c r="W5" s="8">
        <v>3415.36</v>
      </c>
      <c r="X5" s="8">
        <v>0</v>
      </c>
      <c r="Y5" s="8">
        <v>266.64</v>
      </c>
      <c r="Z5" s="8">
        <v>131.28</v>
      </c>
      <c r="AA5" s="8">
        <v>0</v>
      </c>
      <c r="AB5" s="10">
        <f t="shared" si="0"/>
        <v>40726.6</v>
      </c>
      <c r="AC5" s="10">
        <f t="shared" si="2"/>
        <v>2581.2800000000002</v>
      </c>
    </row>
    <row r="6" spans="1:30" x14ac:dyDescent="0.25">
      <c r="A6">
        <f t="shared" si="3"/>
        <v>5</v>
      </c>
      <c r="E6" s="9" t="s">
        <v>23</v>
      </c>
      <c r="H6" s="9" t="s">
        <v>23</v>
      </c>
      <c r="I6" s="8">
        <f>62492.79+3182.78+312.65+1563.25+10789.55+4130.11</f>
        <v>82471.13</v>
      </c>
      <c r="J6" s="8">
        <v>0</v>
      </c>
      <c r="K6" s="8">
        <v>0</v>
      </c>
      <c r="L6" s="8">
        <v>310.54000000000002</v>
      </c>
      <c r="M6" s="8">
        <v>322.02999999999997</v>
      </c>
      <c r="N6" s="8">
        <v>465.84</v>
      </c>
      <c r="O6" s="8">
        <v>0</v>
      </c>
      <c r="P6" s="8">
        <v>0</v>
      </c>
      <c r="Q6" s="8">
        <v>0</v>
      </c>
      <c r="R6" s="8">
        <f t="shared" si="1"/>
        <v>83569.539999999994</v>
      </c>
      <c r="S6" s="8">
        <v>13177.6</v>
      </c>
      <c r="T6" s="8">
        <v>822.4</v>
      </c>
      <c r="U6" s="8">
        <v>354</v>
      </c>
      <c r="V6" s="8">
        <v>30076.92</v>
      </c>
      <c r="W6" s="8">
        <v>0</v>
      </c>
      <c r="X6" s="8">
        <v>3298.93</v>
      </c>
      <c r="Y6" s="8">
        <v>318.24</v>
      </c>
      <c r="Z6" s="8">
        <v>156.72</v>
      </c>
      <c r="AA6" s="8">
        <v>0</v>
      </c>
      <c r="AB6" s="10">
        <f t="shared" si="0"/>
        <v>47225.689999999995</v>
      </c>
      <c r="AC6" s="10">
        <f t="shared" si="2"/>
        <v>979.12</v>
      </c>
    </row>
    <row r="7" spans="1:30" x14ac:dyDescent="0.25">
      <c r="A7">
        <f t="shared" si="3"/>
        <v>6</v>
      </c>
      <c r="F7" s="9" t="s">
        <v>23</v>
      </c>
      <c r="G7" s="9" t="s">
        <v>23</v>
      </c>
      <c r="I7" s="8">
        <f>55766.37+7524.61+4093.76+338.88+3293.95+8526.4+3748.08</f>
        <v>83292.05</v>
      </c>
      <c r="J7" s="8">
        <f>18183.38+1016.64+13733.64+4490.35+3439.45+7973.1</f>
        <v>48836.56</v>
      </c>
      <c r="K7" s="8">
        <v>0</v>
      </c>
      <c r="L7" s="8">
        <v>310.8</v>
      </c>
      <c r="M7" s="8">
        <v>0</v>
      </c>
      <c r="N7" s="8">
        <v>466.2</v>
      </c>
      <c r="O7" s="8">
        <v>300</v>
      </c>
      <c r="P7" s="8">
        <v>0</v>
      </c>
      <c r="Q7" s="8">
        <v>0</v>
      </c>
      <c r="R7" s="8">
        <f t="shared" si="1"/>
        <v>133205.60999999999</v>
      </c>
      <c r="S7" s="8">
        <v>11550</v>
      </c>
      <c r="T7" s="8">
        <v>2450</v>
      </c>
      <c r="U7" s="8">
        <v>384.24</v>
      </c>
      <c r="V7" s="8">
        <v>32599.919999999998</v>
      </c>
      <c r="W7" s="8">
        <v>4419.04</v>
      </c>
      <c r="X7" s="8">
        <v>0</v>
      </c>
      <c r="Y7" s="8">
        <v>344.88</v>
      </c>
      <c r="Z7" s="8">
        <v>169.92</v>
      </c>
      <c r="AA7" s="8">
        <v>0</v>
      </c>
      <c r="AB7" s="10">
        <f t="shared" si="0"/>
        <v>49298.079999999994</v>
      </c>
      <c r="AC7" s="10">
        <f t="shared" si="2"/>
        <v>2619.92</v>
      </c>
    </row>
    <row r="8" spans="1:30" x14ac:dyDescent="0.25">
      <c r="A8">
        <f t="shared" si="3"/>
        <v>7</v>
      </c>
      <c r="F8" s="9" t="s">
        <v>23</v>
      </c>
      <c r="G8" s="9" t="s">
        <v>23</v>
      </c>
      <c r="I8" s="8">
        <f>61957.8+8846.25+4107.36+3222.76+5483.28+3049.92</f>
        <v>86667.37</v>
      </c>
      <c r="J8" s="8">
        <f>4388.72+2983.05+18015.83+6982.76+3091.89+1111.95</f>
        <v>36574.199999999997</v>
      </c>
      <c r="K8" s="8">
        <v>3283.96</v>
      </c>
      <c r="L8" s="8">
        <v>310.77</v>
      </c>
      <c r="M8" s="8">
        <v>1037.04</v>
      </c>
      <c r="N8" s="8">
        <v>0</v>
      </c>
      <c r="O8" s="8">
        <v>0</v>
      </c>
      <c r="P8" s="8">
        <v>0</v>
      </c>
      <c r="Q8" s="8">
        <v>0</v>
      </c>
      <c r="R8" s="8">
        <f t="shared" si="1"/>
        <v>127873.34</v>
      </c>
      <c r="S8" s="8">
        <v>11550</v>
      </c>
      <c r="T8" s="8">
        <v>2450</v>
      </c>
      <c r="U8" s="8">
        <v>384.24</v>
      </c>
      <c r="V8" s="8">
        <v>32599.919999999998</v>
      </c>
      <c r="W8" s="8">
        <v>4419.04</v>
      </c>
      <c r="X8" s="8">
        <v>0</v>
      </c>
      <c r="Y8" s="8">
        <v>344.88</v>
      </c>
      <c r="Z8" s="8">
        <v>169.92</v>
      </c>
      <c r="AA8" s="8">
        <v>0</v>
      </c>
      <c r="AB8" s="10">
        <f t="shared" si="0"/>
        <v>49298.079999999994</v>
      </c>
      <c r="AC8" s="10">
        <f t="shared" si="2"/>
        <v>2619.92</v>
      </c>
    </row>
    <row r="9" spans="1:30" x14ac:dyDescent="0.25">
      <c r="A9">
        <f t="shared" si="3"/>
        <v>8</v>
      </c>
      <c r="F9" s="9" t="s">
        <v>23</v>
      </c>
      <c r="G9" s="9" t="s">
        <v>23</v>
      </c>
      <c r="I9" s="8">
        <f>24607.9+1848.48+308.08+1405.62+4834.6+10055.97+3696.96+1906.25</f>
        <v>48663.86</v>
      </c>
      <c r="J9" s="8">
        <f>3292.6+2869.23+25659.42+7159.41+635.42+2310.6+378.36+1008.96</f>
        <v>43314</v>
      </c>
      <c r="K9" s="8">
        <v>8895.81</v>
      </c>
      <c r="L9" s="8">
        <v>0</v>
      </c>
      <c r="M9" s="8">
        <v>9569.74</v>
      </c>
      <c r="N9" s="8">
        <v>854.04</v>
      </c>
      <c r="O9" s="8">
        <v>200</v>
      </c>
      <c r="P9" s="8">
        <v>0</v>
      </c>
      <c r="Q9" s="8">
        <v>0</v>
      </c>
      <c r="R9" s="8">
        <f t="shared" si="1"/>
        <v>111497.45</v>
      </c>
      <c r="S9" s="8">
        <v>9609.6</v>
      </c>
      <c r="T9" s="8">
        <v>2038.4</v>
      </c>
      <c r="U9" s="8">
        <v>233.12</v>
      </c>
      <c r="V9" s="8">
        <v>19758</v>
      </c>
      <c r="W9" s="8">
        <v>2541.66</v>
      </c>
      <c r="X9" s="8">
        <v>0</v>
      </c>
      <c r="Y9" s="8">
        <v>209.04</v>
      </c>
      <c r="Z9" s="8">
        <v>102.96</v>
      </c>
      <c r="AA9" s="8">
        <v>0</v>
      </c>
      <c r="AB9" s="10">
        <f t="shared" si="0"/>
        <v>32351.420000000002</v>
      </c>
      <c r="AC9" s="10">
        <f t="shared" si="2"/>
        <v>2141.36</v>
      </c>
    </row>
    <row r="10" spans="1:30" x14ac:dyDescent="0.25">
      <c r="A10">
        <f t="shared" si="3"/>
        <v>9</v>
      </c>
      <c r="F10" s="9" t="s">
        <v>23</v>
      </c>
      <c r="G10" s="9" t="s">
        <v>23</v>
      </c>
      <c r="I10" s="8">
        <f>62400.03+7128.26+3070.32+338.88+508.32+3800.57+7330.12+4066.56</f>
        <v>88643.060000000012</v>
      </c>
      <c r="J10" s="8">
        <f>8072.77+1275.9+7204.09+3548.67+2414.52+1016.64</f>
        <v>23532.59</v>
      </c>
      <c r="K10" s="8">
        <v>0</v>
      </c>
      <c r="L10" s="8">
        <v>311.22000000000003</v>
      </c>
      <c r="M10" s="8">
        <v>0</v>
      </c>
      <c r="N10" s="8">
        <v>0</v>
      </c>
      <c r="O10" s="8">
        <v>300</v>
      </c>
      <c r="P10" s="8">
        <v>0</v>
      </c>
      <c r="Q10" s="8">
        <v>0</v>
      </c>
      <c r="R10" s="8">
        <f t="shared" si="1"/>
        <v>112786.87000000001</v>
      </c>
      <c r="S10" s="8">
        <v>11550</v>
      </c>
      <c r="T10" s="8">
        <v>2450</v>
      </c>
      <c r="U10" s="8">
        <v>384.24</v>
      </c>
      <c r="V10" s="8">
        <v>32599.919999999998</v>
      </c>
      <c r="W10" s="8">
        <v>4419.04</v>
      </c>
      <c r="X10" s="8">
        <v>0</v>
      </c>
      <c r="Y10" s="8">
        <v>344.88</v>
      </c>
      <c r="Z10" s="8">
        <v>169.92</v>
      </c>
      <c r="AA10" s="8">
        <v>0</v>
      </c>
      <c r="AB10" s="10">
        <f t="shared" si="0"/>
        <v>49298.079999999994</v>
      </c>
      <c r="AC10" s="10">
        <f t="shared" si="2"/>
        <v>2619.92</v>
      </c>
    </row>
    <row r="11" spans="1:30" x14ac:dyDescent="0.25">
      <c r="A11">
        <f t="shared" si="3"/>
        <v>10</v>
      </c>
      <c r="F11" s="9" t="s">
        <v>23</v>
      </c>
      <c r="H11" s="9" t="s">
        <v>23</v>
      </c>
      <c r="I11" s="8">
        <f>46787.26+2151.65+211.36+5663.43+1363.54</f>
        <v>56177.240000000005</v>
      </c>
      <c r="J11" s="8">
        <v>2592.25</v>
      </c>
      <c r="K11" s="8">
        <v>0</v>
      </c>
      <c r="L11" s="8">
        <v>310.77999999999997</v>
      </c>
      <c r="M11" s="8">
        <v>1319.83</v>
      </c>
      <c r="N11" s="8">
        <v>0</v>
      </c>
      <c r="O11" s="8">
        <v>0</v>
      </c>
      <c r="P11" s="8">
        <v>0</v>
      </c>
      <c r="Q11" s="8">
        <v>0</v>
      </c>
      <c r="R11" s="8">
        <f t="shared" si="1"/>
        <v>60400.100000000006</v>
      </c>
      <c r="S11" s="8">
        <v>13177.6</v>
      </c>
      <c r="T11" s="8">
        <v>822.4</v>
      </c>
      <c r="U11" s="8">
        <v>237.48</v>
      </c>
      <c r="V11" s="8">
        <v>20332.560000000001</v>
      </c>
      <c r="W11" s="8">
        <v>0</v>
      </c>
      <c r="X11" s="8">
        <v>2247.0300000000002</v>
      </c>
      <c r="Y11" s="8">
        <v>215.04</v>
      </c>
      <c r="Z11" s="8">
        <v>105.96</v>
      </c>
      <c r="AA11" s="8">
        <v>0</v>
      </c>
      <c r="AB11" s="10">
        <f t="shared" si="0"/>
        <v>36209.71</v>
      </c>
      <c r="AC11" s="10">
        <f t="shared" si="2"/>
        <v>928.36</v>
      </c>
    </row>
    <row r="12" spans="1:30" x14ac:dyDescent="0.25">
      <c r="A12">
        <f t="shared" si="3"/>
        <v>11</v>
      </c>
      <c r="F12" s="9" t="s">
        <v>23</v>
      </c>
      <c r="G12" s="9" t="s">
        <v>23</v>
      </c>
      <c r="I12" s="8">
        <f>62832.91+7084.08+4093.76+345.68+4035.25+7869.04+1016.64</f>
        <v>87277.359999999986</v>
      </c>
      <c r="J12" s="8">
        <f>4225.41+4018.39+14123.44+6911.13+5502.59+508.32</f>
        <v>35289.279999999999</v>
      </c>
      <c r="K12" s="8">
        <v>0</v>
      </c>
      <c r="L12" s="8">
        <v>310.77999999999997</v>
      </c>
      <c r="M12" s="8">
        <v>3111.12</v>
      </c>
      <c r="N12" s="8">
        <v>388.51</v>
      </c>
      <c r="O12" s="8">
        <v>300</v>
      </c>
      <c r="P12" s="8">
        <v>0</v>
      </c>
      <c r="Q12" s="8">
        <v>0</v>
      </c>
      <c r="R12" s="8">
        <f t="shared" si="1"/>
        <v>126677.04999999997</v>
      </c>
      <c r="S12" s="8">
        <v>11550</v>
      </c>
      <c r="T12" s="8">
        <v>2450</v>
      </c>
      <c r="U12" s="8">
        <v>384.24</v>
      </c>
      <c r="V12" s="8">
        <v>32599.919999999998</v>
      </c>
      <c r="W12" s="8">
        <v>4419.04</v>
      </c>
      <c r="X12" s="8">
        <v>0</v>
      </c>
      <c r="Y12" s="8">
        <v>344.88</v>
      </c>
      <c r="Z12" s="8">
        <v>169.92</v>
      </c>
      <c r="AA12" s="8">
        <v>0</v>
      </c>
      <c r="AB12" s="10">
        <f t="shared" si="0"/>
        <v>49298.079999999994</v>
      </c>
      <c r="AC12" s="10">
        <f t="shared" si="2"/>
        <v>2619.92</v>
      </c>
    </row>
    <row r="13" spans="1:30" x14ac:dyDescent="0.25">
      <c r="A13">
        <f t="shared" si="3"/>
        <v>12</v>
      </c>
      <c r="F13" s="9" t="s">
        <v>23</v>
      </c>
      <c r="G13" s="9" t="s">
        <v>23</v>
      </c>
      <c r="I13" s="8">
        <f>53163.03+3105.44+3459.74+1576.5+7877.89+8040.88+930.4</f>
        <v>78153.88</v>
      </c>
      <c r="J13" s="8">
        <f>6393.44+2397.63+504.48+336.32+22790.17+3934.95+1732.95+1857.72+536.01</f>
        <v>40483.67</v>
      </c>
      <c r="K13" s="8">
        <v>0</v>
      </c>
      <c r="L13" s="8">
        <v>310.55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f t="shared" si="1"/>
        <v>118948.1</v>
      </c>
      <c r="S13" s="8">
        <v>11550</v>
      </c>
      <c r="T13" s="8">
        <v>2450</v>
      </c>
      <c r="U13" s="8">
        <v>349.68</v>
      </c>
      <c r="V13" s="8">
        <v>29637</v>
      </c>
      <c r="W13" s="8">
        <v>4017.36</v>
      </c>
      <c r="X13" s="8">
        <v>0</v>
      </c>
      <c r="Y13" s="8">
        <v>313.56</v>
      </c>
      <c r="Z13" s="8">
        <v>154.44</v>
      </c>
      <c r="AA13" s="8">
        <v>0</v>
      </c>
      <c r="AB13" s="10">
        <f t="shared" si="0"/>
        <v>45867.6</v>
      </c>
      <c r="AC13" s="10">
        <f t="shared" si="2"/>
        <v>2604.44</v>
      </c>
    </row>
    <row r="14" spans="1:30" x14ac:dyDescent="0.25">
      <c r="A14">
        <f t="shared" si="3"/>
        <v>13</v>
      </c>
      <c r="F14" s="9" t="s">
        <v>23</v>
      </c>
      <c r="H14" s="9" t="s">
        <v>23</v>
      </c>
      <c r="I14" s="8">
        <f>56525.61+2619.2+261.92+5925.94+2799.27</f>
        <v>68131.94</v>
      </c>
      <c r="J14" s="8">
        <v>1571.56</v>
      </c>
      <c r="K14" s="8">
        <v>622.05999999999995</v>
      </c>
      <c r="L14" s="8">
        <v>1864.81</v>
      </c>
      <c r="M14" s="8">
        <v>605.69000000000005</v>
      </c>
      <c r="N14" s="8">
        <v>0</v>
      </c>
      <c r="O14" s="8">
        <v>300</v>
      </c>
      <c r="P14" s="8">
        <v>0</v>
      </c>
      <c r="Q14" s="8">
        <v>0</v>
      </c>
      <c r="R14" s="8">
        <f t="shared" si="1"/>
        <v>73096.06</v>
      </c>
      <c r="S14" s="8">
        <v>13177.6</v>
      </c>
      <c r="T14" s="8">
        <v>822.4</v>
      </c>
      <c r="U14" s="8">
        <v>297.95999999999998</v>
      </c>
      <c r="V14" s="8">
        <v>25196.639999999999</v>
      </c>
      <c r="W14" s="11">
        <v>0</v>
      </c>
      <c r="X14" s="8">
        <v>2725.07</v>
      </c>
      <c r="Y14" s="8">
        <v>266.64</v>
      </c>
      <c r="Z14" s="8">
        <v>131.28</v>
      </c>
      <c r="AA14" s="8">
        <v>0</v>
      </c>
      <c r="AB14" s="10">
        <f t="shared" si="0"/>
        <v>41663.909999999996</v>
      </c>
      <c r="AC14" s="10">
        <f t="shared" si="2"/>
        <v>953.68</v>
      </c>
      <c r="AD14" s="10"/>
    </row>
    <row r="15" spans="1:30" x14ac:dyDescent="0.25">
      <c r="A15">
        <f t="shared" si="3"/>
        <v>14</v>
      </c>
      <c r="F15" s="9" t="s">
        <v>23</v>
      </c>
      <c r="G15" s="9" t="s">
        <v>23</v>
      </c>
      <c r="I15" s="8">
        <f>64186.52+9295.63+3761.68+338.88+4274.61+5252.64+677.76</f>
        <v>87787.719999999987</v>
      </c>
      <c r="J15" s="8">
        <f>6530.07+1319.11+14900.7+5037.71+6838.95+1535.16</f>
        <v>36161.700000000004</v>
      </c>
      <c r="K15" s="8">
        <v>0</v>
      </c>
      <c r="L15" s="8">
        <v>310.8</v>
      </c>
      <c r="M15" s="8">
        <v>3456.8</v>
      </c>
      <c r="N15" s="8">
        <v>0</v>
      </c>
      <c r="O15" s="8">
        <v>300</v>
      </c>
      <c r="P15" s="8">
        <v>0</v>
      </c>
      <c r="Q15" s="8">
        <v>0</v>
      </c>
      <c r="R15" s="8">
        <f t="shared" si="1"/>
        <v>128017.01999999999</v>
      </c>
      <c r="S15" s="8">
        <v>11550</v>
      </c>
      <c r="T15" s="8">
        <v>2450</v>
      </c>
      <c r="U15" s="8">
        <v>384.24</v>
      </c>
      <c r="V15" s="8">
        <v>32599.919999999998</v>
      </c>
      <c r="W15" s="8">
        <v>4419.04</v>
      </c>
      <c r="X15" s="8">
        <v>0</v>
      </c>
      <c r="Y15" s="8">
        <v>344.88</v>
      </c>
      <c r="Z15" s="8">
        <v>169.92</v>
      </c>
      <c r="AA15" s="8">
        <v>0</v>
      </c>
      <c r="AB15" s="10">
        <f t="shared" si="0"/>
        <v>49298.079999999994</v>
      </c>
      <c r="AC15" s="10">
        <f t="shared" si="2"/>
        <v>2619.92</v>
      </c>
    </row>
    <row r="16" spans="1:30" x14ac:dyDescent="0.25">
      <c r="A16">
        <f t="shared" si="3"/>
        <v>15</v>
      </c>
      <c r="F16" s="9" t="s">
        <v>23</v>
      </c>
      <c r="H16" s="9" t="s">
        <v>23</v>
      </c>
      <c r="I16" s="8">
        <f>44186.59+1979.26+384.32+3148.42+1593.73</f>
        <v>51292.32</v>
      </c>
      <c r="J16" s="8">
        <v>1235.83</v>
      </c>
      <c r="K16" s="8">
        <v>1924.63</v>
      </c>
      <c r="L16" s="8">
        <v>310.8</v>
      </c>
      <c r="M16" s="8">
        <v>781.85</v>
      </c>
      <c r="N16" s="8">
        <v>0</v>
      </c>
      <c r="O16" s="8">
        <v>0</v>
      </c>
      <c r="P16" s="8">
        <v>0</v>
      </c>
      <c r="Q16" s="8">
        <v>0</v>
      </c>
      <c r="R16" s="8">
        <f t="shared" si="1"/>
        <v>55545.43</v>
      </c>
      <c r="S16" s="8">
        <v>13177.6</v>
      </c>
      <c r="T16" s="8">
        <v>822.4</v>
      </c>
      <c r="U16" s="8">
        <v>215.88</v>
      </c>
      <c r="V16" s="8">
        <v>18385.68</v>
      </c>
      <c r="W16" s="8">
        <v>0</v>
      </c>
      <c r="X16" s="8">
        <v>2051.56</v>
      </c>
      <c r="Y16" s="8">
        <v>194.52</v>
      </c>
      <c r="Z16" s="8">
        <v>95.76</v>
      </c>
      <c r="AA16" s="8">
        <v>0</v>
      </c>
      <c r="AB16" s="10">
        <f t="shared" si="0"/>
        <v>34025.24</v>
      </c>
      <c r="AC16" s="10">
        <f t="shared" si="2"/>
        <v>918.16</v>
      </c>
    </row>
    <row r="17" spans="1:30" x14ac:dyDescent="0.25">
      <c r="A17">
        <f t="shared" si="3"/>
        <v>16</v>
      </c>
      <c r="F17" s="9" t="s">
        <v>23</v>
      </c>
      <c r="G17" s="9" t="s">
        <v>23</v>
      </c>
      <c r="I17" s="8">
        <f>48178.31+3413.52+616.16+311.16+636.96+8691.04+5246.59+9658.28+616.16+308.08</f>
        <v>77676.260000000009</v>
      </c>
      <c r="J17" s="8">
        <f>4477.39+2171.19+1072.6+336.32+23957.38+5777.5+3234.87+924.24+892.08+1008.96</f>
        <v>43852.530000000006</v>
      </c>
      <c r="K17" s="8">
        <v>0</v>
      </c>
      <c r="L17" s="8">
        <v>310.81</v>
      </c>
      <c r="M17" s="8">
        <v>1571.2</v>
      </c>
      <c r="N17" s="8">
        <v>0</v>
      </c>
      <c r="O17" s="8">
        <v>0</v>
      </c>
      <c r="P17" s="8">
        <v>0</v>
      </c>
      <c r="Q17" s="8">
        <v>0</v>
      </c>
      <c r="R17" s="8">
        <f t="shared" si="1"/>
        <v>123410.8</v>
      </c>
      <c r="S17" s="8">
        <v>11550</v>
      </c>
      <c r="T17" s="8">
        <v>2450</v>
      </c>
      <c r="U17" s="8">
        <v>349.68</v>
      </c>
      <c r="V17" s="8">
        <v>29637</v>
      </c>
      <c r="W17" s="8">
        <v>4017.36</v>
      </c>
      <c r="X17" s="8">
        <v>0</v>
      </c>
      <c r="Y17" s="8">
        <v>313.56</v>
      </c>
      <c r="Z17" s="8">
        <v>154.44</v>
      </c>
      <c r="AA17" s="8">
        <v>0</v>
      </c>
      <c r="AB17" s="10">
        <f t="shared" si="0"/>
        <v>45867.6</v>
      </c>
      <c r="AC17" s="10">
        <f t="shared" si="2"/>
        <v>2604.44</v>
      </c>
    </row>
    <row r="18" spans="1:30" x14ac:dyDescent="0.25">
      <c r="A18">
        <f t="shared" si="3"/>
        <v>17</v>
      </c>
      <c r="F18" s="9" t="s">
        <v>23</v>
      </c>
      <c r="H18" s="9" t="s">
        <v>23</v>
      </c>
      <c r="I18" s="8">
        <f>53841.57+3418.79+2091.1+1106.4</f>
        <v>60457.86</v>
      </c>
      <c r="J18" s="8">
        <v>16186.4</v>
      </c>
      <c r="K18" s="8">
        <v>2323.44</v>
      </c>
      <c r="L18" s="8">
        <v>310.8</v>
      </c>
      <c r="M18" s="8">
        <v>2323.44</v>
      </c>
      <c r="N18" s="8">
        <v>0</v>
      </c>
      <c r="O18" s="8">
        <v>0</v>
      </c>
      <c r="P18" s="8">
        <v>0</v>
      </c>
      <c r="Q18" s="8">
        <v>0</v>
      </c>
      <c r="R18" s="8">
        <f t="shared" si="1"/>
        <v>81601.94</v>
      </c>
      <c r="S18" s="8">
        <v>13177.6</v>
      </c>
      <c r="T18" s="8">
        <v>822.4</v>
      </c>
      <c r="U18" s="8">
        <v>250.44</v>
      </c>
      <c r="V18" s="8">
        <v>21286.799999999999</v>
      </c>
      <c r="W18" s="8">
        <v>0</v>
      </c>
      <c r="X18" s="8">
        <v>2418.38</v>
      </c>
      <c r="Y18" s="8">
        <v>225.24</v>
      </c>
      <c r="Z18" s="8">
        <v>110.88</v>
      </c>
      <c r="AA18" s="8">
        <v>0</v>
      </c>
      <c r="AB18" s="10">
        <f t="shared" si="0"/>
        <v>37358.459999999992</v>
      </c>
      <c r="AC18" s="10">
        <f t="shared" si="2"/>
        <v>933.28</v>
      </c>
    </row>
    <row r="19" spans="1:30" x14ac:dyDescent="0.25">
      <c r="A19">
        <f t="shared" si="3"/>
        <v>18</v>
      </c>
      <c r="F19" s="9" t="s">
        <v>23</v>
      </c>
      <c r="G19" s="9" t="s">
        <v>23</v>
      </c>
      <c r="I19" s="8">
        <f>66468.5+9691.97+3416+338.88+1491.1+338.88+6140.64+677.76</f>
        <v>88563.73000000001</v>
      </c>
      <c r="J19" s="8">
        <f>4701.96+1617.33+14703.17+6167.61+5289.12+508.32</f>
        <v>32987.51</v>
      </c>
      <c r="K19" s="8">
        <v>216.05</v>
      </c>
      <c r="L19" s="8">
        <v>311.23</v>
      </c>
      <c r="M19" s="8">
        <v>3456.8</v>
      </c>
      <c r="N19" s="8">
        <v>0</v>
      </c>
      <c r="O19" s="8">
        <v>0</v>
      </c>
      <c r="P19" s="8">
        <v>0</v>
      </c>
      <c r="Q19" s="8">
        <v>0</v>
      </c>
      <c r="R19" s="8">
        <f t="shared" si="1"/>
        <v>125535.32000000002</v>
      </c>
      <c r="S19" s="8">
        <v>11550</v>
      </c>
      <c r="T19" s="8">
        <v>2450</v>
      </c>
      <c r="U19" s="8">
        <v>384.24</v>
      </c>
      <c r="V19" s="8">
        <v>32599.919999999998</v>
      </c>
      <c r="W19" s="8">
        <v>4419.04</v>
      </c>
      <c r="X19" s="8">
        <v>0</v>
      </c>
      <c r="Y19" s="8">
        <v>344.88</v>
      </c>
      <c r="Z19" s="8">
        <v>169.92</v>
      </c>
      <c r="AA19" s="8">
        <v>0</v>
      </c>
      <c r="AB19" s="10">
        <f t="shared" si="0"/>
        <v>49298.079999999994</v>
      </c>
      <c r="AC19" s="10">
        <f t="shared" si="2"/>
        <v>2619.92</v>
      </c>
    </row>
    <row r="20" spans="1:30" x14ac:dyDescent="0.25">
      <c r="A20">
        <f t="shared" si="3"/>
        <v>19</v>
      </c>
      <c r="F20" s="9" t="s">
        <v>23</v>
      </c>
      <c r="G20" s="9" t="s">
        <v>23</v>
      </c>
      <c r="I20" s="8">
        <f>47761.63+4838.08+3413.52+308.08+3338.05+6067.16+8047.04+5089.48</f>
        <v>78863.039999999994</v>
      </c>
      <c r="J20" s="8">
        <f>3379.28+1771.46+15199.94+6082.66+819.79+1618.57+756.72</f>
        <v>29628.420000000002</v>
      </c>
      <c r="K20" s="8">
        <v>0</v>
      </c>
      <c r="L20" s="8">
        <v>310.82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1"/>
        <v>108802.28</v>
      </c>
      <c r="S20" s="8">
        <v>11550</v>
      </c>
      <c r="T20" s="8">
        <v>2450</v>
      </c>
      <c r="U20" s="8">
        <v>349.68</v>
      </c>
      <c r="V20" s="8">
        <v>29637</v>
      </c>
      <c r="W20" s="8">
        <v>4017.36</v>
      </c>
      <c r="X20" s="8">
        <v>0</v>
      </c>
      <c r="Y20" s="8">
        <v>313.56</v>
      </c>
      <c r="Z20" s="8">
        <v>154.44</v>
      </c>
      <c r="AA20" s="8">
        <v>0</v>
      </c>
      <c r="AB20" s="10">
        <f t="shared" si="0"/>
        <v>45867.6</v>
      </c>
      <c r="AC20" s="10">
        <f t="shared" si="2"/>
        <v>2604.44</v>
      </c>
    </row>
    <row r="21" spans="1:30" x14ac:dyDescent="0.25">
      <c r="A21">
        <f t="shared" si="3"/>
        <v>20</v>
      </c>
      <c r="F21" s="9" t="s">
        <v>23</v>
      </c>
      <c r="H21" s="9" t="s">
        <v>23</v>
      </c>
      <c r="I21" s="8">
        <f>37178.32+1700.7+172.73+3248.6+1236.07+664.32</f>
        <v>44200.74</v>
      </c>
      <c r="J21" s="8">
        <v>650.23</v>
      </c>
      <c r="K21" s="8">
        <v>6.69</v>
      </c>
      <c r="L21" s="8">
        <v>310.81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1"/>
        <v>45168.47</v>
      </c>
      <c r="S21" s="8">
        <v>13177.6</v>
      </c>
      <c r="T21" s="8">
        <v>822.4</v>
      </c>
      <c r="U21" s="8">
        <v>189.96</v>
      </c>
      <c r="V21" s="8">
        <v>0</v>
      </c>
      <c r="W21" s="8">
        <v>0</v>
      </c>
      <c r="X21" s="8">
        <v>6188.22</v>
      </c>
      <c r="Y21" s="8">
        <v>168.96</v>
      </c>
      <c r="Z21" s="8">
        <v>83.28</v>
      </c>
      <c r="AA21" s="8">
        <v>0</v>
      </c>
      <c r="AB21" s="10">
        <f t="shared" si="0"/>
        <v>19724.739999999998</v>
      </c>
      <c r="AC21" s="10">
        <f t="shared" si="2"/>
        <v>905.68</v>
      </c>
    </row>
    <row r="22" spans="1:30" x14ac:dyDescent="0.25">
      <c r="A22">
        <f t="shared" si="3"/>
        <v>21</v>
      </c>
      <c r="F22" s="9" t="s">
        <v>23</v>
      </c>
      <c r="H22" s="9" t="s">
        <v>23</v>
      </c>
      <c r="I22" s="8">
        <f>58769.53+2535.84+1302+3983.56</f>
        <v>66590.929999999993</v>
      </c>
      <c r="J22" s="8">
        <v>14451.04</v>
      </c>
      <c r="K22" s="8">
        <v>2262.23</v>
      </c>
      <c r="L22" s="8">
        <v>310.81</v>
      </c>
      <c r="M22" s="8">
        <v>3124.8</v>
      </c>
      <c r="N22" s="8">
        <v>0</v>
      </c>
      <c r="O22" s="8">
        <v>0</v>
      </c>
      <c r="P22" s="8">
        <v>0</v>
      </c>
      <c r="Q22" s="8">
        <v>0</v>
      </c>
      <c r="R22" s="8">
        <f t="shared" si="1"/>
        <v>86739.81</v>
      </c>
      <c r="S22" s="8">
        <v>13177.6</v>
      </c>
      <c r="T22" s="8">
        <v>822.4</v>
      </c>
      <c r="U22" s="8">
        <v>276.36</v>
      </c>
      <c r="V22" s="8">
        <v>23411.040000000001</v>
      </c>
      <c r="W22" s="8">
        <v>0</v>
      </c>
      <c r="X22" s="8">
        <v>2663.59</v>
      </c>
      <c r="Y22" s="8">
        <v>247.68</v>
      </c>
      <c r="Z22" s="8">
        <v>122.04</v>
      </c>
      <c r="AA22" s="8">
        <v>0</v>
      </c>
      <c r="AB22" s="10">
        <f t="shared" si="0"/>
        <v>39776.269999999997</v>
      </c>
      <c r="AC22" s="10">
        <f t="shared" si="2"/>
        <v>944.43999999999994</v>
      </c>
    </row>
    <row r="23" spans="1:30" x14ac:dyDescent="0.25">
      <c r="A23">
        <f t="shared" si="3"/>
        <v>22</v>
      </c>
      <c r="C23" s="9" t="s">
        <v>23</v>
      </c>
      <c r="E23" s="9" t="s">
        <v>23</v>
      </c>
      <c r="H23" s="9" t="s">
        <v>23</v>
      </c>
      <c r="I23" s="8">
        <f>105388.54+4484.61+423.08+2284.61+2750</f>
        <v>115330.84</v>
      </c>
      <c r="J23" s="8">
        <v>0</v>
      </c>
      <c r="K23" s="8">
        <v>4658.49</v>
      </c>
      <c r="L23" s="8">
        <v>310.77</v>
      </c>
      <c r="M23" s="8">
        <v>3325.17</v>
      </c>
      <c r="N23" s="8">
        <v>0</v>
      </c>
      <c r="O23" s="8">
        <v>0</v>
      </c>
      <c r="P23" s="8">
        <v>0</v>
      </c>
      <c r="Q23" s="8">
        <v>0</v>
      </c>
      <c r="R23" s="8">
        <f t="shared" si="1"/>
        <v>123625.27</v>
      </c>
      <c r="S23" s="8">
        <v>13177.6</v>
      </c>
      <c r="T23" s="8">
        <v>822.4</v>
      </c>
      <c r="U23" s="8">
        <v>474.96</v>
      </c>
      <c r="V23" s="8">
        <v>40700.04</v>
      </c>
      <c r="W23" s="8">
        <v>0</v>
      </c>
      <c r="X23" s="8">
        <v>4613.43</v>
      </c>
      <c r="Y23" s="8">
        <v>430.68</v>
      </c>
      <c r="Z23" s="8">
        <v>212.04</v>
      </c>
      <c r="AA23" s="8">
        <v>0</v>
      </c>
      <c r="AB23" s="10">
        <f t="shared" si="0"/>
        <v>59396.71</v>
      </c>
      <c r="AC23" s="10">
        <f t="shared" si="2"/>
        <v>1034.44</v>
      </c>
      <c r="AD23" s="10"/>
    </row>
    <row r="24" spans="1:30" x14ac:dyDescent="0.25">
      <c r="A24">
        <f t="shared" si="3"/>
        <v>23</v>
      </c>
      <c r="F24" s="9" t="s">
        <v>23</v>
      </c>
      <c r="G24" s="9" t="s">
        <v>23</v>
      </c>
      <c r="I24" s="8">
        <f>58549.02+3105.44+4531.86+7666.57+924.24</f>
        <v>74777.12999999999</v>
      </c>
      <c r="J24" s="8">
        <f>8023.01+308.08+1395.6</f>
        <v>9726.69</v>
      </c>
      <c r="K24" s="8">
        <v>0</v>
      </c>
      <c r="L24" s="8">
        <v>310.77999999999997</v>
      </c>
      <c r="M24" s="8">
        <v>0</v>
      </c>
      <c r="N24" s="8">
        <v>0</v>
      </c>
      <c r="O24" s="8">
        <v>300</v>
      </c>
      <c r="P24" s="8">
        <v>0</v>
      </c>
      <c r="Q24" s="8">
        <v>0</v>
      </c>
      <c r="R24" s="8">
        <f t="shared" si="1"/>
        <v>85114.599999999991</v>
      </c>
      <c r="S24" s="8">
        <v>11550</v>
      </c>
      <c r="T24" s="8">
        <v>2450</v>
      </c>
      <c r="U24" s="8">
        <v>349.68</v>
      </c>
      <c r="V24" s="8">
        <v>19095.84</v>
      </c>
      <c r="W24" s="8">
        <v>3801.71</v>
      </c>
      <c r="X24" s="8">
        <v>0</v>
      </c>
      <c r="Y24" s="8">
        <v>313.56</v>
      </c>
      <c r="Z24" s="8">
        <v>154.44</v>
      </c>
      <c r="AA24" s="8">
        <v>0</v>
      </c>
      <c r="AB24" s="10">
        <f t="shared" si="0"/>
        <v>35110.79</v>
      </c>
      <c r="AC24" s="10">
        <f t="shared" si="2"/>
        <v>2604.44</v>
      </c>
    </row>
    <row r="25" spans="1:30" x14ac:dyDescent="0.25">
      <c r="A25">
        <f t="shared" si="3"/>
        <v>24</v>
      </c>
      <c r="F25" s="9" t="s">
        <v>23</v>
      </c>
      <c r="H25" s="9" t="s">
        <v>23</v>
      </c>
      <c r="I25" s="8">
        <f>48483.97+2000.64+390.72+1813.12+1654.76</f>
        <v>54343.210000000006</v>
      </c>
      <c r="J25" s="8">
        <v>13585.48</v>
      </c>
      <c r="K25" s="8">
        <v>2032</v>
      </c>
      <c r="L25" s="8">
        <v>310.77999999999997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 t="shared" si="1"/>
        <v>70271.47</v>
      </c>
      <c r="S25" s="8">
        <v>13177.6</v>
      </c>
      <c r="T25" s="8">
        <v>822.4</v>
      </c>
      <c r="U25" s="8">
        <v>220.2</v>
      </c>
      <c r="V25" s="8">
        <v>0</v>
      </c>
      <c r="W25" s="8">
        <v>0</v>
      </c>
      <c r="X25" s="8">
        <v>7608</v>
      </c>
      <c r="Y25" s="8">
        <v>198.84</v>
      </c>
      <c r="Z25" s="8">
        <v>97.92</v>
      </c>
      <c r="AA25" s="8">
        <v>0</v>
      </c>
      <c r="AB25" s="10">
        <f t="shared" si="0"/>
        <v>21204.640000000003</v>
      </c>
      <c r="AC25" s="10">
        <f t="shared" si="2"/>
        <v>920.31999999999994</v>
      </c>
    </row>
    <row r="26" spans="1:30" x14ac:dyDescent="0.25">
      <c r="A26">
        <f t="shared" si="3"/>
        <v>25</v>
      </c>
      <c r="F26" s="9" t="s">
        <v>23</v>
      </c>
      <c r="H26" s="9" t="s">
        <v>23</v>
      </c>
      <c r="I26" s="8">
        <f>33375.49+1619.58+164.49+148.28+4430.49+2271.99</f>
        <v>42010.319999999992</v>
      </c>
      <c r="J26" s="8">
        <v>368.32</v>
      </c>
      <c r="K26" s="8">
        <v>2.4700000000000002</v>
      </c>
      <c r="L26" s="8">
        <v>310.8</v>
      </c>
      <c r="M26" s="8">
        <v>0</v>
      </c>
      <c r="N26" s="8">
        <v>233.11</v>
      </c>
      <c r="O26" s="8">
        <v>0</v>
      </c>
      <c r="P26" s="8">
        <v>0</v>
      </c>
      <c r="Q26" s="8">
        <v>0</v>
      </c>
      <c r="R26" s="8">
        <f t="shared" si="1"/>
        <v>42925.02</v>
      </c>
      <c r="S26" s="8">
        <v>13177.6</v>
      </c>
      <c r="T26" s="8">
        <v>822.4</v>
      </c>
      <c r="U26" s="8">
        <v>181.32</v>
      </c>
      <c r="V26" s="8">
        <v>0</v>
      </c>
      <c r="W26" s="8">
        <v>0</v>
      </c>
      <c r="X26" s="8">
        <v>5881.35</v>
      </c>
      <c r="Y26" s="8">
        <v>160.91999999999999</v>
      </c>
      <c r="Z26" s="8">
        <v>79.319999999999993</v>
      </c>
      <c r="AA26" s="8">
        <v>0</v>
      </c>
      <c r="AB26" s="10">
        <f t="shared" si="0"/>
        <v>19401.189999999999</v>
      </c>
      <c r="AC26" s="10">
        <f t="shared" si="2"/>
        <v>901.72</v>
      </c>
    </row>
    <row r="27" spans="1:30" x14ac:dyDescent="0.25">
      <c r="A27">
        <f t="shared" si="3"/>
        <v>26</v>
      </c>
      <c r="F27" s="9" t="s">
        <v>23</v>
      </c>
      <c r="G27" s="9" t="s">
        <v>23</v>
      </c>
      <c r="I27" s="8">
        <f>61377.95+6432.09+3105.44+314.24+1316.27+437.22+5255.84+1540.4</f>
        <v>79779.45</v>
      </c>
      <c r="J27" s="8">
        <f>3032.67+9048.94+4211.29+168.16+3095.07+924.24+378.36</f>
        <v>20858.730000000003</v>
      </c>
      <c r="K27" s="8">
        <v>0</v>
      </c>
      <c r="L27" s="8">
        <v>311.20999999999998</v>
      </c>
      <c r="M27" s="8">
        <v>2199.6799999999998</v>
      </c>
      <c r="N27" s="8">
        <v>233.41</v>
      </c>
      <c r="O27" s="8">
        <v>0</v>
      </c>
      <c r="P27" s="8">
        <v>0</v>
      </c>
      <c r="Q27" s="8">
        <v>0</v>
      </c>
      <c r="R27" s="8">
        <f t="shared" si="1"/>
        <v>103382.48</v>
      </c>
      <c r="S27" s="8">
        <v>11550</v>
      </c>
      <c r="T27" s="8">
        <v>2450</v>
      </c>
      <c r="U27" s="8">
        <v>349.68</v>
      </c>
      <c r="V27" s="8">
        <v>19095.84</v>
      </c>
      <c r="W27" s="8">
        <v>4017.36</v>
      </c>
      <c r="X27" s="8">
        <v>0</v>
      </c>
      <c r="Y27" s="8">
        <v>313.56</v>
      </c>
      <c r="Z27" s="8">
        <v>154.44</v>
      </c>
      <c r="AA27" s="8">
        <v>0</v>
      </c>
      <c r="AB27" s="10">
        <f t="shared" si="0"/>
        <v>35326.439999999995</v>
      </c>
      <c r="AC27" s="10">
        <f t="shared" si="2"/>
        <v>2604.44</v>
      </c>
    </row>
    <row r="28" spans="1:30" x14ac:dyDescent="0.25">
      <c r="A28">
        <f t="shared" si="3"/>
        <v>27</v>
      </c>
      <c r="F28" s="9" t="s">
        <v>23</v>
      </c>
      <c r="G28" s="9" t="s">
        <v>23</v>
      </c>
      <c r="I28" s="8">
        <f>55197.14+2640+261.92+1833.44+6165.52+2193.58</f>
        <v>68291.600000000006</v>
      </c>
      <c r="J28" s="8">
        <v>663.99</v>
      </c>
      <c r="K28" s="8">
        <v>404.02</v>
      </c>
      <c r="L28" s="8">
        <v>310.81</v>
      </c>
      <c r="M28" s="8">
        <v>968.31</v>
      </c>
      <c r="N28" s="8">
        <v>0</v>
      </c>
      <c r="O28" s="8">
        <v>0</v>
      </c>
      <c r="P28" s="8">
        <v>0</v>
      </c>
      <c r="Q28" s="8">
        <v>0</v>
      </c>
      <c r="R28" s="8">
        <f t="shared" si="1"/>
        <v>70638.73000000001</v>
      </c>
      <c r="S28" s="8">
        <v>11550</v>
      </c>
      <c r="T28" s="8">
        <v>2450</v>
      </c>
      <c r="U28" s="8">
        <v>297.95999999999998</v>
      </c>
      <c r="V28" s="8">
        <v>16234.8</v>
      </c>
      <c r="W28" s="8">
        <v>3415.36</v>
      </c>
      <c r="X28" s="8">
        <v>0</v>
      </c>
      <c r="Y28" s="8">
        <v>266.64</v>
      </c>
      <c r="Z28" s="8">
        <v>131.28</v>
      </c>
      <c r="AA28" s="8">
        <v>0</v>
      </c>
      <c r="AB28" s="10">
        <f t="shared" si="0"/>
        <v>31764.76</v>
      </c>
      <c r="AC28" s="10">
        <f t="shared" si="2"/>
        <v>2581.2800000000002</v>
      </c>
    </row>
    <row r="29" spans="1:30" x14ac:dyDescent="0.25">
      <c r="A29">
        <f t="shared" si="3"/>
        <v>28</v>
      </c>
      <c r="F29" s="9" t="s">
        <v>23</v>
      </c>
      <c r="G29" s="9" t="s">
        <v>23</v>
      </c>
      <c r="I29" s="8">
        <f>69401.4+7084.08+3754.88+338.88+550.68+5124+345.68+338.88</f>
        <v>86938.48</v>
      </c>
      <c r="J29" s="8">
        <f>14207.56+2179.06+13115.79+4810.81+4280.14+2033.28</f>
        <v>40626.639999999999</v>
      </c>
      <c r="K29" s="8">
        <v>1382.72</v>
      </c>
      <c r="L29" s="8">
        <v>310.8</v>
      </c>
      <c r="M29" s="8">
        <v>4148.16</v>
      </c>
      <c r="N29" s="8">
        <v>0</v>
      </c>
      <c r="O29" s="8">
        <v>0</v>
      </c>
      <c r="P29" s="8">
        <v>0</v>
      </c>
      <c r="Q29" s="8">
        <v>0</v>
      </c>
      <c r="R29" s="8">
        <f t="shared" si="1"/>
        <v>133406.79999999999</v>
      </c>
      <c r="S29" s="8">
        <v>11550</v>
      </c>
      <c r="T29" s="8">
        <v>2450</v>
      </c>
      <c r="U29" s="8">
        <v>384.24</v>
      </c>
      <c r="V29" s="8">
        <v>21004.92</v>
      </c>
      <c r="W29" s="8">
        <v>4419.04</v>
      </c>
      <c r="X29" s="8">
        <v>0</v>
      </c>
      <c r="Y29" s="8">
        <v>344.88</v>
      </c>
      <c r="Z29" s="8">
        <v>169.92</v>
      </c>
      <c r="AA29" s="8">
        <v>0</v>
      </c>
      <c r="AB29" s="10">
        <f t="shared" si="0"/>
        <v>37703.079999999994</v>
      </c>
      <c r="AC29" s="10">
        <f t="shared" si="2"/>
        <v>2619.92</v>
      </c>
    </row>
    <row r="30" spans="1:30" x14ac:dyDescent="0.25">
      <c r="A30">
        <f t="shared" si="3"/>
        <v>29</v>
      </c>
      <c r="F30" s="9" t="s">
        <v>23</v>
      </c>
      <c r="H30" s="9" t="s">
        <v>23</v>
      </c>
      <c r="I30" s="8">
        <f>42059.94+2032.88+592.08+4527.63+2612.63</f>
        <v>51825.159999999996</v>
      </c>
      <c r="J30" s="8">
        <v>651.32000000000005</v>
      </c>
      <c r="K30" s="8">
        <v>9.58</v>
      </c>
      <c r="L30" s="8">
        <v>310.8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 t="shared" si="1"/>
        <v>52796.86</v>
      </c>
      <c r="S30" s="8">
        <v>13177.6</v>
      </c>
      <c r="T30" s="8">
        <v>822.4</v>
      </c>
      <c r="U30" s="8">
        <v>224.52</v>
      </c>
      <c r="V30" s="8">
        <v>0</v>
      </c>
      <c r="W30" s="8">
        <v>0</v>
      </c>
      <c r="X30" s="8">
        <v>7255.52</v>
      </c>
      <c r="Y30" s="8">
        <v>200.88</v>
      </c>
      <c r="Z30" s="8">
        <v>98.88</v>
      </c>
      <c r="AA30" s="8">
        <v>0</v>
      </c>
      <c r="AB30" s="10">
        <f t="shared" si="0"/>
        <v>20858.52</v>
      </c>
      <c r="AC30" s="10">
        <f t="shared" si="2"/>
        <v>921.28</v>
      </c>
    </row>
    <row r="31" spans="1:30" x14ac:dyDescent="0.25">
      <c r="A31">
        <f t="shared" si="3"/>
        <v>30</v>
      </c>
      <c r="F31" s="9" t="s">
        <v>23</v>
      </c>
      <c r="H31" s="9" t="s">
        <v>23</v>
      </c>
      <c r="I31" s="8">
        <f>55570.5+3551.88+2663.91</f>
        <v>61786.289999999994</v>
      </c>
      <c r="J31" s="8">
        <v>11807.67</v>
      </c>
      <c r="K31" s="8">
        <v>2180.52</v>
      </c>
      <c r="L31" s="8">
        <v>310.81</v>
      </c>
      <c r="M31" s="8">
        <v>2665.08</v>
      </c>
      <c r="N31" s="8">
        <v>0</v>
      </c>
      <c r="O31" s="8">
        <v>0</v>
      </c>
      <c r="P31" s="8">
        <v>0</v>
      </c>
      <c r="Q31" s="8">
        <v>0</v>
      </c>
      <c r="R31" s="8">
        <f t="shared" si="1"/>
        <v>78750.37</v>
      </c>
      <c r="S31" s="8">
        <v>13177.6</v>
      </c>
      <c r="T31" s="8">
        <v>822.4</v>
      </c>
      <c r="U31" s="8">
        <v>259.08</v>
      </c>
      <c r="V31" s="8">
        <v>0</v>
      </c>
      <c r="W31" s="8">
        <v>0</v>
      </c>
      <c r="X31" s="8">
        <v>8650.1200000000008</v>
      </c>
      <c r="Y31" s="8">
        <v>232.68</v>
      </c>
      <c r="Z31" s="8">
        <v>114.6</v>
      </c>
      <c r="AA31" s="8">
        <v>0</v>
      </c>
      <c r="AB31" s="10">
        <f t="shared" si="0"/>
        <v>22319.480000000003</v>
      </c>
      <c r="AC31" s="10">
        <f t="shared" si="2"/>
        <v>937</v>
      </c>
    </row>
    <row r="32" spans="1:30" x14ac:dyDescent="0.25">
      <c r="A32">
        <f t="shared" si="3"/>
        <v>31</v>
      </c>
      <c r="F32" s="9" t="s">
        <v>23</v>
      </c>
      <c r="G32" s="9" t="s">
        <v>23</v>
      </c>
      <c r="I32" s="8">
        <f>47282.56+6223.82+3733.92+308.08+924.24+2899.03+5273.48+2420.71+5493.06+2785.04</f>
        <v>77343.939999999988</v>
      </c>
      <c r="J32" s="8">
        <f>9832.19+1818.44+14690.06+5697.15+3162.82+667.84+4064.93+5582.4+1969.3</f>
        <v>47485.130000000005</v>
      </c>
      <c r="K32" s="8">
        <v>0</v>
      </c>
      <c r="L32" s="8">
        <v>310.81</v>
      </c>
      <c r="M32" s="8">
        <v>746.32</v>
      </c>
      <c r="N32" s="8">
        <v>0</v>
      </c>
      <c r="O32" s="8">
        <v>0</v>
      </c>
      <c r="P32" s="8">
        <v>0</v>
      </c>
      <c r="Q32" s="8">
        <v>0</v>
      </c>
      <c r="R32" s="8">
        <f t="shared" si="1"/>
        <v>125886.2</v>
      </c>
      <c r="S32" s="8">
        <v>11550</v>
      </c>
      <c r="T32" s="8">
        <v>2450</v>
      </c>
      <c r="U32" s="8">
        <v>349.68</v>
      </c>
      <c r="V32" s="8">
        <v>19095.84</v>
      </c>
      <c r="W32" s="8">
        <v>4017.36</v>
      </c>
      <c r="X32" s="8">
        <v>0</v>
      </c>
      <c r="Y32" s="8">
        <v>313.56</v>
      </c>
      <c r="Z32" s="8">
        <v>154.44</v>
      </c>
      <c r="AA32" s="8">
        <v>0</v>
      </c>
      <c r="AB32" s="10">
        <f t="shared" si="0"/>
        <v>35326.439999999995</v>
      </c>
      <c r="AC32" s="10">
        <f t="shared" si="2"/>
        <v>2604.44</v>
      </c>
    </row>
    <row r="33" spans="1:29" x14ac:dyDescent="0.25">
      <c r="A33">
        <f t="shared" si="3"/>
        <v>32</v>
      </c>
      <c r="F33" s="9" t="s">
        <v>23</v>
      </c>
      <c r="H33" s="9" t="s">
        <v>23</v>
      </c>
      <c r="I33" s="8">
        <f>48931.42+2059.68+201.12+183.05+104.6+1659.98+156.91+201.12</f>
        <v>53497.880000000012</v>
      </c>
      <c r="J33" s="8">
        <v>886.19</v>
      </c>
      <c r="K33" s="8">
        <v>2011.2</v>
      </c>
      <c r="L33" s="8">
        <v>310.8</v>
      </c>
      <c r="M33" s="8">
        <v>2092</v>
      </c>
      <c r="N33" s="8">
        <v>0</v>
      </c>
      <c r="O33" s="8">
        <v>0</v>
      </c>
      <c r="P33" s="8">
        <v>0</v>
      </c>
      <c r="Q33" s="8">
        <v>0</v>
      </c>
      <c r="R33" s="8">
        <f t="shared" si="1"/>
        <v>58798.070000000014</v>
      </c>
      <c r="S33" s="8">
        <v>13177.6</v>
      </c>
      <c r="T33" s="8">
        <v>822.4</v>
      </c>
      <c r="U33" s="8">
        <v>228.84</v>
      </c>
      <c r="V33" s="8">
        <v>0</v>
      </c>
      <c r="W33" s="8">
        <v>0</v>
      </c>
      <c r="X33" s="8">
        <v>7489.6</v>
      </c>
      <c r="Y33" s="8">
        <v>204.72</v>
      </c>
      <c r="Z33" s="8">
        <v>100.8</v>
      </c>
      <c r="AA33" s="8">
        <v>0</v>
      </c>
      <c r="AB33" s="10">
        <f t="shared" si="0"/>
        <v>21100.760000000002</v>
      </c>
      <c r="AC33" s="10">
        <f t="shared" si="2"/>
        <v>923.19999999999993</v>
      </c>
    </row>
    <row r="34" spans="1:29" x14ac:dyDescent="0.25">
      <c r="A34">
        <f t="shared" si="3"/>
        <v>33</v>
      </c>
      <c r="F34" s="9" t="s">
        <v>23</v>
      </c>
      <c r="H34" s="9" t="s">
        <v>23</v>
      </c>
      <c r="I34" s="8">
        <f>34651.57+1580.64+154.8+90.14+154.8+2546.41+1670.42+154.8</f>
        <v>41003.58</v>
      </c>
      <c r="J34" s="8">
        <v>375.06</v>
      </c>
      <c r="K34" s="8">
        <v>260.39</v>
      </c>
      <c r="L34" s="8">
        <v>310.81</v>
      </c>
      <c r="M34" s="8">
        <v>410.62</v>
      </c>
      <c r="N34" s="8">
        <v>0</v>
      </c>
      <c r="O34" s="8">
        <v>0</v>
      </c>
      <c r="P34" s="8">
        <v>0</v>
      </c>
      <c r="Q34" s="8">
        <v>0</v>
      </c>
      <c r="R34" s="8">
        <f t="shared" si="1"/>
        <v>42360.46</v>
      </c>
      <c r="S34" s="8">
        <v>13177.6</v>
      </c>
      <c r="T34" s="8">
        <v>822.4</v>
      </c>
      <c r="U34" s="8">
        <v>177</v>
      </c>
      <c r="V34" s="8">
        <v>0</v>
      </c>
      <c r="W34" s="8">
        <v>0</v>
      </c>
      <c r="X34" s="8">
        <v>5740.53</v>
      </c>
      <c r="Y34" s="8">
        <v>157.56</v>
      </c>
      <c r="Z34" s="8">
        <v>77.52</v>
      </c>
      <c r="AA34" s="8">
        <v>0</v>
      </c>
      <c r="AB34" s="10">
        <f t="shared" si="0"/>
        <v>19252.690000000002</v>
      </c>
      <c r="AC34" s="10">
        <f t="shared" si="2"/>
        <v>899.92</v>
      </c>
    </row>
    <row r="35" spans="1:29" x14ac:dyDescent="0.25">
      <c r="A35">
        <f t="shared" si="3"/>
        <v>34</v>
      </c>
      <c r="F35" s="9" t="s">
        <v>23</v>
      </c>
      <c r="H35" s="9" t="s">
        <v>23</v>
      </c>
      <c r="I35" s="8">
        <f>73018.08+3408.1+340.81+639.02+5452.94+6134.55</f>
        <v>88993.500000000015</v>
      </c>
      <c r="J35" s="8">
        <v>734.85</v>
      </c>
      <c r="K35" s="8">
        <v>0</v>
      </c>
      <c r="L35" s="8">
        <v>310.81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1"/>
        <v>90039.160000000018</v>
      </c>
      <c r="S35" s="8">
        <v>13177.6</v>
      </c>
      <c r="T35" s="8">
        <v>822.4</v>
      </c>
      <c r="U35" s="8">
        <v>384.24</v>
      </c>
      <c r="V35" s="8">
        <v>0</v>
      </c>
      <c r="W35" s="8">
        <v>0</v>
      </c>
      <c r="X35" s="8">
        <v>12459.3</v>
      </c>
      <c r="Y35" s="8">
        <v>346.8</v>
      </c>
      <c r="Z35" s="8">
        <v>170.88</v>
      </c>
      <c r="AA35" s="8">
        <v>0</v>
      </c>
      <c r="AB35" s="10">
        <f t="shared" si="0"/>
        <v>26367.94</v>
      </c>
      <c r="AC35" s="10">
        <f t="shared" si="2"/>
        <v>993.28</v>
      </c>
    </row>
    <row r="36" spans="1:29" x14ac:dyDescent="0.25">
      <c r="A36">
        <f t="shared" si="3"/>
        <v>35</v>
      </c>
      <c r="F36" s="9" t="s">
        <v>23</v>
      </c>
      <c r="H36" s="9" t="s">
        <v>23</v>
      </c>
      <c r="I36" s="8">
        <f>50846.23+2180.7+1777.3+1454.22</f>
        <v>56258.450000000004</v>
      </c>
      <c r="J36" s="8">
        <v>0</v>
      </c>
      <c r="K36" s="8">
        <v>1539.51</v>
      </c>
      <c r="L36" s="8">
        <v>310.81</v>
      </c>
      <c r="M36" s="8">
        <v>643.79</v>
      </c>
      <c r="N36" s="8">
        <v>0</v>
      </c>
      <c r="O36" s="8">
        <v>0</v>
      </c>
      <c r="P36" s="8">
        <v>0</v>
      </c>
      <c r="Q36" s="8">
        <v>0</v>
      </c>
      <c r="R36" s="8">
        <f t="shared" si="1"/>
        <v>58752.560000000005</v>
      </c>
      <c r="S36" s="8">
        <v>13177.6</v>
      </c>
      <c r="T36" s="8">
        <v>822.4</v>
      </c>
      <c r="U36" s="8">
        <v>237.48</v>
      </c>
      <c r="V36" s="8">
        <v>0</v>
      </c>
      <c r="W36" s="8">
        <v>0</v>
      </c>
      <c r="X36" s="8">
        <v>7876.3</v>
      </c>
      <c r="Y36" s="8">
        <v>213</v>
      </c>
      <c r="Z36" s="8">
        <v>104.88</v>
      </c>
      <c r="AA36" s="8">
        <v>0</v>
      </c>
      <c r="AB36" s="10">
        <f t="shared" si="0"/>
        <v>21504.38</v>
      </c>
      <c r="AC36" s="10">
        <f t="shared" si="2"/>
        <v>927.28</v>
      </c>
    </row>
    <row r="37" spans="1:29" x14ac:dyDescent="0.25">
      <c r="A37">
        <f>+A36+1</f>
        <v>36</v>
      </c>
      <c r="C37" s="9" t="s">
        <v>23</v>
      </c>
      <c r="E37" s="9" t="s">
        <v>23</v>
      </c>
      <c r="H37" s="9" t="s">
        <v>23</v>
      </c>
      <c r="I37" s="8">
        <f>70364.19+3285.38+348.81+348.81+1490.64+5422.95+2638.44</f>
        <v>83899.22</v>
      </c>
      <c r="J37" s="8">
        <v>0</v>
      </c>
      <c r="K37" s="8">
        <v>3.49</v>
      </c>
      <c r="L37" s="8">
        <v>310.77999999999997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f t="shared" si="1"/>
        <v>84213.49</v>
      </c>
      <c r="S37" s="8">
        <v>13177.6</v>
      </c>
      <c r="T37" s="8">
        <v>822.4</v>
      </c>
      <c r="U37" s="8">
        <v>336.84</v>
      </c>
      <c r="V37" s="8">
        <v>0</v>
      </c>
      <c r="W37" s="8">
        <v>0</v>
      </c>
      <c r="X37" s="8">
        <v>11745.98</v>
      </c>
      <c r="Y37" s="8">
        <v>303.48</v>
      </c>
      <c r="Z37" s="8">
        <v>149.4</v>
      </c>
      <c r="AA37" s="8">
        <v>0</v>
      </c>
      <c r="AB37" s="10">
        <f t="shared" si="0"/>
        <v>25563.899999999998</v>
      </c>
      <c r="AC37" s="10">
        <f t="shared" si="2"/>
        <v>971.8</v>
      </c>
    </row>
    <row r="38" spans="1:29" x14ac:dyDescent="0.25">
      <c r="A38">
        <f t="shared" si="3"/>
        <v>37</v>
      </c>
      <c r="F38" s="9" t="s">
        <v>23</v>
      </c>
      <c r="G38" s="9" t="s">
        <v>23</v>
      </c>
      <c r="I38" s="8">
        <f>39932.55+5206.55+4029.68+308.08+1659.78+13294.5+1748.87+8028.56+4627.36</f>
        <v>78835.930000000008</v>
      </c>
      <c r="J38" s="8">
        <f>4596.38+924.24+9386.89+3904.92+1806.45+756.72+696.82+4128.48+732.7</f>
        <v>26933.600000000002</v>
      </c>
      <c r="K38" s="8">
        <v>0</v>
      </c>
      <c r="L38" s="8">
        <v>310.8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 t="shared" si="1"/>
        <v>106080.33000000002</v>
      </c>
      <c r="S38" s="8">
        <v>11550</v>
      </c>
      <c r="T38" s="8">
        <v>2450</v>
      </c>
      <c r="U38" s="8">
        <v>349.68</v>
      </c>
      <c r="V38" s="8">
        <v>19095.84</v>
      </c>
      <c r="W38" s="8">
        <v>3909.53</v>
      </c>
      <c r="X38" s="8">
        <v>0</v>
      </c>
      <c r="Y38" s="8">
        <v>313.56</v>
      </c>
      <c r="Z38" s="8">
        <v>154.44</v>
      </c>
      <c r="AA38" s="8">
        <v>0</v>
      </c>
      <c r="AB38" s="10">
        <f t="shared" si="0"/>
        <v>35218.61</v>
      </c>
      <c r="AC38" s="10">
        <f t="shared" si="2"/>
        <v>2604.44</v>
      </c>
    </row>
    <row r="39" spans="1:29" x14ac:dyDescent="0.25">
      <c r="A39">
        <f t="shared" si="3"/>
        <v>38</v>
      </c>
      <c r="F39" s="9" t="s">
        <v>23</v>
      </c>
      <c r="G39" s="9" t="s">
        <v>23</v>
      </c>
      <c r="I39" s="8">
        <f>52895.76+10445.15+3721.6+308.08+770.2+4166.78+3244.08+3163.98</f>
        <v>78715.63</v>
      </c>
      <c r="J39" s="8">
        <f>4899.62+1424.87+22359.52+5083.39+1858.3+462.12</f>
        <v>36087.820000000007</v>
      </c>
      <c r="K39" s="8">
        <v>0</v>
      </c>
      <c r="L39" s="8">
        <v>310.77999999999997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si="1"/>
        <v>115114.23000000001</v>
      </c>
      <c r="S39" s="8">
        <v>11550</v>
      </c>
      <c r="T39" s="8">
        <v>2450</v>
      </c>
      <c r="U39" s="8">
        <v>349.68</v>
      </c>
      <c r="V39" s="8">
        <v>19095.84</v>
      </c>
      <c r="W39" s="8">
        <v>4017.36</v>
      </c>
      <c r="X39" s="8">
        <v>0</v>
      </c>
      <c r="Y39" s="8">
        <v>313.56</v>
      </c>
      <c r="Z39" s="8">
        <v>154.44</v>
      </c>
      <c r="AA39" s="8">
        <v>0</v>
      </c>
      <c r="AB39" s="10">
        <f t="shared" si="0"/>
        <v>35326.439999999995</v>
      </c>
      <c r="AC39" s="10">
        <f t="shared" si="2"/>
        <v>2604.44</v>
      </c>
    </row>
    <row r="40" spans="1:29" x14ac:dyDescent="0.25">
      <c r="A40">
        <f t="shared" si="3"/>
        <v>39</v>
      </c>
      <c r="F40" s="9" t="s">
        <v>23</v>
      </c>
      <c r="G40" s="9" t="s">
        <v>23</v>
      </c>
      <c r="I40" s="8">
        <f>52170.25+9291.67+3105.44+308.08+3003.79+2288.64+874.43+4485.64+2772.72</f>
        <v>78300.659999999989</v>
      </c>
      <c r="J40" s="8">
        <f>12602.05+3059.23+15690.31+4745.96+1522.68+256.86+1311.66+5340.39+4216.85+1261.2</f>
        <v>50007.189999999995</v>
      </c>
      <c r="K40" s="8">
        <v>73.06</v>
      </c>
      <c r="L40" s="8">
        <v>310.8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1"/>
        <v>128691.70999999998</v>
      </c>
      <c r="S40" s="8">
        <v>11550</v>
      </c>
      <c r="T40" s="8">
        <v>2450</v>
      </c>
      <c r="U40" s="8">
        <v>349.68</v>
      </c>
      <c r="V40" s="8">
        <v>19095.84</v>
      </c>
      <c r="W40" s="8">
        <v>4017.36</v>
      </c>
      <c r="X40" s="8">
        <v>0</v>
      </c>
      <c r="Y40" s="8">
        <v>313.56</v>
      </c>
      <c r="Z40" s="8">
        <v>154.44</v>
      </c>
      <c r="AA40" s="8">
        <v>0</v>
      </c>
      <c r="AB40" s="10">
        <f t="shared" si="0"/>
        <v>35326.439999999995</v>
      </c>
      <c r="AC40" s="10">
        <f t="shared" si="2"/>
        <v>2604.44</v>
      </c>
    </row>
    <row r="41" spans="1:29" x14ac:dyDescent="0.25">
      <c r="A41">
        <f t="shared" si="3"/>
        <v>40</v>
      </c>
      <c r="F41" s="9" t="s">
        <v>23</v>
      </c>
      <c r="H41" s="9" t="s">
        <v>23</v>
      </c>
      <c r="I41" s="8">
        <f>35791.92+1640.06+160.16+3490.31+1542.34</f>
        <v>42624.789999999994</v>
      </c>
      <c r="J41" s="8">
        <v>568.20000000000005</v>
      </c>
      <c r="K41" s="8">
        <v>437.87</v>
      </c>
      <c r="L41" s="8">
        <v>310.81</v>
      </c>
      <c r="M41" s="8">
        <v>394.97</v>
      </c>
      <c r="N41" s="8">
        <v>0</v>
      </c>
      <c r="O41" s="8">
        <v>0</v>
      </c>
      <c r="P41" s="8">
        <v>0</v>
      </c>
      <c r="Q41" s="8">
        <v>0</v>
      </c>
      <c r="R41" s="8">
        <f t="shared" si="1"/>
        <v>44336.639999999992</v>
      </c>
      <c r="S41" s="8">
        <v>13177.6</v>
      </c>
      <c r="T41" s="8">
        <v>822.4</v>
      </c>
      <c r="U41" s="8">
        <v>181.32</v>
      </c>
      <c r="V41" s="8">
        <v>0</v>
      </c>
      <c r="W41" s="8">
        <v>0</v>
      </c>
      <c r="X41" s="8">
        <v>5967.47</v>
      </c>
      <c r="Y41" s="8">
        <v>162.96</v>
      </c>
      <c r="Z41" s="8">
        <v>80.28</v>
      </c>
      <c r="AA41" s="8">
        <v>0</v>
      </c>
      <c r="AB41" s="10">
        <f t="shared" si="0"/>
        <v>19489.349999999999</v>
      </c>
      <c r="AC41" s="10">
        <f t="shared" si="2"/>
        <v>902.68</v>
      </c>
    </row>
    <row r="42" spans="1:29" x14ac:dyDescent="0.25">
      <c r="A42">
        <f t="shared" si="3"/>
        <v>41</v>
      </c>
      <c r="F42" s="9" t="s">
        <v>23</v>
      </c>
      <c r="H42" s="9" t="s">
        <v>23</v>
      </c>
      <c r="I42" s="8">
        <f>38769.25+1752.96+2947.52+2175.96</f>
        <v>45645.689999999995</v>
      </c>
      <c r="J42" s="8">
        <v>4410.8500000000004</v>
      </c>
      <c r="K42" s="8">
        <v>0</v>
      </c>
      <c r="L42" s="8">
        <v>310.77999999999997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1"/>
        <v>50367.319999999992</v>
      </c>
      <c r="S42" s="8">
        <v>13177.6</v>
      </c>
      <c r="T42" s="8">
        <v>822.4</v>
      </c>
      <c r="U42" s="8">
        <v>189.96</v>
      </c>
      <c r="V42" s="8">
        <v>0</v>
      </c>
      <c r="W42" s="8">
        <v>0</v>
      </c>
      <c r="X42" s="8">
        <v>6390.34</v>
      </c>
      <c r="Y42" s="8">
        <v>172.2</v>
      </c>
      <c r="Z42" s="8">
        <v>84.84</v>
      </c>
      <c r="AA42" s="8">
        <v>0</v>
      </c>
      <c r="AB42" s="10">
        <f t="shared" si="0"/>
        <v>19930.100000000002</v>
      </c>
      <c r="AC42" s="10">
        <f t="shared" si="2"/>
        <v>907.24</v>
      </c>
    </row>
    <row r="43" spans="1:29" s="18" customFormat="1" x14ac:dyDescent="0.25">
      <c r="A43" s="18">
        <f t="shared" si="3"/>
        <v>42</v>
      </c>
      <c r="B43" s="19" t="s">
        <v>23</v>
      </c>
      <c r="C43" s="19"/>
      <c r="D43" s="19"/>
      <c r="E43" s="19" t="s">
        <v>23</v>
      </c>
      <c r="F43" s="19"/>
      <c r="G43" s="19"/>
      <c r="H43" s="19" t="s">
        <v>23</v>
      </c>
      <c r="I43" s="11"/>
      <c r="J43" s="11"/>
      <c r="K43" s="11"/>
      <c r="L43" s="11"/>
      <c r="M43" s="11"/>
      <c r="N43" s="11"/>
      <c r="O43" s="11"/>
      <c r="P43" s="11">
        <v>13499.79</v>
      </c>
      <c r="Q43" s="11"/>
      <c r="R43" s="11">
        <f t="shared" si="1"/>
        <v>13499.79</v>
      </c>
      <c r="S43" s="11"/>
      <c r="T43" s="11"/>
      <c r="U43" s="11"/>
      <c r="V43" s="11"/>
      <c r="W43" s="11"/>
      <c r="X43" s="11"/>
      <c r="Y43" s="11"/>
      <c r="Z43" s="11"/>
      <c r="AA43" s="11"/>
      <c r="AB43" s="20">
        <f t="shared" si="0"/>
        <v>0</v>
      </c>
      <c r="AC43" s="20">
        <f t="shared" si="2"/>
        <v>0</v>
      </c>
    </row>
    <row r="44" spans="1:29" x14ac:dyDescent="0.25">
      <c r="A44">
        <f>+A43+1</f>
        <v>43</v>
      </c>
      <c r="F44" s="9" t="s">
        <v>23</v>
      </c>
      <c r="H44" s="9" t="s">
        <v>23</v>
      </c>
      <c r="I44" s="8">
        <f>49922.88+3133.44+2045.1+675.75</f>
        <v>55777.17</v>
      </c>
      <c r="J44" s="8">
        <v>9474.5300000000007</v>
      </c>
      <c r="K44" s="8">
        <v>1326</v>
      </c>
      <c r="L44" s="8">
        <v>310.81</v>
      </c>
      <c r="M44" s="8">
        <v>1445.34</v>
      </c>
      <c r="N44" s="8">
        <v>0</v>
      </c>
      <c r="O44" s="8">
        <v>0</v>
      </c>
      <c r="P44" s="8">
        <v>0</v>
      </c>
      <c r="Q44" s="8">
        <v>0</v>
      </c>
      <c r="R44" s="8">
        <f t="shared" si="1"/>
        <v>68333.849999999991</v>
      </c>
      <c r="S44" s="8">
        <v>13177.6</v>
      </c>
      <c r="T44" s="8">
        <v>822.4</v>
      </c>
      <c r="U44" s="8">
        <v>233.16</v>
      </c>
      <c r="V44" s="8">
        <v>0</v>
      </c>
      <c r="W44" s="8">
        <v>0</v>
      </c>
      <c r="X44" s="8">
        <v>7808.78</v>
      </c>
      <c r="Y44" s="8">
        <v>207.6</v>
      </c>
      <c r="Z44" s="8">
        <v>102.24</v>
      </c>
      <c r="AA44" s="8">
        <v>0</v>
      </c>
      <c r="AB44" s="10">
        <f t="shared" si="0"/>
        <v>21427.14</v>
      </c>
      <c r="AC44" s="10">
        <f t="shared" si="2"/>
        <v>924.64</v>
      </c>
    </row>
    <row r="45" spans="1:29" x14ac:dyDescent="0.25">
      <c r="A45">
        <f t="shared" si="3"/>
        <v>44</v>
      </c>
      <c r="F45" s="9" t="s">
        <v>23</v>
      </c>
      <c r="G45" s="9" t="s">
        <v>23</v>
      </c>
      <c r="I45" s="8">
        <f>19890.43+1602.02+924.24+308.08+2811.24+2098.8+3080.81</f>
        <v>30715.620000000003</v>
      </c>
      <c r="J45" s="8">
        <f>750.95+2327.95+1151.45</f>
        <v>4230.3499999999995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1"/>
        <v>34945.97</v>
      </c>
      <c r="S45" s="8">
        <v>6699</v>
      </c>
      <c r="T45" s="8">
        <v>1421</v>
      </c>
      <c r="U45" s="8">
        <v>145.69999999999999</v>
      </c>
      <c r="V45" s="8">
        <v>7956.6</v>
      </c>
      <c r="W45" s="8">
        <v>1455.68</v>
      </c>
      <c r="X45" s="8">
        <v>0</v>
      </c>
      <c r="Y45" s="8">
        <v>130.65</v>
      </c>
      <c r="Z45" s="8">
        <v>64.349999999999994</v>
      </c>
      <c r="AA45" s="8">
        <v>0</v>
      </c>
      <c r="AB45" s="10">
        <f t="shared" si="0"/>
        <v>16387.63</v>
      </c>
      <c r="AC45" s="10">
        <f t="shared" si="2"/>
        <v>1485.35</v>
      </c>
    </row>
    <row r="46" spans="1:29" x14ac:dyDescent="0.25">
      <c r="A46">
        <f t="shared" si="3"/>
        <v>45</v>
      </c>
      <c r="B46" s="9" t="s">
        <v>23</v>
      </c>
      <c r="E46" s="9" t="s">
        <v>23</v>
      </c>
      <c r="H46" s="9" t="s">
        <v>23</v>
      </c>
      <c r="I46" s="8">
        <f>130987.31+5628.68+553.5+2767.52+3874.52+1153.84</f>
        <v>144965.36999999997</v>
      </c>
      <c r="J46" s="8">
        <v>0</v>
      </c>
      <c r="K46" s="8">
        <v>5192.28</v>
      </c>
      <c r="L46" s="8">
        <v>310.81</v>
      </c>
      <c r="M46" s="8">
        <v>5769.2</v>
      </c>
      <c r="N46" s="8">
        <v>77.7</v>
      </c>
      <c r="O46" s="8">
        <v>0</v>
      </c>
      <c r="P46" s="8">
        <v>0</v>
      </c>
      <c r="Q46" s="8">
        <v>0</v>
      </c>
      <c r="R46" s="8">
        <f t="shared" si="1"/>
        <v>156315.35999999999</v>
      </c>
      <c r="S46" s="8">
        <v>13177.6</v>
      </c>
      <c r="T46" s="8">
        <v>822.4</v>
      </c>
      <c r="U46" s="8">
        <v>621.72</v>
      </c>
      <c r="V46" s="8">
        <v>0</v>
      </c>
      <c r="W46" s="8">
        <v>0</v>
      </c>
      <c r="X46" s="8">
        <v>20295</v>
      </c>
      <c r="Y46" s="8">
        <v>563.4</v>
      </c>
      <c r="Z46" s="8">
        <v>277.44</v>
      </c>
      <c r="AA46" s="8">
        <v>0</v>
      </c>
      <c r="AB46" s="10">
        <f t="shared" si="0"/>
        <v>34657.72</v>
      </c>
      <c r="AC46" s="10">
        <f t="shared" si="2"/>
        <v>1099.8399999999999</v>
      </c>
    </row>
    <row r="47" spans="1:29" x14ac:dyDescent="0.25">
      <c r="A47">
        <f t="shared" si="3"/>
        <v>46</v>
      </c>
      <c r="F47" s="9" t="s">
        <v>23</v>
      </c>
      <c r="G47" s="9" t="s">
        <v>23</v>
      </c>
      <c r="I47" s="8">
        <f>50380.42+6476.72+2966.24+292.72+4137.63+556.53+4847.4+2941.8</f>
        <v>72599.459999999992</v>
      </c>
      <c r="J47" s="8">
        <f>5945.21+622.03+14912.37+3139.42+3410.56+2222.84</f>
        <v>30252.43</v>
      </c>
      <c r="K47" s="8">
        <v>0</v>
      </c>
      <c r="L47" s="8">
        <v>310.8</v>
      </c>
      <c r="M47" s="8">
        <v>0</v>
      </c>
      <c r="N47" s="8">
        <v>77.72</v>
      </c>
      <c r="O47" s="8">
        <v>0</v>
      </c>
      <c r="P47" s="8">
        <v>0</v>
      </c>
      <c r="Q47" s="8">
        <v>0</v>
      </c>
      <c r="R47" s="8">
        <f>+SUM(I47:Q47)</f>
        <v>103240.40999999999</v>
      </c>
      <c r="S47" s="8">
        <v>11550</v>
      </c>
      <c r="T47" s="8">
        <v>2450</v>
      </c>
      <c r="U47" s="8">
        <v>315.24</v>
      </c>
      <c r="V47" s="8">
        <v>17375.28</v>
      </c>
      <c r="W47" s="8">
        <v>3582.53</v>
      </c>
      <c r="X47" s="8">
        <v>0</v>
      </c>
      <c r="Y47" s="8">
        <v>285.36</v>
      </c>
      <c r="Z47" s="8">
        <v>140.52000000000001</v>
      </c>
      <c r="AA47" s="8">
        <v>0</v>
      </c>
      <c r="AB47" s="10">
        <f t="shared" si="0"/>
        <v>33108.409999999996</v>
      </c>
      <c r="AC47" s="10">
        <f t="shared" si="2"/>
        <v>2590.52</v>
      </c>
    </row>
    <row r="48" spans="1:29" x14ac:dyDescent="0.25">
      <c r="A48">
        <f t="shared" si="3"/>
        <v>47</v>
      </c>
      <c r="F48" s="9" t="s">
        <v>23</v>
      </c>
      <c r="G48" s="9" t="s">
        <v>23</v>
      </c>
      <c r="I48" s="8">
        <f>50355.66+6840.61+3105.44+616.16+924.24+1759.14+6327.56+4029.69+3851</f>
        <v>77809.500000000015</v>
      </c>
      <c r="J48" s="8">
        <f>8734.67+1463.38+19941.45+8367.51+472.95+4640.85+1848.48</f>
        <v>45469.29</v>
      </c>
      <c r="K48" s="8">
        <v>0</v>
      </c>
      <c r="L48" s="8">
        <v>311.2</v>
      </c>
      <c r="M48" s="8">
        <v>0</v>
      </c>
      <c r="N48" s="8">
        <v>77.81</v>
      </c>
      <c r="O48" s="8">
        <v>0</v>
      </c>
      <c r="P48" s="8">
        <v>0</v>
      </c>
      <c r="Q48" s="8">
        <v>0</v>
      </c>
      <c r="R48" s="8">
        <f>+SUM(I48:Q48)</f>
        <v>123667.8</v>
      </c>
      <c r="S48" s="8">
        <v>11550</v>
      </c>
      <c r="T48" s="8">
        <v>2450</v>
      </c>
      <c r="U48" s="8">
        <v>349.68</v>
      </c>
      <c r="V48" s="8">
        <v>19095.84</v>
      </c>
      <c r="W48" s="8">
        <v>4017.36</v>
      </c>
      <c r="X48" s="8">
        <v>0</v>
      </c>
      <c r="Y48" s="8">
        <v>313.56</v>
      </c>
      <c r="Z48" s="8">
        <v>154.44</v>
      </c>
      <c r="AA48" s="8">
        <v>0</v>
      </c>
      <c r="AB48" s="10">
        <f t="shared" si="0"/>
        <v>35326.439999999995</v>
      </c>
      <c r="AC48" s="10">
        <f t="shared" si="2"/>
        <v>2604.44</v>
      </c>
    </row>
    <row r="49" spans="1:29" x14ac:dyDescent="0.25">
      <c r="A49">
        <f t="shared" si="3"/>
        <v>48</v>
      </c>
      <c r="B49" s="9" t="s">
        <v>23</v>
      </c>
      <c r="E49" s="9" t="s">
        <v>23</v>
      </c>
      <c r="H49" s="9" t="s">
        <v>23</v>
      </c>
      <c r="I49" s="8">
        <f>66762.17+2543.32+635.83+3179.15+1271.66+1271.66</f>
        <v>75663.790000000008</v>
      </c>
      <c r="J49" s="8">
        <v>0</v>
      </c>
      <c r="K49" s="8">
        <v>16531.63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3078.19</v>
      </c>
      <c r="R49" s="8">
        <f t="shared" si="1"/>
        <v>95273.610000000015</v>
      </c>
      <c r="S49" s="11">
        <v>8742.4</v>
      </c>
      <c r="T49" s="8">
        <v>537.6</v>
      </c>
      <c r="U49" s="8">
        <v>358.32</v>
      </c>
      <c r="V49" s="8">
        <v>0</v>
      </c>
      <c r="W49" s="8">
        <v>0</v>
      </c>
      <c r="X49" s="8">
        <v>10592.91</v>
      </c>
      <c r="Y49" s="8">
        <v>323.58</v>
      </c>
      <c r="Z49" s="8">
        <v>159.36000000000001</v>
      </c>
      <c r="AA49" s="8">
        <v>0</v>
      </c>
      <c r="AB49" s="10">
        <f t="shared" si="0"/>
        <v>20017.21</v>
      </c>
      <c r="AC49" s="10">
        <f t="shared" si="2"/>
        <v>696.96</v>
      </c>
    </row>
    <row r="50" spans="1:29" x14ac:dyDescent="0.25">
      <c r="A50">
        <f t="shared" si="3"/>
        <v>49</v>
      </c>
      <c r="F50" s="9" t="s">
        <v>23</v>
      </c>
      <c r="H50" s="9" t="s">
        <v>23</v>
      </c>
      <c r="I50" s="8">
        <f>36421.76+1298.4+183.12+188.64+1831.21+2605.5</f>
        <v>42528.630000000005</v>
      </c>
      <c r="J50" s="8">
        <v>727.28</v>
      </c>
      <c r="K50" s="8">
        <v>4.4800000000000004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f t="shared" si="1"/>
        <v>43260.390000000007</v>
      </c>
      <c r="S50" s="11">
        <v>14283.2</v>
      </c>
      <c r="T50" s="8">
        <v>892.8</v>
      </c>
      <c r="U50" s="8">
        <v>189.97</v>
      </c>
      <c r="V50" s="8">
        <v>0</v>
      </c>
      <c r="W50" s="8">
        <v>0</v>
      </c>
      <c r="X50" s="8">
        <v>5953.97</v>
      </c>
      <c r="Y50" s="8">
        <v>170.83</v>
      </c>
      <c r="Z50" s="8">
        <v>84.15</v>
      </c>
      <c r="AA50" s="8">
        <v>0</v>
      </c>
      <c r="AB50" s="10">
        <f t="shared" si="0"/>
        <v>20597.97</v>
      </c>
      <c r="AC50" s="10">
        <f t="shared" si="2"/>
        <v>976.94999999999993</v>
      </c>
    </row>
    <row r="51" spans="1:29" x14ac:dyDescent="0.25">
      <c r="A51">
        <f t="shared" si="3"/>
        <v>50</v>
      </c>
      <c r="F51" s="9" t="s">
        <v>23</v>
      </c>
      <c r="H51" s="9" t="s">
        <v>23</v>
      </c>
      <c r="I51" s="8">
        <f>61614.66+2556+245.28+393.72+1768.56+245.28</f>
        <v>66823.5</v>
      </c>
      <c r="J51" s="8">
        <v>6781.11</v>
      </c>
      <c r="K51" s="8">
        <v>787.44</v>
      </c>
      <c r="L51" s="8">
        <v>310.81</v>
      </c>
      <c r="M51" s="8">
        <v>2887.28</v>
      </c>
      <c r="N51" s="8">
        <v>0</v>
      </c>
      <c r="O51" s="8">
        <v>0</v>
      </c>
      <c r="P51" s="8">
        <v>0</v>
      </c>
      <c r="Q51" s="8">
        <v>0</v>
      </c>
      <c r="R51" s="8">
        <f>+SUM(I51:Q51)</f>
        <v>77590.14</v>
      </c>
      <c r="S51" s="11">
        <v>13177.6</v>
      </c>
      <c r="T51" s="8">
        <v>822.4</v>
      </c>
      <c r="U51" s="8">
        <v>276.36</v>
      </c>
      <c r="V51" s="8">
        <v>0</v>
      </c>
      <c r="W51" s="8">
        <v>0</v>
      </c>
      <c r="X51" s="8">
        <v>9355.48</v>
      </c>
      <c r="Y51" s="8">
        <v>249.6</v>
      </c>
      <c r="Z51" s="8">
        <v>123</v>
      </c>
      <c r="AA51" s="8">
        <v>0</v>
      </c>
      <c r="AB51" s="10">
        <f t="shared" si="0"/>
        <v>23059.040000000001</v>
      </c>
      <c r="AC51" s="10">
        <f t="shared" si="2"/>
        <v>945.4</v>
      </c>
    </row>
    <row r="52" spans="1:29" x14ac:dyDescent="0.25">
      <c r="A52">
        <f t="shared" si="3"/>
        <v>51</v>
      </c>
      <c r="B52" s="9" t="s">
        <v>23</v>
      </c>
      <c r="E52" s="9" t="s">
        <v>23</v>
      </c>
      <c r="H52" s="9" t="s">
        <v>23</v>
      </c>
      <c r="I52" s="8">
        <f>256858.86+12316.28+1188.83+5944.15+36806.2+4969.31</f>
        <v>318083.63000000006</v>
      </c>
      <c r="J52" s="8">
        <v>0</v>
      </c>
      <c r="K52" s="8">
        <v>0</v>
      </c>
      <c r="L52" s="8">
        <v>287.16000000000003</v>
      </c>
      <c r="M52" s="8">
        <v>7560.96</v>
      </c>
      <c r="N52" s="8">
        <v>0</v>
      </c>
      <c r="O52" s="8">
        <v>0</v>
      </c>
      <c r="P52" s="8">
        <v>0</v>
      </c>
      <c r="Q52" s="8">
        <v>0</v>
      </c>
      <c r="R52" s="8">
        <f t="shared" si="1"/>
        <v>325931.75000000006</v>
      </c>
      <c r="S52" s="11">
        <v>13177.6</v>
      </c>
      <c r="T52" s="8">
        <v>822.4</v>
      </c>
      <c r="U52" s="8">
        <v>1338.36</v>
      </c>
      <c r="V52" s="8">
        <v>0</v>
      </c>
      <c r="W52" s="8">
        <v>0</v>
      </c>
      <c r="X52" s="8">
        <v>42700</v>
      </c>
      <c r="Y52" s="8">
        <v>1056.96</v>
      </c>
      <c r="Z52" s="8">
        <v>520.55999999999995</v>
      </c>
      <c r="AA52" s="11">
        <v>20500</v>
      </c>
      <c r="AB52" s="10">
        <f t="shared" si="0"/>
        <v>78772.92</v>
      </c>
      <c r="AC52" s="10">
        <f t="shared" si="2"/>
        <v>1342.96</v>
      </c>
    </row>
    <row r="53" spans="1:29" x14ac:dyDescent="0.25">
      <c r="A53">
        <f t="shared" si="3"/>
        <v>52</v>
      </c>
      <c r="F53" s="9" t="s">
        <v>23</v>
      </c>
      <c r="H53" s="9" t="s">
        <v>23</v>
      </c>
      <c r="I53" s="8">
        <f>56467.43+2320.29+233.86+1169.32</f>
        <v>60190.9</v>
      </c>
      <c r="J53" s="8">
        <v>172.82</v>
      </c>
      <c r="K53" s="8">
        <v>0</v>
      </c>
      <c r="L53" s="8">
        <v>310.81</v>
      </c>
      <c r="M53" s="8">
        <v>1973.23</v>
      </c>
      <c r="N53" s="8">
        <v>0</v>
      </c>
      <c r="O53" s="8">
        <v>0</v>
      </c>
      <c r="P53" s="8">
        <v>0</v>
      </c>
      <c r="Q53" s="8">
        <v>0</v>
      </c>
      <c r="R53" s="8">
        <f>+SUM(I53:Q53)</f>
        <v>62647.76</v>
      </c>
      <c r="S53" s="11">
        <v>13177.6</v>
      </c>
      <c r="T53" s="8">
        <v>822.4</v>
      </c>
      <c r="U53" s="8">
        <v>259.08</v>
      </c>
      <c r="V53" s="8">
        <v>0</v>
      </c>
      <c r="W53" s="8">
        <v>0</v>
      </c>
      <c r="X53" s="8">
        <v>8426.89</v>
      </c>
      <c r="Y53" s="8">
        <v>233.28</v>
      </c>
      <c r="Z53" s="8">
        <v>114.96</v>
      </c>
      <c r="AA53" s="8">
        <v>0</v>
      </c>
      <c r="AB53" s="10">
        <f t="shared" si="0"/>
        <v>22096.85</v>
      </c>
      <c r="AC53" s="10">
        <f t="shared" si="2"/>
        <v>937.36</v>
      </c>
    </row>
    <row r="54" spans="1:29" x14ac:dyDescent="0.25">
      <c r="A54">
        <f t="shared" si="3"/>
        <v>53</v>
      </c>
      <c r="C54" s="9" t="s">
        <v>23</v>
      </c>
      <c r="E54" s="9" t="s">
        <v>23</v>
      </c>
      <c r="H54" s="9" t="s">
        <v>23</v>
      </c>
      <c r="I54" s="8">
        <f>78409.1+3469.31+314.82+1574.12+4199.74+629.65</f>
        <v>88596.74</v>
      </c>
      <c r="J54" s="8">
        <v>0</v>
      </c>
      <c r="K54" s="8">
        <v>0</v>
      </c>
      <c r="L54" s="8">
        <v>310.8</v>
      </c>
      <c r="M54" s="8">
        <v>1841.68</v>
      </c>
      <c r="N54" s="8">
        <v>0</v>
      </c>
      <c r="O54" s="8">
        <v>0</v>
      </c>
      <c r="P54" s="8">
        <v>0</v>
      </c>
      <c r="Q54" s="8">
        <v>0</v>
      </c>
      <c r="R54" s="8">
        <f t="shared" si="1"/>
        <v>90749.22</v>
      </c>
      <c r="S54" s="11">
        <v>13177.6</v>
      </c>
      <c r="T54" s="8">
        <v>822.4</v>
      </c>
      <c r="U54" s="8">
        <v>354</v>
      </c>
      <c r="V54" s="8">
        <v>0</v>
      </c>
      <c r="W54" s="8">
        <v>0</v>
      </c>
      <c r="X54" s="8">
        <v>12403.49</v>
      </c>
      <c r="Y54" s="8">
        <v>320.39999999999998</v>
      </c>
      <c r="Z54" s="8">
        <v>157.80000000000001</v>
      </c>
      <c r="AA54" s="8">
        <v>0</v>
      </c>
      <c r="AB54" s="10">
        <f t="shared" si="0"/>
        <v>26255.49</v>
      </c>
      <c r="AC54" s="10">
        <f t="shared" si="2"/>
        <v>980.2</v>
      </c>
    </row>
    <row r="55" spans="1:29" x14ac:dyDescent="0.25">
      <c r="A55">
        <f t="shared" si="3"/>
        <v>54</v>
      </c>
      <c r="F55" s="9" t="s">
        <v>23</v>
      </c>
      <c r="H55" s="9" t="s">
        <v>23</v>
      </c>
      <c r="I55" s="8">
        <f>61378.51+2614.77+267.54+519.92+2851.98+837.63</f>
        <v>68470.350000000006</v>
      </c>
      <c r="J55" s="8">
        <v>5181.9399999999996</v>
      </c>
      <c r="K55" s="8">
        <v>0</v>
      </c>
      <c r="L55" s="8">
        <v>310.81</v>
      </c>
      <c r="M55" s="8">
        <v>2357.73</v>
      </c>
      <c r="N55" s="8">
        <v>0</v>
      </c>
      <c r="O55" s="8">
        <v>0</v>
      </c>
      <c r="P55" s="8">
        <v>0</v>
      </c>
      <c r="Q55" s="8">
        <v>0</v>
      </c>
      <c r="R55" s="8">
        <f>+SUM(I55:Q55)</f>
        <v>76320.83</v>
      </c>
      <c r="S55" s="11">
        <v>13177.6</v>
      </c>
      <c r="T55" s="8">
        <v>822.4</v>
      </c>
      <c r="U55" s="8">
        <v>284.88</v>
      </c>
      <c r="V55" s="8">
        <v>0</v>
      </c>
      <c r="W55" s="8">
        <v>0</v>
      </c>
      <c r="X55" s="8">
        <v>9585.76</v>
      </c>
      <c r="Y55" s="8">
        <v>256.92</v>
      </c>
      <c r="Z55" s="8">
        <v>126.48</v>
      </c>
      <c r="AA55" s="8">
        <v>0</v>
      </c>
      <c r="AB55" s="10">
        <f t="shared" si="0"/>
        <v>23305.159999999996</v>
      </c>
      <c r="AC55" s="10">
        <f t="shared" si="2"/>
        <v>948.88</v>
      </c>
    </row>
    <row r="56" spans="1:29" x14ac:dyDescent="0.25">
      <c r="A56">
        <f t="shared" si="3"/>
        <v>55</v>
      </c>
      <c r="B56" s="9" t="s">
        <v>23</v>
      </c>
      <c r="E56" s="9" t="s">
        <v>23</v>
      </c>
      <c r="H56" s="9" t="s">
        <v>23</v>
      </c>
      <c r="I56" s="8">
        <f>115307.51+5161.63+473.54+2367.72+5777.25+2509.78+473.54</f>
        <v>132070.97</v>
      </c>
      <c r="J56" s="8">
        <v>0</v>
      </c>
      <c r="K56" s="8">
        <v>0</v>
      </c>
      <c r="L56" s="8">
        <v>310.81</v>
      </c>
      <c r="M56" s="8">
        <v>3812.03</v>
      </c>
      <c r="N56" s="8">
        <v>0</v>
      </c>
      <c r="O56" s="8">
        <v>0</v>
      </c>
      <c r="P56" s="8">
        <v>0</v>
      </c>
      <c r="Q56" s="8">
        <v>7323.97</v>
      </c>
      <c r="R56" s="8">
        <f t="shared" si="1"/>
        <v>143517.78</v>
      </c>
      <c r="S56" s="11">
        <v>13177.6</v>
      </c>
      <c r="T56" s="8">
        <v>822.4</v>
      </c>
      <c r="U56" s="8">
        <v>535.44000000000005</v>
      </c>
      <c r="V56" s="8">
        <v>0</v>
      </c>
      <c r="W56" s="8">
        <v>0</v>
      </c>
      <c r="X56" s="8">
        <v>18489.91</v>
      </c>
      <c r="Y56" s="8">
        <v>482.04</v>
      </c>
      <c r="Z56" s="8">
        <v>237.36</v>
      </c>
      <c r="AA56" s="8">
        <v>0</v>
      </c>
      <c r="AB56" s="10">
        <f t="shared" si="0"/>
        <v>32684.99</v>
      </c>
      <c r="AC56" s="10">
        <f t="shared" si="2"/>
        <v>1059.76</v>
      </c>
    </row>
    <row r="57" spans="1:29" x14ac:dyDescent="0.25">
      <c r="A57">
        <f t="shared" si="3"/>
        <v>56</v>
      </c>
      <c r="C57" s="9" t="s">
        <v>23</v>
      </c>
      <c r="E57" s="9" t="s">
        <v>23</v>
      </c>
      <c r="H57" s="9" t="s">
        <v>23</v>
      </c>
      <c r="I57" s="8">
        <f>70139.93+2930.52+882.55+1731.17</f>
        <v>75684.17</v>
      </c>
      <c r="J57" s="8">
        <v>0</v>
      </c>
      <c r="K57" s="8">
        <v>1499.2</v>
      </c>
      <c r="L57" s="8">
        <v>310.81</v>
      </c>
      <c r="M57" s="8">
        <v>3598.08</v>
      </c>
      <c r="N57" s="8">
        <v>0</v>
      </c>
      <c r="O57" s="8">
        <v>0</v>
      </c>
      <c r="P57" s="8">
        <v>0</v>
      </c>
      <c r="Q57" s="8">
        <v>0</v>
      </c>
      <c r="R57" s="8">
        <f t="shared" ref="R57:R64" si="4">+SUM(I57:Q57)</f>
        <v>81092.259999999995</v>
      </c>
      <c r="S57" s="11">
        <v>13177.6</v>
      </c>
      <c r="T57" s="8">
        <v>822.4</v>
      </c>
      <c r="U57" s="8">
        <v>319.56</v>
      </c>
      <c r="V57" s="8">
        <v>0</v>
      </c>
      <c r="W57" s="8">
        <v>0</v>
      </c>
      <c r="X57" s="8">
        <v>10595.9</v>
      </c>
      <c r="Y57" s="8">
        <v>287.88</v>
      </c>
      <c r="Z57" s="8">
        <v>141.84</v>
      </c>
      <c r="AA57" s="8">
        <v>0</v>
      </c>
      <c r="AB57" s="10">
        <f t="shared" si="0"/>
        <v>24380.94</v>
      </c>
      <c r="AC57" s="10">
        <f t="shared" si="2"/>
        <v>964.24</v>
      </c>
    </row>
    <row r="58" spans="1:29" x14ac:dyDescent="0.25">
      <c r="A58">
        <f t="shared" si="3"/>
        <v>57</v>
      </c>
      <c r="F58" s="9" t="s">
        <v>23</v>
      </c>
      <c r="H58" s="9" t="s">
        <v>23</v>
      </c>
      <c r="I58" s="8">
        <f>29635.31+1647.24+2189.44+2735.84+154.32</f>
        <v>36362.15</v>
      </c>
      <c r="J58" s="8">
        <v>166.75</v>
      </c>
      <c r="K58" s="8">
        <v>8.16</v>
      </c>
      <c r="L58" s="8">
        <v>310.81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f t="shared" si="4"/>
        <v>36847.870000000003</v>
      </c>
      <c r="S58" s="11">
        <v>13177.6</v>
      </c>
      <c r="T58" s="8">
        <v>822.4</v>
      </c>
      <c r="U58" s="8">
        <v>177</v>
      </c>
      <c r="V58" s="8">
        <v>0</v>
      </c>
      <c r="W58" s="8">
        <v>0</v>
      </c>
      <c r="X58" s="8">
        <v>5090.72</v>
      </c>
      <c r="Y58" s="8">
        <v>157.08000000000001</v>
      </c>
      <c r="Z58" s="8">
        <v>77.400000000000006</v>
      </c>
      <c r="AA58" s="8">
        <v>0</v>
      </c>
      <c r="AB58" s="10">
        <f t="shared" si="0"/>
        <v>18602.400000000001</v>
      </c>
      <c r="AC58" s="10">
        <f t="shared" si="2"/>
        <v>899.8</v>
      </c>
    </row>
    <row r="59" spans="1:29" x14ac:dyDescent="0.25">
      <c r="A59">
        <f t="shared" si="3"/>
        <v>58</v>
      </c>
      <c r="F59" s="9" t="s">
        <v>23</v>
      </c>
      <c r="H59" s="9" t="s">
        <v>23</v>
      </c>
      <c r="I59" s="8">
        <f>52860.22+2322.88+236.8+2740.08+2430</f>
        <v>60589.98</v>
      </c>
      <c r="J59" s="8">
        <v>929.24</v>
      </c>
      <c r="K59" s="8">
        <v>0</v>
      </c>
      <c r="L59" s="8">
        <v>310.81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f t="shared" si="4"/>
        <v>61830.03</v>
      </c>
      <c r="S59" s="11">
        <v>13177.6</v>
      </c>
      <c r="T59" s="8">
        <v>822.4</v>
      </c>
      <c r="U59" s="8">
        <v>254.76</v>
      </c>
      <c r="V59" s="8">
        <v>0</v>
      </c>
      <c r="W59" s="8">
        <v>0</v>
      </c>
      <c r="X59" s="8">
        <v>8482.51</v>
      </c>
      <c r="Y59" s="8">
        <v>229.56</v>
      </c>
      <c r="Z59" s="8">
        <v>113.04</v>
      </c>
      <c r="AA59" s="8">
        <v>0</v>
      </c>
      <c r="AB59" s="10">
        <f t="shared" si="0"/>
        <v>22144.430000000004</v>
      </c>
      <c r="AC59" s="10">
        <f t="shared" si="2"/>
        <v>935.43999999999994</v>
      </c>
    </row>
    <row r="60" spans="1:29" x14ac:dyDescent="0.25">
      <c r="A60">
        <f t="shared" si="3"/>
        <v>59</v>
      </c>
      <c r="F60" s="9" t="s">
        <v>23</v>
      </c>
      <c r="H60" s="9" t="s">
        <v>23</v>
      </c>
      <c r="I60" s="8">
        <f>43813.27+1874.88+2421.95+310.38</f>
        <v>48420.479999999989</v>
      </c>
      <c r="J60" s="8">
        <v>0</v>
      </c>
      <c r="K60" s="8">
        <v>0</v>
      </c>
      <c r="L60" s="8">
        <v>310.81</v>
      </c>
      <c r="M60" s="8">
        <v>1990.34</v>
      </c>
      <c r="N60" s="8">
        <v>0</v>
      </c>
      <c r="O60" s="8">
        <v>0</v>
      </c>
      <c r="P60" s="8">
        <v>0</v>
      </c>
      <c r="Q60" s="8">
        <v>0</v>
      </c>
      <c r="R60" s="8">
        <f t="shared" si="4"/>
        <v>50721.629999999983</v>
      </c>
      <c r="S60" s="11">
        <v>13177.6</v>
      </c>
      <c r="T60" s="8">
        <v>822.4</v>
      </c>
      <c r="U60" s="8">
        <v>207.24</v>
      </c>
      <c r="V60" s="8">
        <v>0</v>
      </c>
      <c r="W60" s="8">
        <v>0</v>
      </c>
      <c r="X60" s="8">
        <v>6778.87</v>
      </c>
      <c r="Y60" s="8">
        <v>0</v>
      </c>
      <c r="Z60" s="8">
        <v>0</v>
      </c>
      <c r="AA60" s="8">
        <v>0</v>
      </c>
      <c r="AB60" s="10">
        <f t="shared" si="0"/>
        <v>20163.71</v>
      </c>
      <c r="AC60" s="10">
        <f t="shared" si="2"/>
        <v>822.4</v>
      </c>
    </row>
    <row r="61" spans="1:29" x14ac:dyDescent="0.25">
      <c r="A61">
        <f t="shared" si="3"/>
        <v>60</v>
      </c>
      <c r="F61" s="9" t="s">
        <v>23</v>
      </c>
      <c r="G61" s="9" t="s">
        <v>23</v>
      </c>
      <c r="I61" s="8">
        <f>50277.31+2915.33+2764.64+261.92+859.2+2802.69+2192.96+2204.16</f>
        <v>64278.209999999992</v>
      </c>
      <c r="J61" s="8">
        <f>18320.82+2644.66+11763.33+3051.99+9030.77+7500.24</f>
        <v>52311.80999999999</v>
      </c>
      <c r="K61" s="8">
        <v>0</v>
      </c>
      <c r="L61" s="8">
        <v>315.74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f t="shared" si="4"/>
        <v>116905.76</v>
      </c>
      <c r="S61" s="11">
        <v>11550</v>
      </c>
      <c r="T61" s="8">
        <v>2450</v>
      </c>
      <c r="U61" s="8">
        <v>280.68</v>
      </c>
      <c r="V61" s="8">
        <v>15277.68</v>
      </c>
      <c r="W61" s="8">
        <v>3316.36</v>
      </c>
      <c r="X61" s="8">
        <v>0</v>
      </c>
      <c r="Y61" s="8">
        <v>250.8</v>
      </c>
      <c r="Z61" s="8">
        <v>123.6</v>
      </c>
      <c r="AA61" s="8">
        <v>0</v>
      </c>
      <c r="AB61" s="10">
        <f t="shared" si="0"/>
        <v>30675.52</v>
      </c>
      <c r="AC61" s="10">
        <f t="shared" si="2"/>
        <v>2573.6</v>
      </c>
    </row>
    <row r="62" spans="1:29" x14ac:dyDescent="0.25">
      <c r="A62">
        <f t="shared" si="3"/>
        <v>61</v>
      </c>
      <c r="F62" s="9" t="s">
        <v>23</v>
      </c>
      <c r="G62" s="9" t="s">
        <v>23</v>
      </c>
      <c r="I62" s="8">
        <f>54190.85+9219.6+3105.44+314.24+4270.37+336.32+2711.1+2464.64</f>
        <v>76612.560000000012</v>
      </c>
      <c r="J62" s="8">
        <f>10941.32+1742.96+23627.9+7209.08+7962.93+3262.56+1087.61</f>
        <v>55834.36</v>
      </c>
      <c r="K62" s="8">
        <v>0</v>
      </c>
      <c r="L62" s="8">
        <v>310.8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f t="shared" si="4"/>
        <v>132757.72</v>
      </c>
      <c r="S62" s="11">
        <v>11550</v>
      </c>
      <c r="T62" s="8">
        <v>2450</v>
      </c>
      <c r="U62" s="8">
        <v>349.68</v>
      </c>
      <c r="V62" s="8">
        <v>19095.84</v>
      </c>
      <c r="W62" s="8">
        <v>4017.36</v>
      </c>
      <c r="X62" s="8">
        <v>0</v>
      </c>
      <c r="Y62" s="8">
        <v>313.56</v>
      </c>
      <c r="Z62" s="8">
        <v>154.44</v>
      </c>
      <c r="AA62" s="8">
        <v>0</v>
      </c>
      <c r="AB62" s="10">
        <f t="shared" ref="AB62:AB70" si="5">+S62+U62+V62+W62+X62+Y62+AA62</f>
        <v>35326.439999999995</v>
      </c>
      <c r="AC62" s="10">
        <f t="shared" si="2"/>
        <v>2604.44</v>
      </c>
    </row>
    <row r="63" spans="1:29" x14ac:dyDescent="0.25">
      <c r="A63">
        <f t="shared" si="3"/>
        <v>62</v>
      </c>
      <c r="F63" s="9" t="s">
        <v>23</v>
      </c>
      <c r="G63" s="9" t="s">
        <v>23</v>
      </c>
      <c r="I63" s="8">
        <f>56638.12+5467.28+3576.88+292.72+3534.19+252.24+15.36+3102.56+3022.32</f>
        <v>75901.670000000013</v>
      </c>
      <c r="J63" s="8">
        <f>11067.45+1710.04+16302.32+4911.45+476.42+3052.19+462.12</f>
        <v>37981.990000000005</v>
      </c>
      <c r="K63" s="8">
        <v>0</v>
      </c>
      <c r="L63" s="8">
        <v>310.8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4"/>
        <v>114194.46000000002</v>
      </c>
      <c r="S63" s="11">
        <v>11550</v>
      </c>
      <c r="T63" s="8">
        <v>2450</v>
      </c>
      <c r="U63" s="8">
        <v>315.24</v>
      </c>
      <c r="V63" s="8">
        <v>17375.28</v>
      </c>
      <c r="W63" s="8">
        <v>3712</v>
      </c>
      <c r="X63" s="8">
        <v>0</v>
      </c>
      <c r="Y63" s="8">
        <v>285.36</v>
      </c>
      <c r="Z63" s="8">
        <v>140.52000000000001</v>
      </c>
      <c r="AA63" s="8">
        <v>0</v>
      </c>
      <c r="AB63" s="10">
        <f t="shared" si="5"/>
        <v>33237.879999999997</v>
      </c>
      <c r="AC63" s="10">
        <f t="shared" ref="AC63:AC70" si="6">+T63+Z63</f>
        <v>2590.52</v>
      </c>
    </row>
    <row r="64" spans="1:29" x14ac:dyDescent="0.25">
      <c r="A64">
        <f t="shared" si="3"/>
        <v>63</v>
      </c>
      <c r="F64" s="9" t="s">
        <v>23</v>
      </c>
      <c r="G64" s="9" t="s">
        <v>23</v>
      </c>
      <c r="I64" s="8">
        <v>2464.64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f t="shared" si="4"/>
        <v>2464.64</v>
      </c>
      <c r="S64" s="11">
        <v>388.08</v>
      </c>
      <c r="T64" s="8">
        <v>82.32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10">
        <f t="shared" si="5"/>
        <v>388.08</v>
      </c>
      <c r="AC64" s="10">
        <f t="shared" si="6"/>
        <v>82.32</v>
      </c>
    </row>
    <row r="65" spans="1:30" x14ac:dyDescent="0.25">
      <c r="A65">
        <f t="shared" si="3"/>
        <v>64</v>
      </c>
      <c r="F65" s="9" t="s">
        <v>23</v>
      </c>
      <c r="H65" s="9" t="s">
        <v>23</v>
      </c>
      <c r="I65" s="8">
        <f>39608.38+2876.16+2855.59+6428.83</f>
        <v>51768.959999999992</v>
      </c>
      <c r="J65" s="8">
        <v>10830.88</v>
      </c>
      <c r="K65" s="8">
        <v>0</v>
      </c>
      <c r="L65" s="8">
        <v>310.82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f t="shared" ref="R65" si="7">+SUM(I65:Q65)</f>
        <v>62910.659999999989</v>
      </c>
      <c r="S65" s="11">
        <v>13177.6</v>
      </c>
      <c r="T65" s="8">
        <v>822.4</v>
      </c>
      <c r="U65" s="8">
        <v>207.24</v>
      </c>
      <c r="V65" s="8">
        <v>0</v>
      </c>
      <c r="W65" s="8">
        <v>0</v>
      </c>
      <c r="X65" s="8">
        <v>7247.62</v>
      </c>
      <c r="Y65" s="8">
        <v>186.24</v>
      </c>
      <c r="Z65" s="8">
        <v>91.68</v>
      </c>
      <c r="AA65" s="8">
        <v>0</v>
      </c>
      <c r="AB65" s="10">
        <f t="shared" si="5"/>
        <v>20818.7</v>
      </c>
      <c r="AC65" s="10">
        <f t="shared" si="6"/>
        <v>914.07999999999993</v>
      </c>
    </row>
    <row r="66" spans="1:30" x14ac:dyDescent="0.25">
      <c r="A66">
        <f t="shared" ref="A66:A75" si="8">+A65+1</f>
        <v>65</v>
      </c>
      <c r="F66" s="9" t="s">
        <v>23</v>
      </c>
      <c r="H66" s="9" t="s">
        <v>23</v>
      </c>
      <c r="I66" s="8">
        <f>45488.05+1978.72+99.72+2007.57+2764.72+195.52</f>
        <v>52534.3</v>
      </c>
      <c r="J66" s="8">
        <v>4876.32</v>
      </c>
      <c r="K66" s="8">
        <v>0</v>
      </c>
      <c r="L66" s="8">
        <v>311.19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f t="shared" ref="R66:R71" si="9">+SUM(I66:Q66)</f>
        <v>57721.810000000005</v>
      </c>
      <c r="S66" s="11">
        <v>13177.6</v>
      </c>
      <c r="T66" s="8">
        <v>822.4</v>
      </c>
      <c r="U66" s="8">
        <v>220.2</v>
      </c>
      <c r="V66" s="8">
        <v>0</v>
      </c>
      <c r="W66" s="8">
        <v>0</v>
      </c>
      <c r="X66" s="8">
        <v>7354.77</v>
      </c>
      <c r="Y66" s="8">
        <v>198.96</v>
      </c>
      <c r="Z66" s="8">
        <v>98.04</v>
      </c>
      <c r="AA66" s="8">
        <v>0</v>
      </c>
      <c r="AB66" s="10">
        <f t="shared" si="5"/>
        <v>20951.53</v>
      </c>
      <c r="AC66" s="10">
        <f t="shared" si="6"/>
        <v>920.43999999999994</v>
      </c>
    </row>
    <row r="67" spans="1:30" x14ac:dyDescent="0.25">
      <c r="A67">
        <f t="shared" si="8"/>
        <v>66</v>
      </c>
      <c r="B67" s="9" t="s">
        <v>23</v>
      </c>
      <c r="E67" s="9" t="s">
        <v>23</v>
      </c>
      <c r="H67" s="9" t="s">
        <v>23</v>
      </c>
      <c r="I67" s="8">
        <f>98073.17+4395.03+384.62+1923.08+4491.16+2195.41</f>
        <v>111462.47</v>
      </c>
      <c r="J67" s="8">
        <v>0</v>
      </c>
      <c r="K67" s="8">
        <v>0</v>
      </c>
      <c r="L67" s="8">
        <v>310.81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f t="shared" si="9"/>
        <v>111773.28</v>
      </c>
      <c r="S67" s="11">
        <v>13177.6</v>
      </c>
      <c r="T67" s="8">
        <v>822.4</v>
      </c>
      <c r="U67" s="8">
        <v>431.76</v>
      </c>
      <c r="V67" s="8">
        <v>0</v>
      </c>
      <c r="W67" s="8">
        <v>0</v>
      </c>
      <c r="X67" s="8">
        <v>15604.71</v>
      </c>
      <c r="Y67" s="8">
        <v>391.44</v>
      </c>
      <c r="Z67" s="8">
        <v>192.84</v>
      </c>
      <c r="AA67" s="8">
        <v>0</v>
      </c>
      <c r="AB67" s="10">
        <f t="shared" si="5"/>
        <v>29605.51</v>
      </c>
      <c r="AC67" s="10">
        <f t="shared" si="6"/>
        <v>1015.24</v>
      </c>
      <c r="AD67" s="10"/>
    </row>
    <row r="68" spans="1:30" x14ac:dyDescent="0.25">
      <c r="A68">
        <f t="shared" si="8"/>
        <v>67</v>
      </c>
      <c r="F68" s="9" t="s">
        <v>23</v>
      </c>
      <c r="G68" s="9" t="s">
        <v>23</v>
      </c>
      <c r="I68" s="8">
        <f>37264.73+4491.55+2502.88+261.92+560.64+1429.91+3118.56+3441.36+1047.68</f>
        <v>54119.23</v>
      </c>
      <c r="J68" s="8">
        <f>19089.06+369.14+9348.78+2826.1+6191+8443.2</f>
        <v>46267.28</v>
      </c>
      <c r="K68" s="8">
        <v>0</v>
      </c>
      <c r="L68" s="8">
        <v>310.8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f t="shared" si="9"/>
        <v>100697.31000000001</v>
      </c>
      <c r="S68" s="11">
        <v>11550</v>
      </c>
      <c r="T68" s="8">
        <v>2450</v>
      </c>
      <c r="U68" s="8">
        <v>297.95999999999998</v>
      </c>
      <c r="V68" s="8">
        <v>16234.8</v>
      </c>
      <c r="W68" s="8">
        <v>2920.93</v>
      </c>
      <c r="X68" s="8">
        <v>0</v>
      </c>
      <c r="Y68" s="8">
        <v>266.64</v>
      </c>
      <c r="Z68" s="8">
        <v>131.28</v>
      </c>
      <c r="AA68" s="8">
        <v>0</v>
      </c>
      <c r="AB68" s="10">
        <f t="shared" si="5"/>
        <v>31270.329999999998</v>
      </c>
      <c r="AC68" s="10">
        <f t="shared" si="6"/>
        <v>2581.2800000000002</v>
      </c>
      <c r="AD68" s="10"/>
    </row>
    <row r="69" spans="1:30" x14ac:dyDescent="0.25">
      <c r="A69">
        <f t="shared" si="8"/>
        <v>68</v>
      </c>
      <c r="F69" s="9" t="s">
        <v>23</v>
      </c>
      <c r="G69" s="9" t="s">
        <v>23</v>
      </c>
      <c r="I69" s="8">
        <f>54457.12+3374.59+2839.36+140.16+2318.32+2428.24+3595.36</f>
        <v>69153.150000000009</v>
      </c>
      <c r="J69" s="8">
        <f>11452.85+3221.34+11791.37+2012.09+6147.48+3857.64</f>
        <v>38482.770000000004</v>
      </c>
      <c r="K69" s="8">
        <v>0</v>
      </c>
      <c r="L69" s="8">
        <v>310.8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f t="shared" si="9"/>
        <v>107946.72000000002</v>
      </c>
      <c r="S69" s="11">
        <v>11550</v>
      </c>
      <c r="T69" s="8">
        <v>2450</v>
      </c>
      <c r="U69" s="8">
        <v>297.95999999999998</v>
      </c>
      <c r="V69" s="8">
        <v>16234.8</v>
      </c>
      <c r="W69" s="8">
        <v>3445</v>
      </c>
      <c r="X69" s="8">
        <v>0</v>
      </c>
      <c r="Y69" s="8">
        <v>266.64</v>
      </c>
      <c r="Z69" s="8">
        <v>131.28</v>
      </c>
      <c r="AA69" s="8">
        <v>0</v>
      </c>
      <c r="AB69" s="10">
        <f t="shared" si="5"/>
        <v>31794.399999999998</v>
      </c>
      <c r="AC69" s="10">
        <f t="shared" si="6"/>
        <v>2581.2800000000002</v>
      </c>
      <c r="AD69" s="10"/>
    </row>
    <row r="70" spans="1:30" x14ac:dyDescent="0.25">
      <c r="A70">
        <f t="shared" si="8"/>
        <v>69</v>
      </c>
      <c r="C70" s="9" t="s">
        <v>23</v>
      </c>
      <c r="E70" s="9" t="s">
        <v>23</v>
      </c>
      <c r="H70" s="9" t="s">
        <v>23</v>
      </c>
      <c r="I70" s="8">
        <f>64736.49+2837.69+269.23+1418.85+586.92+3203.86</f>
        <v>73053.039999999994</v>
      </c>
      <c r="J70" s="8">
        <v>0</v>
      </c>
      <c r="K70" s="8">
        <v>0</v>
      </c>
      <c r="L70" s="8">
        <v>311.10000000000002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f t="shared" si="9"/>
        <v>73364.14</v>
      </c>
      <c r="S70" s="11">
        <v>12084.8</v>
      </c>
      <c r="T70" s="8">
        <v>755.2</v>
      </c>
      <c r="U70" s="8">
        <v>302.27999999999997</v>
      </c>
      <c r="V70" s="8">
        <v>0</v>
      </c>
      <c r="W70" s="8">
        <v>0</v>
      </c>
      <c r="X70" s="8">
        <v>5176.58</v>
      </c>
      <c r="Y70" s="8">
        <v>251.13</v>
      </c>
      <c r="Z70" s="8">
        <v>123.75</v>
      </c>
      <c r="AA70" s="8">
        <v>0</v>
      </c>
      <c r="AB70" s="10">
        <f t="shared" si="5"/>
        <v>17814.79</v>
      </c>
      <c r="AC70" s="10">
        <f t="shared" si="6"/>
        <v>878.95</v>
      </c>
    </row>
    <row r="71" spans="1:30" x14ac:dyDescent="0.25">
      <c r="A71">
        <f t="shared" si="8"/>
        <v>70</v>
      </c>
      <c r="C71" s="9" t="s">
        <v>23</v>
      </c>
      <c r="E71" s="9" t="s">
        <v>23</v>
      </c>
      <c r="H71" s="9" t="s">
        <v>23</v>
      </c>
      <c r="I71" s="8">
        <f>78404+3201.94+355.77+211.54+1778.84+2019.24</f>
        <v>85971.33</v>
      </c>
      <c r="J71" s="8">
        <v>0</v>
      </c>
      <c r="K71" s="8">
        <v>1692.32</v>
      </c>
      <c r="L71" s="8">
        <v>5310.81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f t="shared" si="9"/>
        <v>92974.46</v>
      </c>
      <c r="S71" s="11">
        <v>9899.2000000000007</v>
      </c>
      <c r="T71" s="8">
        <v>620.79999999999995</v>
      </c>
      <c r="U71" s="8">
        <v>334.6</v>
      </c>
      <c r="V71" s="8">
        <v>0</v>
      </c>
      <c r="W71" s="8">
        <v>0</v>
      </c>
      <c r="X71" s="8">
        <v>4856.8599999999997</v>
      </c>
      <c r="Y71" s="8">
        <v>271.62</v>
      </c>
      <c r="Z71" s="8">
        <v>133.74</v>
      </c>
      <c r="AA71" s="8">
        <v>0</v>
      </c>
      <c r="AB71" s="10">
        <f t="shared" ref="AB71:AB76" si="10">+S71+U71+V71+W71+X71+Y71+AA71</f>
        <v>15362.28</v>
      </c>
      <c r="AC71" s="10">
        <f t="shared" ref="AC71:AC76" si="11">+T71+Z71</f>
        <v>754.54</v>
      </c>
    </row>
    <row r="72" spans="1:30" x14ac:dyDescent="0.25">
      <c r="A72">
        <f t="shared" si="8"/>
        <v>71</v>
      </c>
      <c r="E72" s="9" t="s">
        <v>23</v>
      </c>
      <c r="H72" s="9" t="s">
        <v>23</v>
      </c>
      <c r="I72" s="8">
        <f>38451.93+1778.85+250+259.62</f>
        <v>40740.400000000001</v>
      </c>
      <c r="J72" s="8">
        <v>0</v>
      </c>
      <c r="K72" s="8">
        <v>0</v>
      </c>
      <c r="L72" s="8">
        <v>311.11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f t="shared" ref="R72:R76" si="12">+SUM(I72:Q72)</f>
        <v>41051.51</v>
      </c>
      <c r="S72" s="11">
        <v>6620.8</v>
      </c>
      <c r="T72" s="8">
        <v>419.2</v>
      </c>
      <c r="U72" s="8">
        <v>163.72999999999999</v>
      </c>
      <c r="V72" s="8">
        <v>0</v>
      </c>
      <c r="W72" s="8">
        <v>0</v>
      </c>
      <c r="X72" s="8">
        <v>617.88</v>
      </c>
      <c r="Y72" s="8">
        <v>0</v>
      </c>
      <c r="Z72" s="8">
        <v>0</v>
      </c>
      <c r="AA72" s="8">
        <v>0</v>
      </c>
      <c r="AB72" s="10">
        <f t="shared" si="10"/>
        <v>7402.41</v>
      </c>
      <c r="AC72" s="10">
        <f t="shared" si="11"/>
        <v>419.2</v>
      </c>
    </row>
    <row r="73" spans="1:30" x14ac:dyDescent="0.25">
      <c r="A73">
        <f t="shared" si="8"/>
        <v>72</v>
      </c>
      <c r="F73" s="9" t="s">
        <v>23</v>
      </c>
      <c r="G73" s="9" t="s">
        <v>23</v>
      </c>
      <c r="I73" s="8">
        <f>21298.8+1095.28+219.92+1253.2+431.2</f>
        <v>24298.399999999998</v>
      </c>
      <c r="J73" s="8">
        <f>5796.59+82.47+1791.26+2600.16</f>
        <v>10270.48</v>
      </c>
      <c r="K73" s="8">
        <v>0</v>
      </c>
      <c r="L73" s="8">
        <v>311.20999999999998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f t="shared" si="12"/>
        <v>34880.089999999997</v>
      </c>
      <c r="S73" s="8">
        <v>3880.8</v>
      </c>
      <c r="T73" s="8">
        <v>823.2</v>
      </c>
      <c r="U73" s="8">
        <v>102.5</v>
      </c>
      <c r="V73" s="8">
        <v>0</v>
      </c>
      <c r="W73" s="8">
        <v>0</v>
      </c>
      <c r="X73" s="8">
        <v>0</v>
      </c>
      <c r="Y73" s="8">
        <v>73.12</v>
      </c>
      <c r="Z73" s="8">
        <v>36.04</v>
      </c>
      <c r="AA73" s="8">
        <v>0</v>
      </c>
      <c r="AB73" s="10">
        <f t="shared" si="10"/>
        <v>4056.42</v>
      </c>
      <c r="AC73" s="10">
        <f t="shared" si="11"/>
        <v>859.24</v>
      </c>
    </row>
    <row r="74" spans="1:30" x14ac:dyDescent="0.25">
      <c r="A74">
        <f t="shared" si="8"/>
        <v>73</v>
      </c>
      <c r="F74" s="9" t="s">
        <v>23</v>
      </c>
      <c r="G74" s="9" t="s">
        <v>23</v>
      </c>
      <c r="I74" s="8">
        <f>18478.81+1251.92+641.67</f>
        <v>20372.400000000001</v>
      </c>
      <c r="J74" s="8">
        <f>10319.93+1127.46+730.52+5205.36</f>
        <v>17383.27</v>
      </c>
      <c r="K74" s="8">
        <v>0</v>
      </c>
      <c r="L74" s="8">
        <v>310.8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f t="shared" si="12"/>
        <v>38066.47</v>
      </c>
      <c r="S74" s="8">
        <v>2910.6</v>
      </c>
      <c r="T74" s="8">
        <v>617.4</v>
      </c>
      <c r="U74" s="8">
        <v>93.56</v>
      </c>
      <c r="V74" s="8">
        <v>5092.6400000000003</v>
      </c>
      <c r="W74" s="8">
        <v>0</v>
      </c>
      <c r="X74" s="8">
        <v>0</v>
      </c>
      <c r="Y74" s="8">
        <v>83.6</v>
      </c>
      <c r="Z74" s="8">
        <v>41.2</v>
      </c>
      <c r="AA74" s="8">
        <v>0</v>
      </c>
      <c r="AB74" s="10">
        <f t="shared" si="10"/>
        <v>8180.4000000000005</v>
      </c>
      <c r="AC74" s="10">
        <f t="shared" si="11"/>
        <v>658.6</v>
      </c>
    </row>
    <row r="75" spans="1:30" x14ac:dyDescent="0.25">
      <c r="A75">
        <f t="shared" si="8"/>
        <v>74</v>
      </c>
      <c r="F75" s="9" t="s">
        <v>23</v>
      </c>
      <c r="H75" s="9" t="s">
        <v>23</v>
      </c>
      <c r="I75" s="8">
        <f>17411.55+1230.17</f>
        <v>18641.72</v>
      </c>
      <c r="J75" s="8">
        <v>1064.57</v>
      </c>
      <c r="K75" s="8">
        <v>0</v>
      </c>
      <c r="L75" s="8">
        <v>310.81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f t="shared" si="12"/>
        <v>20017.100000000002</v>
      </c>
      <c r="S75" s="8">
        <v>3316.8</v>
      </c>
      <c r="T75" s="8">
        <v>211.2</v>
      </c>
      <c r="U75" s="8">
        <v>71.959999999999994</v>
      </c>
      <c r="V75" s="8">
        <v>0</v>
      </c>
      <c r="W75" s="8">
        <v>0</v>
      </c>
      <c r="X75" s="8">
        <v>0</v>
      </c>
      <c r="Y75" s="8">
        <v>48.15</v>
      </c>
      <c r="Z75" s="8">
        <v>23.73</v>
      </c>
      <c r="AA75" s="8">
        <v>0</v>
      </c>
      <c r="AB75" s="10">
        <f t="shared" si="10"/>
        <v>3436.9100000000003</v>
      </c>
      <c r="AC75" s="10">
        <f t="shared" si="11"/>
        <v>234.92999999999998</v>
      </c>
    </row>
    <row r="76" spans="1:30" x14ac:dyDescent="0.25">
      <c r="A76">
        <f>+A75+1</f>
        <v>75</v>
      </c>
      <c r="F76" s="9" t="s">
        <v>23</v>
      </c>
      <c r="G76" s="9" t="s">
        <v>23</v>
      </c>
      <c r="I76" s="8">
        <f>13807.6+938.72+92.4+621.12+373.28</f>
        <v>15833.12</v>
      </c>
      <c r="J76" s="8">
        <f>6160.69+329.84+528.38+3065.76</f>
        <v>10084.67</v>
      </c>
      <c r="K76" s="8">
        <v>0</v>
      </c>
      <c r="L76" s="8">
        <v>310.8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f t="shared" si="12"/>
        <v>26228.59</v>
      </c>
      <c r="S76" s="8">
        <v>2910.6</v>
      </c>
      <c r="T76" s="8">
        <v>617.4</v>
      </c>
      <c r="U76" s="8">
        <v>70.52</v>
      </c>
      <c r="V76" s="8">
        <v>0</v>
      </c>
      <c r="W76" s="8">
        <v>0</v>
      </c>
      <c r="X76" s="8">
        <v>0</v>
      </c>
      <c r="Y76" s="8">
        <v>47.04</v>
      </c>
      <c r="Z76" s="8">
        <v>23.16</v>
      </c>
      <c r="AA76" s="8">
        <v>0</v>
      </c>
      <c r="AB76" s="10">
        <f t="shared" si="10"/>
        <v>3028.16</v>
      </c>
      <c r="AC76" s="10">
        <f t="shared" si="11"/>
        <v>640.55999999999995</v>
      </c>
    </row>
    <row r="80" spans="1:30" ht="48" x14ac:dyDescent="0.25">
      <c r="H80" s="17" t="s">
        <v>30</v>
      </c>
      <c r="I80" s="13" t="s">
        <v>8</v>
      </c>
      <c r="J80" s="13" t="s">
        <v>9</v>
      </c>
      <c r="K80" s="13" t="s">
        <v>10</v>
      </c>
      <c r="L80" s="14" t="s">
        <v>11</v>
      </c>
      <c r="M80" s="14" t="s">
        <v>12</v>
      </c>
      <c r="N80" s="14" t="s">
        <v>13</v>
      </c>
      <c r="O80" s="15" t="s">
        <v>27</v>
      </c>
      <c r="P80" s="15" t="s">
        <v>29</v>
      </c>
      <c r="Q80" s="15" t="s">
        <v>28</v>
      </c>
      <c r="R80" s="14" t="s">
        <v>14</v>
      </c>
      <c r="S80" s="15" t="s">
        <v>15</v>
      </c>
      <c r="T80" s="15" t="s">
        <v>16</v>
      </c>
      <c r="U80" s="15" t="s">
        <v>17</v>
      </c>
      <c r="V80" s="16" t="s">
        <v>18</v>
      </c>
      <c r="W80" s="16" t="s">
        <v>19</v>
      </c>
      <c r="X80" s="16" t="s">
        <v>24</v>
      </c>
      <c r="Y80" s="16" t="s">
        <v>20</v>
      </c>
      <c r="Z80" s="16" t="s">
        <v>21</v>
      </c>
      <c r="AA80" s="16" t="s">
        <v>22</v>
      </c>
      <c r="AB80" s="16" t="s">
        <v>25</v>
      </c>
      <c r="AC80" s="16" t="s">
        <v>26</v>
      </c>
    </row>
    <row r="81" spans="1:30" s="8" customFormat="1" x14ac:dyDescent="0.25">
      <c r="A81"/>
      <c r="B81" s="9"/>
      <c r="C81" s="9"/>
      <c r="D81" s="9"/>
      <c r="E81" s="9"/>
      <c r="F81" s="9"/>
      <c r="G81" s="9"/>
      <c r="H81" s="9" t="s">
        <v>1</v>
      </c>
      <c r="I81" s="8">
        <f>+SUMIF($B$2:$B$76,"X",I2:I76)</f>
        <v>782246.23</v>
      </c>
      <c r="J81" s="8">
        <f>+SUMIF($B$2:$B$76,"X",J2:J76)</f>
        <v>0</v>
      </c>
      <c r="K81" s="8">
        <f>+SUMIF($B$2:$B$76,"X",K2:K76)</f>
        <v>21723.91</v>
      </c>
      <c r="L81" s="8">
        <f>+SUMIF($B$2:$B$76,"X",L2:L76)</f>
        <v>1219.5899999999999</v>
      </c>
      <c r="M81" s="8">
        <f>+SUMIF($B$2:$B$76,"X",M2:M76)</f>
        <v>17142.189999999999</v>
      </c>
      <c r="N81" s="8">
        <f>+SUMIF($B$2:$B$76,"X",N2:N76)</f>
        <v>77.7</v>
      </c>
      <c r="O81" s="8">
        <f>+SUMIF($B$2:$B$76,"X",O2:O76)</f>
        <v>0</v>
      </c>
      <c r="P81" s="8">
        <f>+SUMIF($B$2:$B$76,"X",P2:P76)</f>
        <v>13499.79</v>
      </c>
      <c r="Q81" s="8">
        <f>+SUMIF($B$2:$B$76,"X",Q2:Q76)</f>
        <v>10402.16</v>
      </c>
      <c r="R81" s="8">
        <f>+SUMIF($B$2:$B$76,"X",R2:R76)</f>
        <v>846311.57000000007</v>
      </c>
      <c r="S81" s="8">
        <f>+SUMIF($B$2:$B$76,"X",S2:S76)</f>
        <v>61452.799999999996</v>
      </c>
      <c r="T81" s="8">
        <f>+SUMIF($B$2:$B$76,"X",T2:T76)</f>
        <v>3827.2000000000003</v>
      </c>
      <c r="U81" s="8">
        <f>+SUMIF($B$2:$B$76,"X",U2:U76)</f>
        <v>3285.5999999999995</v>
      </c>
      <c r="V81" s="8">
        <f>+SUMIF($B$2:$B$76,"X",V2:V76)</f>
        <v>0</v>
      </c>
      <c r="W81" s="8">
        <f>+SUMIF($B$2:$B$76,"X",W2:W76)</f>
        <v>0</v>
      </c>
      <c r="X81" s="8">
        <f>+SUMIF($B$2:$B$76,"X",X2:X76)</f>
        <v>107682.53</v>
      </c>
      <c r="Y81" s="8">
        <f>+SUMIF($B$2:$B$76,"X",Y2:Y76)</f>
        <v>2817.42</v>
      </c>
      <c r="Z81" s="8">
        <f>+SUMIF($B$2:$B$76,"X",Z2:Z76)</f>
        <v>1387.5599999999997</v>
      </c>
      <c r="AA81" s="8">
        <f>+SUMIF($B$2:$B$76,"X",AA2:AA76)</f>
        <v>20500</v>
      </c>
      <c r="AB81" s="8">
        <f>+SUMIF($B$2:$B$76,"X",AB2:AB76)</f>
        <v>195738.35</v>
      </c>
      <c r="AC81" s="8">
        <f>+SUMIF($B$2:$B$76,"X",AC2:AC76)</f>
        <v>5214.76</v>
      </c>
      <c r="AD81"/>
    </row>
    <row r="82" spans="1:30" s="8" customFormat="1" x14ac:dyDescent="0.25">
      <c r="A82"/>
      <c r="B82" s="9"/>
      <c r="C82" s="9"/>
      <c r="D82" s="9"/>
      <c r="E82" s="9"/>
      <c r="F82" s="9"/>
      <c r="G82" s="9"/>
      <c r="H82" s="9" t="s">
        <v>2</v>
      </c>
      <c r="I82" s="8">
        <f>+SUMIF($C$2:$C$76,"X",I2:I76)</f>
        <v>639279.49999999988</v>
      </c>
      <c r="J82" s="8">
        <f>+SUMIF($C$2:$C$76,"X",J2:J76)</f>
        <v>0</v>
      </c>
      <c r="K82" s="8">
        <f>+SUMIF($C$2:$C$76,"X",K2:K76)</f>
        <v>7853.4999999999991</v>
      </c>
      <c r="L82" s="8">
        <f>+SUMIF($C$2:$C$76,"X",L2:L76)</f>
        <v>11065.1</v>
      </c>
      <c r="M82" s="8">
        <f>+SUMIF($C$2:$C$76,"X",M2:M76)</f>
        <v>8764.93</v>
      </c>
      <c r="N82" s="8">
        <f>+SUMIF($C$2:$C$76,"X",N2:N76)</f>
        <v>0</v>
      </c>
      <c r="O82" s="8">
        <f>+SUMIF($C$2:$C$76,"X",O2:O76)</f>
        <v>0</v>
      </c>
      <c r="P82" s="8">
        <f>+SUMIF($C$2:$C$76,"X",P2:P76)</f>
        <v>0</v>
      </c>
      <c r="Q82" s="8">
        <f>+SUMIF($C$2:$C$76,"X",Q2:Q76)</f>
        <v>0</v>
      </c>
      <c r="R82" s="8">
        <f>+SUMIF($C$2:$C$76,"X",R2:R76)</f>
        <v>666963.03</v>
      </c>
      <c r="S82" s="8">
        <f>+SUMIF($C$2:$C$76,"X",S2:S76)</f>
        <v>87872</v>
      </c>
      <c r="T82" s="8">
        <f>+SUMIF($C$2:$C$76,"X",T2:T76)</f>
        <v>5488</v>
      </c>
      <c r="U82" s="8">
        <f>+SUMIF($C$2:$C$76,"X",U2:U76)</f>
        <v>2627.3199999999997</v>
      </c>
      <c r="V82" s="8">
        <f>+SUMIF($C$2:$C$76,"X",V2:V76)</f>
        <v>83895.360000000001</v>
      </c>
      <c r="W82" s="8">
        <f>+SUMIF($C$2:$C$76,"X",W2:W76)</f>
        <v>0</v>
      </c>
      <c r="X82" s="8">
        <f>+SUMIF($C$2:$C$76,"X",X2:X76)</f>
        <v>54061.840000000004</v>
      </c>
      <c r="Y82" s="8">
        <f>+SUMIF($C$2:$C$76,"X",Y2:Y76)</f>
        <v>2322.15</v>
      </c>
      <c r="Z82" s="8">
        <f>+SUMIF($C$2:$C$76,"X",Z2:Z76)</f>
        <v>1143.69</v>
      </c>
      <c r="AA82" s="8">
        <f>+SUMIF($C$2:$C$76,"X",AA2:AA76)</f>
        <v>0</v>
      </c>
      <c r="AB82" s="8">
        <f>+SUMIF($C$2:$C$76,"X",AB2:AB76)</f>
        <v>230778.66999999998</v>
      </c>
      <c r="AC82" s="8">
        <f>+SUMIF($C$2:$C$76,"X",AC2:AC76)</f>
        <v>6631.69</v>
      </c>
      <c r="AD82"/>
    </row>
    <row r="83" spans="1:30" s="8" customFormat="1" ht="15.75" thickBot="1" x14ac:dyDescent="0.3">
      <c r="A83"/>
      <c r="B83" s="9"/>
      <c r="C83" s="9"/>
      <c r="D83" s="9"/>
      <c r="E83" s="9"/>
      <c r="F83" s="9"/>
      <c r="G83" s="9"/>
      <c r="H83" s="9" t="s">
        <v>31</v>
      </c>
      <c r="I83" s="12">
        <f>+SUM(I81:I82)</f>
        <v>1421525.73</v>
      </c>
      <c r="J83" s="12">
        <f t="shared" ref="J83:AC83" si="13">+SUM(J81:J82)</f>
        <v>0</v>
      </c>
      <c r="K83" s="12">
        <f t="shared" si="13"/>
        <v>29577.41</v>
      </c>
      <c r="L83" s="12">
        <f t="shared" si="13"/>
        <v>12284.69</v>
      </c>
      <c r="M83" s="12">
        <f t="shared" si="13"/>
        <v>25907.119999999999</v>
      </c>
      <c r="N83" s="12">
        <f t="shared" si="13"/>
        <v>77.7</v>
      </c>
      <c r="O83" s="12">
        <f t="shared" si="13"/>
        <v>0</v>
      </c>
      <c r="P83" s="12">
        <f t="shared" si="13"/>
        <v>13499.79</v>
      </c>
      <c r="Q83" s="12">
        <f t="shared" si="13"/>
        <v>10402.16</v>
      </c>
      <c r="R83" s="12">
        <f t="shared" si="13"/>
        <v>1513274.6</v>
      </c>
      <c r="S83" s="12">
        <f t="shared" si="13"/>
        <v>149324.79999999999</v>
      </c>
      <c r="T83" s="12">
        <f t="shared" si="13"/>
        <v>9315.2000000000007</v>
      </c>
      <c r="U83" s="12">
        <f t="shared" si="13"/>
        <v>5912.9199999999992</v>
      </c>
      <c r="V83" s="12">
        <f t="shared" si="13"/>
        <v>83895.360000000001</v>
      </c>
      <c r="W83" s="12">
        <f t="shared" si="13"/>
        <v>0</v>
      </c>
      <c r="X83" s="12">
        <f t="shared" si="13"/>
        <v>161744.37</v>
      </c>
      <c r="Y83" s="12">
        <f t="shared" si="13"/>
        <v>5139.57</v>
      </c>
      <c r="Z83" s="12">
        <f t="shared" si="13"/>
        <v>2531.25</v>
      </c>
      <c r="AA83" s="12">
        <f t="shared" si="13"/>
        <v>20500</v>
      </c>
      <c r="AB83" s="12">
        <f t="shared" si="13"/>
        <v>426517.02</v>
      </c>
      <c r="AC83" s="12">
        <f t="shared" si="13"/>
        <v>11846.45</v>
      </c>
      <c r="AD83"/>
    </row>
    <row r="85" spans="1:30" s="8" customFormat="1" x14ac:dyDescent="0.25">
      <c r="A85"/>
      <c r="B85" s="9"/>
      <c r="C85" s="9"/>
      <c r="D85" s="9"/>
      <c r="E85" s="9"/>
      <c r="F85" s="9"/>
      <c r="G85" s="9"/>
      <c r="H85" s="9" t="s">
        <v>4</v>
      </c>
      <c r="I85" s="8">
        <f>+SUMIF($E$2:$E$76,"X",I2:I76)</f>
        <v>1544737.26</v>
      </c>
      <c r="J85" s="8">
        <f>+SUMIF($E$2:$E$76,"X",J2:J76)</f>
        <v>0</v>
      </c>
      <c r="K85" s="8">
        <f>+SUMIF($E$2:$E$76,"X",K2:K76)</f>
        <v>29577.41</v>
      </c>
      <c r="L85" s="8">
        <f>+SUMIF($E$2:$E$76,"X",L2:L76)</f>
        <v>12906.340000000004</v>
      </c>
      <c r="M85" s="8">
        <f>+SUMIF($E$2:$E$76,"X",M2:M76)</f>
        <v>26229.15</v>
      </c>
      <c r="N85" s="8">
        <f>+SUMIF($E$2:$E$76,"X",N2:N76)</f>
        <v>543.54</v>
      </c>
      <c r="O85" s="8">
        <f>+SUMIF($E$2:$E$76,"X",O2:O76)</f>
        <v>0</v>
      </c>
      <c r="P85" s="8">
        <f>+SUMIF($E$2:$E$76,"X",P2:P76)</f>
        <v>13499.79</v>
      </c>
      <c r="Q85" s="8">
        <f>+SUMIF($E$2:$E$76,"X",Q2:Q76)</f>
        <v>10402.16</v>
      </c>
      <c r="R85" s="8">
        <f>+SUMIF($E$2:$E$76,"X",R2:R76)</f>
        <v>1637895.65</v>
      </c>
      <c r="S85" s="8">
        <f>+SUMIF($E$2:$E$76,"X",S2:S76)</f>
        <v>169123.20000000001</v>
      </c>
      <c r="T85" s="8">
        <f>+SUMIF($E$2:$E$76,"X",T2:T76)</f>
        <v>10556.8</v>
      </c>
      <c r="U85" s="8">
        <f>+SUMIF($E$2:$E$76,"X",U2:U76)</f>
        <v>6430.65</v>
      </c>
      <c r="V85" s="8">
        <f>+SUMIF($E$2:$E$76,"X",V2:V76)</f>
        <v>113972.28</v>
      </c>
      <c r="W85" s="8">
        <f>+SUMIF($E$2:$E$76,"X",W2:W76)</f>
        <v>0</v>
      </c>
      <c r="X85" s="8">
        <f>+SUMIF($E$2:$E$76,"X",X2:X76)</f>
        <v>165661.18</v>
      </c>
      <c r="Y85" s="8">
        <f>+SUMIF($E$2:$E$76,"X",Y2:Y76)</f>
        <v>5457.81</v>
      </c>
      <c r="Z85" s="8">
        <f>+SUMIF($E$2:$E$76,"X",Z2:Z76)</f>
        <v>2687.9700000000003</v>
      </c>
      <c r="AA85" s="8">
        <f>+SUMIF($E$2:$E$76,"X",AA2:AA76)</f>
        <v>20500</v>
      </c>
      <c r="AB85" s="8">
        <f>+SUMIF($E$2:$E$76,"X",AB2:AB76)</f>
        <v>481145.11999999994</v>
      </c>
      <c r="AC85" s="8">
        <f>+SUMIF($E$2:$E$76,"X",AC2:AC76)</f>
        <v>13244.77</v>
      </c>
      <c r="AD85"/>
    </row>
    <row r="86" spans="1:30" s="8" customFormat="1" x14ac:dyDescent="0.25">
      <c r="A86"/>
      <c r="B86" s="9"/>
      <c r="C86" s="9"/>
      <c r="D86" s="9"/>
      <c r="E86" s="9"/>
      <c r="F86" s="9"/>
      <c r="G86" s="9"/>
      <c r="H86" s="9" t="s">
        <v>5</v>
      </c>
      <c r="I86" s="8">
        <f>+SUMIF($F$2:$F$76,"X",I2:I76)</f>
        <v>3682411.24</v>
      </c>
      <c r="J86" s="8">
        <f>+SUMIF($F$2:$F$76,"X",J2:J76)</f>
        <v>1118590.2799999996</v>
      </c>
      <c r="K86" s="8">
        <f>+SUMIF($F$2:$F$76,"X",K2:K76)</f>
        <v>33337.240000000005</v>
      </c>
      <c r="L86" s="8">
        <f>+SUMIF($F$2:$F$76,"X",L2:L76)</f>
        <v>18966.039999999986</v>
      </c>
      <c r="M86" s="8">
        <f>+SUMIF($F$2:$F$76,"X",M2:M76)</f>
        <v>59429.32</v>
      </c>
      <c r="N86" s="8">
        <f>+SUMIF($F$2:$F$76,"X",N2:N76)</f>
        <v>2330.7999999999997</v>
      </c>
      <c r="O86" s="8">
        <f>+SUMIF($F$2:$F$76,"X",O2:O76)</f>
        <v>2900</v>
      </c>
      <c r="P86" s="8">
        <f>+SUMIF($F$2:$F$76,"X",P2:P76)</f>
        <v>0</v>
      </c>
      <c r="Q86" s="8">
        <f>+SUMIF($F$2:$F$76,"X",Q2:Q76)</f>
        <v>0</v>
      </c>
      <c r="R86" s="8">
        <f>+SUMIF($F$2:$F$76,"X",R2:R76)</f>
        <v>4917964.9199999971</v>
      </c>
      <c r="S86" s="8">
        <f>+SUMIF($F$2:$F$76,"X",S2:S76)</f>
        <v>685288.6799999997</v>
      </c>
      <c r="T86" s="8">
        <f>+SUMIF($F$2:$F$76,"X",T2:T76)</f>
        <v>93413.719999999972</v>
      </c>
      <c r="U86" s="8">
        <f>+SUMIF($F$2:$F$76,"X",U2:U76)</f>
        <v>16100.649999999998</v>
      </c>
      <c r="V86" s="8">
        <f>+SUMIF($F$2:$F$76,"X",V2:V76)</f>
        <v>781427.96</v>
      </c>
      <c r="W86" s="8">
        <f>+SUMIF($F$2:$F$76,"X",W2:W76)</f>
        <v>110440.04</v>
      </c>
      <c r="X86" s="8">
        <f>+SUMIF($F$2:$F$76,"X",X2:X76)</f>
        <v>169697.75</v>
      </c>
      <c r="Y86" s="8">
        <f>+SUMIF($F$2:$F$76,"X",Y2:Y76)</f>
        <v>14213.230000000001</v>
      </c>
      <c r="Z86" s="8">
        <f>+SUMIF($F$2:$F$76,"X",Z2:Z76)</f>
        <v>7000.7899999999981</v>
      </c>
      <c r="AA86" s="8">
        <f>+SUMIF($F$2:$F$76,"X",AA2:AA76)</f>
        <v>0</v>
      </c>
      <c r="AB86" s="8">
        <f>+SUMIF($F$2:$F$76,"X",AB2:AB76)</f>
        <v>1777168.3099999987</v>
      </c>
      <c r="AC86" s="8">
        <f>+SUMIF($F$2:$F$76,"X",AC2:AC76)</f>
        <v>100414.51000000004</v>
      </c>
      <c r="AD86"/>
    </row>
    <row r="87" spans="1:30" s="8" customFormat="1" ht="15.75" thickBot="1" x14ac:dyDescent="0.3">
      <c r="A87"/>
      <c r="B87" s="9"/>
      <c r="C87" s="9"/>
      <c r="D87" s="9"/>
      <c r="E87" s="9"/>
      <c r="F87" s="9"/>
      <c r="G87" s="9"/>
      <c r="H87" s="9" t="s">
        <v>31</v>
      </c>
      <c r="I87" s="12">
        <f>+I85+I86</f>
        <v>5227148.5</v>
      </c>
      <c r="J87" s="12">
        <f t="shared" ref="J87:AC87" si="14">+J85+J86</f>
        <v>1118590.2799999996</v>
      </c>
      <c r="K87" s="12">
        <f t="shared" si="14"/>
        <v>62914.650000000009</v>
      </c>
      <c r="L87" s="12">
        <f t="shared" si="14"/>
        <v>31872.37999999999</v>
      </c>
      <c r="M87" s="12">
        <f t="shared" si="14"/>
        <v>85658.47</v>
      </c>
      <c r="N87" s="12">
        <f t="shared" si="14"/>
        <v>2874.3399999999997</v>
      </c>
      <c r="O87" s="12">
        <f t="shared" si="14"/>
        <v>2900</v>
      </c>
      <c r="P87" s="12">
        <f t="shared" si="14"/>
        <v>13499.79</v>
      </c>
      <c r="Q87" s="12">
        <f t="shared" si="14"/>
        <v>10402.16</v>
      </c>
      <c r="R87" s="12">
        <f t="shared" si="14"/>
        <v>6555860.5699999966</v>
      </c>
      <c r="S87" s="12">
        <f t="shared" si="14"/>
        <v>854411.87999999966</v>
      </c>
      <c r="T87" s="12">
        <f t="shared" si="14"/>
        <v>103970.51999999997</v>
      </c>
      <c r="U87" s="12">
        <f t="shared" si="14"/>
        <v>22531.299999999996</v>
      </c>
      <c r="V87" s="12">
        <f t="shared" si="14"/>
        <v>895400.24</v>
      </c>
      <c r="W87" s="12">
        <f t="shared" si="14"/>
        <v>110440.04</v>
      </c>
      <c r="X87" s="12">
        <f t="shared" si="14"/>
        <v>335358.93</v>
      </c>
      <c r="Y87" s="12">
        <f t="shared" si="14"/>
        <v>19671.04</v>
      </c>
      <c r="Z87" s="12">
        <f t="shared" si="14"/>
        <v>9688.7599999999984</v>
      </c>
      <c r="AA87" s="12">
        <f t="shared" si="14"/>
        <v>20500</v>
      </c>
      <c r="AB87" s="12">
        <f t="shared" si="14"/>
        <v>2258313.4299999988</v>
      </c>
      <c r="AC87" s="12">
        <f t="shared" si="14"/>
        <v>113659.28000000004</v>
      </c>
      <c r="AD87"/>
    </row>
    <row r="88" spans="1:30" s="8" customFormat="1" x14ac:dyDescent="0.25">
      <c r="A88"/>
      <c r="B88" s="9"/>
      <c r="C88" s="9"/>
      <c r="D88" s="9"/>
      <c r="E88" s="9"/>
      <c r="F88" s="9"/>
      <c r="G88" s="9"/>
      <c r="H88" s="9"/>
      <c r="AD88"/>
    </row>
    <row r="89" spans="1:30" s="8" customFormat="1" x14ac:dyDescent="0.25">
      <c r="A89"/>
      <c r="B89" s="9"/>
      <c r="C89" s="9"/>
      <c r="D89" s="9"/>
      <c r="E89" s="9"/>
      <c r="F89" s="9"/>
      <c r="G89" s="9"/>
      <c r="H89" s="9" t="s">
        <v>6</v>
      </c>
      <c r="I89" s="8">
        <f>+SUMIF($G$2:$G$76,"X",I2:I76)</f>
        <v>2235463.1999999997</v>
      </c>
      <c r="J89" s="8">
        <f>+SUMIF($G$2:$G$76,"X",J2:J76)</f>
        <v>1008309.59</v>
      </c>
      <c r="K89" s="8">
        <f>+SUMIF($G$2:$G$76,"X",K2:K76)</f>
        <v>15598.569999999998</v>
      </c>
      <c r="L89" s="8">
        <f>+SUMIF($G$2:$G$76,"X",L2:L76)</f>
        <v>9330.73</v>
      </c>
      <c r="M89" s="8">
        <f>+SUMIF($G$2:$G$76,"X",M2:M76)</f>
        <v>34413.329999999994</v>
      </c>
      <c r="N89" s="8">
        <f>+SUMIF($G$2:$G$76,"X",N2:N76)</f>
        <v>2097.69</v>
      </c>
      <c r="O89" s="8">
        <f>+SUMIF($G$2:$G$76,"X",O2:O76)</f>
        <v>2600</v>
      </c>
      <c r="P89" s="8">
        <f>+SUMIF($G$2:$G$76,"X",P2:P76)</f>
        <v>0</v>
      </c>
      <c r="Q89" s="8">
        <f>+SUMIF($G$2:$G$76,"X",Q2:Q76)</f>
        <v>0</v>
      </c>
      <c r="R89" s="8">
        <f>+SUMIF($G$2:$G$76,"X",R2:R76)</f>
        <v>3307813.1100000003</v>
      </c>
      <c r="S89" s="8">
        <f>+SUMIF($G$2:$G$76,"X",S2:S76)</f>
        <v>338248.67999999993</v>
      </c>
      <c r="T89" s="8">
        <f>+SUMIF($G$2:$G$76,"X",T2:T76)</f>
        <v>71749.719999999987</v>
      </c>
      <c r="U89" s="8">
        <f>+SUMIF($G$2:$G$76,"X",U2:U76)</f>
        <v>9966.76</v>
      </c>
      <c r="V89" s="8">
        <f>+SUMIF($G$2:$G$76,"X",V2:V76)</f>
        <v>672815.24000000011</v>
      </c>
      <c r="W89" s="8">
        <f>+SUMIF($G$2:$G$76,"X",W2:W76)</f>
        <v>110440.04</v>
      </c>
      <c r="X89" s="8">
        <f>+SUMIF($G$2:$G$76,"X",X2:X76)</f>
        <v>0</v>
      </c>
      <c r="Y89" s="8">
        <f>+SUMIF($G$2:$G$76,"X",Y2:Y76)</f>
        <v>8906.3700000000044</v>
      </c>
      <c r="Z89" s="8">
        <f>+SUMIF($G$2:$G$76,"X",Z2:Z76)</f>
        <v>4386.95</v>
      </c>
      <c r="AA89" s="8">
        <f>+SUMIF($G$2:$G$76,"X",AA2:AA76)</f>
        <v>0</v>
      </c>
      <c r="AB89" s="8">
        <f>+SUMIF($G$2:$G$76,"X",AB2:AB76)</f>
        <v>1140377.0899999994</v>
      </c>
      <c r="AC89" s="8">
        <f>+SUMIF($G$2:$G$76,"X",AC2:AC76)</f>
        <v>76136.670000000027</v>
      </c>
      <c r="AD89"/>
    </row>
    <row r="90" spans="1:30" s="8" customFormat="1" x14ac:dyDescent="0.25">
      <c r="A90"/>
      <c r="B90" s="9"/>
      <c r="C90" s="9"/>
      <c r="D90" s="9"/>
      <c r="E90" s="9"/>
      <c r="F90" s="9"/>
      <c r="G90" s="9"/>
      <c r="H90" s="9" t="s">
        <v>7</v>
      </c>
      <c r="I90" s="8">
        <f>+SUMIF($H$2:$H$76,"X",I2:I76)</f>
        <v>2991685.3000000003</v>
      </c>
      <c r="J90" s="8">
        <f>+SUMIF($H$2:$H$76,"X",J2:J76)</f>
        <v>110280.69000000003</v>
      </c>
      <c r="K90" s="8">
        <f>+SUMIF($H$2:$H$76,"X",K2:K76)</f>
        <v>47316.08</v>
      </c>
      <c r="L90" s="8">
        <f>+SUMIF($H$2:$H$76,"X",L2:L76)</f>
        <v>22541.649999999994</v>
      </c>
      <c r="M90" s="8">
        <f>+SUMIF($H$2:$H$76,"X",M2:M76)</f>
        <v>51245.140000000007</v>
      </c>
      <c r="N90" s="8">
        <f>+SUMIF($H$2:$H$76,"X",N2:N76)</f>
        <v>776.65000000000009</v>
      </c>
      <c r="O90" s="8">
        <f>+SUMIF($H$2:$H$76,"X",O2:O76)</f>
        <v>300</v>
      </c>
      <c r="P90" s="8">
        <f>+SUMIF($H$2:$H$76,"X",P2:P76)</f>
        <v>13499.79</v>
      </c>
      <c r="Q90" s="8">
        <f>+SUMIF($H$2:$H$76,"X",Q2:Q76)</f>
        <v>10402.16</v>
      </c>
      <c r="R90" s="8">
        <f>+SUMIF($H$2:$H$76,"X",R2:R76)</f>
        <v>3248047.4599999995</v>
      </c>
      <c r="S90" s="8">
        <f>+SUMIF($H$2:$H$76,"X",S2:S76)</f>
        <v>516163.19999999972</v>
      </c>
      <c r="T90" s="8">
        <f>+SUMIF($H$2:$H$76,"X",T2:T76)</f>
        <v>32220.800000000017</v>
      </c>
      <c r="U90" s="8">
        <f>+SUMIF($H$2:$H$76,"X",U2:U76)</f>
        <v>12564.539999999999</v>
      </c>
      <c r="V90" s="8">
        <f>+SUMIF($H$2:$H$76,"X",V2:V76)</f>
        <v>222585</v>
      </c>
      <c r="W90" s="8">
        <f>+SUMIF($H$2:$H$76,"X",W2:W76)</f>
        <v>0</v>
      </c>
      <c r="X90" s="8">
        <f>+SUMIF($H$2:$H$76,"X",X2:X76)</f>
        <v>335358.93</v>
      </c>
      <c r="Y90" s="8">
        <f>+SUMIF($H$2:$H$76,"X",Y2:Y76)</f>
        <v>10764.669999999998</v>
      </c>
      <c r="Z90" s="8">
        <f>+SUMIF($H$2:$H$76,"X",Z2:Z76)</f>
        <v>5301.8099999999995</v>
      </c>
      <c r="AA90" s="8">
        <f>+SUMIF($H$2:$H$76,"X",AA2:AA76)</f>
        <v>20500</v>
      </c>
      <c r="AB90" s="8">
        <f>+SUMIF($H$2:$H$76,"X",AB2:AB76)</f>
        <v>1117936.3399999999</v>
      </c>
      <c r="AC90" s="8">
        <f>+SUMIF($H$2:$H$76,"X",AC2:AC76)</f>
        <v>37522.61</v>
      </c>
      <c r="AD90"/>
    </row>
    <row r="91" spans="1:30" s="8" customFormat="1" ht="15.75" thickBot="1" x14ac:dyDescent="0.3">
      <c r="A91"/>
      <c r="B91" s="9"/>
      <c r="C91" s="9"/>
      <c r="D91" s="9"/>
      <c r="E91" s="9"/>
      <c r="F91" s="9"/>
      <c r="G91" s="9"/>
      <c r="H91" s="9" t="s">
        <v>31</v>
      </c>
      <c r="I91" s="12">
        <f>+I89+I90</f>
        <v>5227148.5</v>
      </c>
      <c r="J91" s="12">
        <f t="shared" ref="J91:AC91" si="15">+J89+J90</f>
        <v>1118590.28</v>
      </c>
      <c r="K91" s="12">
        <f t="shared" si="15"/>
        <v>62914.65</v>
      </c>
      <c r="L91" s="12">
        <f t="shared" si="15"/>
        <v>31872.379999999994</v>
      </c>
      <c r="M91" s="12">
        <f t="shared" si="15"/>
        <v>85658.47</v>
      </c>
      <c r="N91" s="12">
        <f t="shared" si="15"/>
        <v>2874.34</v>
      </c>
      <c r="O91" s="12">
        <f t="shared" si="15"/>
        <v>2900</v>
      </c>
      <c r="P91" s="12">
        <f t="shared" si="15"/>
        <v>13499.79</v>
      </c>
      <c r="Q91" s="12">
        <f t="shared" si="15"/>
        <v>10402.16</v>
      </c>
      <c r="R91" s="12">
        <f t="shared" si="15"/>
        <v>6555860.5700000003</v>
      </c>
      <c r="S91" s="12">
        <f t="shared" si="15"/>
        <v>854411.87999999966</v>
      </c>
      <c r="T91" s="12">
        <f t="shared" si="15"/>
        <v>103970.52</v>
      </c>
      <c r="U91" s="12">
        <f t="shared" si="15"/>
        <v>22531.3</v>
      </c>
      <c r="V91" s="12">
        <f t="shared" si="15"/>
        <v>895400.24000000011</v>
      </c>
      <c r="W91" s="12">
        <f t="shared" si="15"/>
        <v>110440.04</v>
      </c>
      <c r="X91" s="12">
        <f t="shared" si="15"/>
        <v>335358.93</v>
      </c>
      <c r="Y91" s="12">
        <f t="shared" si="15"/>
        <v>19671.04</v>
      </c>
      <c r="Z91" s="12">
        <f t="shared" si="15"/>
        <v>9688.7599999999984</v>
      </c>
      <c r="AA91" s="12">
        <f t="shared" si="15"/>
        <v>20500</v>
      </c>
      <c r="AB91" s="12">
        <f t="shared" si="15"/>
        <v>2258313.4299999992</v>
      </c>
      <c r="AC91" s="12">
        <f t="shared" si="15"/>
        <v>113659.28000000003</v>
      </c>
      <c r="AD91"/>
    </row>
    <row r="94" spans="1:30" s="8" customFormat="1" x14ac:dyDescent="0.25">
      <c r="A94"/>
      <c r="B94" s="9"/>
      <c r="C94" s="9"/>
      <c r="D94" s="9"/>
      <c r="E94" s="9"/>
      <c r="F94" s="9"/>
      <c r="G94" s="9"/>
      <c r="H94" s="9"/>
      <c r="AD94"/>
    </row>
  </sheetData>
  <autoFilter ref="A1:AC76" xr:uid="{713D6F93-451C-4540-9664-6C65187BE982}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ACBA8-38C2-4DC6-9895-AA7529EFC731}">
  <dimension ref="A1:AD91"/>
  <sheetViews>
    <sheetView zoomScaleNormal="100" workbookViewId="0">
      <pane ySplit="1" topLeftCell="A2" activePane="bottomLeft" state="frozen"/>
      <selection pane="bottomLeft" activeCell="X91" sqref="X91"/>
    </sheetView>
  </sheetViews>
  <sheetFormatPr defaultRowHeight="15" x14ac:dyDescent="0.25"/>
  <cols>
    <col min="1" max="1" width="9.5703125" bestFit="1" customWidth="1"/>
    <col min="2" max="2" width="15.42578125" style="9" customWidth="1"/>
    <col min="3" max="3" width="12.7109375" style="9" customWidth="1"/>
    <col min="4" max="4" width="14.42578125" style="9" customWidth="1"/>
    <col min="5" max="5" width="11.7109375" style="9" customWidth="1"/>
    <col min="6" max="6" width="15.42578125" style="9" customWidth="1"/>
    <col min="7" max="7" width="10.140625" style="9" customWidth="1"/>
    <col min="8" max="8" width="13.85546875" style="9" customWidth="1"/>
    <col min="9" max="9" width="14.28515625" style="8" customWidth="1"/>
    <col min="10" max="10" width="14.5703125" style="8" customWidth="1"/>
    <col min="11" max="11" width="14.7109375" style="8" customWidth="1"/>
    <col min="12" max="12" width="11.28515625" style="8" customWidth="1"/>
    <col min="13" max="13" width="15.140625" style="8" customWidth="1"/>
    <col min="14" max="14" width="10.140625" style="8" customWidth="1"/>
    <col min="15" max="17" width="16.140625" style="8" customWidth="1"/>
    <col min="18" max="18" width="14.7109375" style="8" customWidth="1"/>
    <col min="19" max="19" width="17.7109375" style="8" bestFit="1" customWidth="1"/>
    <col min="20" max="20" width="18" style="8" bestFit="1" customWidth="1"/>
    <col min="21" max="23" width="17.7109375" style="8" bestFit="1" customWidth="1"/>
    <col min="24" max="24" width="15.42578125" style="8" bestFit="1" customWidth="1"/>
    <col min="25" max="26" width="14" style="8" bestFit="1" customWidth="1"/>
    <col min="27" max="27" width="15.42578125" style="8" bestFit="1" customWidth="1"/>
    <col min="28" max="28" width="23.7109375" bestFit="1" customWidth="1"/>
    <col min="29" max="29" width="21" customWidth="1"/>
  </cols>
  <sheetData>
    <row r="1" spans="1:30" s="2" customFormat="1" ht="4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5" t="s">
        <v>27</v>
      </c>
      <c r="P1" s="5" t="s">
        <v>29</v>
      </c>
      <c r="Q1" s="5" t="s">
        <v>28</v>
      </c>
      <c r="R1" s="4" t="s">
        <v>14</v>
      </c>
      <c r="S1" s="5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24</v>
      </c>
      <c r="Y1" s="7" t="s">
        <v>20</v>
      </c>
      <c r="Z1" s="7" t="s">
        <v>21</v>
      </c>
      <c r="AA1" s="7" t="s">
        <v>32</v>
      </c>
      <c r="AB1" s="7" t="s">
        <v>25</v>
      </c>
      <c r="AC1" s="7" t="s">
        <v>26</v>
      </c>
    </row>
    <row r="2" spans="1:30" x14ac:dyDescent="0.25">
      <c r="A2">
        <v>1</v>
      </c>
      <c r="C2" s="9" t="s">
        <v>23</v>
      </c>
      <c r="E2" s="9" t="s">
        <v>23</v>
      </c>
      <c r="H2" s="9" t="s">
        <v>23</v>
      </c>
      <c r="I2" s="8">
        <f>88456.1+4490.19+449.02+2245.08+13021.49+8082.28</f>
        <v>116744.16000000002</v>
      </c>
      <c r="J2" s="8">
        <v>0</v>
      </c>
      <c r="K2" s="8">
        <v>0</v>
      </c>
      <c r="L2" s="8">
        <v>2117.58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f>+SUM(I2:O2)</f>
        <v>118861.74000000002</v>
      </c>
      <c r="S2" s="8">
        <v>14163.2</v>
      </c>
      <c r="T2" s="8">
        <v>1068.8</v>
      </c>
      <c r="U2" s="8">
        <v>485.04</v>
      </c>
      <c r="V2" s="8">
        <v>44491.08</v>
      </c>
      <c r="W2" s="8">
        <v>0</v>
      </c>
      <c r="X2" s="8">
        <v>4669.6000000000004</v>
      </c>
      <c r="Y2" s="8">
        <v>475.44</v>
      </c>
      <c r="Z2" s="8">
        <v>234.24</v>
      </c>
      <c r="AA2" s="8">
        <v>0</v>
      </c>
      <c r="AB2" s="10">
        <f t="shared" ref="AB2:AB61" si="0">+S2+U2+V2+W2+X2+Y2+AA2</f>
        <v>64284.360000000008</v>
      </c>
      <c r="AC2" s="10">
        <f>+T2+Z2</f>
        <v>1303.04</v>
      </c>
    </row>
    <row r="3" spans="1:30" x14ac:dyDescent="0.25">
      <c r="A3">
        <f>+A2+1</f>
        <v>2</v>
      </c>
      <c r="F3" s="9" t="s">
        <v>23</v>
      </c>
      <c r="G3" s="9" t="s">
        <v>23</v>
      </c>
      <c r="I3" s="8">
        <f>21386.3+1335.6+267.12+267.12+1602.72+3556.05</f>
        <v>28414.909999999996</v>
      </c>
      <c r="J3" s="8">
        <f>1953.32+801.36</f>
        <v>2754.68</v>
      </c>
      <c r="K3" s="8">
        <v>7445.97</v>
      </c>
      <c r="L3" s="8">
        <v>0</v>
      </c>
      <c r="M3" s="8">
        <v>0</v>
      </c>
      <c r="N3" s="8">
        <v>0</v>
      </c>
      <c r="O3" s="8">
        <v>150</v>
      </c>
      <c r="P3" s="8">
        <v>0</v>
      </c>
      <c r="Q3" s="8">
        <v>0</v>
      </c>
      <c r="R3" s="8">
        <f t="shared" ref="R3:R11" si="1">+SUM(I3:Q3)</f>
        <v>38765.56</v>
      </c>
      <c r="S3" s="8">
        <v>8157.6</v>
      </c>
      <c r="T3" s="8">
        <v>1730.4</v>
      </c>
      <c r="U3" s="8">
        <v>145.08000000000001</v>
      </c>
      <c r="V3" s="8">
        <v>13233.9</v>
      </c>
      <c r="W3" s="8">
        <v>1420.73</v>
      </c>
      <c r="X3" s="8">
        <v>0</v>
      </c>
      <c r="Y3" s="8">
        <v>141.41999999999999</v>
      </c>
      <c r="Z3" s="8">
        <v>69.66</v>
      </c>
      <c r="AA3" s="8">
        <v>0</v>
      </c>
      <c r="AB3" s="10">
        <f t="shared" si="0"/>
        <v>23098.73</v>
      </c>
      <c r="AC3" s="10">
        <f t="shared" ref="AC3:AC62" si="2">+T3+Z3</f>
        <v>1800.0600000000002</v>
      </c>
    </row>
    <row r="4" spans="1:30" x14ac:dyDescent="0.25">
      <c r="A4">
        <f t="shared" ref="A4:A63" si="3">+A3+1</f>
        <v>3</v>
      </c>
      <c r="F4" s="9" t="s">
        <v>23</v>
      </c>
      <c r="G4" s="9" t="s">
        <v>23</v>
      </c>
      <c r="I4" s="8">
        <f>57435.24+14020.36+3477.44+345.68+369.01+9070.24+1037.04</f>
        <v>85755.01</v>
      </c>
      <c r="J4" s="8">
        <f>5388.06+6006.19+26428.72+7877.66+10018.47+5703.72</f>
        <v>61422.820000000007</v>
      </c>
      <c r="K4" s="8">
        <v>0</v>
      </c>
      <c r="L4" s="8">
        <v>616.97</v>
      </c>
      <c r="M4" s="8">
        <v>3173.04</v>
      </c>
      <c r="N4" s="8">
        <v>0</v>
      </c>
      <c r="O4" s="8">
        <v>300</v>
      </c>
      <c r="P4" s="8">
        <v>0</v>
      </c>
      <c r="Q4" s="8">
        <v>0</v>
      </c>
      <c r="R4" s="8">
        <f t="shared" si="1"/>
        <v>151267.84000000003</v>
      </c>
      <c r="S4" s="8">
        <v>12566.4</v>
      </c>
      <c r="T4" s="8">
        <v>2665.6</v>
      </c>
      <c r="U4" s="8">
        <v>373.08</v>
      </c>
      <c r="V4" s="8">
        <v>34251.72</v>
      </c>
      <c r="W4" s="8">
        <v>4507.6000000000004</v>
      </c>
      <c r="X4" s="8">
        <v>0</v>
      </c>
      <c r="Y4" s="8">
        <v>366.12</v>
      </c>
      <c r="Z4" s="8">
        <v>180.24</v>
      </c>
      <c r="AA4" s="8">
        <v>0</v>
      </c>
      <c r="AB4" s="10">
        <f t="shared" si="0"/>
        <v>52064.92</v>
      </c>
      <c r="AC4" s="10">
        <f t="shared" si="2"/>
        <v>2845.84</v>
      </c>
    </row>
    <row r="5" spans="1:30" x14ac:dyDescent="0.25">
      <c r="A5">
        <f t="shared" si="3"/>
        <v>4</v>
      </c>
      <c r="F5" s="9" t="s">
        <v>23</v>
      </c>
      <c r="G5" s="9" t="s">
        <v>23</v>
      </c>
      <c r="I5" s="8">
        <f>57839.96+2687.28+267.12+539.6+1338.28+4557.12+2147.68</f>
        <v>69377.039999999994</v>
      </c>
      <c r="J5" s="8">
        <f>4712.1+2253.84</f>
        <v>6965.9400000000005</v>
      </c>
      <c r="K5" s="8">
        <v>2724.8</v>
      </c>
      <c r="L5" s="8">
        <v>616.96</v>
      </c>
      <c r="M5" s="8">
        <v>1362.4</v>
      </c>
      <c r="N5" s="8">
        <v>0</v>
      </c>
      <c r="O5" s="8">
        <v>300</v>
      </c>
      <c r="P5" s="8">
        <v>0</v>
      </c>
      <c r="Q5" s="8">
        <v>0</v>
      </c>
      <c r="R5" s="8">
        <f t="shared" si="1"/>
        <v>81347.14</v>
      </c>
      <c r="S5" s="8">
        <v>12566.4</v>
      </c>
      <c r="T5" s="8">
        <v>2665.6</v>
      </c>
      <c r="U5" s="8">
        <v>290.16000000000003</v>
      </c>
      <c r="V5" s="8">
        <v>26467.8</v>
      </c>
      <c r="W5" s="8">
        <v>3483.28</v>
      </c>
      <c r="X5" s="8">
        <v>0</v>
      </c>
      <c r="Y5" s="8">
        <v>282.83999999999997</v>
      </c>
      <c r="Z5" s="8">
        <v>139.32</v>
      </c>
      <c r="AA5" s="8">
        <v>0</v>
      </c>
      <c r="AB5" s="10">
        <f t="shared" si="0"/>
        <v>43090.479999999996</v>
      </c>
      <c r="AC5" s="10">
        <f t="shared" si="2"/>
        <v>2804.92</v>
      </c>
    </row>
    <row r="6" spans="1:30" x14ac:dyDescent="0.25">
      <c r="A6">
        <f t="shared" si="3"/>
        <v>5</v>
      </c>
      <c r="E6" s="9" t="s">
        <v>23</v>
      </c>
      <c r="H6" s="9" t="s">
        <v>23</v>
      </c>
      <c r="I6" s="8">
        <f>19321.8+1288.12+1610.15+3220.3+322.03</f>
        <v>25762.399999999998</v>
      </c>
      <c r="J6" s="8">
        <v>0</v>
      </c>
      <c r="K6" s="8">
        <v>8050.8</v>
      </c>
      <c r="L6" s="8">
        <v>0</v>
      </c>
      <c r="M6" s="8">
        <v>9982.99</v>
      </c>
      <c r="N6" s="8">
        <v>1002.31</v>
      </c>
      <c r="O6" s="8">
        <v>0</v>
      </c>
      <c r="P6" s="8">
        <v>0</v>
      </c>
      <c r="Q6" s="8">
        <v>0</v>
      </c>
      <c r="R6" s="8">
        <f t="shared" si="1"/>
        <v>44798.499999999993</v>
      </c>
      <c r="S6" s="8">
        <v>6889.6</v>
      </c>
      <c r="T6" s="8">
        <v>486.4</v>
      </c>
      <c r="U6" s="8">
        <v>116.08</v>
      </c>
      <c r="V6" s="8">
        <v>10636.24</v>
      </c>
      <c r="W6" s="8">
        <v>0</v>
      </c>
      <c r="X6" s="8">
        <v>1030.56</v>
      </c>
      <c r="Y6" s="8">
        <v>113.66</v>
      </c>
      <c r="Z6" s="8">
        <v>55.98</v>
      </c>
      <c r="AA6" s="8">
        <v>0</v>
      </c>
      <c r="AB6" s="10">
        <f t="shared" si="0"/>
        <v>18786.14</v>
      </c>
      <c r="AC6" s="10">
        <f t="shared" si="2"/>
        <v>542.38</v>
      </c>
    </row>
    <row r="7" spans="1:30" x14ac:dyDescent="0.25">
      <c r="A7">
        <f t="shared" si="3"/>
        <v>6</v>
      </c>
      <c r="F7" s="9" t="s">
        <v>23</v>
      </c>
      <c r="G7" s="9" t="s">
        <v>23</v>
      </c>
      <c r="I7" s="8">
        <f>52396.11+13076.86+3477.44+345.68+698.24+1771.61+8053.84+3643.4</f>
        <v>83463.179999999993</v>
      </c>
      <c r="J7" s="8">
        <f>15564.51+3543.22+25461.61+11254.73+8231.52+9333.36</f>
        <v>73388.95</v>
      </c>
      <c r="K7" s="8">
        <v>0</v>
      </c>
      <c r="L7" s="8">
        <v>616.99</v>
      </c>
      <c r="M7" s="8">
        <v>528.84</v>
      </c>
      <c r="N7" s="8">
        <v>0</v>
      </c>
      <c r="O7" s="8">
        <v>300</v>
      </c>
      <c r="P7" s="8">
        <v>0</v>
      </c>
      <c r="Q7" s="8">
        <v>0</v>
      </c>
      <c r="R7" s="8">
        <f t="shared" si="1"/>
        <v>158297.96</v>
      </c>
      <c r="S7" s="8">
        <v>12566.4</v>
      </c>
      <c r="T7" s="8">
        <v>2665.6</v>
      </c>
      <c r="U7" s="8">
        <v>373.08</v>
      </c>
      <c r="V7" s="8">
        <v>34251.72</v>
      </c>
      <c r="W7" s="8">
        <v>4507.6000000000004</v>
      </c>
      <c r="X7" s="8">
        <v>0</v>
      </c>
      <c r="Y7" s="8">
        <v>366.12</v>
      </c>
      <c r="Z7" s="8">
        <v>180.24</v>
      </c>
      <c r="AA7" s="8">
        <v>0</v>
      </c>
      <c r="AB7" s="10">
        <f t="shared" si="0"/>
        <v>52064.92</v>
      </c>
      <c r="AC7" s="10">
        <f t="shared" si="2"/>
        <v>2845.84</v>
      </c>
    </row>
    <row r="8" spans="1:30" x14ac:dyDescent="0.25">
      <c r="A8">
        <f t="shared" si="3"/>
        <v>7</v>
      </c>
      <c r="F8" s="9" t="s">
        <v>23</v>
      </c>
      <c r="G8" s="9" t="s">
        <v>23</v>
      </c>
      <c r="I8" s="8">
        <f>66301.47+8405.56+3823.12+345.68+345.68+2484.58+4690.76+691.36</f>
        <v>87088.209999999977</v>
      </c>
      <c r="J8" s="8">
        <f>2506.36+7219.51+19766.31+9139.16+9602.97+2074.08</f>
        <v>50308.39</v>
      </c>
      <c r="K8" s="8">
        <v>5464.68</v>
      </c>
      <c r="L8" s="8">
        <v>616.97</v>
      </c>
      <c r="M8" s="8">
        <v>3525.6</v>
      </c>
      <c r="N8" s="8">
        <v>462.72</v>
      </c>
      <c r="O8" s="8">
        <v>0</v>
      </c>
      <c r="P8" s="8">
        <v>0</v>
      </c>
      <c r="Q8" s="8">
        <v>0</v>
      </c>
      <c r="R8" s="8">
        <f t="shared" si="1"/>
        <v>147466.56999999998</v>
      </c>
      <c r="S8" s="8">
        <v>12566.4</v>
      </c>
      <c r="T8" s="8">
        <v>2665.6</v>
      </c>
      <c r="U8" s="8">
        <v>373.08</v>
      </c>
      <c r="V8" s="8">
        <v>34251.72</v>
      </c>
      <c r="W8" s="8">
        <v>4507.6000000000004</v>
      </c>
      <c r="X8" s="8">
        <v>0</v>
      </c>
      <c r="Y8" s="8">
        <v>366.12</v>
      </c>
      <c r="Z8" s="8">
        <v>180.24</v>
      </c>
      <c r="AA8" s="8">
        <v>0</v>
      </c>
      <c r="AB8" s="10">
        <f t="shared" si="0"/>
        <v>52064.92</v>
      </c>
      <c r="AC8" s="10">
        <f>+T8+Z8</f>
        <v>2845.84</v>
      </c>
    </row>
    <row r="9" spans="1:30" x14ac:dyDescent="0.25">
      <c r="A9">
        <f t="shared" si="3"/>
        <v>8</v>
      </c>
      <c r="F9" s="9" t="s">
        <v>23</v>
      </c>
      <c r="G9" s="9" t="s">
        <v>23</v>
      </c>
      <c r="I9" s="8">
        <f>58053.73+10605.24+4175.68+345.68+2398.16+8683.28+4680.44+224.69</f>
        <v>89166.9</v>
      </c>
      <c r="J9" s="8">
        <f>1884.84+3759.27+17098.71+11113.05+6125.04+3111.12</f>
        <v>43092.03</v>
      </c>
      <c r="K9" s="8">
        <v>0</v>
      </c>
      <c r="L9" s="8">
        <v>617.78</v>
      </c>
      <c r="M9" s="8">
        <v>0</v>
      </c>
      <c r="N9" s="8">
        <v>0</v>
      </c>
      <c r="O9" s="8">
        <v>300</v>
      </c>
      <c r="P9" s="8">
        <v>0</v>
      </c>
      <c r="Q9" s="8">
        <v>0</v>
      </c>
      <c r="R9" s="8">
        <f t="shared" si="1"/>
        <v>133176.71</v>
      </c>
      <c r="S9" s="8">
        <v>12566.4</v>
      </c>
      <c r="T9" s="8">
        <v>2665.6</v>
      </c>
      <c r="U9" s="8">
        <v>373.08</v>
      </c>
      <c r="V9" s="8">
        <v>34251.72</v>
      </c>
      <c r="W9" s="8">
        <v>4507.6000000000004</v>
      </c>
      <c r="X9" s="8">
        <v>0</v>
      </c>
      <c r="Y9" s="8">
        <v>366.12</v>
      </c>
      <c r="Z9" s="8">
        <v>180.24</v>
      </c>
      <c r="AA9" s="8">
        <v>0</v>
      </c>
      <c r="AB9" s="10">
        <f t="shared" si="0"/>
        <v>52064.92</v>
      </c>
      <c r="AC9" s="10">
        <f t="shared" si="2"/>
        <v>2845.84</v>
      </c>
    </row>
    <row r="10" spans="1:30" x14ac:dyDescent="0.25">
      <c r="A10">
        <f t="shared" si="3"/>
        <v>9</v>
      </c>
      <c r="F10" s="9" t="s">
        <v>23</v>
      </c>
      <c r="H10" s="9" t="s">
        <v>23</v>
      </c>
      <c r="I10" s="8">
        <f>50442.77+2242.35+217.7+4840.38+1311.95</f>
        <v>59055.149999999987</v>
      </c>
      <c r="J10" s="8">
        <f>1744.25+142.87</f>
        <v>1887.12</v>
      </c>
      <c r="K10" s="8">
        <v>0</v>
      </c>
      <c r="L10" s="8">
        <v>616.82000000000005</v>
      </c>
      <c r="M10" s="8">
        <v>1197.1099999999999</v>
      </c>
      <c r="N10" s="8">
        <v>0</v>
      </c>
      <c r="O10" s="8">
        <v>0</v>
      </c>
      <c r="P10" s="8">
        <v>0</v>
      </c>
      <c r="Q10" s="8">
        <v>0</v>
      </c>
      <c r="R10" s="8">
        <f t="shared" si="1"/>
        <v>62756.19999999999</v>
      </c>
      <c r="S10" s="8">
        <v>14163.2</v>
      </c>
      <c r="T10" s="8">
        <v>1068.8</v>
      </c>
      <c r="U10" s="8">
        <v>236.28</v>
      </c>
      <c r="V10" s="8">
        <v>21571.439999999999</v>
      </c>
      <c r="W10" s="8">
        <v>0</v>
      </c>
      <c r="X10" s="8">
        <v>2362.13</v>
      </c>
      <c r="Y10" s="8">
        <v>230.64</v>
      </c>
      <c r="Z10" s="8">
        <v>113.52</v>
      </c>
      <c r="AA10" s="8">
        <v>0</v>
      </c>
      <c r="AB10" s="10">
        <f t="shared" si="0"/>
        <v>38563.689999999995</v>
      </c>
      <c r="AC10" s="10">
        <f t="shared" si="2"/>
        <v>1182.32</v>
      </c>
    </row>
    <row r="11" spans="1:30" x14ac:dyDescent="0.25">
      <c r="A11">
        <f t="shared" si="3"/>
        <v>10</v>
      </c>
      <c r="F11" s="9" t="s">
        <v>23</v>
      </c>
      <c r="G11" s="9" t="s">
        <v>23</v>
      </c>
      <c r="I11" s="8">
        <f>56074.88+10785.23+3477.44+352.56+172.84+3716.06+8758.96+345.68</f>
        <v>83683.649999999994</v>
      </c>
      <c r="J11" s="8">
        <f>2009.29+7086.44+23700.54+8931.51+11926.01+6740.76+3046.31</f>
        <v>63440.860000000008</v>
      </c>
      <c r="K11" s="8">
        <v>0</v>
      </c>
      <c r="L11" s="8">
        <v>616.96</v>
      </c>
      <c r="M11" s="8">
        <v>3878.16</v>
      </c>
      <c r="N11" s="8">
        <v>0</v>
      </c>
      <c r="O11" s="8">
        <v>300</v>
      </c>
      <c r="P11" s="8">
        <v>0</v>
      </c>
      <c r="Q11" s="8">
        <v>0</v>
      </c>
      <c r="R11" s="8">
        <f t="shared" si="1"/>
        <v>151919.63</v>
      </c>
      <c r="S11" s="8">
        <v>12566.4</v>
      </c>
      <c r="T11" s="8">
        <v>2665.6</v>
      </c>
      <c r="U11" s="8">
        <v>373.08</v>
      </c>
      <c r="V11" s="8">
        <v>34251.72</v>
      </c>
      <c r="W11" s="8">
        <v>4507.6000000000004</v>
      </c>
      <c r="X11" s="8">
        <v>0</v>
      </c>
      <c r="Y11" s="8">
        <v>366.12</v>
      </c>
      <c r="Z11" s="8">
        <v>180.24</v>
      </c>
      <c r="AA11" s="8">
        <v>0</v>
      </c>
      <c r="AB11" s="10">
        <f t="shared" si="0"/>
        <v>52064.92</v>
      </c>
      <c r="AC11" s="10">
        <f t="shared" si="2"/>
        <v>2845.84</v>
      </c>
    </row>
    <row r="12" spans="1:30" x14ac:dyDescent="0.25">
      <c r="A12">
        <f t="shared" si="3"/>
        <v>11</v>
      </c>
      <c r="F12" s="9" t="s">
        <v>23</v>
      </c>
      <c r="G12" s="9" t="s">
        <v>23</v>
      </c>
      <c r="I12" s="8">
        <f>55580.39+6560.84+3161.36+2731.54+300.46+7579.68+1263.28</f>
        <v>77177.549999999988</v>
      </c>
      <c r="J12" s="8">
        <f>3034.38+5070.28+19647.87+5428.19+2183.31+6805.26+4713.6+513.72</f>
        <v>47396.61</v>
      </c>
      <c r="K12" s="8">
        <v>0</v>
      </c>
      <c r="L12" s="8">
        <v>621.27</v>
      </c>
      <c r="M12" s="8">
        <v>0</v>
      </c>
      <c r="N12" s="8">
        <v>388.29</v>
      </c>
      <c r="O12" s="8">
        <v>0</v>
      </c>
      <c r="P12" s="8">
        <v>0</v>
      </c>
      <c r="Q12" s="8">
        <v>0</v>
      </c>
      <c r="R12" s="8">
        <f t="shared" ref="R12:R52" si="4">+SUM(I12:Q12)</f>
        <v>125583.71999999999</v>
      </c>
      <c r="S12" s="8">
        <v>12566.4</v>
      </c>
      <c r="T12" s="8">
        <v>2665.6</v>
      </c>
      <c r="U12" s="8">
        <v>339.96</v>
      </c>
      <c r="V12" s="8">
        <v>31136.639999999999</v>
      </c>
      <c r="W12" s="8">
        <v>4097.76</v>
      </c>
      <c r="X12" s="8">
        <v>0</v>
      </c>
      <c r="Y12" s="8">
        <v>332.64</v>
      </c>
      <c r="Z12" s="8">
        <v>163.92</v>
      </c>
      <c r="AA12" s="8">
        <v>0</v>
      </c>
      <c r="AB12" s="10">
        <f t="shared" si="0"/>
        <v>48473.4</v>
      </c>
      <c r="AC12" s="10">
        <f t="shared" si="2"/>
        <v>2829.52</v>
      </c>
    </row>
    <row r="13" spans="1:30" x14ac:dyDescent="0.25">
      <c r="A13">
        <f t="shared" si="3"/>
        <v>12</v>
      </c>
      <c r="F13" s="9" t="s">
        <v>23</v>
      </c>
      <c r="H13" s="9" t="s">
        <v>23</v>
      </c>
      <c r="I13" s="8">
        <f>54626.69+2619.2+261.92+130.96+6809.92+3683.25</f>
        <v>68131.94</v>
      </c>
      <c r="J13" s="8">
        <v>49.12</v>
      </c>
      <c r="K13" s="8">
        <v>0</v>
      </c>
      <c r="L13" s="8">
        <v>2116.81</v>
      </c>
      <c r="M13" s="8">
        <v>0</v>
      </c>
      <c r="N13" s="8">
        <v>0</v>
      </c>
      <c r="O13" s="8">
        <v>300</v>
      </c>
      <c r="P13" s="8">
        <v>0</v>
      </c>
      <c r="Q13" s="8">
        <v>0</v>
      </c>
      <c r="R13" s="8">
        <f t="shared" ref="R13:R24" si="5">+SUM(I13:Q13)</f>
        <v>70597.87</v>
      </c>
      <c r="S13" s="8">
        <v>14163.2</v>
      </c>
      <c r="T13" s="8">
        <v>1068.8</v>
      </c>
      <c r="U13" s="8">
        <v>285.95999999999998</v>
      </c>
      <c r="V13" s="8">
        <v>25952.52</v>
      </c>
      <c r="W13" s="11">
        <v>0</v>
      </c>
      <c r="X13" s="8">
        <v>2725.08</v>
      </c>
      <c r="Y13" s="8">
        <v>277.32</v>
      </c>
      <c r="Z13" s="8">
        <v>136.56</v>
      </c>
      <c r="AA13" s="8">
        <v>0</v>
      </c>
      <c r="AB13" s="10">
        <f t="shared" si="0"/>
        <v>43404.08</v>
      </c>
      <c r="AC13" s="10">
        <f t="shared" si="2"/>
        <v>1205.3599999999999</v>
      </c>
      <c r="AD13" s="10"/>
    </row>
    <row r="14" spans="1:30" x14ac:dyDescent="0.25">
      <c r="A14">
        <f t="shared" si="3"/>
        <v>13</v>
      </c>
      <c r="F14" s="9" t="s">
        <v>23</v>
      </c>
      <c r="G14" s="9" t="s">
        <v>23</v>
      </c>
      <c r="I14" s="8">
        <f>59436.46+12178.09+3477.44+172.84+2635.82+8531.08+691.36</f>
        <v>87123.090000000011</v>
      </c>
      <c r="J14" s="8">
        <f>5004.98+8136.38+19374.57+5519.48+9765+5412.05+3046.31</f>
        <v>56258.770000000004</v>
      </c>
      <c r="K14" s="8">
        <v>0</v>
      </c>
      <c r="L14" s="8">
        <v>616.97</v>
      </c>
      <c r="M14" s="8">
        <v>3525.6</v>
      </c>
      <c r="N14" s="8">
        <v>385.6</v>
      </c>
      <c r="O14" s="8">
        <v>300</v>
      </c>
      <c r="P14" s="8">
        <v>0</v>
      </c>
      <c r="Q14" s="8">
        <v>0</v>
      </c>
      <c r="R14" s="8">
        <f t="shared" si="5"/>
        <v>148210.03000000003</v>
      </c>
      <c r="S14" s="8">
        <v>12566.4</v>
      </c>
      <c r="T14" s="8">
        <v>2665.6</v>
      </c>
      <c r="U14" s="8">
        <v>373.08</v>
      </c>
      <c r="V14" s="8">
        <v>34251.72</v>
      </c>
      <c r="W14" s="8">
        <v>4507.6000000000004</v>
      </c>
      <c r="X14" s="8">
        <v>0</v>
      </c>
      <c r="Y14" s="8">
        <v>366.12</v>
      </c>
      <c r="Z14" s="8">
        <v>180.24</v>
      </c>
      <c r="AA14" s="8">
        <v>0</v>
      </c>
      <c r="AB14" s="10">
        <f t="shared" si="0"/>
        <v>52064.92</v>
      </c>
      <c r="AC14" s="10">
        <f t="shared" si="2"/>
        <v>2845.84</v>
      </c>
    </row>
    <row r="15" spans="1:30" x14ac:dyDescent="0.25">
      <c r="A15">
        <f t="shared" si="3"/>
        <v>14</v>
      </c>
      <c r="F15" s="9" t="s">
        <v>23</v>
      </c>
      <c r="H15" s="9" t="s">
        <v>23</v>
      </c>
      <c r="I15" s="8">
        <f>47829.2+2149.37+207.84+4294.66+2108.49</f>
        <v>56589.55999999999</v>
      </c>
      <c r="J15" s="8">
        <f>2691.49+38.97</f>
        <v>2730.4599999999996</v>
      </c>
      <c r="K15" s="8">
        <v>1039.2</v>
      </c>
      <c r="L15" s="8">
        <v>616.82000000000005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f t="shared" si="5"/>
        <v>60976.039999999986</v>
      </c>
      <c r="S15" s="8">
        <v>14163.2</v>
      </c>
      <c r="T15" s="8">
        <v>1068.8</v>
      </c>
      <c r="U15" s="8">
        <v>219.72</v>
      </c>
      <c r="V15" s="8">
        <v>19992.12</v>
      </c>
      <c r="W15" s="8">
        <v>0</v>
      </c>
      <c r="X15" s="8">
        <v>2263.5500000000002</v>
      </c>
      <c r="Y15" s="8">
        <v>213.6</v>
      </c>
      <c r="Z15" s="8">
        <v>105.24</v>
      </c>
      <c r="AA15" s="8">
        <v>0</v>
      </c>
      <c r="AB15" s="10">
        <f t="shared" si="0"/>
        <v>36852.19</v>
      </c>
      <c r="AC15" s="10">
        <f t="shared" si="2"/>
        <v>1174.04</v>
      </c>
    </row>
    <row r="16" spans="1:30" x14ac:dyDescent="0.25">
      <c r="A16">
        <f t="shared" si="3"/>
        <v>15</v>
      </c>
      <c r="F16" s="9" t="s">
        <v>23</v>
      </c>
      <c r="G16" s="9" t="s">
        <v>23</v>
      </c>
      <c r="I16" s="8">
        <f>47729.26+7649.62+4116.72+314.24+1945.94+9297.52+1947.86+6335.36+2237.6</f>
        <v>81574.12000000001</v>
      </c>
      <c r="J16" s="8">
        <f>2419.87+6520.48+8183.67+2769.78+64.81+642.15+1961.78+1502.63+7571.22+3918.18+1412.74+1027.44</f>
        <v>37994.75</v>
      </c>
      <c r="K16" s="8">
        <v>641.12</v>
      </c>
      <c r="L16" s="8">
        <v>616.97</v>
      </c>
      <c r="M16" s="8">
        <v>1602.8</v>
      </c>
      <c r="N16" s="8">
        <v>0</v>
      </c>
      <c r="O16" s="8">
        <v>0</v>
      </c>
      <c r="P16" s="8">
        <v>0</v>
      </c>
      <c r="Q16" s="8">
        <v>0</v>
      </c>
      <c r="R16" s="8">
        <f t="shared" si="5"/>
        <v>122429.76000000001</v>
      </c>
      <c r="S16" s="8">
        <v>12566.4</v>
      </c>
      <c r="T16" s="8">
        <v>2665.6</v>
      </c>
      <c r="U16" s="8">
        <v>339.96</v>
      </c>
      <c r="V16" s="8">
        <v>31136.639999999999</v>
      </c>
      <c r="W16" s="8">
        <v>4097.76</v>
      </c>
      <c r="X16" s="8">
        <v>0</v>
      </c>
      <c r="Y16" s="8">
        <v>332.64</v>
      </c>
      <c r="Z16" s="8">
        <v>163.92</v>
      </c>
      <c r="AA16" s="8">
        <v>0</v>
      </c>
      <c r="AB16" s="10">
        <f t="shared" si="0"/>
        <v>48473.4</v>
      </c>
      <c r="AC16" s="10">
        <f t="shared" si="2"/>
        <v>2829.52</v>
      </c>
    </row>
    <row r="17" spans="1:30" x14ac:dyDescent="0.25">
      <c r="A17">
        <f t="shared" si="3"/>
        <v>16</v>
      </c>
      <c r="F17" s="9" t="s">
        <v>23</v>
      </c>
      <c r="H17" s="9" t="s">
        <v>23</v>
      </c>
      <c r="I17" s="8">
        <f>55016.99+3554.9+58.09+3989.38</f>
        <v>62619.359999999993</v>
      </c>
      <c r="J17" s="8">
        <v>9415.32</v>
      </c>
      <c r="K17" s="8">
        <v>4832.8</v>
      </c>
      <c r="L17" s="8">
        <v>616.80999999999995</v>
      </c>
      <c r="M17" s="8">
        <v>2899.68</v>
      </c>
      <c r="N17" s="8">
        <v>0</v>
      </c>
      <c r="O17" s="8">
        <v>0</v>
      </c>
      <c r="P17" s="8">
        <v>0</v>
      </c>
      <c r="Q17" s="8">
        <v>0</v>
      </c>
      <c r="R17" s="8">
        <f t="shared" si="5"/>
        <v>80383.969999999987</v>
      </c>
      <c r="S17" s="8">
        <v>14163.2</v>
      </c>
      <c r="T17" s="8">
        <v>1068.8</v>
      </c>
      <c r="U17" s="8">
        <v>252.96</v>
      </c>
      <c r="V17" s="8">
        <v>23021.88</v>
      </c>
      <c r="W17" s="8">
        <v>0</v>
      </c>
      <c r="X17" s="8">
        <v>2504.84</v>
      </c>
      <c r="Y17" s="8">
        <v>246</v>
      </c>
      <c r="Z17" s="8">
        <v>121.2</v>
      </c>
      <c r="AA17" s="8">
        <v>0</v>
      </c>
      <c r="AB17" s="10">
        <f t="shared" si="0"/>
        <v>40188.880000000005</v>
      </c>
      <c r="AC17" s="10">
        <f t="shared" si="2"/>
        <v>1190</v>
      </c>
    </row>
    <row r="18" spans="1:30" x14ac:dyDescent="0.25">
      <c r="A18">
        <f t="shared" si="3"/>
        <v>17</v>
      </c>
      <c r="F18" s="9" t="s">
        <v>23</v>
      </c>
      <c r="G18" s="9" t="s">
        <v>23</v>
      </c>
      <c r="I18" s="8">
        <f>61306.62+8088.91+3477.44+352.56+2076.66+9049.6+3836.88</f>
        <v>88188.670000000013</v>
      </c>
      <c r="J18" s="8">
        <f>875.02+4407.42+20992.48+3595.08+5930.6+2074.08</f>
        <v>37874.68</v>
      </c>
      <c r="K18" s="8">
        <v>0</v>
      </c>
      <c r="L18" s="8">
        <v>617.80999999999995</v>
      </c>
      <c r="M18" s="8">
        <v>352.56</v>
      </c>
      <c r="N18" s="8">
        <v>308.89999999999998</v>
      </c>
      <c r="O18" s="8">
        <v>0</v>
      </c>
      <c r="P18" s="8">
        <v>0</v>
      </c>
      <c r="Q18" s="8">
        <v>0</v>
      </c>
      <c r="R18" s="8">
        <f t="shared" si="5"/>
        <v>127342.62</v>
      </c>
      <c r="S18" s="8">
        <v>12566.4</v>
      </c>
      <c r="T18" s="8">
        <v>2665.6</v>
      </c>
      <c r="U18" s="8">
        <v>373.08</v>
      </c>
      <c r="V18" s="8">
        <v>34251.72</v>
      </c>
      <c r="W18" s="8">
        <v>4507.6000000000004</v>
      </c>
      <c r="X18" s="8">
        <v>0</v>
      </c>
      <c r="Y18" s="8">
        <v>366.12</v>
      </c>
      <c r="Z18" s="8">
        <v>180.24</v>
      </c>
      <c r="AA18" s="8">
        <v>0</v>
      </c>
      <c r="AB18" s="10">
        <f t="shared" si="0"/>
        <v>52064.92</v>
      </c>
      <c r="AC18" s="10">
        <f t="shared" si="2"/>
        <v>2845.84</v>
      </c>
    </row>
    <row r="19" spans="1:30" x14ac:dyDescent="0.25">
      <c r="A19">
        <f t="shared" si="3"/>
        <v>18</v>
      </c>
      <c r="F19" s="9" t="s">
        <v>23</v>
      </c>
      <c r="G19" s="9" t="s">
        <v>23</v>
      </c>
      <c r="I19" s="8">
        <f>49573.49+2876.02+3161.36+320.56+471.36+2317.52+10466.82+1335.67+6919.6+2997.92</f>
        <v>80440.319999999992</v>
      </c>
      <c r="J19" s="8">
        <f>913.26+2710.32+5366.33+3133.4+32.11+1498.35+467.62+3859.26+1649.76+6228.86+513.72+802.69</f>
        <v>27175.68</v>
      </c>
      <c r="K19" s="8">
        <v>0</v>
      </c>
      <c r="L19" s="8">
        <v>616.97</v>
      </c>
      <c r="M19" s="8">
        <v>0</v>
      </c>
      <c r="N19" s="8">
        <v>308.45999999999998</v>
      </c>
      <c r="O19" s="8">
        <v>0</v>
      </c>
      <c r="P19" s="8">
        <v>0</v>
      </c>
      <c r="Q19" s="8">
        <v>0</v>
      </c>
      <c r="R19" s="8">
        <f t="shared" si="5"/>
        <v>108541.43000000001</v>
      </c>
      <c r="S19" s="8">
        <v>12566.4</v>
      </c>
      <c r="T19" s="8">
        <v>2665.6</v>
      </c>
      <c r="U19" s="8">
        <v>339.96</v>
      </c>
      <c r="V19" s="8">
        <v>31136.639999999999</v>
      </c>
      <c r="W19" s="8">
        <v>4097.76</v>
      </c>
      <c r="X19" s="8">
        <v>0</v>
      </c>
      <c r="Y19" s="8">
        <v>332.64</v>
      </c>
      <c r="Z19" s="8">
        <v>163.92</v>
      </c>
      <c r="AA19" s="8">
        <v>0</v>
      </c>
      <c r="AB19" s="10">
        <f t="shared" si="0"/>
        <v>48473.4</v>
      </c>
      <c r="AC19" s="10">
        <f t="shared" si="2"/>
        <v>2829.52</v>
      </c>
    </row>
    <row r="20" spans="1:30" x14ac:dyDescent="0.25">
      <c r="A20">
        <f t="shared" si="3"/>
        <v>19</v>
      </c>
      <c r="F20" s="9" t="s">
        <v>23</v>
      </c>
      <c r="H20" s="9" t="s">
        <v>23</v>
      </c>
      <c r="I20" s="8">
        <f>32630.83+1770.5+172.73+4651.31+3719.64</f>
        <v>42945.01</v>
      </c>
      <c r="J20" s="8">
        <f>2063.05+161.94</f>
        <v>2224.9900000000002</v>
      </c>
      <c r="K20" s="8">
        <v>0</v>
      </c>
      <c r="L20" s="8">
        <v>616.82000000000005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5"/>
        <v>45786.82</v>
      </c>
      <c r="S20" s="8">
        <v>14163.2</v>
      </c>
      <c r="T20" s="8">
        <v>1068.8</v>
      </c>
      <c r="U20" s="8">
        <v>186.6</v>
      </c>
      <c r="V20" s="8">
        <v>0</v>
      </c>
      <c r="W20" s="8">
        <v>0</v>
      </c>
      <c r="X20" s="8">
        <v>6012.34</v>
      </c>
      <c r="Y20" s="8">
        <v>182.88</v>
      </c>
      <c r="Z20" s="8">
        <v>90.12</v>
      </c>
      <c r="AA20" s="8">
        <v>0</v>
      </c>
      <c r="AB20" s="10">
        <f t="shared" si="0"/>
        <v>20545.02</v>
      </c>
      <c r="AC20" s="10">
        <f t="shared" si="2"/>
        <v>1158.92</v>
      </c>
    </row>
    <row r="21" spans="1:30" x14ac:dyDescent="0.25">
      <c r="A21">
        <f t="shared" si="3"/>
        <v>20</v>
      </c>
      <c r="F21" s="9" t="s">
        <v>23</v>
      </c>
      <c r="H21" s="9" t="s">
        <v>23</v>
      </c>
      <c r="I21" s="8">
        <f>60896.52+2682.11+138.01+6550.69+520.8</f>
        <v>70788.13</v>
      </c>
      <c r="J21" s="8">
        <v>6159.34</v>
      </c>
      <c r="K21" s="8">
        <v>0</v>
      </c>
      <c r="L21" s="8">
        <v>616.83000000000004</v>
      </c>
      <c r="M21" s="8">
        <v>2760.24</v>
      </c>
      <c r="N21" s="8">
        <v>0</v>
      </c>
      <c r="O21" s="8">
        <v>0</v>
      </c>
      <c r="P21" s="8">
        <v>0</v>
      </c>
      <c r="Q21" s="8">
        <v>0</v>
      </c>
      <c r="R21" s="8">
        <f t="shared" si="5"/>
        <v>80324.540000000008</v>
      </c>
      <c r="S21" s="8">
        <v>14163.2</v>
      </c>
      <c r="T21" s="8">
        <v>1068.8</v>
      </c>
      <c r="U21" s="8">
        <v>281.88</v>
      </c>
      <c r="V21" s="8">
        <v>25802.04</v>
      </c>
      <c r="W21" s="8">
        <v>0</v>
      </c>
      <c r="X21" s="8">
        <v>2831.42</v>
      </c>
      <c r="Y21" s="8">
        <v>275.76</v>
      </c>
      <c r="Z21" s="8">
        <v>135.84</v>
      </c>
      <c r="AA21" s="8">
        <v>0</v>
      </c>
      <c r="AB21" s="10">
        <f>+S21+U21+V21+W21+X21+Y21+AA21</f>
        <v>43354.3</v>
      </c>
      <c r="AC21" s="10">
        <f t="shared" si="2"/>
        <v>1204.6399999999999</v>
      </c>
    </row>
    <row r="22" spans="1:30" x14ac:dyDescent="0.25">
      <c r="A22">
        <f t="shared" si="3"/>
        <v>21</v>
      </c>
      <c r="C22" s="9" t="s">
        <v>23</v>
      </c>
      <c r="E22" s="9" t="s">
        <v>23</v>
      </c>
      <c r="H22" s="9" t="s">
        <v>23</v>
      </c>
      <c r="I22" s="8">
        <f>110026.27+4816.7+465.38+497.96+2326.92+6938.86</f>
        <v>125072.09000000001</v>
      </c>
      <c r="J22" s="8">
        <v>0</v>
      </c>
      <c r="K22" s="8">
        <v>4653.84</v>
      </c>
      <c r="L22" s="8">
        <v>616.97</v>
      </c>
      <c r="M22" s="8">
        <v>5975.52</v>
      </c>
      <c r="N22" s="8">
        <v>0</v>
      </c>
      <c r="O22" s="8">
        <v>0</v>
      </c>
      <c r="P22" s="8">
        <v>0</v>
      </c>
      <c r="Q22" s="8">
        <v>0</v>
      </c>
      <c r="R22" s="8">
        <f t="shared" si="5"/>
        <v>136318.42000000001</v>
      </c>
      <c r="S22" s="8">
        <v>14163.2</v>
      </c>
      <c r="T22" s="8">
        <v>1068.8</v>
      </c>
      <c r="U22" s="8">
        <v>501.72</v>
      </c>
      <c r="V22" s="8">
        <v>46112.76</v>
      </c>
      <c r="W22" s="8">
        <v>0</v>
      </c>
      <c r="X22" s="8">
        <v>5002.91</v>
      </c>
      <c r="Y22" s="8">
        <v>492.84</v>
      </c>
      <c r="Z22" s="8">
        <v>242.76</v>
      </c>
      <c r="AA22" s="8">
        <v>0</v>
      </c>
      <c r="AB22" s="10">
        <f t="shared" si="0"/>
        <v>66273.429999999993</v>
      </c>
      <c r="AC22" s="10">
        <f t="shared" si="2"/>
        <v>1311.56</v>
      </c>
      <c r="AD22" s="10"/>
    </row>
    <row r="23" spans="1:30" x14ac:dyDescent="0.25">
      <c r="A23">
        <f t="shared" si="3"/>
        <v>22</v>
      </c>
      <c r="F23" s="9" t="s">
        <v>23</v>
      </c>
      <c r="G23" s="9" t="s">
        <v>23</v>
      </c>
      <c r="I23" s="8">
        <f>68524.16+3161.36+7665.24+1315.88</f>
        <v>80666.640000000014</v>
      </c>
      <c r="J23" s="8">
        <f>7594.34+2003.28+5550.33+1894.92</f>
        <v>17042.870000000003</v>
      </c>
      <c r="K23" s="8">
        <v>3205.6</v>
      </c>
      <c r="L23" s="8">
        <v>616.96</v>
      </c>
      <c r="M23" s="8">
        <v>0</v>
      </c>
      <c r="N23" s="8">
        <v>0</v>
      </c>
      <c r="O23" s="8">
        <v>300</v>
      </c>
      <c r="P23" s="8">
        <v>0</v>
      </c>
      <c r="Q23" s="8">
        <v>0</v>
      </c>
      <c r="R23" s="8">
        <f t="shared" si="5"/>
        <v>101832.07000000002</v>
      </c>
      <c r="S23" s="8">
        <v>12566.4</v>
      </c>
      <c r="T23" s="8">
        <v>2665.6</v>
      </c>
      <c r="U23" s="8">
        <v>339.96</v>
      </c>
      <c r="V23" s="8">
        <v>20842.2</v>
      </c>
      <c r="W23" s="8">
        <v>4097.76</v>
      </c>
      <c r="X23" s="8">
        <v>0</v>
      </c>
      <c r="Y23" s="8">
        <v>332.64</v>
      </c>
      <c r="Z23" s="8">
        <v>163.92</v>
      </c>
      <c r="AA23" s="8">
        <v>0</v>
      </c>
      <c r="AB23" s="10">
        <f t="shared" si="0"/>
        <v>38178.959999999999</v>
      </c>
      <c r="AC23" s="10">
        <f t="shared" si="2"/>
        <v>2829.52</v>
      </c>
    </row>
    <row r="24" spans="1:30" x14ac:dyDescent="0.25">
      <c r="A24">
        <f t="shared" si="3"/>
        <v>23</v>
      </c>
      <c r="F24" s="9" t="s">
        <v>23</v>
      </c>
      <c r="H24" s="9" t="s">
        <v>23</v>
      </c>
      <c r="I24" s="8">
        <f>51254.15+2113.29+3295.91+861.57+109.73</f>
        <v>57634.650000000009</v>
      </c>
      <c r="J24" s="8">
        <f>18558.52+342.9</f>
        <v>18901.420000000002</v>
      </c>
      <c r="K24" s="8">
        <v>1591.06</v>
      </c>
      <c r="L24" s="8">
        <v>616.97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5"/>
        <v>78744.100000000006</v>
      </c>
      <c r="S24" s="8">
        <v>14163.2</v>
      </c>
      <c r="T24" s="8">
        <v>1068.8</v>
      </c>
      <c r="U24" s="8">
        <v>219.72</v>
      </c>
      <c r="V24" s="8">
        <v>0</v>
      </c>
      <c r="W24" s="8">
        <v>0</v>
      </c>
      <c r="X24" s="8">
        <v>8068.85</v>
      </c>
      <c r="Y24" s="8">
        <v>215.16</v>
      </c>
      <c r="Z24" s="8">
        <v>105.96</v>
      </c>
      <c r="AA24" s="8">
        <v>0</v>
      </c>
      <c r="AB24" s="10">
        <f t="shared" si="0"/>
        <v>22666.93</v>
      </c>
      <c r="AC24" s="10">
        <f t="shared" si="2"/>
        <v>1174.76</v>
      </c>
    </row>
    <row r="25" spans="1:30" x14ac:dyDescent="0.25">
      <c r="A25">
        <f t="shared" si="3"/>
        <v>24</v>
      </c>
      <c r="F25" s="9" t="s">
        <v>23</v>
      </c>
      <c r="H25" s="9" t="s">
        <v>23</v>
      </c>
      <c r="I25" s="8">
        <f>37973+1727.14+164.49+3487.14+1906.03</f>
        <v>45257.799999999996</v>
      </c>
      <c r="J25" s="8">
        <f>1531.31+77.11</f>
        <v>1608.4199999999998</v>
      </c>
      <c r="K25" s="8">
        <v>0</v>
      </c>
      <c r="L25" s="8">
        <v>616.80999999999995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 t="shared" si="4"/>
        <v>47483.029999999992</v>
      </c>
      <c r="S25" s="8">
        <v>14163.2</v>
      </c>
      <c r="T25" s="8">
        <v>1068.8</v>
      </c>
      <c r="U25" s="8">
        <v>178.32</v>
      </c>
      <c r="V25" s="8">
        <v>0</v>
      </c>
      <c r="W25" s="8">
        <v>0</v>
      </c>
      <c r="X25" s="8">
        <v>6336.17</v>
      </c>
      <c r="Y25" s="8">
        <v>174.24</v>
      </c>
      <c r="Z25" s="8">
        <v>85.8</v>
      </c>
      <c r="AA25" s="8">
        <v>0</v>
      </c>
      <c r="AB25" s="10">
        <f t="shared" si="0"/>
        <v>20851.930000000004</v>
      </c>
      <c r="AC25" s="10">
        <f t="shared" si="2"/>
        <v>1154.5999999999999</v>
      </c>
    </row>
    <row r="26" spans="1:30" x14ac:dyDescent="0.25">
      <c r="A26">
        <f t="shared" si="3"/>
        <v>25</v>
      </c>
      <c r="F26" s="9" t="s">
        <v>23</v>
      </c>
      <c r="G26" s="9" t="s">
        <v>23</v>
      </c>
      <c r="I26" s="8">
        <f>61064.91+4085.12+3161.36+320.56+157.12+2280.61+5348.4+2997.92+408.51</f>
        <v>79824.50999999998</v>
      </c>
      <c r="J26" s="8">
        <f>1974.41+3535.2+6089.38+3931.93+513.72+8346.66+3299.52+1123.77</f>
        <v>28814.59</v>
      </c>
      <c r="K26" s="8">
        <v>0</v>
      </c>
      <c r="L26" s="8">
        <v>617.78</v>
      </c>
      <c r="M26" s="8">
        <v>160.28</v>
      </c>
      <c r="N26" s="8">
        <v>0</v>
      </c>
      <c r="O26" s="8">
        <v>0</v>
      </c>
      <c r="P26" s="8">
        <v>0</v>
      </c>
      <c r="Q26" s="8">
        <v>0</v>
      </c>
      <c r="R26" s="8">
        <f>+SUM(I26:Q26)</f>
        <v>109417.15999999997</v>
      </c>
      <c r="S26" s="8">
        <v>12566.4</v>
      </c>
      <c r="T26" s="8">
        <v>2665.6</v>
      </c>
      <c r="U26" s="8">
        <v>339.96</v>
      </c>
      <c r="V26" s="8">
        <v>20842.2</v>
      </c>
      <c r="W26" s="8">
        <v>4097.76</v>
      </c>
      <c r="X26" s="8">
        <v>0</v>
      </c>
      <c r="Y26" s="8">
        <v>332.64</v>
      </c>
      <c r="Z26" s="8">
        <v>163.92</v>
      </c>
      <c r="AA26" s="8">
        <v>0</v>
      </c>
      <c r="AB26" s="10">
        <f t="shared" si="0"/>
        <v>38178.959999999999</v>
      </c>
      <c r="AC26" s="10">
        <f t="shared" si="2"/>
        <v>2829.52</v>
      </c>
    </row>
    <row r="27" spans="1:30" x14ac:dyDescent="0.25">
      <c r="A27">
        <f t="shared" si="3"/>
        <v>26</v>
      </c>
      <c r="F27" s="9" t="s">
        <v>23</v>
      </c>
      <c r="G27" s="9" t="s">
        <v>23</v>
      </c>
      <c r="I27" s="8">
        <f>59374+2687.28+267.12+4175.76+3140</f>
        <v>69644.160000000003</v>
      </c>
      <c r="J27" s="8">
        <f>676.15+467.46+1026.75</f>
        <v>2170.3599999999997</v>
      </c>
      <c r="K27" s="8">
        <v>1362.4</v>
      </c>
      <c r="L27" s="8">
        <v>616.80999999999995</v>
      </c>
      <c r="M27" s="8">
        <v>0</v>
      </c>
      <c r="N27" s="8">
        <v>231.29</v>
      </c>
      <c r="O27" s="8">
        <v>0</v>
      </c>
      <c r="P27" s="8">
        <v>0</v>
      </c>
      <c r="Q27" s="8">
        <v>0</v>
      </c>
      <c r="R27" s="8">
        <f>+SUM(I27:Q27)</f>
        <v>74025.01999999999</v>
      </c>
      <c r="S27" s="8">
        <v>12566.4</v>
      </c>
      <c r="T27" s="8">
        <v>2665.6</v>
      </c>
      <c r="U27" s="8">
        <v>290.16000000000003</v>
      </c>
      <c r="V27" s="8">
        <v>17716.919999999998</v>
      </c>
      <c r="W27" s="8">
        <v>3483.28</v>
      </c>
      <c r="X27" s="8">
        <v>0</v>
      </c>
      <c r="Y27" s="8">
        <v>282.83999999999997</v>
      </c>
      <c r="Z27" s="8">
        <v>139.32</v>
      </c>
      <c r="AA27" s="8">
        <v>0</v>
      </c>
      <c r="AB27" s="10">
        <f t="shared" si="0"/>
        <v>34339.599999999991</v>
      </c>
      <c r="AC27" s="10">
        <f t="shared" si="2"/>
        <v>2804.92</v>
      </c>
    </row>
    <row r="28" spans="1:30" x14ac:dyDescent="0.25">
      <c r="A28">
        <f t="shared" si="3"/>
        <v>27</v>
      </c>
      <c r="F28" s="9" t="s">
        <v>23</v>
      </c>
      <c r="G28" s="9" t="s">
        <v>23</v>
      </c>
      <c r="I28" s="8">
        <f>63946.52+10829.94+4182.56+172.84+5185.2+1386.16</f>
        <v>85703.219999999987</v>
      </c>
      <c r="J28" s="8">
        <f>8385.69+7518.54+26149.11+6417.15+9499.96+3639.96</f>
        <v>61610.409999999996</v>
      </c>
      <c r="K28" s="8">
        <v>1762.8</v>
      </c>
      <c r="L28" s="8">
        <v>616.99</v>
      </c>
      <c r="M28" s="8">
        <v>2467.92</v>
      </c>
      <c r="N28" s="8">
        <v>231.37</v>
      </c>
      <c r="O28" s="8">
        <v>0</v>
      </c>
      <c r="P28" s="8">
        <v>0</v>
      </c>
      <c r="Q28" s="8">
        <v>0</v>
      </c>
      <c r="R28" s="8">
        <f>+SUM(I28:Q28)</f>
        <v>152392.70999999996</v>
      </c>
      <c r="S28" s="8">
        <v>12566.4</v>
      </c>
      <c r="T28" s="8">
        <v>2665.6</v>
      </c>
      <c r="U28" s="8">
        <v>373.08</v>
      </c>
      <c r="V28" s="8">
        <v>22927.32</v>
      </c>
      <c r="W28" s="8">
        <v>4507.6000000000004</v>
      </c>
      <c r="X28" s="8">
        <v>0</v>
      </c>
      <c r="Y28" s="8">
        <v>366.12</v>
      </c>
      <c r="Z28" s="8">
        <v>180.24</v>
      </c>
      <c r="AA28" s="8">
        <v>0</v>
      </c>
      <c r="AB28" s="10">
        <f t="shared" si="0"/>
        <v>40740.520000000004</v>
      </c>
      <c r="AC28" s="10">
        <f t="shared" si="2"/>
        <v>2845.84</v>
      </c>
    </row>
    <row r="29" spans="1:30" x14ac:dyDescent="0.25">
      <c r="A29">
        <f t="shared" si="3"/>
        <v>28</v>
      </c>
      <c r="F29" s="9" t="s">
        <v>23</v>
      </c>
      <c r="H29" s="9" t="s">
        <v>23</v>
      </c>
      <c r="I29" s="8">
        <f>48607.26+2165.65+225.89+3747.39+2244.4</f>
        <v>56990.590000000004</v>
      </c>
      <c r="J29" s="8">
        <f>3763.58+257.82</f>
        <v>4021.4</v>
      </c>
      <c r="K29" s="8">
        <v>0</v>
      </c>
      <c r="L29" s="8">
        <v>616.83000000000004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f t="shared" si="4"/>
        <v>61628.820000000007</v>
      </c>
      <c r="S29" s="8">
        <v>14163.2</v>
      </c>
      <c r="T29" s="8">
        <v>1068.8</v>
      </c>
      <c r="U29" s="8">
        <v>223.8</v>
      </c>
      <c r="V29" s="8">
        <v>0</v>
      </c>
      <c r="W29" s="8">
        <v>0</v>
      </c>
      <c r="X29" s="8">
        <v>7978.68</v>
      </c>
      <c r="Y29" s="8">
        <v>219.48</v>
      </c>
      <c r="Z29" s="8">
        <v>108.12</v>
      </c>
      <c r="AA29" s="8">
        <v>0</v>
      </c>
      <c r="AB29" s="10">
        <f t="shared" si="0"/>
        <v>22585.16</v>
      </c>
      <c r="AC29" s="10">
        <f t="shared" si="2"/>
        <v>1176.92</v>
      </c>
    </row>
    <row r="30" spans="1:30" x14ac:dyDescent="0.25">
      <c r="A30">
        <f t="shared" si="3"/>
        <v>29</v>
      </c>
      <c r="F30" s="9" t="s">
        <v>23</v>
      </c>
      <c r="H30" s="9" t="s">
        <v>23</v>
      </c>
      <c r="I30" s="8">
        <f>56192.36+2758.36+1211.4+3424.18+1595.59</f>
        <v>65181.89</v>
      </c>
      <c r="J30" s="8">
        <f>2869.26+1761.25</f>
        <v>4630.51</v>
      </c>
      <c r="K30" s="8">
        <v>2592.4</v>
      </c>
      <c r="L30" s="8">
        <v>616.80999999999995</v>
      </c>
      <c r="M30" s="8">
        <v>1506.83</v>
      </c>
      <c r="N30" s="8">
        <v>0</v>
      </c>
      <c r="O30" s="8">
        <v>0</v>
      </c>
      <c r="P30" s="8">
        <v>0</v>
      </c>
      <c r="Q30" s="8">
        <v>0</v>
      </c>
      <c r="R30" s="8">
        <f t="shared" ref="R30:R35" si="6">+SUM(I30:Q30)</f>
        <v>74528.439999999988</v>
      </c>
      <c r="S30" s="8">
        <v>14163.2</v>
      </c>
      <c r="T30" s="8">
        <v>1068.8</v>
      </c>
      <c r="U30" s="8">
        <v>261.24</v>
      </c>
      <c r="V30" s="8">
        <v>0</v>
      </c>
      <c r="W30" s="8">
        <v>0</v>
      </c>
      <c r="X30" s="8">
        <v>9125.61</v>
      </c>
      <c r="Y30" s="8">
        <v>256.56</v>
      </c>
      <c r="Z30" s="8">
        <v>126.36</v>
      </c>
      <c r="AA30" s="8">
        <v>0</v>
      </c>
      <c r="AB30" s="10">
        <f t="shared" si="0"/>
        <v>23806.610000000004</v>
      </c>
      <c r="AC30" s="10">
        <f t="shared" si="2"/>
        <v>1195.1599999999999</v>
      </c>
    </row>
    <row r="31" spans="1:30" x14ac:dyDescent="0.25">
      <c r="A31">
        <f t="shared" si="3"/>
        <v>30</v>
      </c>
      <c r="F31" s="9" t="s">
        <v>23</v>
      </c>
      <c r="G31" s="9" t="s">
        <v>23</v>
      </c>
      <c r="I31" s="8">
        <f>44928.75+4289.38+3161.36+314.24+3044.2+13927.96+111.31+6519.12+1112.48</f>
        <v>77408.799999999974</v>
      </c>
      <c r="J31" s="8">
        <f>3936.55+5813.44+12868.13+2144.68+4228.03+1369.92+626.1+9670+4723.08+3146.55+1541.16</f>
        <v>50067.640000000007</v>
      </c>
      <c r="K31" s="8">
        <v>0</v>
      </c>
      <c r="L31" s="8">
        <v>616.96</v>
      </c>
      <c r="M31" s="8">
        <v>2724.76</v>
      </c>
      <c r="N31" s="8">
        <v>0</v>
      </c>
      <c r="O31" s="8">
        <v>0</v>
      </c>
      <c r="P31" s="8">
        <v>0</v>
      </c>
      <c r="Q31" s="8">
        <v>0</v>
      </c>
      <c r="R31" s="8">
        <f t="shared" si="6"/>
        <v>130818.15999999997</v>
      </c>
      <c r="S31" s="8">
        <v>12566.4</v>
      </c>
      <c r="T31" s="8">
        <v>2665.6</v>
      </c>
      <c r="U31" s="8">
        <v>339.96</v>
      </c>
      <c r="V31" s="8">
        <v>20842.2</v>
      </c>
      <c r="W31" s="8">
        <v>4097.76</v>
      </c>
      <c r="X31" s="8">
        <v>0</v>
      </c>
      <c r="Y31" s="8">
        <v>332.64</v>
      </c>
      <c r="Z31" s="8">
        <v>163.92</v>
      </c>
      <c r="AA31" s="8">
        <v>0</v>
      </c>
      <c r="AB31" s="10">
        <f t="shared" si="0"/>
        <v>38178.959999999999</v>
      </c>
      <c r="AC31" s="10">
        <f t="shared" si="2"/>
        <v>2829.52</v>
      </c>
    </row>
    <row r="32" spans="1:30" x14ac:dyDescent="0.25">
      <c r="A32">
        <f t="shared" si="3"/>
        <v>31</v>
      </c>
      <c r="F32" s="9" t="s">
        <v>23</v>
      </c>
      <c r="H32" s="9" t="s">
        <v>23</v>
      </c>
      <c r="I32" s="8">
        <f>40522.98+1485.32+219.66+117.68+1759.25+329.49</f>
        <v>44434.380000000005</v>
      </c>
      <c r="J32" s="8">
        <v>431.48</v>
      </c>
      <c r="K32" s="8">
        <v>3670.84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si="6"/>
        <v>48536.700000000012</v>
      </c>
      <c r="S32" s="8">
        <v>14163.2</v>
      </c>
      <c r="T32" s="8">
        <v>1068.8</v>
      </c>
      <c r="U32" s="8">
        <v>190</v>
      </c>
      <c r="V32" s="8">
        <v>0</v>
      </c>
      <c r="W32" s="8">
        <v>0</v>
      </c>
      <c r="X32" s="8">
        <v>6220.74</v>
      </c>
      <c r="Y32" s="8">
        <v>184.7</v>
      </c>
      <c r="Z32" s="8">
        <v>90.9</v>
      </c>
      <c r="AA32" s="8">
        <v>0</v>
      </c>
      <c r="AB32" s="10">
        <f t="shared" si="0"/>
        <v>20758.640000000003</v>
      </c>
      <c r="AC32" s="10">
        <f t="shared" si="2"/>
        <v>1159.7</v>
      </c>
    </row>
    <row r="33" spans="1:29" x14ac:dyDescent="0.25">
      <c r="A33">
        <f t="shared" si="3"/>
        <v>32</v>
      </c>
      <c r="F33" s="9" t="s">
        <v>23</v>
      </c>
      <c r="H33" s="9" t="s">
        <v>23</v>
      </c>
      <c r="I33" s="8">
        <f>37772.52+1642.49+168.26+2177.27+1296.47</f>
        <v>43057.009999999995</v>
      </c>
      <c r="J33" s="8">
        <f>2124.21+210.32</f>
        <v>2334.5300000000002</v>
      </c>
      <c r="K33" s="8">
        <v>925.41</v>
      </c>
      <c r="L33" s="8">
        <v>616.80999999999995</v>
      </c>
      <c r="M33" s="8">
        <v>504.77</v>
      </c>
      <c r="N33" s="8">
        <v>0</v>
      </c>
      <c r="O33" s="8">
        <v>0</v>
      </c>
      <c r="P33" s="8">
        <v>0</v>
      </c>
      <c r="Q33" s="8">
        <v>0</v>
      </c>
      <c r="R33" s="8">
        <f t="shared" si="6"/>
        <v>47438.529999999992</v>
      </c>
      <c r="S33" s="8">
        <v>14163.2</v>
      </c>
      <c r="T33" s="8">
        <v>1068.8</v>
      </c>
      <c r="U33" s="8">
        <v>174.12</v>
      </c>
      <c r="V33" s="8">
        <v>0</v>
      </c>
      <c r="W33" s="8">
        <v>0</v>
      </c>
      <c r="X33" s="8">
        <v>6028.01</v>
      </c>
      <c r="Y33" s="8">
        <v>169.68</v>
      </c>
      <c r="Z33" s="8">
        <v>83.52</v>
      </c>
      <c r="AA33" s="8">
        <v>0</v>
      </c>
      <c r="AB33" s="10">
        <f t="shared" si="0"/>
        <v>20535.010000000002</v>
      </c>
      <c r="AC33" s="10">
        <f t="shared" si="2"/>
        <v>1152.32</v>
      </c>
    </row>
    <row r="34" spans="1:29" x14ac:dyDescent="0.25">
      <c r="A34">
        <f t="shared" si="3"/>
        <v>33</v>
      </c>
      <c r="F34" s="9" t="s">
        <v>23</v>
      </c>
      <c r="H34" s="9" t="s">
        <v>23</v>
      </c>
      <c r="I34" s="8">
        <f>76362.27+3408.1+340.81+298.21+6134.55+3195.08</f>
        <v>89739.020000000019</v>
      </c>
      <c r="J34" s="8">
        <v>3738.24</v>
      </c>
      <c r="K34" s="8">
        <v>0</v>
      </c>
      <c r="L34" s="8">
        <v>2116.81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6"/>
        <v>95594.070000000022</v>
      </c>
      <c r="S34" s="8">
        <v>14163.2</v>
      </c>
      <c r="T34" s="8">
        <v>1068.8</v>
      </c>
      <c r="U34" s="8">
        <v>368.88</v>
      </c>
      <c r="V34" s="8">
        <v>0</v>
      </c>
      <c r="W34" s="8">
        <v>0</v>
      </c>
      <c r="X34" s="8">
        <v>12563.64</v>
      </c>
      <c r="Y34" s="8">
        <v>360.84</v>
      </c>
      <c r="Z34" s="8">
        <v>177.72</v>
      </c>
      <c r="AA34" s="8">
        <v>0</v>
      </c>
      <c r="AB34" s="10">
        <f t="shared" si="0"/>
        <v>27456.560000000001</v>
      </c>
      <c r="AC34" s="10">
        <f t="shared" si="2"/>
        <v>1246.52</v>
      </c>
    </row>
    <row r="35" spans="1:29" x14ac:dyDescent="0.25">
      <c r="A35">
        <f t="shared" si="3"/>
        <v>34</v>
      </c>
      <c r="F35" s="9" t="s">
        <v>23</v>
      </c>
      <c r="H35" s="9" t="s">
        <v>23</v>
      </c>
      <c r="I35" s="8">
        <f>56061.68+2351.25+1174.23+1433.14</f>
        <v>61020.3</v>
      </c>
      <c r="J35" s="8">
        <v>264.52</v>
      </c>
      <c r="K35" s="8">
        <v>2955.84</v>
      </c>
      <c r="L35" s="8">
        <v>616.80999999999995</v>
      </c>
      <c r="M35" s="8">
        <v>1231.5999999999999</v>
      </c>
      <c r="N35" s="8">
        <v>0</v>
      </c>
      <c r="O35" s="8">
        <v>0</v>
      </c>
      <c r="P35" s="8">
        <v>0</v>
      </c>
      <c r="Q35" s="8">
        <v>0</v>
      </c>
      <c r="R35" s="8">
        <f t="shared" si="6"/>
        <v>66089.070000000007</v>
      </c>
      <c r="S35" s="8">
        <v>14163.2</v>
      </c>
      <c r="T35" s="8">
        <v>1068.8</v>
      </c>
      <c r="U35" s="8">
        <v>244.56</v>
      </c>
      <c r="V35" s="8">
        <v>0</v>
      </c>
      <c r="W35" s="8">
        <v>0</v>
      </c>
      <c r="X35" s="8">
        <v>8542.76</v>
      </c>
      <c r="Y35" s="8">
        <v>237.12</v>
      </c>
      <c r="Z35" s="8">
        <v>116.76</v>
      </c>
      <c r="AA35" s="8">
        <v>0</v>
      </c>
      <c r="AB35" s="10">
        <f t="shared" si="0"/>
        <v>23187.64</v>
      </c>
      <c r="AC35" s="10">
        <f t="shared" si="2"/>
        <v>1185.56</v>
      </c>
    </row>
    <row r="36" spans="1:29" x14ac:dyDescent="0.25">
      <c r="A36">
        <f>+A35+1</f>
        <v>35</v>
      </c>
      <c r="C36" s="9" t="s">
        <v>23</v>
      </c>
      <c r="E36" s="9" t="s">
        <v>23</v>
      </c>
      <c r="H36" s="9" t="s">
        <v>23</v>
      </c>
      <c r="I36" s="8">
        <f>77477.66+3592.74+348.81+1764.97+7945.84+2176.58</f>
        <v>93306.6</v>
      </c>
      <c r="J36" s="8">
        <v>0</v>
      </c>
      <c r="K36" s="8">
        <v>0</v>
      </c>
      <c r="L36" s="8">
        <v>616.80999999999995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f t="shared" si="4"/>
        <v>93923.41</v>
      </c>
      <c r="S36" s="8">
        <v>14163.2</v>
      </c>
      <c r="T36" s="8">
        <v>1068.8</v>
      </c>
      <c r="U36" s="8">
        <v>377.28</v>
      </c>
      <c r="V36" s="8">
        <v>0</v>
      </c>
      <c r="W36" s="8">
        <v>0</v>
      </c>
      <c r="X36" s="8">
        <v>13063.09</v>
      </c>
      <c r="Y36" s="8">
        <v>369.36</v>
      </c>
      <c r="Z36" s="8">
        <v>181.92</v>
      </c>
      <c r="AA36" s="8">
        <v>0</v>
      </c>
      <c r="AB36" s="10">
        <f t="shared" si="0"/>
        <v>27972.93</v>
      </c>
      <c r="AC36" s="10">
        <f t="shared" si="2"/>
        <v>1250.72</v>
      </c>
    </row>
    <row r="37" spans="1:29" x14ac:dyDescent="0.25">
      <c r="A37">
        <f t="shared" si="3"/>
        <v>36</v>
      </c>
      <c r="F37" s="9" t="s">
        <v>23</v>
      </c>
      <c r="G37" s="9" t="s">
        <v>23</v>
      </c>
      <c r="I37" s="8">
        <f>47801.72+4034.05+3161.36+314.24+1256.96+12819.57+946.09+5040.48+1577.52</f>
        <v>76951.989999999991</v>
      </c>
      <c r="J37" s="8">
        <f>5644.04+5150.42+18311.08+5157.46+359.11+2226.12+667.84+7993.74+3309+1412.73+2054.88</f>
        <v>52286.42</v>
      </c>
      <c r="K37" s="8">
        <v>0</v>
      </c>
      <c r="L37" s="8">
        <v>616.99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f>+SUM(I37:Q37)</f>
        <v>129855.4</v>
      </c>
      <c r="S37" s="8">
        <v>12566.4</v>
      </c>
      <c r="T37" s="8">
        <v>2665.6</v>
      </c>
      <c r="U37" s="8">
        <v>339.96</v>
      </c>
      <c r="V37" s="8">
        <v>20842.2</v>
      </c>
      <c r="W37" s="8">
        <v>4097.76</v>
      </c>
      <c r="X37" s="8">
        <v>0</v>
      </c>
      <c r="Y37" s="8">
        <v>332.64</v>
      </c>
      <c r="Z37" s="8">
        <v>163.92</v>
      </c>
      <c r="AA37" s="8">
        <v>0</v>
      </c>
      <c r="AB37" s="10">
        <f t="shared" si="0"/>
        <v>38178.959999999999</v>
      </c>
      <c r="AC37" s="10">
        <f t="shared" si="2"/>
        <v>2829.52</v>
      </c>
    </row>
    <row r="38" spans="1:29" x14ac:dyDescent="0.25">
      <c r="A38">
        <f t="shared" si="3"/>
        <v>37</v>
      </c>
      <c r="F38" s="9" t="s">
        <v>23</v>
      </c>
      <c r="G38" s="9" t="s">
        <v>23</v>
      </c>
      <c r="I38" s="8">
        <f>57959.42+5310.66+3161.36+314.24+157.12+2243.7+171.24+5656.32+4726.24</f>
        <v>79700.3</v>
      </c>
      <c r="J38" s="8">
        <f>1539.63+4006.56+7008.54+2757.45+1298.52+8219.34+3318.48</f>
        <v>28148.52</v>
      </c>
      <c r="K38" s="8">
        <v>0</v>
      </c>
      <c r="L38" s="8">
        <v>616.97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 t="shared" si="4"/>
        <v>108465.79000000001</v>
      </c>
      <c r="S38" s="8">
        <v>12566.4</v>
      </c>
      <c r="T38" s="8">
        <v>2665.6</v>
      </c>
      <c r="U38" s="8">
        <v>339.96</v>
      </c>
      <c r="V38" s="8">
        <v>20842.2</v>
      </c>
      <c r="W38" s="8">
        <v>4097.76</v>
      </c>
      <c r="X38" s="8">
        <v>0</v>
      </c>
      <c r="Y38" s="8">
        <v>332.64</v>
      </c>
      <c r="Z38" s="8">
        <v>163.92</v>
      </c>
      <c r="AA38" s="8">
        <v>0</v>
      </c>
      <c r="AB38" s="10">
        <f t="shared" si="0"/>
        <v>38178.959999999999</v>
      </c>
      <c r="AC38" s="10">
        <f t="shared" si="2"/>
        <v>2829.52</v>
      </c>
    </row>
    <row r="39" spans="1:29" x14ac:dyDescent="0.25">
      <c r="A39">
        <f t="shared" si="3"/>
        <v>38</v>
      </c>
      <c r="F39" s="9" t="s">
        <v>23</v>
      </c>
      <c r="G39" s="9" t="s">
        <v>23</v>
      </c>
      <c r="I39" s="8">
        <f>42277+3676.61+3475.6+314.24+157.12+392.8+19440.33+1780.9+4713.6+2382.08</f>
        <v>78610.280000000013</v>
      </c>
      <c r="J39" s="8">
        <f>7918.98+6291.91+6264.15+4697.88+5917.28+342.48+9486.12+5656.32+1885.44+963.23+1036.92</f>
        <v>50460.710000000006</v>
      </c>
      <c r="K39" s="8">
        <v>0</v>
      </c>
      <c r="L39" s="8">
        <v>616.96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>+SUM(I39:Q39)</f>
        <v>129687.95000000003</v>
      </c>
      <c r="S39" s="8">
        <v>12566.4</v>
      </c>
      <c r="T39" s="8">
        <v>2665.6</v>
      </c>
      <c r="U39" s="8">
        <v>339.96</v>
      </c>
      <c r="V39" s="8">
        <v>20842.2</v>
      </c>
      <c r="W39" s="8">
        <v>4097.76</v>
      </c>
      <c r="X39" s="8">
        <v>0</v>
      </c>
      <c r="Y39" s="8">
        <v>332.64</v>
      </c>
      <c r="Z39" s="8">
        <v>163.92</v>
      </c>
      <c r="AA39" s="8">
        <v>0</v>
      </c>
      <c r="AB39" s="10">
        <f t="shared" si="0"/>
        <v>38178.959999999999</v>
      </c>
      <c r="AC39" s="10">
        <f t="shared" si="2"/>
        <v>2829.52</v>
      </c>
    </row>
    <row r="40" spans="1:29" x14ac:dyDescent="0.25">
      <c r="A40">
        <f t="shared" si="3"/>
        <v>39</v>
      </c>
      <c r="F40" s="9" t="s">
        <v>23</v>
      </c>
      <c r="H40" s="9" t="s">
        <v>23</v>
      </c>
      <c r="I40" s="8">
        <f>39697.01+1740.65+166.57+2543.5+1575.33</f>
        <v>45723.060000000005</v>
      </c>
      <c r="J40" s="8">
        <f>1856.58+129.14</f>
        <v>1985.7199999999998</v>
      </c>
      <c r="K40" s="8">
        <v>0</v>
      </c>
      <c r="L40" s="8">
        <v>616.83000000000004</v>
      </c>
      <c r="M40" s="8">
        <v>545.36</v>
      </c>
      <c r="N40" s="8">
        <v>0</v>
      </c>
      <c r="O40" s="8">
        <v>0</v>
      </c>
      <c r="P40" s="8">
        <v>0</v>
      </c>
      <c r="Q40" s="8">
        <v>0</v>
      </c>
      <c r="R40" s="8">
        <f>+SUM(I40:Q40)</f>
        <v>48870.970000000008</v>
      </c>
      <c r="S40" s="8">
        <v>14163.2</v>
      </c>
      <c r="T40" s="8">
        <v>1068.8</v>
      </c>
      <c r="U40" s="8">
        <v>182.4</v>
      </c>
      <c r="V40" s="8">
        <v>0</v>
      </c>
      <c r="W40" s="8">
        <v>0</v>
      </c>
      <c r="X40" s="8">
        <v>6401.22</v>
      </c>
      <c r="Y40" s="8">
        <v>176.4</v>
      </c>
      <c r="Z40" s="8">
        <v>86.88</v>
      </c>
      <c r="AA40" s="8">
        <v>0</v>
      </c>
      <c r="AB40" s="10">
        <f t="shared" si="0"/>
        <v>20923.22</v>
      </c>
      <c r="AC40" s="10">
        <f t="shared" si="2"/>
        <v>1155.6799999999998</v>
      </c>
    </row>
    <row r="41" spans="1:29" x14ac:dyDescent="0.25">
      <c r="A41">
        <f t="shared" si="3"/>
        <v>40</v>
      </c>
      <c r="F41" s="9" t="s">
        <v>23</v>
      </c>
      <c r="H41" s="9" t="s">
        <v>23</v>
      </c>
      <c r="I41" s="8">
        <f>35459.59+1315.56+2406.33+1813.02+2500</f>
        <v>43494.499999999993</v>
      </c>
      <c r="J41" s="8">
        <f>7022.95+484.9</f>
        <v>7507.8499999999995</v>
      </c>
      <c r="K41" s="8">
        <v>1308.74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4"/>
        <v>52311.089999999989</v>
      </c>
      <c r="S41" s="8">
        <v>14163.2</v>
      </c>
      <c r="T41" s="8">
        <v>1068.8</v>
      </c>
      <c r="U41" s="8">
        <v>162.4</v>
      </c>
      <c r="V41" s="8">
        <v>0</v>
      </c>
      <c r="W41" s="8">
        <v>0</v>
      </c>
      <c r="X41" s="8">
        <v>5739.12</v>
      </c>
      <c r="Y41" s="8">
        <v>158.30000000000001</v>
      </c>
      <c r="Z41" s="8">
        <v>77.900000000000006</v>
      </c>
      <c r="AA41" s="8">
        <v>0</v>
      </c>
      <c r="AB41" s="10">
        <f>+S41+U41+V41+W41+X41+Y41+AA41</f>
        <v>20223.02</v>
      </c>
      <c r="AC41" s="10">
        <f t="shared" si="2"/>
        <v>1146.7</v>
      </c>
    </row>
    <row r="42" spans="1:29" s="18" customFormat="1" x14ac:dyDescent="0.25">
      <c r="A42" s="18">
        <f t="shared" si="3"/>
        <v>41</v>
      </c>
      <c r="B42" s="19" t="s">
        <v>23</v>
      </c>
      <c r="C42" s="19"/>
      <c r="D42" s="19"/>
      <c r="E42" s="19" t="s">
        <v>23</v>
      </c>
      <c r="F42" s="19"/>
      <c r="G42" s="19"/>
      <c r="H42" s="19" t="s">
        <v>23</v>
      </c>
      <c r="I42" s="11"/>
      <c r="J42" s="11"/>
      <c r="K42" s="11"/>
      <c r="L42" s="11"/>
      <c r="M42" s="11"/>
      <c r="N42" s="11"/>
      <c r="O42" s="11"/>
      <c r="P42" s="11">
        <v>13816.81</v>
      </c>
      <c r="Q42" s="11"/>
      <c r="R42" s="11">
        <f t="shared" si="4"/>
        <v>13816.81</v>
      </c>
      <c r="S42" s="11"/>
      <c r="T42" s="11"/>
      <c r="U42" s="11"/>
      <c r="V42" s="11"/>
      <c r="W42" s="11"/>
      <c r="X42" s="11"/>
      <c r="Y42" s="11"/>
      <c r="Z42" s="11"/>
      <c r="AA42" s="11"/>
      <c r="AB42" s="20">
        <f t="shared" si="0"/>
        <v>0</v>
      </c>
      <c r="AC42" s="20">
        <f t="shared" si="2"/>
        <v>0</v>
      </c>
    </row>
    <row r="43" spans="1:29" x14ac:dyDescent="0.25">
      <c r="A43">
        <f>+A42+1</f>
        <v>42</v>
      </c>
      <c r="F43" s="9" t="s">
        <v>23</v>
      </c>
      <c r="H43" s="9" t="s">
        <v>23</v>
      </c>
      <c r="I43" s="8">
        <f>52050.82+3261.95+2109.67+652.39</f>
        <v>58074.829999999994</v>
      </c>
      <c r="J43" s="8">
        <v>6876.97</v>
      </c>
      <c r="K43" s="8">
        <v>1489.76</v>
      </c>
      <c r="L43" s="8">
        <v>616.82000000000005</v>
      </c>
      <c r="M43" s="8">
        <v>1977.07</v>
      </c>
      <c r="N43" s="8">
        <v>0</v>
      </c>
      <c r="O43" s="8">
        <v>0</v>
      </c>
      <c r="P43" s="8">
        <v>0</v>
      </c>
      <c r="Q43" s="8">
        <v>0</v>
      </c>
      <c r="R43" s="8">
        <f>+SUM(I43:Q43)</f>
        <v>69035.450000000012</v>
      </c>
      <c r="S43" s="8">
        <v>14163.2</v>
      </c>
      <c r="T43" s="8">
        <v>1068.8</v>
      </c>
      <c r="U43" s="8">
        <v>232.2</v>
      </c>
      <c r="V43" s="8">
        <v>0</v>
      </c>
      <c r="W43" s="8">
        <v>0</v>
      </c>
      <c r="X43" s="8">
        <v>8130.49</v>
      </c>
      <c r="Y43" s="8">
        <v>224.64</v>
      </c>
      <c r="Z43" s="8">
        <v>110.64</v>
      </c>
      <c r="AA43" s="8">
        <v>0</v>
      </c>
      <c r="AB43" s="10">
        <f t="shared" si="0"/>
        <v>22750.53</v>
      </c>
      <c r="AC43" s="10">
        <f t="shared" si="2"/>
        <v>1179.44</v>
      </c>
    </row>
    <row r="44" spans="1:29" x14ac:dyDescent="0.25">
      <c r="A44">
        <f>+A43+1</f>
        <v>43</v>
      </c>
      <c r="B44" s="9" t="s">
        <v>23</v>
      </c>
      <c r="E44" s="9" t="s">
        <v>23</v>
      </c>
      <c r="H44" s="9" t="s">
        <v>23</v>
      </c>
      <c r="I44" s="8">
        <f>134423.21+5907.67+611.54+1834.61+2953.84+173.08+5399.98+3023.07</f>
        <v>154327</v>
      </c>
      <c r="J44" s="8">
        <v>0</v>
      </c>
      <c r="K44" s="8">
        <v>6115.36</v>
      </c>
      <c r="L44" s="8">
        <v>616.80999999999995</v>
      </c>
      <c r="M44" s="8">
        <v>3057.68</v>
      </c>
      <c r="N44" s="8">
        <v>0</v>
      </c>
      <c r="O44" s="8">
        <v>0</v>
      </c>
      <c r="P44" s="8">
        <v>0</v>
      </c>
      <c r="Q44" s="8">
        <v>0</v>
      </c>
      <c r="R44" s="8">
        <f t="shared" si="4"/>
        <v>164116.84999999998</v>
      </c>
      <c r="S44" s="8">
        <v>14163.2</v>
      </c>
      <c r="T44" s="8">
        <v>1068.8</v>
      </c>
      <c r="U44" s="8">
        <v>596.88</v>
      </c>
      <c r="V44" s="8">
        <v>0</v>
      </c>
      <c r="W44" s="8">
        <v>0</v>
      </c>
      <c r="X44" s="8">
        <v>21605.95</v>
      </c>
      <c r="Y44" s="8">
        <v>586.08000000000004</v>
      </c>
      <c r="Z44" s="8">
        <v>288.72000000000003</v>
      </c>
      <c r="AA44" s="8">
        <v>0</v>
      </c>
      <c r="AB44" s="10">
        <f t="shared" si="0"/>
        <v>36952.11</v>
      </c>
      <c r="AC44" s="10">
        <f t="shared" si="2"/>
        <v>1357.52</v>
      </c>
    </row>
    <row r="45" spans="1:29" x14ac:dyDescent="0.25">
      <c r="A45">
        <f t="shared" si="3"/>
        <v>44</v>
      </c>
      <c r="F45" s="9" t="s">
        <v>23</v>
      </c>
      <c r="G45" s="9" t="s">
        <v>23</v>
      </c>
      <c r="I45" s="8">
        <f>60865.92+4542.93+3161.36+314.24+2396.08+342.48+3508.56+5046.8</f>
        <v>80178.37</v>
      </c>
      <c r="J45" s="8">
        <f>4498.06+3495.92+7964.67+5337.36+256.86+7394.46+2356.8</f>
        <v>31304.13</v>
      </c>
      <c r="K45" s="8">
        <v>641.12</v>
      </c>
      <c r="L45" s="8">
        <v>616.96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>+SUM(I45:Q45)</f>
        <v>112740.58</v>
      </c>
      <c r="S45" s="8">
        <v>12566.4</v>
      </c>
      <c r="T45" s="8">
        <v>2665.6</v>
      </c>
      <c r="U45" s="8">
        <v>323.39999999999998</v>
      </c>
      <c r="V45" s="8">
        <v>19802.16</v>
      </c>
      <c r="W45" s="8">
        <v>3925.28</v>
      </c>
      <c r="X45" s="8">
        <v>0</v>
      </c>
      <c r="Y45" s="8">
        <v>316.2</v>
      </c>
      <c r="Z45" s="8">
        <v>155.76</v>
      </c>
      <c r="AA45" s="8">
        <v>0</v>
      </c>
      <c r="AB45" s="10">
        <f t="shared" si="0"/>
        <v>36933.439999999995</v>
      </c>
      <c r="AC45" s="10">
        <f t="shared" si="2"/>
        <v>2821.3599999999997</v>
      </c>
    </row>
    <row r="46" spans="1:29" x14ac:dyDescent="0.25">
      <c r="A46">
        <f t="shared" si="3"/>
        <v>45</v>
      </c>
      <c r="F46" s="9" t="s">
        <v>23</v>
      </c>
      <c r="G46" s="9" t="s">
        <v>23</v>
      </c>
      <c r="I46" s="8">
        <f>46556.72+6066.64+3475.6+2867.44+12826.9+3469.28+3378.08</f>
        <v>78640.66</v>
      </c>
      <c r="J46" s="8">
        <f>4232.34+5852.72+10451.71+6498.48+1575.65+7808.09+4988.22+3531.83+1027.44</f>
        <v>45966.48000000001</v>
      </c>
      <c r="K46" s="8">
        <v>0</v>
      </c>
      <c r="L46" s="8">
        <v>617.79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>+SUM(I46:Q46)</f>
        <v>125224.93000000001</v>
      </c>
      <c r="S46" s="8">
        <v>12566.4</v>
      </c>
      <c r="T46" s="8">
        <v>2665.6</v>
      </c>
      <c r="U46" s="8">
        <v>339.96</v>
      </c>
      <c r="V46" s="8">
        <v>20842.2</v>
      </c>
      <c r="W46" s="8">
        <v>4097.76</v>
      </c>
      <c r="X46" s="8">
        <v>0</v>
      </c>
      <c r="Y46" s="8">
        <v>332.64</v>
      </c>
      <c r="Z46" s="8">
        <v>163.92</v>
      </c>
      <c r="AA46" s="8">
        <v>0</v>
      </c>
      <c r="AB46" s="10">
        <f t="shared" si="0"/>
        <v>38178.959999999999</v>
      </c>
      <c r="AC46" s="10">
        <f t="shared" si="2"/>
        <v>2829.52</v>
      </c>
    </row>
    <row r="47" spans="1:29" x14ac:dyDescent="0.25">
      <c r="A47">
        <f t="shared" si="3"/>
        <v>46</v>
      </c>
      <c r="F47" s="9" t="s">
        <v>23</v>
      </c>
      <c r="H47" s="9" t="s">
        <v>23</v>
      </c>
      <c r="I47" s="8">
        <f>65276.76+2716.69+262.48+140.43+2138.9+964.62</f>
        <v>71499.879999999976</v>
      </c>
      <c r="J47" s="8">
        <v>3409.89</v>
      </c>
      <c r="K47" s="8">
        <v>2246.85</v>
      </c>
      <c r="L47" s="8">
        <v>616.80999999999995</v>
      </c>
      <c r="M47" s="8">
        <v>1825.56</v>
      </c>
      <c r="N47" s="8">
        <v>77.09</v>
      </c>
      <c r="O47" s="8">
        <v>0</v>
      </c>
      <c r="P47" s="8">
        <v>0</v>
      </c>
      <c r="Q47" s="8">
        <v>0</v>
      </c>
      <c r="R47" s="8">
        <f>+SUM(I47:Q47)</f>
        <v>79676.079999999973</v>
      </c>
      <c r="S47" s="8">
        <v>14163.2</v>
      </c>
      <c r="T47" s="8">
        <v>1068.8</v>
      </c>
      <c r="U47" s="8">
        <v>285.95999999999998</v>
      </c>
      <c r="V47" s="8">
        <v>0</v>
      </c>
      <c r="W47" s="8">
        <v>0</v>
      </c>
      <c r="X47" s="8">
        <v>10010.1</v>
      </c>
      <c r="Y47" s="8">
        <v>277.92</v>
      </c>
      <c r="Z47" s="8">
        <v>136.80000000000001</v>
      </c>
      <c r="AA47" s="8">
        <v>0</v>
      </c>
      <c r="AB47" s="10">
        <f t="shared" si="0"/>
        <v>24737.18</v>
      </c>
      <c r="AC47" s="10">
        <f t="shared" si="2"/>
        <v>1205.5999999999999</v>
      </c>
    </row>
    <row r="48" spans="1:29" x14ac:dyDescent="0.25">
      <c r="A48">
        <f t="shared" si="3"/>
        <v>47</v>
      </c>
      <c r="B48" s="9" t="s">
        <v>23</v>
      </c>
      <c r="E48" s="9" t="s">
        <v>23</v>
      </c>
      <c r="H48" s="9" t="s">
        <v>23</v>
      </c>
      <c r="I48" s="8">
        <f>261812.91+12898.65+1260.16+6300.8+43855.39+8939.94</f>
        <v>335067.84999999998</v>
      </c>
      <c r="J48" s="8">
        <v>0</v>
      </c>
      <c r="K48" s="8">
        <v>0</v>
      </c>
      <c r="L48" s="8">
        <v>570.21</v>
      </c>
      <c r="M48" s="8">
        <v>6597.84</v>
      </c>
      <c r="N48" s="8">
        <v>71.27</v>
      </c>
      <c r="O48" s="8">
        <v>0</v>
      </c>
      <c r="P48" s="8">
        <v>0</v>
      </c>
      <c r="Q48" s="8">
        <v>0</v>
      </c>
      <c r="R48" s="8">
        <f t="shared" si="4"/>
        <v>342307.17000000004</v>
      </c>
      <c r="S48" s="8">
        <v>14163.2</v>
      </c>
      <c r="T48" s="8">
        <v>1068.8</v>
      </c>
      <c r="U48" s="8">
        <v>1359.84</v>
      </c>
      <c r="V48" s="8">
        <v>0</v>
      </c>
      <c r="W48" s="8">
        <v>0</v>
      </c>
      <c r="X48" s="8">
        <v>46200</v>
      </c>
      <c r="Y48" s="8">
        <v>1099.68</v>
      </c>
      <c r="Z48" s="8">
        <v>541.55999999999995</v>
      </c>
      <c r="AA48" s="11">
        <f>25000+22500</f>
        <v>47500</v>
      </c>
      <c r="AB48" s="10">
        <f t="shared" si="0"/>
        <v>110322.72</v>
      </c>
      <c r="AC48" s="10">
        <f t="shared" si="2"/>
        <v>1610.36</v>
      </c>
    </row>
    <row r="49" spans="1:30" x14ac:dyDescent="0.25">
      <c r="A49">
        <f t="shared" si="3"/>
        <v>48</v>
      </c>
      <c r="F49" s="9" t="s">
        <v>23</v>
      </c>
      <c r="H49" s="9" t="s">
        <v>23</v>
      </c>
      <c r="I49" s="8">
        <f>56024.89+2385.41+233.86+701.59+2628.66</f>
        <v>61974.41</v>
      </c>
      <c r="J49" s="8">
        <v>271</v>
      </c>
      <c r="K49" s="8">
        <v>0</v>
      </c>
      <c r="L49" s="8">
        <v>616.83000000000004</v>
      </c>
      <c r="M49" s="8">
        <v>2918.69</v>
      </c>
      <c r="N49" s="8">
        <v>0</v>
      </c>
      <c r="O49" s="8">
        <v>0</v>
      </c>
      <c r="P49" s="8">
        <v>0</v>
      </c>
      <c r="Q49" s="8">
        <v>0</v>
      </c>
      <c r="R49" s="8">
        <f>+SUM(I49:Q49)</f>
        <v>65780.930000000008</v>
      </c>
      <c r="S49" s="8">
        <v>14163.2</v>
      </c>
      <c r="T49" s="8">
        <v>1068.8</v>
      </c>
      <c r="U49" s="8">
        <v>252.96</v>
      </c>
      <c r="V49" s="8">
        <v>0</v>
      </c>
      <c r="W49" s="8">
        <v>0</v>
      </c>
      <c r="X49" s="8">
        <v>8676.42</v>
      </c>
      <c r="Y49" s="8">
        <v>247.68</v>
      </c>
      <c r="Z49" s="8">
        <v>122.04</v>
      </c>
      <c r="AA49" s="8">
        <v>0</v>
      </c>
      <c r="AB49" s="10">
        <f t="shared" si="0"/>
        <v>23340.260000000002</v>
      </c>
      <c r="AC49" s="10">
        <f t="shared" si="2"/>
        <v>1190.8399999999999</v>
      </c>
    </row>
    <row r="50" spans="1:30" x14ac:dyDescent="0.25">
      <c r="A50">
        <f t="shared" si="3"/>
        <v>49</v>
      </c>
      <c r="C50" s="9" t="s">
        <v>23</v>
      </c>
      <c r="E50" s="9" t="s">
        <v>23</v>
      </c>
      <c r="H50" s="9" t="s">
        <v>23</v>
      </c>
      <c r="I50" s="8">
        <f>89948.62+3867.59+368.34+736.67+1878.52+2836.24+736.67</f>
        <v>100372.65</v>
      </c>
      <c r="J50" s="8">
        <v>0</v>
      </c>
      <c r="K50" s="8">
        <v>0</v>
      </c>
      <c r="L50" s="8">
        <v>616.83000000000004</v>
      </c>
      <c r="M50" s="8">
        <v>3241.41</v>
      </c>
      <c r="N50" s="8">
        <v>0</v>
      </c>
      <c r="O50" s="8">
        <v>0</v>
      </c>
      <c r="P50" s="8">
        <v>0</v>
      </c>
      <c r="Q50" s="8">
        <v>0</v>
      </c>
      <c r="R50" s="8">
        <f>+SUM(I50:Q50)</f>
        <v>104230.89</v>
      </c>
      <c r="S50" s="8">
        <v>14163.2</v>
      </c>
      <c r="T50" s="8">
        <v>1068.8</v>
      </c>
      <c r="U50" s="8">
        <v>398.04</v>
      </c>
      <c r="V50" s="8">
        <v>0</v>
      </c>
      <c r="W50" s="8">
        <v>0</v>
      </c>
      <c r="X50" s="8">
        <v>14052.18</v>
      </c>
      <c r="Y50" s="8">
        <v>390</v>
      </c>
      <c r="Z50" s="8">
        <v>192.12</v>
      </c>
      <c r="AA50" s="8">
        <v>0</v>
      </c>
      <c r="AB50" s="10">
        <f t="shared" si="0"/>
        <v>29003.420000000002</v>
      </c>
      <c r="AC50" s="10">
        <f t="shared" si="2"/>
        <v>1260.92</v>
      </c>
    </row>
    <row r="51" spans="1:30" x14ac:dyDescent="0.25">
      <c r="A51">
        <f t="shared" si="3"/>
        <v>50</v>
      </c>
      <c r="F51" s="9" t="s">
        <v>23</v>
      </c>
      <c r="H51" s="9" t="s">
        <v>23</v>
      </c>
      <c r="I51" s="8">
        <f>61885.99+2755.7+283.6+2086.86+5021.81</f>
        <v>72033.959999999992</v>
      </c>
      <c r="J51" s="8">
        <v>3755.42</v>
      </c>
      <c r="K51" s="8">
        <v>0</v>
      </c>
      <c r="L51" s="8">
        <v>616.82000000000005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f>+SUM(I51:Q51)</f>
        <v>76406.2</v>
      </c>
      <c r="S51" s="8">
        <v>14163.2</v>
      </c>
      <c r="T51" s="8">
        <v>1068.8</v>
      </c>
      <c r="U51" s="8">
        <v>290.16000000000003</v>
      </c>
      <c r="V51" s="8">
        <v>0</v>
      </c>
      <c r="W51" s="8">
        <v>0</v>
      </c>
      <c r="X51" s="8">
        <v>10084.73</v>
      </c>
      <c r="Y51" s="8">
        <v>283.32</v>
      </c>
      <c r="Z51" s="8">
        <v>139.56</v>
      </c>
      <c r="AA51" s="8">
        <v>0</v>
      </c>
      <c r="AB51" s="10">
        <f t="shared" si="0"/>
        <v>24821.41</v>
      </c>
      <c r="AC51" s="10">
        <f t="shared" si="2"/>
        <v>1208.3599999999999</v>
      </c>
    </row>
    <row r="52" spans="1:30" x14ac:dyDescent="0.25">
      <c r="A52">
        <f t="shared" si="3"/>
        <v>51</v>
      </c>
      <c r="B52" s="9" t="s">
        <v>23</v>
      </c>
      <c r="E52" s="9" t="s">
        <v>23</v>
      </c>
      <c r="H52" s="9" t="s">
        <v>23</v>
      </c>
      <c r="I52" s="8">
        <f>128891.08+5710.21+597.46+2722.9+2389.85+7343.92</f>
        <v>147655.42000000001</v>
      </c>
      <c r="J52" s="8">
        <v>0</v>
      </c>
      <c r="K52" s="8">
        <v>2934.44</v>
      </c>
      <c r="L52" s="8">
        <v>616.82000000000005</v>
      </c>
      <c r="M52" s="8">
        <v>3584.78</v>
      </c>
      <c r="N52" s="8">
        <v>0</v>
      </c>
      <c r="O52" s="8">
        <v>0</v>
      </c>
      <c r="P52" s="8">
        <v>0</v>
      </c>
      <c r="Q52" s="8">
        <v>7280.22</v>
      </c>
      <c r="R52" s="8">
        <f t="shared" si="4"/>
        <v>162071.68000000002</v>
      </c>
      <c r="S52" s="8">
        <v>14163.2</v>
      </c>
      <c r="T52" s="8">
        <v>1068.8</v>
      </c>
      <c r="U52" s="8">
        <v>588.6</v>
      </c>
      <c r="V52" s="8">
        <v>0</v>
      </c>
      <c r="W52" s="8">
        <v>0</v>
      </c>
      <c r="X52" s="8">
        <v>20671.66</v>
      </c>
      <c r="Y52" s="8">
        <v>576.72</v>
      </c>
      <c r="Z52" s="8">
        <v>284.04000000000002</v>
      </c>
      <c r="AA52" s="8">
        <v>0</v>
      </c>
      <c r="AB52" s="10">
        <f t="shared" si="0"/>
        <v>36000.18</v>
      </c>
      <c r="AC52" s="10">
        <f t="shared" si="2"/>
        <v>1352.84</v>
      </c>
    </row>
    <row r="53" spans="1:30" x14ac:dyDescent="0.25">
      <c r="A53">
        <f t="shared" si="3"/>
        <v>52</v>
      </c>
      <c r="C53" s="9" t="s">
        <v>23</v>
      </c>
      <c r="E53" s="9" t="s">
        <v>23</v>
      </c>
      <c r="H53" s="9" t="s">
        <v>23</v>
      </c>
      <c r="I53" s="8">
        <f>74756.06+3163.31+2230.81+1265.33+665.64</f>
        <v>82081.149999999994</v>
      </c>
      <c r="J53" s="8">
        <v>0</v>
      </c>
      <c r="K53" s="8">
        <v>1664.12</v>
      </c>
      <c r="L53" s="8">
        <v>616.80999999999995</v>
      </c>
      <c r="M53" s="8">
        <v>3661.06</v>
      </c>
      <c r="N53" s="8">
        <v>0</v>
      </c>
      <c r="O53" s="8">
        <v>0</v>
      </c>
      <c r="P53" s="8">
        <v>0</v>
      </c>
      <c r="Q53" s="8">
        <v>0</v>
      </c>
      <c r="R53" s="8">
        <f t="shared" ref="R53:R73" si="7">+SUM(I53:Q53)</f>
        <v>88023.139999999985</v>
      </c>
      <c r="S53" s="8">
        <v>14163.2</v>
      </c>
      <c r="T53" s="8">
        <v>1068.8</v>
      </c>
      <c r="U53" s="8">
        <v>323.39999999999998</v>
      </c>
      <c r="V53" s="8">
        <v>0</v>
      </c>
      <c r="W53" s="8">
        <v>0</v>
      </c>
      <c r="X53" s="8">
        <v>11491.53</v>
      </c>
      <c r="Y53" s="8">
        <v>317.52</v>
      </c>
      <c r="Z53" s="8">
        <v>156.36000000000001</v>
      </c>
      <c r="AA53" s="8">
        <v>0</v>
      </c>
      <c r="AB53" s="10">
        <f t="shared" si="0"/>
        <v>26295.65</v>
      </c>
      <c r="AC53" s="10">
        <f t="shared" si="2"/>
        <v>1225.1599999999999</v>
      </c>
    </row>
    <row r="54" spans="1:30" x14ac:dyDescent="0.25">
      <c r="A54">
        <f t="shared" si="3"/>
        <v>53</v>
      </c>
      <c r="F54" s="9" t="s">
        <v>23</v>
      </c>
      <c r="H54" s="9" t="s">
        <v>23</v>
      </c>
      <c r="I54" s="8">
        <f>43012.65+1858.11+371.62+1404.92+2125.5</f>
        <v>48772.800000000003</v>
      </c>
      <c r="J54" s="8">
        <f>3278.38+564.24</f>
        <v>3842.62</v>
      </c>
      <c r="K54" s="8">
        <v>0</v>
      </c>
      <c r="L54" s="8">
        <v>616.80999999999995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f t="shared" si="7"/>
        <v>53232.23</v>
      </c>
      <c r="S54" s="8">
        <v>14163.2</v>
      </c>
      <c r="T54" s="8">
        <v>1068.8</v>
      </c>
      <c r="U54" s="8">
        <v>178.32</v>
      </c>
      <c r="V54" s="8">
        <v>0</v>
      </c>
      <c r="W54" s="8">
        <v>0</v>
      </c>
      <c r="X54" s="8">
        <v>6828.26</v>
      </c>
      <c r="Y54" s="8">
        <v>171.6</v>
      </c>
      <c r="Z54" s="8">
        <v>84.6</v>
      </c>
      <c r="AA54" s="8">
        <v>0</v>
      </c>
      <c r="AB54" s="10">
        <f>+S54+U54+V54+W54+X54+Y54+AA54</f>
        <v>21341.379999999997</v>
      </c>
      <c r="AC54" s="10">
        <f t="shared" si="2"/>
        <v>1153.3999999999999</v>
      </c>
    </row>
    <row r="55" spans="1:30" x14ac:dyDescent="0.25">
      <c r="A55">
        <f t="shared" si="3"/>
        <v>54</v>
      </c>
      <c r="F55" s="9" t="s">
        <v>23</v>
      </c>
      <c r="G55" s="9" t="s">
        <v>23</v>
      </c>
      <c r="I55" s="8">
        <f>11645.93+961.68+157.91</f>
        <v>12765.52</v>
      </c>
      <c r="J55" s="8">
        <f>6360.47+360.63+210.37+2404.2</f>
        <v>9335.67</v>
      </c>
      <c r="K55" s="8">
        <v>0</v>
      </c>
      <c r="L55" s="8">
        <v>617.80999999999995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 t="shared" si="7"/>
        <v>22719.000000000004</v>
      </c>
      <c r="S55" s="8">
        <v>1102.2</v>
      </c>
      <c r="T55" s="8">
        <v>233.8</v>
      </c>
      <c r="U55" s="8">
        <v>56.66</v>
      </c>
      <c r="V55" s="8">
        <v>3473.7</v>
      </c>
      <c r="W55" s="8">
        <v>0</v>
      </c>
      <c r="X55" s="8">
        <v>0</v>
      </c>
      <c r="Y55" s="8">
        <v>27.72</v>
      </c>
      <c r="Z55" s="8">
        <v>13.66</v>
      </c>
      <c r="AA55" s="8">
        <v>0</v>
      </c>
      <c r="AB55" s="10">
        <f>+S55+U55+V55+W55+X55+Y55+AA55</f>
        <v>4660.28</v>
      </c>
      <c r="AC55" s="10">
        <f t="shared" ref="AC55" si="8">+T55+Z55</f>
        <v>247.46</v>
      </c>
    </row>
    <row r="56" spans="1:30" x14ac:dyDescent="0.25">
      <c r="A56">
        <f>+A54+1</f>
        <v>54</v>
      </c>
      <c r="F56" s="9" t="s">
        <v>23</v>
      </c>
      <c r="H56" s="9" t="s">
        <v>23</v>
      </c>
      <c r="I56" s="8">
        <f>55275.32+2450.89+236.8+2687.68+3084.33</f>
        <v>63735.020000000004</v>
      </c>
      <c r="J56" s="8">
        <f>965.47+222</f>
        <v>1187.47</v>
      </c>
      <c r="K56" s="8">
        <v>0</v>
      </c>
      <c r="L56" s="8">
        <v>616.82000000000005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 t="shared" si="7"/>
        <v>65539.310000000012</v>
      </c>
      <c r="S56" s="8">
        <v>14163.2</v>
      </c>
      <c r="T56" s="8">
        <v>1068.8</v>
      </c>
      <c r="U56" s="8">
        <v>257.04000000000002</v>
      </c>
      <c r="V56" s="8">
        <v>0</v>
      </c>
      <c r="W56" s="8">
        <v>0</v>
      </c>
      <c r="X56" s="8">
        <v>8922.83</v>
      </c>
      <c r="Y56" s="8">
        <v>250.8</v>
      </c>
      <c r="Z56" s="8">
        <v>123.48</v>
      </c>
      <c r="AA56" s="8">
        <v>0</v>
      </c>
      <c r="AB56" s="10">
        <f t="shared" si="0"/>
        <v>23593.87</v>
      </c>
      <c r="AC56" s="10">
        <f t="shared" si="2"/>
        <v>1192.28</v>
      </c>
    </row>
    <row r="57" spans="1:30" x14ac:dyDescent="0.25">
      <c r="A57">
        <f t="shared" si="3"/>
        <v>55</v>
      </c>
      <c r="F57" s="9" t="s">
        <v>23</v>
      </c>
      <c r="H57" s="9" t="s">
        <v>23</v>
      </c>
      <c r="I57" s="8">
        <f>46337.36+1985.55+205.27+1660.4+1163.54+205.27</f>
        <v>51557.39</v>
      </c>
      <c r="J57" s="8">
        <v>143.88</v>
      </c>
      <c r="K57" s="8">
        <v>205.79</v>
      </c>
      <c r="L57" s="8">
        <v>616.82000000000005</v>
      </c>
      <c r="M57" s="8">
        <v>1873.11</v>
      </c>
      <c r="N57" s="8">
        <v>0</v>
      </c>
      <c r="O57" s="8">
        <v>0</v>
      </c>
      <c r="P57" s="8">
        <v>0</v>
      </c>
      <c r="Q57" s="8">
        <v>0</v>
      </c>
      <c r="R57" s="8">
        <f t="shared" si="7"/>
        <v>54396.99</v>
      </c>
      <c r="S57" s="8">
        <v>14163.2</v>
      </c>
      <c r="T57" s="8">
        <v>1068.8</v>
      </c>
      <c r="U57" s="8">
        <v>207.24</v>
      </c>
      <c r="V57" s="8">
        <v>0</v>
      </c>
      <c r="W57" s="8">
        <v>0</v>
      </c>
      <c r="X57" s="8">
        <v>7218.08</v>
      </c>
      <c r="Y57" s="8">
        <v>0</v>
      </c>
      <c r="Z57" s="8">
        <v>0</v>
      </c>
      <c r="AA57" s="8">
        <v>0</v>
      </c>
      <c r="AB57" s="10">
        <f t="shared" si="0"/>
        <v>21588.52</v>
      </c>
      <c r="AC57" s="10">
        <f t="shared" si="2"/>
        <v>1068.8</v>
      </c>
    </row>
    <row r="58" spans="1:30" x14ac:dyDescent="0.25">
      <c r="A58">
        <f t="shared" si="3"/>
        <v>56</v>
      </c>
      <c r="F58" s="9" t="s">
        <v>23</v>
      </c>
      <c r="G58" s="9" t="s">
        <v>23</v>
      </c>
      <c r="I58" s="8">
        <f>51979.57+5923.84+3082.96+314.24+3937.77+558.11+3428.56+4706.08</f>
        <v>73931.12999999999</v>
      </c>
      <c r="J58" s="8">
        <f>5139.5+7631.83+17912.47+6743.41+980.41+1615.4+13890.51+6076.08+736.5</f>
        <v>60726.110000000015</v>
      </c>
      <c r="K58" s="8">
        <v>0</v>
      </c>
      <c r="L58" s="8">
        <v>616.96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f t="shared" si="7"/>
        <v>135274.19999999998</v>
      </c>
      <c r="S58" s="8">
        <v>12566.4</v>
      </c>
      <c r="T58" s="8">
        <v>2665.6</v>
      </c>
      <c r="U58" s="8">
        <v>310.92</v>
      </c>
      <c r="V58" s="8">
        <v>18963.84</v>
      </c>
      <c r="W58" s="8">
        <v>3753</v>
      </c>
      <c r="X58" s="8">
        <v>0</v>
      </c>
      <c r="Y58" s="8">
        <v>302.76</v>
      </c>
      <c r="Z58" s="8">
        <v>149.16</v>
      </c>
      <c r="AA58" s="8">
        <v>0</v>
      </c>
      <c r="AB58" s="10">
        <f t="shared" si="0"/>
        <v>35896.920000000006</v>
      </c>
      <c r="AC58" s="10">
        <f t="shared" si="2"/>
        <v>2814.7599999999998</v>
      </c>
    </row>
    <row r="59" spans="1:30" x14ac:dyDescent="0.25">
      <c r="A59">
        <f t="shared" si="3"/>
        <v>57</v>
      </c>
      <c r="F59" s="9" t="s">
        <v>23</v>
      </c>
      <c r="G59" s="9" t="s">
        <v>23</v>
      </c>
      <c r="I59" s="8">
        <f>52763.75+2859.58+3161.36+314.24+157.12+1925.51+9609.68+2520.24+1885.44</f>
        <v>75196.920000000013</v>
      </c>
      <c r="J59" s="8">
        <f>9331.28+4085.12+15855.38+4187.25+3465.13+2482.98+10196.72+5656.32+1207.86+995.34+2578.08</f>
        <v>60041.46</v>
      </c>
      <c r="K59" s="8">
        <v>0</v>
      </c>
      <c r="L59" s="8">
        <v>616.97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f t="shared" si="7"/>
        <v>135855.35</v>
      </c>
      <c r="S59" s="8">
        <v>12566.4</v>
      </c>
      <c r="T59" s="8">
        <v>2665.6</v>
      </c>
      <c r="U59" s="8">
        <v>339.96</v>
      </c>
      <c r="V59" s="8">
        <v>20842.2</v>
      </c>
      <c r="W59" s="8">
        <v>4097.76</v>
      </c>
      <c r="X59" s="8">
        <v>0</v>
      </c>
      <c r="Y59" s="8">
        <v>332.64</v>
      </c>
      <c r="Z59" s="8">
        <v>163.92</v>
      </c>
      <c r="AA59" s="8">
        <v>0</v>
      </c>
      <c r="AB59" s="10">
        <f t="shared" si="0"/>
        <v>38178.959999999999</v>
      </c>
      <c r="AC59" s="10">
        <f t="shared" si="2"/>
        <v>2829.52</v>
      </c>
    </row>
    <row r="60" spans="1:30" x14ac:dyDescent="0.25">
      <c r="A60">
        <f t="shared" si="3"/>
        <v>58</v>
      </c>
      <c r="F60" s="9" t="s">
        <v>23</v>
      </c>
      <c r="G60" s="9" t="s">
        <v>23</v>
      </c>
      <c r="I60" s="8">
        <f>54924.48+6577.27+3161.3631424+942.72+3734.76+171.24+5819.76+3155.04+314.24</f>
        <v>78800.873142399985</v>
      </c>
      <c r="J60" s="8">
        <f>4939.37+4320.8+14732.62+2150.86+321.08+7433.4+3780.36+883.8</f>
        <v>38562.290000000008</v>
      </c>
      <c r="K60" s="8">
        <v>0</v>
      </c>
      <c r="L60" s="8">
        <v>616.97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f t="shared" si="7"/>
        <v>117980.13314239999</v>
      </c>
      <c r="S60" s="8">
        <v>12566.4</v>
      </c>
      <c r="T60" s="8">
        <v>2665.6</v>
      </c>
      <c r="U60" s="8">
        <v>339.96</v>
      </c>
      <c r="V60" s="8">
        <v>20842.2</v>
      </c>
      <c r="W60" s="8">
        <v>4097.76</v>
      </c>
      <c r="X60" s="8">
        <v>0</v>
      </c>
      <c r="Y60" s="8">
        <v>332.64</v>
      </c>
      <c r="Z60" s="8">
        <v>163.92</v>
      </c>
      <c r="AA60" s="8">
        <v>0</v>
      </c>
      <c r="AB60" s="10">
        <f t="shared" si="0"/>
        <v>38178.959999999999</v>
      </c>
      <c r="AC60" s="10">
        <f t="shared" si="2"/>
        <v>2829.52</v>
      </c>
    </row>
    <row r="61" spans="1:30" x14ac:dyDescent="0.25">
      <c r="A61">
        <f t="shared" si="3"/>
        <v>59</v>
      </c>
      <c r="F61" s="9" t="s">
        <v>23</v>
      </c>
      <c r="H61" s="9" t="s">
        <v>23</v>
      </c>
      <c r="I61" s="8">
        <f>48604.66+3112.2+1958.71+1230.06</f>
        <v>54905.63</v>
      </c>
      <c r="J61" s="8">
        <f>13501.03+296.4</f>
        <v>13797.43</v>
      </c>
      <c r="K61" s="8">
        <v>0</v>
      </c>
      <c r="L61" s="8">
        <v>616.82000000000005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f t="shared" si="7"/>
        <v>69319.88</v>
      </c>
      <c r="S61" s="8">
        <v>14163.2</v>
      </c>
      <c r="T61" s="8">
        <v>1068.8</v>
      </c>
      <c r="U61" s="8">
        <v>215.52</v>
      </c>
      <c r="V61" s="8">
        <v>0</v>
      </c>
      <c r="W61" s="8">
        <v>0</v>
      </c>
      <c r="X61" s="8">
        <v>7686.78</v>
      </c>
      <c r="Y61" s="8">
        <v>209.29</v>
      </c>
      <c r="Z61" s="8">
        <v>103.08</v>
      </c>
      <c r="AA61" s="8">
        <v>0</v>
      </c>
      <c r="AB61" s="10">
        <f t="shared" si="0"/>
        <v>22274.79</v>
      </c>
      <c r="AC61" s="10">
        <f t="shared" si="2"/>
        <v>1171.8799999999999</v>
      </c>
    </row>
    <row r="62" spans="1:30" x14ac:dyDescent="0.25">
      <c r="A62">
        <f t="shared" si="3"/>
        <v>60</v>
      </c>
      <c r="F62" s="9" t="s">
        <v>23</v>
      </c>
      <c r="H62" s="9" t="s">
        <v>23</v>
      </c>
      <c r="I62" s="8">
        <f>14733.64+797.76+99.72+772.83+872.55</f>
        <v>17276.5</v>
      </c>
      <c r="J62" s="8">
        <f>878.79+149.58</f>
        <v>1028.3699999999999</v>
      </c>
      <c r="K62" s="8">
        <v>2094.12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f t="shared" si="7"/>
        <v>20398.989999999998</v>
      </c>
      <c r="S62" s="8">
        <v>6889.6</v>
      </c>
      <c r="T62" s="8">
        <v>486.4</v>
      </c>
      <c r="U62" s="8">
        <v>71.84</v>
      </c>
      <c r="V62" s="8">
        <v>0</v>
      </c>
      <c r="W62" s="8">
        <v>0</v>
      </c>
      <c r="X62" s="8">
        <v>2418.73</v>
      </c>
      <c r="Y62" s="8">
        <v>70.400000000000006</v>
      </c>
      <c r="Z62" s="8">
        <v>34.68</v>
      </c>
      <c r="AA62" s="8">
        <v>0</v>
      </c>
      <c r="AB62" s="10">
        <f t="shared" ref="AB62:AB73" si="9">+S62+U62+V62+W62+X62+Y62+AA62</f>
        <v>9450.57</v>
      </c>
      <c r="AC62" s="10">
        <f t="shared" si="2"/>
        <v>521.07999999999993</v>
      </c>
    </row>
    <row r="63" spans="1:30" x14ac:dyDescent="0.25">
      <c r="A63">
        <f t="shared" si="3"/>
        <v>61</v>
      </c>
      <c r="B63" s="9" t="s">
        <v>23</v>
      </c>
      <c r="E63" s="9" t="s">
        <v>23</v>
      </c>
      <c r="H63" s="9" t="s">
        <v>23</v>
      </c>
      <c r="I63" s="8">
        <f>110788.52+5072.14+480.77+2456.74+11745.21+1067.32</f>
        <v>131610.70000000001</v>
      </c>
      <c r="J63" s="8">
        <v>0</v>
      </c>
      <c r="K63" s="8">
        <v>0</v>
      </c>
      <c r="L63" s="8">
        <v>616.80999999999995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7"/>
        <v>132227.51</v>
      </c>
      <c r="S63" s="8">
        <v>14163.2</v>
      </c>
      <c r="T63" s="8">
        <v>1068.8</v>
      </c>
      <c r="U63" s="8">
        <v>518.16</v>
      </c>
      <c r="V63" s="8">
        <v>0</v>
      </c>
      <c r="W63" s="8">
        <v>0</v>
      </c>
      <c r="X63" s="8">
        <v>18425.580000000002</v>
      </c>
      <c r="Y63" s="8">
        <v>509.04</v>
      </c>
      <c r="Z63" s="8">
        <v>250.8</v>
      </c>
      <c r="AA63" s="8">
        <v>0</v>
      </c>
      <c r="AB63" s="10">
        <f t="shared" si="9"/>
        <v>33615.980000000003</v>
      </c>
      <c r="AC63" s="10">
        <f t="shared" ref="AC63:AC73" si="10">+T63+Z63</f>
        <v>1319.6</v>
      </c>
      <c r="AD63" s="10"/>
    </row>
    <row r="64" spans="1:30" x14ac:dyDescent="0.25">
      <c r="A64">
        <f t="shared" ref="A64:A71" si="11">+A63+1</f>
        <v>62</v>
      </c>
      <c r="F64" s="9" t="s">
        <v>23</v>
      </c>
      <c r="G64" s="9" t="s">
        <v>23</v>
      </c>
      <c r="I64" s="8">
        <f>53255.31+5160.06+3702.08+314.24+1256.96+822.77+2457.52+2718.4</f>
        <v>69687.339999999982</v>
      </c>
      <c r="J64" s="8">
        <f>23613.29+4668.6+7392.33+4856.21+1935.93+12761.19+15857.04</f>
        <v>71084.59</v>
      </c>
      <c r="K64" s="8">
        <v>0</v>
      </c>
      <c r="L64" s="8">
        <v>616.96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f t="shared" si="7"/>
        <v>141388.88999999998</v>
      </c>
      <c r="S64" s="8">
        <v>12566.4</v>
      </c>
      <c r="T64" s="8">
        <v>2665.6</v>
      </c>
      <c r="U64" s="8">
        <v>310.92</v>
      </c>
      <c r="V64" s="8">
        <v>18963.84</v>
      </c>
      <c r="W64" s="8">
        <v>3786.24</v>
      </c>
      <c r="X64" s="8">
        <v>0</v>
      </c>
      <c r="Y64" s="8">
        <v>302.76</v>
      </c>
      <c r="Z64" s="8">
        <v>149.16</v>
      </c>
      <c r="AA64" s="8">
        <v>0</v>
      </c>
      <c r="AB64" s="10">
        <f t="shared" si="9"/>
        <v>35930.160000000003</v>
      </c>
      <c r="AC64" s="10">
        <f t="shared" si="10"/>
        <v>2814.7599999999998</v>
      </c>
      <c r="AD64" s="10"/>
    </row>
    <row r="65" spans="1:30" x14ac:dyDescent="0.25">
      <c r="A65">
        <f t="shared" si="11"/>
        <v>63</v>
      </c>
      <c r="F65" s="9" t="s">
        <v>23</v>
      </c>
      <c r="G65" s="9" t="s">
        <v>23</v>
      </c>
      <c r="I65" s="8">
        <f>58848.62+3676.61+3428.56+320.56+1247.6+157.12+1820.3+3362.56+1571.2</f>
        <v>74433.13</v>
      </c>
      <c r="J65" s="8">
        <f>8256.44+7614.68+11795.79+3063.83+261.6+11003.67+7759.86+883.8</f>
        <v>50639.670000000006</v>
      </c>
      <c r="K65" s="8">
        <v>0</v>
      </c>
      <c r="L65" s="8">
        <v>616.97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f t="shared" si="7"/>
        <v>125689.77000000002</v>
      </c>
      <c r="S65" s="8">
        <v>12566.4</v>
      </c>
      <c r="T65" s="8">
        <v>2665.6</v>
      </c>
      <c r="U65" s="8">
        <v>323.39999999999998</v>
      </c>
      <c r="V65" s="8">
        <v>19802.16</v>
      </c>
      <c r="W65" s="8">
        <v>3958.52</v>
      </c>
      <c r="X65" s="8">
        <v>0</v>
      </c>
      <c r="Y65" s="8">
        <v>316.2</v>
      </c>
      <c r="Z65" s="8">
        <v>155.76</v>
      </c>
      <c r="AA65" s="8">
        <v>0</v>
      </c>
      <c r="AB65" s="10">
        <f t="shared" si="9"/>
        <v>36966.679999999993</v>
      </c>
      <c r="AC65" s="10">
        <f t="shared" si="10"/>
        <v>2821.3599999999997</v>
      </c>
      <c r="AD65" s="10"/>
    </row>
    <row r="66" spans="1:30" x14ac:dyDescent="0.25">
      <c r="A66">
        <f t="shared" si="11"/>
        <v>64</v>
      </c>
      <c r="C66" s="9" t="s">
        <v>23</v>
      </c>
      <c r="E66" s="9" t="s">
        <v>23</v>
      </c>
      <c r="H66" s="9" t="s">
        <v>23</v>
      </c>
      <c r="I66" s="8">
        <f>79088.09+3308.14+312.7+1563.48+2139.61+625.4</f>
        <v>87037.419999999984</v>
      </c>
      <c r="J66" s="8">
        <v>0</v>
      </c>
      <c r="K66" s="8">
        <v>45.67</v>
      </c>
      <c r="L66" s="8">
        <v>617.59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f t="shared" si="7"/>
        <v>87700.679999999978</v>
      </c>
      <c r="S66" s="11">
        <v>14163.2</v>
      </c>
      <c r="T66" s="8">
        <v>1068.8</v>
      </c>
      <c r="U66" s="8">
        <v>319.2</v>
      </c>
      <c r="V66" s="8">
        <v>0</v>
      </c>
      <c r="W66" s="8">
        <v>0</v>
      </c>
      <c r="X66" s="8">
        <v>12185.14</v>
      </c>
      <c r="Y66" s="8">
        <v>310.8</v>
      </c>
      <c r="Z66" s="8">
        <v>153.12</v>
      </c>
      <c r="AA66" s="8">
        <v>0</v>
      </c>
      <c r="AB66" s="10">
        <f t="shared" si="9"/>
        <v>26978.34</v>
      </c>
      <c r="AC66" s="10">
        <f t="shared" si="10"/>
        <v>1221.92</v>
      </c>
    </row>
    <row r="67" spans="1:30" x14ac:dyDescent="0.25">
      <c r="A67">
        <f t="shared" si="11"/>
        <v>65</v>
      </c>
      <c r="B67" s="9" t="s">
        <v>23</v>
      </c>
      <c r="E67" s="9" t="s">
        <v>23</v>
      </c>
      <c r="H67" s="9" t="s">
        <v>23</v>
      </c>
      <c r="I67" s="8">
        <f>115740.41+4899.07+480.77+961.54+2615.41+5226+533.66</f>
        <v>130456.86000000002</v>
      </c>
      <c r="J67" s="8">
        <v>0</v>
      </c>
      <c r="K67" s="8">
        <v>0</v>
      </c>
      <c r="L67" s="8">
        <v>616.83000000000004</v>
      </c>
      <c r="M67" s="8">
        <v>0</v>
      </c>
      <c r="N67" s="8">
        <v>0</v>
      </c>
      <c r="O67" s="8">
        <v>0</v>
      </c>
      <c r="P67" s="8">
        <v>0</v>
      </c>
      <c r="Q67" s="8">
        <v>5929.74</v>
      </c>
      <c r="R67" s="8">
        <f t="shared" si="7"/>
        <v>137003.43</v>
      </c>
      <c r="S67" s="8">
        <v>14163.2</v>
      </c>
      <c r="T67" s="8">
        <v>1068.8</v>
      </c>
      <c r="U67" s="8">
        <v>456</v>
      </c>
      <c r="V67" s="8">
        <v>0</v>
      </c>
      <c r="W67" s="8">
        <v>0</v>
      </c>
      <c r="X67" s="8">
        <v>18264.02</v>
      </c>
      <c r="Y67" s="8">
        <v>447.96</v>
      </c>
      <c r="Z67" s="8">
        <v>220.68</v>
      </c>
      <c r="AA67" s="8">
        <v>0</v>
      </c>
      <c r="AB67" s="10">
        <f t="shared" si="9"/>
        <v>33331.18</v>
      </c>
      <c r="AC67" s="10">
        <f t="shared" si="10"/>
        <v>1289.48</v>
      </c>
    </row>
    <row r="68" spans="1:30" x14ac:dyDescent="0.25">
      <c r="A68">
        <f t="shared" si="11"/>
        <v>66</v>
      </c>
      <c r="E68" s="9" t="s">
        <v>23</v>
      </c>
      <c r="H68" s="9" t="s">
        <v>23</v>
      </c>
      <c r="I68" s="8">
        <f>64142.83+2750.29+2457.96+1557.7+584.6</f>
        <v>71493.38</v>
      </c>
      <c r="J68" s="8">
        <v>0</v>
      </c>
      <c r="K68" s="8">
        <v>0</v>
      </c>
      <c r="L68" s="8">
        <v>617.58000000000004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f t="shared" si="7"/>
        <v>72110.960000000006</v>
      </c>
      <c r="S68" s="8">
        <v>14163.2</v>
      </c>
      <c r="T68" s="8">
        <v>1068.8</v>
      </c>
      <c r="U68" s="8">
        <v>269.52</v>
      </c>
      <c r="V68" s="8">
        <v>0</v>
      </c>
      <c r="W68" s="8">
        <v>0</v>
      </c>
      <c r="X68" s="8">
        <v>10009.15</v>
      </c>
      <c r="Y68" s="8">
        <v>0</v>
      </c>
      <c r="Z68" s="8">
        <v>0</v>
      </c>
      <c r="AA68" s="8">
        <v>0</v>
      </c>
      <c r="AB68" s="10">
        <f t="shared" si="9"/>
        <v>24441.870000000003</v>
      </c>
      <c r="AC68" s="10">
        <f t="shared" si="10"/>
        <v>1068.8</v>
      </c>
    </row>
    <row r="69" spans="1:30" x14ac:dyDescent="0.25">
      <c r="A69">
        <f t="shared" si="11"/>
        <v>67</v>
      </c>
      <c r="F69" s="9" t="s">
        <v>23</v>
      </c>
      <c r="G69" s="9" t="s">
        <v>23</v>
      </c>
      <c r="I69" s="8">
        <f>47681.55+2403.12+251.36+117.84+2009.31+3131.7+1686.51</f>
        <v>57281.39</v>
      </c>
      <c r="J69" s="8">
        <f>9009.68+4866.64+8881.9+5600.16</f>
        <v>28358.38</v>
      </c>
      <c r="K69" s="8">
        <v>0</v>
      </c>
      <c r="L69" s="8">
        <v>625.41999999999996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f t="shared" si="7"/>
        <v>86265.19</v>
      </c>
      <c r="S69" s="8">
        <v>12566.4</v>
      </c>
      <c r="T69" s="8">
        <v>2665.6</v>
      </c>
      <c r="U69" s="8">
        <v>240.48</v>
      </c>
      <c r="V69" s="8">
        <v>13370.83</v>
      </c>
      <c r="W69" s="8">
        <v>2849.95</v>
      </c>
      <c r="X69" s="8">
        <v>0</v>
      </c>
      <c r="Y69" s="8">
        <v>232.8</v>
      </c>
      <c r="Z69" s="8">
        <v>114.72</v>
      </c>
      <c r="AA69" s="8">
        <v>0</v>
      </c>
      <c r="AB69" s="10">
        <f t="shared" si="9"/>
        <v>29260.46</v>
      </c>
      <c r="AC69" s="10">
        <f t="shared" si="10"/>
        <v>2780.3199999999997</v>
      </c>
    </row>
    <row r="70" spans="1:30" x14ac:dyDescent="0.25">
      <c r="A70">
        <f t="shared" si="11"/>
        <v>68</v>
      </c>
      <c r="F70" s="9" t="s">
        <v>23</v>
      </c>
      <c r="G70" s="9" t="s">
        <v>23</v>
      </c>
      <c r="I70" s="8">
        <f>49984.78+4182.87+2716.4+285.92+2730.18+920.33+2161.52</f>
        <v>62982</v>
      </c>
      <c r="J70" s="8">
        <f>19056.61+8109.39+6526.69+3602.94+11260.27+11306.4</f>
        <v>59862.30000000001</v>
      </c>
      <c r="K70" s="8">
        <v>0</v>
      </c>
      <c r="L70" s="8">
        <v>616.99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f t="shared" si="7"/>
        <v>123461.29000000002</v>
      </c>
      <c r="S70" s="8">
        <v>12566.4</v>
      </c>
      <c r="T70" s="8">
        <v>2665.6</v>
      </c>
      <c r="U70" s="8">
        <v>273.60000000000002</v>
      </c>
      <c r="V70" s="8">
        <v>16671.599999999999</v>
      </c>
      <c r="W70" s="8">
        <v>3034.12</v>
      </c>
      <c r="X70" s="8">
        <v>0</v>
      </c>
      <c r="Y70" s="8">
        <v>266.16000000000003</v>
      </c>
      <c r="Z70" s="8">
        <v>131.16</v>
      </c>
      <c r="AA70" s="8">
        <v>0</v>
      </c>
      <c r="AB70" s="10">
        <f t="shared" si="9"/>
        <v>32811.879999999997</v>
      </c>
      <c r="AC70" s="10">
        <f t="shared" si="10"/>
        <v>2796.7599999999998</v>
      </c>
    </row>
    <row r="71" spans="1:30" x14ac:dyDescent="0.25">
      <c r="A71">
        <f t="shared" si="11"/>
        <v>69</v>
      </c>
      <c r="F71" s="9" t="s">
        <v>23</v>
      </c>
      <c r="H71" s="9" t="s">
        <v>23</v>
      </c>
      <c r="I71" s="8">
        <f>46695.71+2829.33+980.33+1053.19</f>
        <v>51558.560000000005</v>
      </c>
      <c r="J71" s="8">
        <f>7168.76+70.97</f>
        <v>7239.7300000000005</v>
      </c>
      <c r="K71" s="8">
        <v>0</v>
      </c>
      <c r="L71" s="8">
        <v>616.80999999999995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f t="shared" si="7"/>
        <v>59415.100000000006</v>
      </c>
      <c r="S71" s="8">
        <v>14163.2</v>
      </c>
      <c r="T71" s="8">
        <v>1068.8</v>
      </c>
      <c r="U71" s="8">
        <v>207.24</v>
      </c>
      <c r="V71" s="8">
        <v>0</v>
      </c>
      <c r="W71" s="8">
        <v>0</v>
      </c>
      <c r="X71" s="8">
        <v>5992.82</v>
      </c>
      <c r="Y71" s="8">
        <v>200.4</v>
      </c>
      <c r="Z71" s="8">
        <v>98.76</v>
      </c>
      <c r="AA71" s="8">
        <v>0</v>
      </c>
      <c r="AB71" s="10">
        <f t="shared" si="9"/>
        <v>20563.660000000003</v>
      </c>
      <c r="AC71" s="10">
        <f t="shared" si="10"/>
        <v>1167.56</v>
      </c>
    </row>
    <row r="72" spans="1:30" x14ac:dyDescent="0.25">
      <c r="A72">
        <f>+A71+1</f>
        <v>70</v>
      </c>
      <c r="F72" s="9" t="s">
        <v>23</v>
      </c>
      <c r="G72" s="9" t="s">
        <v>23</v>
      </c>
      <c r="I72" s="8">
        <f>42192.4+2071.04+439.84+1846.39+685.29+1445.36</f>
        <v>48680.32</v>
      </c>
      <c r="J72" s="8">
        <f>10542.19+4777.89+6585.88+7971.36</f>
        <v>29877.320000000003</v>
      </c>
      <c r="K72" s="8">
        <v>0</v>
      </c>
      <c r="L72" s="8">
        <v>616.97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f t="shared" si="7"/>
        <v>79174.61</v>
      </c>
      <c r="S72" s="8">
        <v>12566.4</v>
      </c>
      <c r="T72" s="8">
        <v>2665.6</v>
      </c>
      <c r="U72" s="8">
        <v>207.24</v>
      </c>
      <c r="V72" s="8">
        <v>10417.4</v>
      </c>
      <c r="W72" s="8">
        <v>2239.1999999999998</v>
      </c>
      <c r="X72" s="8">
        <v>0</v>
      </c>
      <c r="Y72" s="8">
        <v>199.68</v>
      </c>
      <c r="Z72" s="8">
        <v>98.28</v>
      </c>
      <c r="AA72" s="8">
        <v>0</v>
      </c>
      <c r="AB72" s="10">
        <f t="shared" si="9"/>
        <v>25629.920000000002</v>
      </c>
      <c r="AC72" s="10">
        <f t="shared" si="10"/>
        <v>2763.88</v>
      </c>
    </row>
    <row r="73" spans="1:30" x14ac:dyDescent="0.25">
      <c r="A73">
        <f>+A72+1</f>
        <v>71</v>
      </c>
      <c r="F73" s="9" t="s">
        <v>23</v>
      </c>
      <c r="H73" s="9" t="s">
        <v>23</v>
      </c>
      <c r="I73" s="8">
        <f>17109.52+865.39+36.06+1153.85</f>
        <v>19164.82</v>
      </c>
      <c r="J73" s="8">
        <v>3948.36</v>
      </c>
      <c r="K73" s="8">
        <v>0</v>
      </c>
      <c r="L73" s="8">
        <v>2116.9699999999998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f t="shared" si="7"/>
        <v>25230.15</v>
      </c>
      <c r="S73" s="8">
        <v>2467.1999999999998</v>
      </c>
      <c r="T73" s="8">
        <v>204.8</v>
      </c>
      <c r="U73" s="8">
        <v>77.73</v>
      </c>
      <c r="V73" s="8">
        <v>0</v>
      </c>
      <c r="W73" s="8">
        <v>0</v>
      </c>
      <c r="X73" s="8">
        <v>0</v>
      </c>
      <c r="Y73" s="8">
        <v>50.9</v>
      </c>
      <c r="Z73" s="8">
        <v>25.08</v>
      </c>
      <c r="AA73" s="8">
        <v>0</v>
      </c>
      <c r="AB73" s="10">
        <f t="shared" si="9"/>
        <v>2595.83</v>
      </c>
      <c r="AC73" s="10">
        <f t="shared" si="10"/>
        <v>229.88</v>
      </c>
    </row>
    <row r="77" spans="1:30" ht="48" x14ac:dyDescent="0.25">
      <c r="H77" s="17" t="s">
        <v>30</v>
      </c>
      <c r="I77" s="13" t="s">
        <v>8</v>
      </c>
      <c r="J77" s="13" t="s">
        <v>9</v>
      </c>
      <c r="K77" s="13" t="s">
        <v>10</v>
      </c>
      <c r="L77" s="14" t="s">
        <v>11</v>
      </c>
      <c r="M77" s="14" t="s">
        <v>12</v>
      </c>
      <c r="N77" s="14" t="s">
        <v>13</v>
      </c>
      <c r="O77" s="15" t="s">
        <v>27</v>
      </c>
      <c r="P77" s="15" t="s">
        <v>29</v>
      </c>
      <c r="Q77" s="15" t="s">
        <v>28</v>
      </c>
      <c r="R77" s="14" t="s">
        <v>14</v>
      </c>
      <c r="S77" s="15" t="s">
        <v>15</v>
      </c>
      <c r="T77" s="15" t="s">
        <v>16</v>
      </c>
      <c r="U77" s="15" t="s">
        <v>17</v>
      </c>
      <c r="V77" s="16" t="s">
        <v>18</v>
      </c>
      <c r="W77" s="16" t="s">
        <v>19</v>
      </c>
      <c r="X77" s="16" t="s">
        <v>24</v>
      </c>
      <c r="Y77" s="16" t="s">
        <v>20</v>
      </c>
      <c r="Z77" s="16" t="s">
        <v>21</v>
      </c>
      <c r="AA77" s="16" t="s">
        <v>22</v>
      </c>
      <c r="AB77" s="16" t="s">
        <v>25</v>
      </c>
      <c r="AC77" s="16" t="s">
        <v>26</v>
      </c>
    </row>
    <row r="78" spans="1:30" s="8" customFormat="1" x14ac:dyDescent="0.25">
      <c r="A78"/>
      <c r="B78" s="9"/>
      <c r="C78" s="9"/>
      <c r="D78" s="9"/>
      <c r="E78" s="9"/>
      <c r="F78" s="9"/>
      <c r="G78" s="9"/>
      <c r="H78" s="9" t="s">
        <v>1</v>
      </c>
      <c r="I78" s="8">
        <f>+SUMIF($B$2:$B$73,"X",I2:I73)</f>
        <v>899117.83</v>
      </c>
      <c r="J78" s="8">
        <f>+SUMIF($B$2:$B$73,"X",J2:J73)</f>
        <v>0</v>
      </c>
      <c r="K78" s="8">
        <f>+SUMIF($B$2:$B$73,"X",K2:K73)</f>
        <v>9049.7999999999993</v>
      </c>
      <c r="L78" s="8">
        <f>+SUMIF($B$2:$B$73,"X",L2:L73)</f>
        <v>3037.48</v>
      </c>
      <c r="M78" s="8">
        <f>+SUMIF($B$2:$B$73,"X",M2:M73)</f>
        <v>13240.300000000001</v>
      </c>
      <c r="N78" s="8">
        <f>+SUMIF($B$2:$B$73,"X",N2:N73)</f>
        <v>71.27</v>
      </c>
      <c r="O78" s="8">
        <f>+SUMIF($B$2:$B$73,"X",O2:O73)</f>
        <v>0</v>
      </c>
      <c r="P78" s="8">
        <f>+SUMIF($B$2:$B$73,"X",P2:P73)</f>
        <v>13816.81</v>
      </c>
      <c r="Q78" s="8">
        <f>+SUMIF($B$2:$B$73,"X",Q2:Q73)</f>
        <v>13209.96</v>
      </c>
      <c r="R78" s="8">
        <f>+SUMIF($B$2:$B$73,"X",R2:R73)</f>
        <v>951543.45</v>
      </c>
      <c r="S78" s="8">
        <f>+SUMIF($B$2:$B$73,"X",S2:S73)</f>
        <v>70816</v>
      </c>
      <c r="T78" s="8">
        <f>+SUMIF($B$2:$B$73,"X",T2:T73)</f>
        <v>5344</v>
      </c>
      <c r="U78" s="8">
        <f>+SUMIF($B$2:$B$73,"X",U2:U73)</f>
        <v>3519.4799999999996</v>
      </c>
      <c r="V78" s="8">
        <f>+SUMIF($B$2:$B$73,"X",V2:V73)</f>
        <v>0</v>
      </c>
      <c r="W78" s="8">
        <f>+SUMIF($B$2:$B$73,"X",W2:W73)</f>
        <v>0</v>
      </c>
      <c r="X78" s="8">
        <f>+SUMIF($B$2:$B$73,"X",X2:X73)</f>
        <v>125167.21</v>
      </c>
      <c r="Y78" s="8">
        <f>+SUMIF($B$2:$B$73,"X",Y2:Y73)</f>
        <v>3219.4800000000005</v>
      </c>
      <c r="Z78" s="8">
        <f>+SUMIF($B$2:$B$73,"X",Z2:Z73)</f>
        <v>1585.8</v>
      </c>
      <c r="AA78" s="8">
        <f>+SUMIF($B$2:$B$73,"X",AA2:AA73)</f>
        <v>47500</v>
      </c>
      <c r="AB78" s="8">
        <f>+SUMIF($B$2:$B$73,"X",AB2:AB73)</f>
        <v>250222.17</v>
      </c>
      <c r="AC78" s="8">
        <f>+SUMIF($B$2:$B$73,"X",AC2:AC73)</f>
        <v>6929.7999999999993</v>
      </c>
      <c r="AD78"/>
    </row>
    <row r="79" spans="1:30" s="8" customFormat="1" x14ac:dyDescent="0.25">
      <c r="A79"/>
      <c r="B79" s="9"/>
      <c r="C79" s="9"/>
      <c r="D79" s="9"/>
      <c r="E79" s="9"/>
      <c r="F79" s="9"/>
      <c r="G79" s="9"/>
      <c r="H79" s="9" t="s">
        <v>2</v>
      </c>
      <c r="I79" s="8">
        <f>+SUMIF($C$2:$C$73,"X",I2:I73)</f>
        <v>604614.07000000007</v>
      </c>
      <c r="J79" s="8">
        <f>+SUMIF($C$2:$C$73,"X",J2:J73)</f>
        <v>0</v>
      </c>
      <c r="K79" s="8">
        <f>+SUMIF($C$2:$C$73,"X",K2:K73)</f>
        <v>6363.63</v>
      </c>
      <c r="L79" s="8">
        <f>+SUMIF($C$2:$C$73,"X",L2:L73)</f>
        <v>5202.59</v>
      </c>
      <c r="M79" s="8">
        <f>+SUMIF($C$2:$C$73,"X",M2:M73)</f>
        <v>12877.99</v>
      </c>
      <c r="N79" s="8">
        <f>+SUMIF($C$2:$C$73,"X",N2:N73)</f>
        <v>0</v>
      </c>
      <c r="O79" s="8">
        <f>+SUMIF($C$2:$C$73,"X",O2:O73)</f>
        <v>0</v>
      </c>
      <c r="P79" s="8">
        <f>+SUMIF($C$2:$C$73,"X",P2:P73)</f>
        <v>0</v>
      </c>
      <c r="Q79" s="8">
        <f>+SUMIF($C$2:$C$73,"X",Q2:Q73)</f>
        <v>0</v>
      </c>
      <c r="R79" s="8">
        <f>+SUMIF($C$2:$C$73,"X",R2:R73)</f>
        <v>629058.28</v>
      </c>
      <c r="S79" s="8">
        <f>+SUMIF($C$2:$C$73,"X",S2:S73)</f>
        <v>84979.199999999997</v>
      </c>
      <c r="T79" s="8">
        <f>+SUMIF($C$2:$C$73,"X",T2:T73)</f>
        <v>6412.8</v>
      </c>
      <c r="U79" s="8">
        <f>+SUMIF($C$2:$C$73,"X",U2:U73)</f>
        <v>2404.6799999999998</v>
      </c>
      <c r="V79" s="8">
        <f>+SUMIF($C$2:$C$73,"X",V2:V73)</f>
        <v>90603.839999999997</v>
      </c>
      <c r="W79" s="8">
        <f>+SUMIF($C$2:$C$73,"X",W2:W73)</f>
        <v>0</v>
      </c>
      <c r="X79" s="8">
        <f>+SUMIF($C$2:$C$73,"X",X2:X73)</f>
        <v>60464.45</v>
      </c>
      <c r="Y79" s="8">
        <f>+SUMIF($C$2:$C$73,"X",Y2:Y73)</f>
        <v>2355.96</v>
      </c>
      <c r="Z79" s="8">
        <f>+SUMIF($C$2:$C$73,"X",Z2:Z73)</f>
        <v>1160.52</v>
      </c>
      <c r="AA79" s="8">
        <f>+SUMIF($C$2:$C$73,"X",AA2:AA73)</f>
        <v>0</v>
      </c>
      <c r="AB79" s="8">
        <f>+SUMIF($C$2:$C$73,"X",AB2:AB73)</f>
        <v>240808.13</v>
      </c>
      <c r="AC79" s="8">
        <f>+SUMIF($C$2:$C$73,"X",AC2:AC73)</f>
        <v>7573.32</v>
      </c>
      <c r="AD79"/>
    </row>
    <row r="80" spans="1:30" s="8" customFormat="1" ht="15.75" thickBot="1" x14ac:dyDescent="0.3">
      <c r="A80"/>
      <c r="B80" s="9"/>
      <c r="C80" s="9"/>
      <c r="D80" s="9"/>
      <c r="E80" s="9"/>
      <c r="F80" s="9"/>
      <c r="G80" s="9"/>
      <c r="H80" s="9" t="s">
        <v>31</v>
      </c>
      <c r="I80" s="12">
        <f>+SUM(I78:I79)</f>
        <v>1503731.9</v>
      </c>
      <c r="J80" s="12">
        <f t="shared" ref="J80:AC80" si="12">+SUM(J78:J79)</f>
        <v>0</v>
      </c>
      <c r="K80" s="12">
        <f t="shared" si="12"/>
        <v>15413.43</v>
      </c>
      <c r="L80" s="12">
        <f t="shared" si="12"/>
        <v>8240.07</v>
      </c>
      <c r="M80" s="12">
        <f t="shared" si="12"/>
        <v>26118.29</v>
      </c>
      <c r="N80" s="12">
        <f t="shared" si="12"/>
        <v>71.27</v>
      </c>
      <c r="O80" s="12">
        <f t="shared" si="12"/>
        <v>0</v>
      </c>
      <c r="P80" s="12">
        <f t="shared" si="12"/>
        <v>13816.81</v>
      </c>
      <c r="Q80" s="12">
        <f t="shared" si="12"/>
        <v>13209.96</v>
      </c>
      <c r="R80" s="12">
        <f t="shared" si="12"/>
        <v>1580601.73</v>
      </c>
      <c r="S80" s="12">
        <f t="shared" si="12"/>
        <v>155795.20000000001</v>
      </c>
      <c r="T80" s="12">
        <f t="shared" si="12"/>
        <v>11756.8</v>
      </c>
      <c r="U80" s="12">
        <f t="shared" si="12"/>
        <v>5924.16</v>
      </c>
      <c r="V80" s="12">
        <f t="shared" si="12"/>
        <v>90603.839999999997</v>
      </c>
      <c r="W80" s="12">
        <f t="shared" si="12"/>
        <v>0</v>
      </c>
      <c r="X80" s="12">
        <f t="shared" si="12"/>
        <v>185631.66</v>
      </c>
      <c r="Y80" s="12">
        <f t="shared" si="12"/>
        <v>5575.4400000000005</v>
      </c>
      <c r="Z80" s="12">
        <f t="shared" si="12"/>
        <v>2746.3199999999997</v>
      </c>
      <c r="AA80" s="12">
        <f t="shared" si="12"/>
        <v>47500</v>
      </c>
      <c r="AB80" s="12">
        <f t="shared" si="12"/>
        <v>491030.30000000005</v>
      </c>
      <c r="AC80" s="12">
        <f t="shared" si="12"/>
        <v>14503.119999999999</v>
      </c>
      <c r="AD80"/>
    </row>
    <row r="82" spans="1:30" s="8" customFormat="1" x14ac:dyDescent="0.25">
      <c r="A82"/>
      <c r="B82" s="9"/>
      <c r="C82" s="9"/>
      <c r="D82" s="9"/>
      <c r="E82" s="9"/>
      <c r="F82" s="9"/>
      <c r="G82" s="9"/>
      <c r="H82" s="9" t="s">
        <v>4</v>
      </c>
      <c r="I82" s="8">
        <f>+SUMIF($E$2:$E$73,"X",I2:I73)</f>
        <v>1600987.6799999997</v>
      </c>
      <c r="J82" s="8">
        <f>+SUMIF($E$2:$E$73,"X",J2:J73)</f>
        <v>0</v>
      </c>
      <c r="K82" s="8">
        <f>+SUMIF($E$2:$E$73,"X",K2:K73)</f>
        <v>23464.229999999996</v>
      </c>
      <c r="L82" s="8">
        <f>+SUMIF($E$2:$E$73,"X",L2:L73)</f>
        <v>8857.65</v>
      </c>
      <c r="M82" s="8">
        <f>+SUMIF($E$2:$E$73,"X",M2:M73)</f>
        <v>36101.279999999999</v>
      </c>
      <c r="N82" s="8">
        <f>+SUMIF($E$2:$E$73,"X",N2:N73)</f>
        <v>1073.58</v>
      </c>
      <c r="O82" s="8">
        <f>+SUMIF($E$2:$E$73,"X",O2:O73)</f>
        <v>0</v>
      </c>
      <c r="P82" s="8">
        <f>+SUMIF($E$2:$E$73,"X",P2:P73)</f>
        <v>13816.81</v>
      </c>
      <c r="Q82" s="8">
        <f>+SUMIF($E$2:$E$73,"X",Q2:Q73)</f>
        <v>13209.96</v>
      </c>
      <c r="R82" s="8">
        <f>+SUMIF($E$2:$E$73,"X",R2:R73)</f>
        <v>1697511.1899999997</v>
      </c>
      <c r="S82" s="8">
        <f>+SUMIF($E$2:$E$73,"X",S2:S73)</f>
        <v>176848.00000000003</v>
      </c>
      <c r="T82" s="8">
        <f>+SUMIF($E$2:$E$73,"X",T2:T73)</f>
        <v>13311.999999999998</v>
      </c>
      <c r="U82" s="8">
        <f>+SUMIF($E$2:$E$73,"X",U2:U73)</f>
        <v>6309.76</v>
      </c>
      <c r="V82" s="8">
        <f>+SUMIF($E$2:$E$73,"X",V2:V73)</f>
        <v>101240.08</v>
      </c>
      <c r="W82" s="8">
        <f>+SUMIF($E$2:$E$73,"X",W2:W73)</f>
        <v>0</v>
      </c>
      <c r="X82" s="8">
        <f>+SUMIF($E$2:$E$73,"X",X2:X73)</f>
        <v>196671.37</v>
      </c>
      <c r="Y82" s="8">
        <f>+SUMIF($E$2:$E$73,"X",Y2:Y73)</f>
        <v>5689.1000000000013</v>
      </c>
      <c r="Z82" s="8">
        <f>+SUMIF($E$2:$E$73,"X",Z2:Z73)</f>
        <v>2802.2999999999997</v>
      </c>
      <c r="AA82" s="8">
        <f>+SUMIF($E$2:$E$73,"X",AA2:AA73)</f>
        <v>47500</v>
      </c>
      <c r="AB82" s="8">
        <f>+SUMIF($E$2:$E$73,"X",AB2:AB73)</f>
        <v>534258.30999999994</v>
      </c>
      <c r="AC82" s="8">
        <f>+SUMIF($E$2:$E$73,"X",AC2:AC73)</f>
        <v>16114.3</v>
      </c>
      <c r="AD82"/>
    </row>
    <row r="83" spans="1:30" s="8" customFormat="1" x14ac:dyDescent="0.25">
      <c r="A83"/>
      <c r="B83" s="9"/>
      <c r="C83" s="9"/>
      <c r="D83" s="9"/>
      <c r="E83" s="9"/>
      <c r="F83" s="9"/>
      <c r="G83" s="9"/>
      <c r="H83" s="9" t="s">
        <v>5</v>
      </c>
      <c r="I83" s="8">
        <f>+SUMIF($F$2:$F$73,"X",I2:I73)</f>
        <v>3765756.3531423989</v>
      </c>
      <c r="J83" s="8">
        <f>+SUMIF($F$2:$F$73,"X",J2:J73)</f>
        <v>1397825.6600000004</v>
      </c>
      <c r="K83" s="8">
        <f>+SUMIF($F$2:$F$73,"X",K2:K73)</f>
        <v>48201.3</v>
      </c>
      <c r="L83" s="8">
        <f>+SUMIF($F$2:$F$73,"X",L2:L73)</f>
        <v>37829.730000000003</v>
      </c>
      <c r="M83" s="8">
        <f>+SUMIF($F$2:$F$73,"X",M2:M73)</f>
        <v>42541.98</v>
      </c>
      <c r="N83" s="8">
        <f>+SUMIF($F$2:$F$73,"X",N2:N73)</f>
        <v>2393.7200000000003</v>
      </c>
      <c r="O83" s="8">
        <f>+SUMIF($F$2:$F$73,"X",O2:O73)</f>
        <v>2550</v>
      </c>
      <c r="P83" s="8">
        <f>+SUMIF($F$2:$F$73,"X",P2:P73)</f>
        <v>0</v>
      </c>
      <c r="Q83" s="8">
        <f>+SUMIF($F$2:$F$73,"X",Q2:Q73)</f>
        <v>0</v>
      </c>
      <c r="R83" s="8">
        <f>+SUMIF($F$2:$F$73,"X",R2:R73)</f>
        <v>5297098.7431424009</v>
      </c>
      <c r="S83" s="8">
        <f>+SUMIF($F$2:$F$73,"X",S2:S73)</f>
        <v>737122.20000000007</v>
      </c>
      <c r="T83" s="8">
        <f>+SUMIF($F$2:$F$73,"X",T2:T73)</f>
        <v>106677.8000000001</v>
      </c>
      <c r="U83" s="8">
        <f>+SUMIF($F$2:$F$73,"X",U2:U73)</f>
        <v>15781.22999999999</v>
      </c>
      <c r="V83" s="8">
        <f>+SUMIF($F$2:$F$73,"X",V2:V73)</f>
        <v>838903.22999999952</v>
      </c>
      <c r="W83" s="8">
        <f>+SUMIF($F$2:$F$73,"X",W2:W73)</f>
        <v>117167.51999999997</v>
      </c>
      <c r="X83" s="8">
        <f>+SUMIF($F$2:$F$73,"X",X2:X73)</f>
        <v>171673.4</v>
      </c>
      <c r="Y83" s="8">
        <f>+SUMIF($F$2:$F$73,"X",Y2:Y73)</f>
        <v>15157.649999999996</v>
      </c>
      <c r="Z83" s="8">
        <f>+SUMIF($F$2:$F$73,"X",Z2:Z73)</f>
        <v>7466.0400000000027</v>
      </c>
      <c r="AA83" s="8">
        <f>+SUMIF($F$2:$F$73,"X",AA2:AA73)</f>
        <v>0</v>
      </c>
      <c r="AB83" s="8">
        <f>+SUMIF($F$2:$F$73,"X",AB2:AB73)</f>
        <v>1895805.2299999993</v>
      </c>
      <c r="AC83" s="8">
        <f>+SUMIF($F$2:$F$73,"X",AC2:AC73)</f>
        <v>114143.83999999998</v>
      </c>
      <c r="AD83"/>
    </row>
    <row r="84" spans="1:30" s="8" customFormat="1" ht="15.75" thickBot="1" x14ac:dyDescent="0.3">
      <c r="A84"/>
      <c r="B84" s="9"/>
      <c r="C84" s="9"/>
      <c r="D84" s="9"/>
      <c r="E84" s="9"/>
      <c r="F84" s="9"/>
      <c r="G84" s="9"/>
      <c r="H84" s="9" t="s">
        <v>31</v>
      </c>
      <c r="I84" s="12">
        <f>+I82+I83</f>
        <v>5366744.033142399</v>
      </c>
      <c r="J84" s="12">
        <f t="shared" ref="J84:AC84" si="13">+J82+J83</f>
        <v>1397825.6600000004</v>
      </c>
      <c r="K84" s="12">
        <f t="shared" si="13"/>
        <v>71665.53</v>
      </c>
      <c r="L84" s="12">
        <f t="shared" si="13"/>
        <v>46687.380000000005</v>
      </c>
      <c r="M84" s="12">
        <f t="shared" si="13"/>
        <v>78643.260000000009</v>
      </c>
      <c r="N84" s="12">
        <f t="shared" si="13"/>
        <v>3467.3</v>
      </c>
      <c r="O84" s="12">
        <f t="shared" si="13"/>
        <v>2550</v>
      </c>
      <c r="P84" s="12">
        <f t="shared" si="13"/>
        <v>13816.81</v>
      </c>
      <c r="Q84" s="12">
        <f t="shared" si="13"/>
        <v>13209.96</v>
      </c>
      <c r="R84" s="12">
        <f t="shared" si="13"/>
        <v>6994609.9331424003</v>
      </c>
      <c r="S84" s="12">
        <f t="shared" si="13"/>
        <v>913970.20000000007</v>
      </c>
      <c r="T84" s="12">
        <f t="shared" si="13"/>
        <v>119989.8000000001</v>
      </c>
      <c r="U84" s="12">
        <f t="shared" si="13"/>
        <v>22090.989999999991</v>
      </c>
      <c r="V84" s="12">
        <f t="shared" si="13"/>
        <v>940143.30999999947</v>
      </c>
      <c r="W84" s="12">
        <f t="shared" si="13"/>
        <v>117167.51999999997</v>
      </c>
      <c r="X84" s="12">
        <f t="shared" si="13"/>
        <v>368344.77</v>
      </c>
      <c r="Y84" s="12">
        <f t="shared" si="13"/>
        <v>20846.749999999996</v>
      </c>
      <c r="Z84" s="12">
        <f t="shared" si="13"/>
        <v>10268.340000000002</v>
      </c>
      <c r="AA84" s="12">
        <f t="shared" si="13"/>
        <v>47500</v>
      </c>
      <c r="AB84" s="12">
        <f t="shared" si="13"/>
        <v>2430063.5399999991</v>
      </c>
      <c r="AC84" s="12">
        <f t="shared" si="13"/>
        <v>130258.13999999998</v>
      </c>
      <c r="AD84"/>
    </row>
    <row r="85" spans="1:30" s="8" customFormat="1" x14ac:dyDescent="0.25">
      <c r="A85"/>
      <c r="B85" s="9"/>
      <c r="C85" s="9"/>
      <c r="D85" s="9"/>
      <c r="E85" s="9"/>
      <c r="F85" s="9"/>
      <c r="G85" s="9"/>
      <c r="H85" s="9"/>
      <c r="AD85"/>
    </row>
    <row r="86" spans="1:30" s="8" customFormat="1" x14ac:dyDescent="0.25">
      <c r="A86"/>
      <c r="B86" s="9"/>
      <c r="C86" s="9"/>
      <c r="D86" s="9"/>
      <c r="E86" s="9"/>
      <c r="F86" s="9"/>
      <c r="G86" s="9"/>
      <c r="H86" s="9" t="s">
        <v>6</v>
      </c>
      <c r="I86" s="8">
        <f>+SUMIF($G$2:$G$73,"X",I2:I73)</f>
        <v>2282540.2031423999</v>
      </c>
      <c r="J86" s="8">
        <f>+SUMIF($G$2:$G$73,"X",J2:J73)</f>
        <v>1284434.08</v>
      </c>
      <c r="K86" s="8">
        <f>+SUMIF($G$2:$G$73,"X",K2:K73)</f>
        <v>23248.49</v>
      </c>
      <c r="L86" s="8">
        <f>+SUMIF($G$2:$G$73,"X",L2:L73)</f>
        <v>18525.809999999998</v>
      </c>
      <c r="M86" s="8">
        <f>+SUMIF($G$2:$G$73,"X",M2:M73)</f>
        <v>23301.960000000006</v>
      </c>
      <c r="N86" s="8">
        <f>+SUMIF($G$2:$G$73,"X",N2:N73)</f>
        <v>2316.63</v>
      </c>
      <c r="O86" s="8">
        <f>+SUMIF($G$2:$G$73,"X",O2:O73)</f>
        <v>2250</v>
      </c>
      <c r="P86" s="8">
        <f>+SUMIF($G$2:$G$73,"X",P2:P73)</f>
        <v>0</v>
      </c>
      <c r="Q86" s="8">
        <f>+SUMIF($G$2:$G$73,"X",Q2:Q73)</f>
        <v>0</v>
      </c>
      <c r="R86" s="8">
        <f>+SUMIF($G$2:$G$73,"X",R2:R73)</f>
        <v>3636617.1731424006</v>
      </c>
      <c r="S86" s="8">
        <f>+SUMIF($G$2:$G$73,"X",S2:S73)</f>
        <v>373685.40000000014</v>
      </c>
      <c r="T86" s="8">
        <f>+SUMIF($G$2:$G$73,"X",T2:T73)</f>
        <v>79266.600000000006</v>
      </c>
      <c r="U86" s="8">
        <f>+SUMIF($G$2:$G$73,"X",U2:U73)</f>
        <v>9836.1799999999985</v>
      </c>
      <c r="V86" s="8">
        <f>+SUMIF($G$2:$G$73,"X",V2:V73)</f>
        <v>722563.22999999986</v>
      </c>
      <c r="W86" s="8">
        <f>+SUMIF($G$2:$G$73,"X",W2:W73)</f>
        <v>117167.51999999997</v>
      </c>
      <c r="X86" s="8">
        <f>+SUMIF($G$2:$G$73,"X",X2:X73)</f>
        <v>0</v>
      </c>
      <c r="Y86" s="8">
        <f>+SUMIF($G$2:$G$73,"X",Y2:Y73)</f>
        <v>9592.0200000000023</v>
      </c>
      <c r="Z86" s="8">
        <f>+SUMIF($G$2:$G$73,"X",Z2:Z73)</f>
        <v>4724.920000000001</v>
      </c>
      <c r="AA86" s="8">
        <f>+SUMIF($G$2:$G$73,"X",AA2:AA73)</f>
        <v>0</v>
      </c>
      <c r="AB86" s="8">
        <f>+SUMIF($G$2:$G$73,"X",AB2:AB73)</f>
        <v>1232844.3499999994</v>
      </c>
      <c r="AC86" s="8">
        <f>+SUMIF($G$2:$G$73,"X",AC2:AC73)</f>
        <v>83991.519999999975</v>
      </c>
      <c r="AD86"/>
    </row>
    <row r="87" spans="1:30" s="8" customFormat="1" x14ac:dyDescent="0.25">
      <c r="A87"/>
      <c r="B87" s="9"/>
      <c r="C87" s="9"/>
      <c r="D87" s="9"/>
      <c r="E87" s="9"/>
      <c r="F87" s="9"/>
      <c r="G87" s="9"/>
      <c r="H87" s="9" t="s">
        <v>7</v>
      </c>
      <c r="I87" s="8">
        <f>+SUMIF($H$2:$H$73,"X",I2:I73)</f>
        <v>3084203.8299999996</v>
      </c>
      <c r="J87" s="8">
        <f>+SUMIF($H$2:$H$73,"X",J2:J73)</f>
        <v>113391.57999999999</v>
      </c>
      <c r="K87" s="8">
        <f>+SUMIF($H$2:$H$73,"X",K2:K73)</f>
        <v>48417.040000000008</v>
      </c>
      <c r="L87" s="8">
        <f>+SUMIF($H$2:$H$73,"X",L2:L73)</f>
        <v>28161.570000000007</v>
      </c>
      <c r="M87" s="8">
        <f>+SUMIF($H$2:$H$73,"X",M2:M73)</f>
        <v>55341.3</v>
      </c>
      <c r="N87" s="8">
        <f>+SUMIF($H$2:$H$73,"X",N2:N73)</f>
        <v>1150.6699999999998</v>
      </c>
      <c r="O87" s="8">
        <f>+SUMIF($H$2:$H$73,"X",O2:O73)</f>
        <v>300</v>
      </c>
      <c r="P87" s="8">
        <f>+SUMIF($H$2:$H$73,"X",P2:P73)</f>
        <v>13816.81</v>
      </c>
      <c r="Q87" s="8">
        <f>+SUMIF($H$2:$H$73,"X",Q2:Q73)</f>
        <v>13209.96</v>
      </c>
      <c r="R87" s="8">
        <f>+SUMIF($H$2:$H$73,"X",R2:R73)</f>
        <v>3357992.7600000016</v>
      </c>
      <c r="S87" s="8">
        <f>+SUMIF($H$2:$H$73,"X",S2:S73)</f>
        <v>540284.80000000016</v>
      </c>
      <c r="T87" s="8">
        <f>+SUMIF($H$2:$H$73,"X",T2:T73)</f>
        <v>40723.200000000012</v>
      </c>
      <c r="U87" s="8">
        <f>+SUMIF($H$2:$H$73,"X",U2:U73)</f>
        <v>12254.810000000001</v>
      </c>
      <c r="V87" s="8">
        <f>+SUMIF($H$2:$H$73,"X",V2:V73)</f>
        <v>217580.08000000002</v>
      </c>
      <c r="W87" s="8">
        <f>+SUMIF($H$2:$H$73,"X",W2:W73)</f>
        <v>0</v>
      </c>
      <c r="X87" s="8">
        <f>+SUMIF($H$2:$H$73,"X",X2:X73)</f>
        <v>368344.77000000014</v>
      </c>
      <c r="Y87" s="8">
        <f>+SUMIF($H$2:$H$73,"X",Y2:Y73)</f>
        <v>11254.73</v>
      </c>
      <c r="Z87" s="8">
        <f>+SUMIF($H$2:$H$73,"X",Z2:Z73)</f>
        <v>5543.420000000001</v>
      </c>
      <c r="AA87" s="8">
        <f>+SUMIF($H$2:$H$73,"X",AA2:AA73)</f>
        <v>47500</v>
      </c>
      <c r="AB87" s="8">
        <f>+SUMIF($H$2:$H$73,"X",AB2:AB73)</f>
        <v>1197219.1900000004</v>
      </c>
      <c r="AC87" s="8">
        <f>+SUMIF($H$2:$H$73,"X",AC2:AC73)</f>
        <v>46266.62</v>
      </c>
      <c r="AD87"/>
    </row>
    <row r="88" spans="1:30" s="8" customFormat="1" ht="15.75" thickBot="1" x14ac:dyDescent="0.3">
      <c r="A88"/>
      <c r="B88" s="9"/>
      <c r="C88" s="9"/>
      <c r="D88" s="9"/>
      <c r="E88" s="9"/>
      <c r="F88" s="9"/>
      <c r="G88" s="9"/>
      <c r="H88" s="9" t="s">
        <v>31</v>
      </c>
      <c r="I88" s="12">
        <f>+I86+I87</f>
        <v>5366744.033142399</v>
      </c>
      <c r="J88" s="12">
        <f t="shared" ref="J88:AC88" si="14">+J86+J87</f>
        <v>1397825.6600000001</v>
      </c>
      <c r="K88" s="12">
        <f t="shared" si="14"/>
        <v>71665.530000000013</v>
      </c>
      <c r="L88" s="12">
        <f t="shared" si="14"/>
        <v>46687.380000000005</v>
      </c>
      <c r="M88" s="12">
        <f t="shared" si="14"/>
        <v>78643.260000000009</v>
      </c>
      <c r="N88" s="12">
        <f t="shared" si="14"/>
        <v>3467.3</v>
      </c>
      <c r="O88" s="12">
        <f t="shared" si="14"/>
        <v>2550</v>
      </c>
      <c r="P88" s="12">
        <f t="shared" si="14"/>
        <v>13816.81</v>
      </c>
      <c r="Q88" s="12">
        <f t="shared" si="14"/>
        <v>13209.96</v>
      </c>
      <c r="R88" s="12">
        <f t="shared" si="14"/>
        <v>6994609.9331424022</v>
      </c>
      <c r="S88" s="12">
        <f t="shared" si="14"/>
        <v>913970.2000000003</v>
      </c>
      <c r="T88" s="12">
        <f t="shared" si="14"/>
        <v>119989.80000000002</v>
      </c>
      <c r="U88" s="12">
        <f t="shared" si="14"/>
        <v>22090.989999999998</v>
      </c>
      <c r="V88" s="12">
        <f t="shared" si="14"/>
        <v>940143.30999999982</v>
      </c>
      <c r="W88" s="12">
        <f t="shared" si="14"/>
        <v>117167.51999999997</v>
      </c>
      <c r="X88" s="12">
        <f t="shared" si="14"/>
        <v>368344.77000000014</v>
      </c>
      <c r="Y88" s="12">
        <f t="shared" si="14"/>
        <v>20846.75</v>
      </c>
      <c r="Z88" s="12">
        <f t="shared" si="14"/>
        <v>10268.340000000002</v>
      </c>
      <c r="AA88" s="12">
        <f t="shared" si="14"/>
        <v>47500</v>
      </c>
      <c r="AB88" s="12">
        <f t="shared" si="14"/>
        <v>2430063.54</v>
      </c>
      <c r="AC88" s="12">
        <f t="shared" si="14"/>
        <v>130258.13999999998</v>
      </c>
      <c r="AD88"/>
    </row>
    <row r="91" spans="1:30" s="8" customFormat="1" x14ac:dyDescent="0.25">
      <c r="A91"/>
      <c r="B91" s="9"/>
      <c r="C91" s="9"/>
      <c r="D91" s="9"/>
      <c r="E91" s="9"/>
      <c r="F91" s="9"/>
      <c r="G91" s="9"/>
      <c r="H91" s="9"/>
      <c r="AD91"/>
    </row>
  </sheetData>
  <autoFilter ref="A1:AC72" xr:uid="{713D6F93-451C-4540-9664-6C65187BE982}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108242-EFE6-4CE6-A17C-5EFD06C02EE9}"/>
</file>

<file path=customXml/itemProps2.xml><?xml version="1.0" encoding="utf-8"?>
<ds:datastoreItem xmlns:ds="http://schemas.openxmlformats.org/officeDocument/2006/customXml" ds:itemID="{3CFC323D-422F-48AB-9BAB-38AA138BAA17}"/>
</file>

<file path=customXml/itemProps3.xml><?xml version="1.0" encoding="utf-8"?>
<ds:datastoreItem xmlns:ds="http://schemas.openxmlformats.org/officeDocument/2006/customXml" ds:itemID="{1D8EB4A0-2553-43B1-90E8-726EA3777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2024-04-25T19:24:27Z</dcterms:created>
  <dcterms:modified xsi:type="dcterms:W3CDTF">2024-05-07T12:26:37Z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