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JPEC/Rate Case 2024-00085/COS and Rates/"/>
    </mc:Choice>
  </mc:AlternateContent>
  <xr:revisionPtr revIDLastSave="11" documentId="8_{240A2E87-BD52-4588-AA9E-7515F44268C0}" xr6:coauthVersionLast="47" xr6:coauthVersionMax="47" xr10:uidLastSave="{6B6392E1-F67F-46BE-BFF1-5556112A4C91}"/>
  <bookViews>
    <workbookView xWindow="-120" yWindow="-120" windowWidth="29040" windowHeight="15720" tabRatio="741" activeTab="1" xr2:uid="{00000000-000D-0000-FFFF-FFFF00000000}"/>
  </bookViews>
  <sheets>
    <sheet name="Present and Proposed Rates" sheetId="61" r:id="rId1"/>
    <sheet name="R" sheetId="60" r:id="rId2"/>
    <sheet name="C-1" sheetId="65" r:id="rId3"/>
    <sheet name="C-3" sheetId="66" r:id="rId4"/>
    <sheet name="D" sheetId="67" r:id="rId5"/>
    <sheet name="I-E" sheetId="75" r:id="rId6"/>
    <sheet name="Lighting" sheetId="43" r:id="rId7"/>
    <sheet name="Incr-R" sheetId="79" r:id="rId8"/>
    <sheet name="Summary" sheetId="13" r:id="rId9"/>
    <sheet name="Notice Tables" sheetId="70" r:id="rId10"/>
    <sheet name="Billing Determ" sheetId="74" r:id="rId11"/>
    <sheet name="List" sheetId="73" r:id="rId12"/>
  </sheets>
  <externalReferences>
    <externalReference r:id="rId13"/>
  </externalReferences>
  <definedNames>
    <definedName name="_xlnm.Print_Area" localSheetId="2">'C-1'!$A$1:$T$34</definedName>
    <definedName name="_xlnm.Print_Area" localSheetId="3">'C-3'!$A$1:$U$34</definedName>
    <definedName name="_xlnm.Print_Area" localSheetId="4">D!$A$1:$U$43</definedName>
    <definedName name="_xlnm.Print_Area" localSheetId="5">'I-E'!$A$1:$U$39</definedName>
    <definedName name="_xlnm.Print_Area" localSheetId="7">'Incr-R'!$A$1:$M$39</definedName>
    <definedName name="_xlnm.Print_Area" localSheetId="6">Lighting!$A$1:$O$34</definedName>
    <definedName name="_xlnm.Print_Area" localSheetId="9">'Notice Tables'!$A$1:$M$37</definedName>
    <definedName name="_xlnm.Print_Area" localSheetId="0">'Present and Proposed Rates'!$A$1:$Q$29</definedName>
    <definedName name="_xlnm.Print_Area" localSheetId="1">'R'!$A$1:$U$31</definedName>
    <definedName name="_xlnm.Print_Area" localSheetId="8">Summary!$A$1:$K$15</definedName>
    <definedName name="_xlnm.Print_Titles" localSheetId="7">'Incr-R'!$1:$1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61" l="1"/>
  <c r="H17" i="61"/>
  <c r="H18" i="61"/>
  <c r="H19" i="61"/>
  <c r="H15" i="61"/>
  <c r="H9" i="70"/>
  <c r="H11" i="70"/>
  <c r="H13" i="70"/>
  <c r="H19" i="70"/>
  <c r="H23" i="70"/>
  <c r="H24" i="70"/>
  <c r="H25" i="70"/>
  <c r="H26" i="70"/>
  <c r="H27" i="70"/>
  <c r="H28" i="70"/>
  <c r="H29" i="70"/>
  <c r="H30" i="70"/>
  <c r="H31" i="70"/>
  <c r="H32" i="70"/>
  <c r="H33" i="70"/>
  <c r="H34" i="70"/>
  <c r="H35" i="70"/>
  <c r="H36" i="70"/>
  <c r="H37" i="70"/>
  <c r="H7" i="70"/>
  <c r="T33" i="67"/>
  <c r="W33" i="67" s="1"/>
  <c r="O33" i="67"/>
  <c r="K35" i="67"/>
  <c r="K33" i="67"/>
  <c r="G35" i="67"/>
  <c r="G33" i="67"/>
  <c r="H10" i="61" l="1"/>
  <c r="R10" i="61" s="1"/>
  <c r="N25" i="61"/>
  <c r="R12" i="61"/>
  <c r="R14" i="61"/>
  <c r="R21" i="61"/>
  <c r="R8" i="61"/>
  <c r="W12" i="61" l="1"/>
  <c r="R19" i="61"/>
  <c r="R18" i="61"/>
  <c r="R17" i="61"/>
  <c r="R16" i="61"/>
  <c r="H9" i="61"/>
  <c r="U12" i="61"/>
  <c r="R9" i="61" l="1"/>
  <c r="H11" i="61"/>
  <c r="R11" i="61" s="1"/>
  <c r="H13" i="61"/>
  <c r="R13" i="61" s="1"/>
  <c r="H24" i="61" l="1"/>
  <c r="R24" i="61" s="1"/>
  <c r="H22" i="61"/>
  <c r="R22" i="61" s="1"/>
  <c r="H23" i="61"/>
  <c r="R23" i="61" s="1"/>
  <c r="K29" i="70" l="1"/>
  <c r="M31" i="70"/>
  <c r="K27" i="70"/>
  <c r="K26" i="70"/>
  <c r="K25" i="70"/>
  <c r="F25" i="70"/>
  <c r="G25" i="70" s="1"/>
  <c r="E24" i="70"/>
  <c r="F24" i="70" s="1"/>
  <c r="G24" i="70" s="1"/>
  <c r="X9" i="61" l="1"/>
  <c r="Q39" i="75"/>
  <c r="I39" i="75"/>
  <c r="D39" i="75"/>
  <c r="Q34" i="66"/>
  <c r="P34" i="65"/>
  <c r="Q31" i="60"/>
  <c r="I22" i="75"/>
  <c r="I21" i="75"/>
  <c r="I17" i="75"/>
  <c r="I12" i="75"/>
  <c r="I12" i="67"/>
  <c r="I11" i="60"/>
  <c r="I17" i="66"/>
  <c r="I12" i="66"/>
  <c r="I12" i="65"/>
  <c r="X10" i="61" l="1"/>
  <c r="X11" i="61" s="1"/>
  <c r="X12" i="61" s="1"/>
  <c r="X13" i="61" s="1"/>
  <c r="X14" i="61" s="1"/>
  <c r="I23" i="75"/>
  <c r="I34" i="66"/>
  <c r="X15" i="61" l="1"/>
  <c r="X16" i="61" l="1"/>
  <c r="X17" i="61" s="1"/>
  <c r="X18" i="61" s="1"/>
  <c r="X19" i="61" s="1"/>
  <c r="X20" i="61" s="1"/>
  <c r="X21" i="61" s="1"/>
  <c r="X22" i="61" l="1"/>
  <c r="X23" i="61" s="1"/>
  <c r="X24" i="61" l="1"/>
  <c r="X25" i="61" s="1"/>
  <c r="Q12" i="67" l="1"/>
  <c r="Q12" i="66"/>
  <c r="P12" i="65"/>
  <c r="Q11" i="60"/>
  <c r="D11" i="13" l="1"/>
  <c r="E11" i="13" s="1"/>
  <c r="C11" i="13"/>
  <c r="L20" i="61"/>
  <c r="M20" i="61" s="1"/>
  <c r="N20" i="61" s="1"/>
  <c r="G9" i="61" l="1"/>
  <c r="G10" i="61"/>
  <c r="G11" i="61"/>
  <c r="G12" i="61"/>
  <c r="H12" i="61" s="1"/>
  <c r="G13" i="61"/>
  <c r="G14" i="61"/>
  <c r="H14" i="61" s="1"/>
  <c r="G15" i="61"/>
  <c r="R15" i="61" s="1"/>
  <c r="G16" i="61"/>
  <c r="G17" i="61"/>
  <c r="G18" i="61"/>
  <c r="G19" i="61"/>
  <c r="G21" i="61"/>
  <c r="H21" i="61" s="1"/>
  <c r="G22" i="61"/>
  <c r="I22" i="61" s="1"/>
  <c r="G23" i="61"/>
  <c r="G24" i="61"/>
  <c r="G8" i="61"/>
  <c r="H8" i="61" s="1"/>
  <c r="J8" i="61" s="1"/>
  <c r="A3" i="43" l="1"/>
  <c r="A2" i="43"/>
  <c r="J30" i="70" l="1"/>
  <c r="E20" i="70"/>
  <c r="H20" i="70" s="1"/>
  <c r="E19" i="70"/>
  <c r="D21" i="70"/>
  <c r="E21" i="70"/>
  <c r="H21" i="70" s="1"/>
  <c r="D22" i="70"/>
  <c r="E22" i="70"/>
  <c r="H22" i="70" s="1"/>
  <c r="D19" i="70"/>
  <c r="C20" i="70"/>
  <c r="C21" i="70"/>
  <c r="C22" i="70"/>
  <c r="C19" i="70"/>
  <c r="J29" i="70"/>
  <c r="J14" i="70"/>
  <c r="C25" i="61"/>
  <c r="B25" i="61"/>
  <c r="B26" i="70" s="1"/>
  <c r="F22" i="70" l="1"/>
  <c r="G22" i="70" s="1"/>
  <c r="E23" i="70"/>
  <c r="F23" i="70" s="1"/>
  <c r="G23" i="70" s="1"/>
  <c r="F19" i="70"/>
  <c r="G19" i="70" s="1"/>
  <c r="F21" i="70"/>
  <c r="G21" i="70" s="1"/>
  <c r="G21" i="75"/>
  <c r="K21" i="75" s="1"/>
  <c r="Q46" i="74"/>
  <c r="Q40" i="74"/>
  <c r="Q39" i="74"/>
  <c r="F41" i="74"/>
  <c r="G41" i="74"/>
  <c r="H41" i="74"/>
  <c r="I41" i="74"/>
  <c r="J41" i="74"/>
  <c r="K41" i="74"/>
  <c r="L41" i="74"/>
  <c r="M41" i="74"/>
  <c r="N41" i="74"/>
  <c r="O41" i="74"/>
  <c r="P41" i="74"/>
  <c r="E41" i="74"/>
  <c r="Q41" i="74" l="1"/>
  <c r="D21" i="75" s="1"/>
  <c r="E22" i="75"/>
  <c r="E17" i="75"/>
  <c r="P113" i="74"/>
  <c r="O113" i="74"/>
  <c r="N113" i="74"/>
  <c r="M113" i="74"/>
  <c r="L113" i="74"/>
  <c r="K113" i="74"/>
  <c r="J113" i="74"/>
  <c r="I113" i="74"/>
  <c r="H113" i="74"/>
  <c r="G113" i="74"/>
  <c r="F113" i="74"/>
  <c r="E113" i="74"/>
  <c r="P102" i="74"/>
  <c r="O102" i="74"/>
  <c r="N102" i="74"/>
  <c r="M102" i="74"/>
  <c r="L102" i="74"/>
  <c r="K102" i="74"/>
  <c r="J102" i="74"/>
  <c r="I102" i="74"/>
  <c r="H102" i="74"/>
  <c r="G102" i="74"/>
  <c r="F102" i="74"/>
  <c r="E102" i="74"/>
  <c r="P91" i="74"/>
  <c r="O91" i="74"/>
  <c r="N91" i="74"/>
  <c r="M91" i="74"/>
  <c r="L91" i="74"/>
  <c r="K91" i="74"/>
  <c r="J91" i="74"/>
  <c r="I91" i="74"/>
  <c r="H91" i="74"/>
  <c r="G91" i="74"/>
  <c r="F91" i="74"/>
  <c r="E91" i="74"/>
  <c r="P80" i="74"/>
  <c r="O80" i="74"/>
  <c r="N80" i="74"/>
  <c r="M80" i="74"/>
  <c r="L80" i="74"/>
  <c r="K80" i="74"/>
  <c r="J80" i="74"/>
  <c r="I80" i="74"/>
  <c r="H80" i="74"/>
  <c r="G80" i="74"/>
  <c r="F80" i="74"/>
  <c r="E80" i="74"/>
  <c r="P69" i="74"/>
  <c r="O69" i="74"/>
  <c r="N69" i="74"/>
  <c r="M69" i="74"/>
  <c r="L69" i="74"/>
  <c r="K69" i="74"/>
  <c r="J69" i="74"/>
  <c r="I69" i="74"/>
  <c r="H69" i="74"/>
  <c r="G69" i="74"/>
  <c r="F69" i="74"/>
  <c r="E69" i="74"/>
  <c r="P58" i="74"/>
  <c r="O58" i="74"/>
  <c r="N58" i="74"/>
  <c r="M58" i="74"/>
  <c r="L58" i="74"/>
  <c r="K58" i="74"/>
  <c r="J58" i="74"/>
  <c r="I58" i="74"/>
  <c r="H58" i="74"/>
  <c r="G58" i="74"/>
  <c r="F58" i="74"/>
  <c r="E58" i="74"/>
  <c r="P35" i="74"/>
  <c r="O35" i="74"/>
  <c r="N35" i="74"/>
  <c r="M35" i="74"/>
  <c r="L35" i="74"/>
  <c r="K35" i="74"/>
  <c r="J35" i="74"/>
  <c r="I35" i="74"/>
  <c r="H35" i="74"/>
  <c r="G35" i="74"/>
  <c r="F35" i="74"/>
  <c r="E35" i="74"/>
  <c r="P24" i="74"/>
  <c r="O24" i="74"/>
  <c r="N24" i="74"/>
  <c r="M24" i="74"/>
  <c r="L24" i="74"/>
  <c r="K24" i="74"/>
  <c r="J24" i="74"/>
  <c r="I24" i="74"/>
  <c r="H24" i="74"/>
  <c r="G24" i="74"/>
  <c r="F24" i="74"/>
  <c r="E24" i="74"/>
  <c r="F13" i="74"/>
  <c r="G13" i="74"/>
  <c r="H13" i="74"/>
  <c r="I13" i="74"/>
  <c r="J13" i="74"/>
  <c r="K13" i="74"/>
  <c r="L13" i="74"/>
  <c r="M13" i="74"/>
  <c r="N13" i="74"/>
  <c r="O13" i="74"/>
  <c r="P13" i="74"/>
  <c r="E13" i="74"/>
  <c r="Q112" i="74"/>
  <c r="R112" i="74" s="1"/>
  <c r="Q111" i="74"/>
  <c r="R111" i="74" s="1"/>
  <c r="Q110" i="74"/>
  <c r="R110" i="74" s="1"/>
  <c r="Q109" i="74"/>
  <c r="R109" i="74" s="1"/>
  <c r="Q108" i="74"/>
  <c r="R108" i="74" s="1"/>
  <c r="Q107" i="74"/>
  <c r="R107" i="74" s="1"/>
  <c r="Q106" i="74"/>
  <c r="R106" i="74" s="1"/>
  <c r="Q101" i="74"/>
  <c r="R101" i="74" s="1"/>
  <c r="Q100" i="74"/>
  <c r="R100" i="74" s="1"/>
  <c r="Q99" i="74"/>
  <c r="R99" i="74" s="1"/>
  <c r="Q98" i="74"/>
  <c r="Q97" i="74"/>
  <c r="R97" i="74" s="1"/>
  <c r="Q96" i="74"/>
  <c r="R96" i="74" s="1"/>
  <c r="Q95" i="74"/>
  <c r="R95" i="74" s="1"/>
  <c r="Q90" i="74"/>
  <c r="R90" i="74" s="1"/>
  <c r="Q89" i="74"/>
  <c r="R89" i="74" s="1"/>
  <c r="Q88" i="74"/>
  <c r="R88" i="74" s="1"/>
  <c r="Q87" i="74"/>
  <c r="R87" i="74" s="1"/>
  <c r="Q86" i="74"/>
  <c r="R86" i="74" s="1"/>
  <c r="Q85" i="74"/>
  <c r="R85" i="74" s="1"/>
  <c r="Q84" i="74"/>
  <c r="R84" i="74" s="1"/>
  <c r="Q79" i="74"/>
  <c r="R79" i="74" s="1"/>
  <c r="Q78" i="74"/>
  <c r="R78" i="74" s="1"/>
  <c r="Q77" i="74"/>
  <c r="R77" i="74" s="1"/>
  <c r="Q76" i="74"/>
  <c r="R76" i="74" s="1"/>
  <c r="Q75" i="74"/>
  <c r="R75" i="74" s="1"/>
  <c r="Q74" i="74"/>
  <c r="R74" i="74" s="1"/>
  <c r="Q73" i="74"/>
  <c r="R73" i="74" s="1"/>
  <c r="Q68" i="74"/>
  <c r="R68" i="74" s="1"/>
  <c r="Q67" i="74"/>
  <c r="R67" i="74" s="1"/>
  <c r="Q66" i="74"/>
  <c r="R66" i="74" s="1"/>
  <c r="Q65" i="74"/>
  <c r="R65" i="74" s="1"/>
  <c r="Q64" i="74"/>
  <c r="R64" i="74" s="1"/>
  <c r="Q63" i="74"/>
  <c r="R63" i="74" s="1"/>
  <c r="Q62" i="74"/>
  <c r="R62" i="74" s="1"/>
  <c r="Q57" i="74"/>
  <c r="R57" i="74" s="1"/>
  <c r="Q56" i="74"/>
  <c r="R56" i="74" s="1"/>
  <c r="Q55" i="74"/>
  <c r="R55" i="74" s="1"/>
  <c r="Q54" i="74"/>
  <c r="R54" i="74" s="1"/>
  <c r="Q53" i="74"/>
  <c r="R53" i="74" s="1"/>
  <c r="Q52" i="74"/>
  <c r="R52" i="74" s="1"/>
  <c r="Q51" i="74"/>
  <c r="R51" i="74" s="1"/>
  <c r="Q34" i="74"/>
  <c r="R34" i="74" s="1"/>
  <c r="Q33" i="74"/>
  <c r="Q32" i="74"/>
  <c r="R32" i="74" s="1"/>
  <c r="Q31" i="74"/>
  <c r="R31" i="74" s="1"/>
  <c r="Q30" i="74"/>
  <c r="R30" i="74" s="1"/>
  <c r="Q29" i="74"/>
  <c r="R29" i="74" s="1"/>
  <c r="Q28" i="74"/>
  <c r="R28" i="74" s="1"/>
  <c r="Q23" i="74"/>
  <c r="R23" i="74" s="1"/>
  <c r="Q22" i="74"/>
  <c r="R22" i="74" s="1"/>
  <c r="Q21" i="74"/>
  <c r="R21" i="74" s="1"/>
  <c r="Q20" i="74"/>
  <c r="R20" i="74" s="1"/>
  <c r="Q19" i="74"/>
  <c r="R19" i="74" s="1"/>
  <c r="Q18" i="74"/>
  <c r="R18" i="74" s="1"/>
  <c r="Q17" i="74"/>
  <c r="R17" i="74" s="1"/>
  <c r="Q7" i="74"/>
  <c r="R7" i="74" s="1"/>
  <c r="Q8" i="74"/>
  <c r="R8" i="74" s="1"/>
  <c r="Q9" i="74"/>
  <c r="Q10" i="74"/>
  <c r="R10" i="74" s="1"/>
  <c r="Q11" i="74"/>
  <c r="R11" i="74" s="1"/>
  <c r="Q12" i="74"/>
  <c r="R12" i="74" s="1"/>
  <c r="Q6" i="74"/>
  <c r="R6" i="74" s="1"/>
  <c r="D22" i="75" l="1"/>
  <c r="Q22" i="75" s="1"/>
  <c r="R33" i="74"/>
  <c r="G33" i="75"/>
  <c r="D11" i="60"/>
  <c r="Q21" i="75"/>
  <c r="Q113" i="74"/>
  <c r="R113" i="74" s="1"/>
  <c r="R98" i="74"/>
  <c r="Q24" i="74"/>
  <c r="R24" i="74" s="1"/>
  <c r="Q80" i="74"/>
  <c r="R80" i="74" s="1"/>
  <c r="Q102" i="74"/>
  <c r="R102" i="74" s="1"/>
  <c r="Q58" i="74"/>
  <c r="R58" i="74" s="1"/>
  <c r="R9" i="74"/>
  <c r="Q35" i="74"/>
  <c r="R35" i="74" s="1"/>
  <c r="Q69" i="74"/>
  <c r="R69" i="74" s="1"/>
  <c r="Q91" i="74"/>
  <c r="R91" i="74" s="1"/>
  <c r="Q13" i="74"/>
  <c r="R13" i="74" s="1"/>
  <c r="G22" i="75" l="1"/>
  <c r="Q23" i="75"/>
  <c r="D23" i="75"/>
  <c r="G30" i="43" l="1"/>
  <c r="D13" i="13" s="1"/>
  <c r="D28" i="43"/>
  <c r="C13" i="13" s="1"/>
  <c r="E12" i="75"/>
  <c r="D17" i="75"/>
  <c r="G28" i="75"/>
  <c r="G27" i="75"/>
  <c r="G26" i="75"/>
  <c r="G25" i="75"/>
  <c r="E26" i="75" l="1"/>
  <c r="E27" i="75"/>
  <c r="E28" i="75"/>
  <c r="E25" i="75"/>
  <c r="E29" i="75" s="1"/>
  <c r="D20" i="70"/>
  <c r="F20" i="70" s="1"/>
  <c r="G20" i="70" s="1"/>
  <c r="J22" i="61"/>
  <c r="T21" i="75"/>
  <c r="J17" i="75"/>
  <c r="K17" i="75" s="1"/>
  <c r="R17" i="75"/>
  <c r="J22" i="75"/>
  <c r="K22" i="75" s="1"/>
  <c r="R22" i="75"/>
  <c r="T22" i="75" s="1"/>
  <c r="G25" i="43"/>
  <c r="J25" i="43" s="1"/>
  <c r="O25" i="43" s="1"/>
  <c r="U22" i="75" l="1"/>
  <c r="U21" i="75"/>
  <c r="C8" i="70"/>
  <c r="C9" i="70"/>
  <c r="C10" i="70"/>
  <c r="C11" i="70"/>
  <c r="C12" i="70"/>
  <c r="C13" i="70"/>
  <c r="C14" i="70"/>
  <c r="C15" i="70"/>
  <c r="C16" i="70"/>
  <c r="C17" i="70"/>
  <c r="C18" i="70"/>
  <c r="C7" i="70"/>
  <c r="E7" i="70"/>
  <c r="J26" i="70"/>
  <c r="J27" i="70"/>
  <c r="J28" i="70"/>
  <c r="J25" i="70"/>
  <c r="J11" i="70"/>
  <c r="J12" i="70"/>
  <c r="J13" i="70"/>
  <c r="J15" i="70"/>
  <c r="J10" i="70"/>
  <c r="H7" i="79" l="1"/>
  <c r="H11" i="79" s="1"/>
  <c r="E7" i="79"/>
  <c r="D7" i="79"/>
  <c r="D35" i="79" s="1"/>
  <c r="C9" i="79"/>
  <c r="C10" i="79" s="1"/>
  <c r="C11" i="79" s="1"/>
  <c r="C12" i="79" s="1"/>
  <c r="A1" i="79"/>
  <c r="E9" i="79" l="1"/>
  <c r="H12" i="79"/>
  <c r="E12" i="79"/>
  <c r="C13" i="79"/>
  <c r="C14" i="79" s="1"/>
  <c r="C15" i="79" s="1"/>
  <c r="C16" i="79" s="1"/>
  <c r="H10" i="79"/>
  <c r="H35" i="79"/>
  <c r="H8" i="79"/>
  <c r="E8" i="79"/>
  <c r="H9" i="79"/>
  <c r="E11" i="79"/>
  <c r="E10" i="79"/>
  <c r="D8" i="79"/>
  <c r="D9" i="79"/>
  <c r="D10" i="79"/>
  <c r="D11" i="79"/>
  <c r="D12" i="79"/>
  <c r="D31" i="79"/>
  <c r="D16" i="79"/>
  <c r="D36" i="79"/>
  <c r="D17" i="79"/>
  <c r="D20" i="79"/>
  <c r="H30" i="79"/>
  <c r="H21" i="79"/>
  <c r="H37" i="79"/>
  <c r="H18" i="79"/>
  <c r="D23" i="79"/>
  <c r="H34" i="79"/>
  <c r="D13" i="79"/>
  <c r="D19" i="79"/>
  <c r="H25" i="79"/>
  <c r="H16" i="79"/>
  <c r="H22" i="79"/>
  <c r="H26" i="79"/>
  <c r="H38" i="79"/>
  <c r="H13" i="79"/>
  <c r="H28" i="79"/>
  <c r="H32" i="79"/>
  <c r="H14" i="79"/>
  <c r="H17" i="79"/>
  <c r="H20" i="79"/>
  <c r="H24" i="79"/>
  <c r="H29" i="79"/>
  <c r="H33" i="79"/>
  <c r="H36" i="79"/>
  <c r="D38" i="79"/>
  <c r="D34" i="79"/>
  <c r="D30" i="79"/>
  <c r="D26" i="79"/>
  <c r="D22" i="79"/>
  <c r="D18" i="79"/>
  <c r="D14" i="79"/>
  <c r="D37" i="79"/>
  <c r="D33" i="79"/>
  <c r="D29" i="79"/>
  <c r="D15" i="79"/>
  <c r="D25" i="79"/>
  <c r="D27" i="79"/>
  <c r="D32" i="79"/>
  <c r="E13" i="79"/>
  <c r="D21" i="79"/>
  <c r="D24" i="79"/>
  <c r="D28" i="79"/>
  <c r="H15" i="79"/>
  <c r="H19" i="79"/>
  <c r="H23" i="79"/>
  <c r="H27" i="79"/>
  <c r="H31" i="79"/>
  <c r="E14" i="79" l="1"/>
  <c r="E15" i="79"/>
  <c r="C17" i="79"/>
  <c r="E16" i="79"/>
  <c r="C18" i="79" l="1"/>
  <c r="E17" i="79"/>
  <c r="C19" i="79" l="1"/>
  <c r="E18" i="79"/>
  <c r="C20" i="79" l="1"/>
  <c r="E19" i="79"/>
  <c r="C21" i="79" l="1"/>
  <c r="E20" i="79"/>
  <c r="C22" i="79" l="1"/>
  <c r="E21" i="79"/>
  <c r="C23" i="79" l="1"/>
  <c r="E22" i="79"/>
  <c r="C24" i="79" l="1"/>
  <c r="E23" i="79"/>
  <c r="C25" i="79" l="1"/>
  <c r="E24" i="79"/>
  <c r="C26" i="79" l="1"/>
  <c r="E25" i="79"/>
  <c r="C27" i="79" l="1"/>
  <c r="E26" i="79"/>
  <c r="C28" i="79" l="1"/>
  <c r="E27" i="79"/>
  <c r="C29" i="79" l="1"/>
  <c r="E28" i="79"/>
  <c r="C30" i="79" l="1"/>
  <c r="E29" i="79"/>
  <c r="C31" i="79" l="1"/>
  <c r="E30" i="79"/>
  <c r="E31" i="79" l="1"/>
  <c r="C32" i="79"/>
  <c r="C33" i="79" l="1"/>
  <c r="E32" i="79"/>
  <c r="C34" i="79" l="1"/>
  <c r="E33" i="79"/>
  <c r="C35" i="79" l="1"/>
  <c r="E34" i="79"/>
  <c r="E35" i="79" l="1"/>
  <c r="C36" i="79"/>
  <c r="C37" i="79" l="1"/>
  <c r="E36" i="79"/>
  <c r="C38" i="79" l="1"/>
  <c r="E37" i="79"/>
  <c r="E38" i="79" l="1"/>
  <c r="G31" i="67" l="1"/>
  <c r="G30" i="67"/>
  <c r="G29" i="67"/>
  <c r="G28" i="67"/>
  <c r="G37" i="67"/>
  <c r="E20" i="67"/>
  <c r="G20" i="67" s="1"/>
  <c r="E19" i="67"/>
  <c r="E18" i="67"/>
  <c r="E17" i="67"/>
  <c r="Q19" i="67"/>
  <c r="D21" i="67"/>
  <c r="D25" i="67"/>
  <c r="E25" i="67"/>
  <c r="E17" i="66"/>
  <c r="E12" i="66"/>
  <c r="G23" i="66"/>
  <c r="G22" i="66"/>
  <c r="G21" i="66"/>
  <c r="G20" i="66"/>
  <c r="G28" i="66"/>
  <c r="D17" i="66"/>
  <c r="Q17" i="66" s="1"/>
  <c r="D12" i="66"/>
  <c r="G28" i="65"/>
  <c r="G23" i="65"/>
  <c r="E23" i="65" s="1"/>
  <c r="G22" i="65"/>
  <c r="G21" i="65"/>
  <c r="G20" i="65"/>
  <c r="D17" i="65"/>
  <c r="D12" i="65"/>
  <c r="W12" i="65" s="1"/>
  <c r="G21" i="60"/>
  <c r="G20" i="60"/>
  <c r="G19" i="60"/>
  <c r="G18" i="60"/>
  <c r="G25" i="60"/>
  <c r="D15" i="60"/>
  <c r="D17" i="67" l="1"/>
  <c r="I25" i="67"/>
  <c r="P17" i="65"/>
  <c r="W17" i="65" s="1"/>
  <c r="I17" i="65"/>
  <c r="Q15" i="60"/>
  <c r="I15" i="60"/>
  <c r="E21" i="60"/>
  <c r="E19" i="60"/>
  <c r="E20" i="60"/>
  <c r="E23" i="66"/>
  <c r="E28" i="67"/>
  <c r="E20" i="65"/>
  <c r="E21" i="65"/>
  <c r="E21" i="66"/>
  <c r="E30" i="67"/>
  <c r="D34" i="66"/>
  <c r="D34" i="65"/>
  <c r="D31" i="60"/>
  <c r="E20" i="66"/>
  <c r="E24" i="66" s="1"/>
  <c r="E29" i="67"/>
  <c r="E18" i="60"/>
  <c r="E22" i="60" s="1"/>
  <c r="F7" i="79" s="1"/>
  <c r="E22" i="65"/>
  <c r="E22" i="66"/>
  <c r="E31" i="67"/>
  <c r="D18" i="67"/>
  <c r="C10" i="13"/>
  <c r="Q25" i="67"/>
  <c r="G25" i="67"/>
  <c r="Q20" i="67"/>
  <c r="G19" i="67"/>
  <c r="E32" i="67" l="1"/>
  <c r="Q18" i="67"/>
  <c r="I18" i="67"/>
  <c r="Q17" i="67"/>
  <c r="Q21" i="67" s="1"/>
  <c r="Q43" i="67" s="1"/>
  <c r="I17" i="67"/>
  <c r="I21" i="67" s="1"/>
  <c r="I34" i="65"/>
  <c r="I31" i="60"/>
  <c r="F38" i="79"/>
  <c r="G38" i="79" s="1"/>
  <c r="F23" i="79"/>
  <c r="G23" i="79" s="1"/>
  <c r="F14" i="79"/>
  <c r="G14" i="79" s="1"/>
  <c r="F15" i="79"/>
  <c r="G15" i="79" s="1"/>
  <c r="F31" i="79"/>
  <c r="G31" i="79" s="1"/>
  <c r="F30" i="79"/>
  <c r="G30" i="79" s="1"/>
  <c r="F36" i="79"/>
  <c r="G36" i="79" s="1"/>
  <c r="F35" i="79"/>
  <c r="G35" i="79" s="1"/>
  <c r="F27" i="79"/>
  <c r="G27" i="79" s="1"/>
  <c r="F37" i="79"/>
  <c r="G37" i="79" s="1"/>
  <c r="F28" i="79"/>
  <c r="G28" i="79" s="1"/>
  <c r="F19" i="79"/>
  <c r="G19" i="79" s="1"/>
  <c r="F11" i="79"/>
  <c r="G11" i="79" s="1"/>
  <c r="F29" i="79"/>
  <c r="G29" i="79" s="1"/>
  <c r="F20" i="79"/>
  <c r="G20" i="79" s="1"/>
  <c r="F34" i="79"/>
  <c r="G34" i="79" s="1"/>
  <c r="F33" i="79"/>
  <c r="G33" i="79" s="1"/>
  <c r="F21" i="79"/>
  <c r="G21" i="79" s="1"/>
  <c r="F12" i="79"/>
  <c r="G12" i="79" s="1"/>
  <c r="F25" i="79"/>
  <c r="G25" i="79" s="1"/>
  <c r="F13" i="79"/>
  <c r="G13" i="79" s="1"/>
  <c r="F32" i="79"/>
  <c r="G32" i="79" s="1"/>
  <c r="F18" i="79"/>
  <c r="G18" i="79" s="1"/>
  <c r="F17" i="79"/>
  <c r="G17" i="79" s="1"/>
  <c r="F8" i="79"/>
  <c r="G8" i="79" s="1"/>
  <c r="F16" i="79"/>
  <c r="G16" i="79" s="1"/>
  <c r="F10" i="79"/>
  <c r="G10" i="79" s="1"/>
  <c r="F9" i="79"/>
  <c r="G9" i="79" s="1"/>
  <c r="F22" i="79"/>
  <c r="G22" i="79" s="1"/>
  <c r="J7" i="79"/>
  <c r="F24" i="79"/>
  <c r="G24" i="79" s="1"/>
  <c r="F26" i="79"/>
  <c r="G26" i="79" s="1"/>
  <c r="E24" i="65"/>
  <c r="G18" i="67"/>
  <c r="D12" i="75"/>
  <c r="D12" i="67"/>
  <c r="D43" i="67" s="1"/>
  <c r="T28" i="75"/>
  <c r="K28" i="75"/>
  <c r="J28" i="75" s="1"/>
  <c r="K27" i="75"/>
  <c r="T26" i="75"/>
  <c r="U26" i="75" s="1"/>
  <c r="K26" i="75"/>
  <c r="J26" i="75" s="1"/>
  <c r="T25" i="75"/>
  <c r="K25" i="75"/>
  <c r="J25" i="75" s="1"/>
  <c r="T31" i="67"/>
  <c r="K31" i="67"/>
  <c r="J31" i="67" s="1"/>
  <c r="K30" i="67"/>
  <c r="J30" i="67" s="1"/>
  <c r="T29" i="67"/>
  <c r="K29" i="67"/>
  <c r="J29" i="67" s="1"/>
  <c r="T28" i="67"/>
  <c r="K28" i="67"/>
  <c r="J28" i="67" s="1"/>
  <c r="T23" i="66"/>
  <c r="K23" i="66"/>
  <c r="J23" i="66" s="1"/>
  <c r="K22" i="66"/>
  <c r="T21" i="66"/>
  <c r="K21" i="66"/>
  <c r="J21" i="66" s="1"/>
  <c r="T20" i="66"/>
  <c r="K20" i="66"/>
  <c r="J20" i="66" s="1"/>
  <c r="K23" i="65"/>
  <c r="K22" i="65"/>
  <c r="J22" i="65" s="1"/>
  <c r="K21" i="65"/>
  <c r="K20" i="65"/>
  <c r="K20" i="60"/>
  <c r="T19" i="60"/>
  <c r="K19" i="60"/>
  <c r="J19" i="60" s="1"/>
  <c r="T18" i="60"/>
  <c r="A1" i="70"/>
  <c r="A1" i="13"/>
  <c r="A1" i="43"/>
  <c r="A1" i="75"/>
  <c r="A1" i="66"/>
  <c r="A1" i="65"/>
  <c r="A1" i="60"/>
  <c r="U28" i="75" l="1"/>
  <c r="U25" i="75"/>
  <c r="R29" i="67"/>
  <c r="U29" i="67"/>
  <c r="R31" i="67"/>
  <c r="U31" i="67"/>
  <c r="R28" i="67"/>
  <c r="U28" i="67"/>
  <c r="J15" i="79"/>
  <c r="J9" i="79"/>
  <c r="J19" i="79"/>
  <c r="J13" i="79"/>
  <c r="J16" i="79"/>
  <c r="J17" i="79"/>
  <c r="J27" i="79"/>
  <c r="J21" i="79"/>
  <c r="J24" i="79"/>
  <c r="J25" i="79"/>
  <c r="J35" i="79"/>
  <c r="J29" i="79"/>
  <c r="J32" i="79"/>
  <c r="J23" i="79"/>
  <c r="J37" i="79"/>
  <c r="J10" i="79"/>
  <c r="J18" i="79"/>
  <c r="J12" i="79"/>
  <c r="J14" i="79"/>
  <c r="J26" i="79"/>
  <c r="J34" i="79"/>
  <c r="J38" i="79"/>
  <c r="J22" i="79"/>
  <c r="J28" i="79"/>
  <c r="J8" i="79"/>
  <c r="J36" i="79"/>
  <c r="J33" i="79"/>
  <c r="J20" i="79"/>
  <c r="J30" i="79"/>
  <c r="J31" i="79"/>
  <c r="J11" i="79"/>
  <c r="R19" i="60"/>
  <c r="U19" i="60"/>
  <c r="R18" i="60"/>
  <c r="R20" i="66"/>
  <c r="U20" i="66"/>
  <c r="R21" i="66"/>
  <c r="U21" i="66"/>
  <c r="R23" i="66"/>
  <c r="U23" i="66"/>
  <c r="T20" i="60"/>
  <c r="J20" i="60"/>
  <c r="S20" i="65"/>
  <c r="J20" i="65"/>
  <c r="S21" i="65"/>
  <c r="J21" i="65"/>
  <c r="T22" i="66"/>
  <c r="J22" i="66"/>
  <c r="S23" i="65"/>
  <c r="J23" i="65"/>
  <c r="T27" i="75"/>
  <c r="U27" i="75" s="1"/>
  <c r="J27" i="75"/>
  <c r="S22" i="65"/>
  <c r="T30" i="67"/>
  <c r="E14" i="70"/>
  <c r="R25" i="67"/>
  <c r="T25" i="67" s="1"/>
  <c r="J18" i="61"/>
  <c r="D17" i="70"/>
  <c r="J19" i="67"/>
  <c r="K19" i="67" s="1"/>
  <c r="D16" i="70"/>
  <c r="J18" i="67"/>
  <c r="K18" i="67" s="1"/>
  <c r="E16" i="70"/>
  <c r="R18" i="67"/>
  <c r="T18" i="67" s="1"/>
  <c r="D15" i="70"/>
  <c r="J17" i="67"/>
  <c r="K17" i="67" s="1"/>
  <c r="D14" i="70"/>
  <c r="J25" i="67"/>
  <c r="K25" i="67" s="1"/>
  <c r="E15" i="70"/>
  <c r="H15" i="70" s="1"/>
  <c r="R17" i="67"/>
  <c r="I18" i="61"/>
  <c r="E17" i="70"/>
  <c r="R19" i="67"/>
  <c r="T19" i="67" s="1"/>
  <c r="K18" i="60"/>
  <c r="J18" i="60" s="1"/>
  <c r="J16" i="61"/>
  <c r="J15" i="61"/>
  <c r="J17" i="61"/>
  <c r="I15" i="61"/>
  <c r="I16" i="61"/>
  <c r="I17" i="61"/>
  <c r="D7" i="70"/>
  <c r="F7" i="70" s="1"/>
  <c r="G7" i="70" s="1"/>
  <c r="J9" i="61"/>
  <c r="F14" i="70" l="1"/>
  <c r="G14" i="70" s="1"/>
  <c r="H14" i="70"/>
  <c r="F17" i="70"/>
  <c r="G17" i="70" s="1"/>
  <c r="H17" i="70"/>
  <c r="F16" i="70"/>
  <c r="G16" i="70" s="1"/>
  <c r="H16" i="70"/>
  <c r="F15" i="70"/>
  <c r="G15" i="70" s="1"/>
  <c r="R30" i="67"/>
  <c r="U30" i="67"/>
  <c r="U18" i="60"/>
  <c r="R20" i="60"/>
  <c r="U20" i="60"/>
  <c r="R22" i="66"/>
  <c r="U22" i="66"/>
  <c r="Q21" i="65"/>
  <c r="T21" i="65"/>
  <c r="Q23" i="65"/>
  <c r="T23" i="65"/>
  <c r="Q20" i="65"/>
  <c r="T20" i="65"/>
  <c r="Q22" i="65"/>
  <c r="T22" i="65"/>
  <c r="U18" i="67"/>
  <c r="U25" i="67"/>
  <c r="D8" i="70"/>
  <c r="D12" i="13"/>
  <c r="D10" i="13"/>
  <c r="D8" i="13"/>
  <c r="D7" i="13"/>
  <c r="D9" i="13"/>
  <c r="A8" i="13"/>
  <c r="B8" i="13"/>
  <c r="A9" i="13"/>
  <c r="B9" i="13"/>
  <c r="A10" i="13"/>
  <c r="B10" i="13"/>
  <c r="A11" i="13"/>
  <c r="B11" i="13"/>
  <c r="A12" i="13"/>
  <c r="B12" i="13"/>
  <c r="A13" i="13"/>
  <c r="B13" i="13"/>
  <c r="B7" i="13"/>
  <c r="A7" i="13"/>
  <c r="I14" i="13"/>
  <c r="J14" i="13" s="1"/>
  <c r="C12" i="13"/>
  <c r="J12" i="75"/>
  <c r="K12" i="75" s="1"/>
  <c r="C21" i="61"/>
  <c r="B21" i="61"/>
  <c r="B19" i="70" s="1"/>
  <c r="A3" i="75"/>
  <c r="A2" i="75"/>
  <c r="Q17" i="75"/>
  <c r="C20" i="61"/>
  <c r="B20" i="61"/>
  <c r="E12" i="67"/>
  <c r="A3" i="67"/>
  <c r="A2" i="67"/>
  <c r="C9" i="13"/>
  <c r="A3" i="66"/>
  <c r="A2" i="66"/>
  <c r="C14" i="61"/>
  <c r="B14" i="61"/>
  <c r="B13" i="70" s="1"/>
  <c r="C12" i="61"/>
  <c r="B12" i="61"/>
  <c r="B11" i="70" s="1"/>
  <c r="J13" i="61"/>
  <c r="C8" i="13"/>
  <c r="A3" i="65"/>
  <c r="A2" i="65"/>
  <c r="J11" i="61"/>
  <c r="A3" i="60"/>
  <c r="A2" i="60"/>
  <c r="C10" i="61"/>
  <c r="C8" i="61"/>
  <c r="B10" i="61"/>
  <c r="B9" i="70" s="1"/>
  <c r="B8" i="61"/>
  <c r="B7" i="70" s="1"/>
  <c r="J12" i="61" l="1"/>
  <c r="J10" i="61"/>
  <c r="R17" i="66"/>
  <c r="E12" i="70"/>
  <c r="H12" i="70" s="1"/>
  <c r="D9" i="70"/>
  <c r="E9" i="70"/>
  <c r="F9" i="70" s="1"/>
  <c r="G9" i="70" s="1"/>
  <c r="D10" i="70"/>
  <c r="E10" i="70"/>
  <c r="E8" i="70"/>
  <c r="I7" i="79"/>
  <c r="R12" i="66"/>
  <c r="E11" i="70"/>
  <c r="F11" i="70" s="1"/>
  <c r="G11" i="70" s="1"/>
  <c r="R26" i="75"/>
  <c r="R25" i="75"/>
  <c r="R28" i="75"/>
  <c r="R27" i="75"/>
  <c r="J12" i="66"/>
  <c r="K12" i="66" s="1"/>
  <c r="D11" i="70"/>
  <c r="D18" i="70"/>
  <c r="J20" i="67"/>
  <c r="K20" i="67" s="1"/>
  <c r="J17" i="66"/>
  <c r="K17" i="66" s="1"/>
  <c r="D12" i="70"/>
  <c r="E18" i="70"/>
  <c r="R20" i="67"/>
  <c r="T20" i="67" s="1"/>
  <c r="J14" i="61"/>
  <c r="D13" i="70"/>
  <c r="C7" i="13"/>
  <c r="Q12" i="75"/>
  <c r="G12" i="75"/>
  <c r="G17" i="75"/>
  <c r="J12" i="67"/>
  <c r="K12" i="67" s="1"/>
  <c r="J19" i="61"/>
  <c r="I13" i="61"/>
  <c r="I12" i="61"/>
  <c r="I19" i="61"/>
  <c r="I9" i="61"/>
  <c r="J17" i="65"/>
  <c r="K17" i="65" s="1"/>
  <c r="J12" i="65"/>
  <c r="K12" i="65" s="1"/>
  <c r="J15" i="60"/>
  <c r="K15" i="60" s="1"/>
  <c r="K21" i="60"/>
  <c r="J21" i="60" s="1"/>
  <c r="J11" i="60"/>
  <c r="K11" i="60" s="1"/>
  <c r="Q12" i="65"/>
  <c r="R11" i="60"/>
  <c r="T17" i="67"/>
  <c r="G17" i="67"/>
  <c r="G21" i="67" s="1"/>
  <c r="E21" i="67" s="1"/>
  <c r="G12" i="67"/>
  <c r="G17" i="66"/>
  <c r="G12" i="66"/>
  <c r="E17" i="65"/>
  <c r="G17" i="65" s="1"/>
  <c r="E12" i="65"/>
  <c r="G12" i="65" s="1"/>
  <c r="E15" i="60"/>
  <c r="G15" i="60" s="1"/>
  <c r="E11" i="60"/>
  <c r="T21" i="60"/>
  <c r="I10" i="61"/>
  <c r="I8" i="61"/>
  <c r="H15" i="13"/>
  <c r="F10" i="70" l="1"/>
  <c r="G10" i="70" s="1"/>
  <c r="H10" i="70"/>
  <c r="F8" i="70"/>
  <c r="G8" i="70" s="1"/>
  <c r="H8" i="70"/>
  <c r="F18" i="70"/>
  <c r="G18" i="70" s="1"/>
  <c r="H18" i="70"/>
  <c r="U17" i="67"/>
  <c r="F12" i="70"/>
  <c r="G12" i="70" s="1"/>
  <c r="G44" i="67"/>
  <c r="R21" i="60"/>
  <c r="U21" i="60"/>
  <c r="G36" i="65"/>
  <c r="G35" i="66"/>
  <c r="T21" i="67"/>
  <c r="T35" i="67" s="1"/>
  <c r="K21" i="67"/>
  <c r="J21" i="67" s="1"/>
  <c r="I11" i="61"/>
  <c r="Q17" i="65"/>
  <c r="S17" i="65" s="1"/>
  <c r="T17" i="65" s="1"/>
  <c r="I12" i="79"/>
  <c r="I10" i="79"/>
  <c r="I11" i="79"/>
  <c r="I9" i="79"/>
  <c r="I13" i="79"/>
  <c r="I8" i="79"/>
  <c r="I14" i="79"/>
  <c r="I16" i="79"/>
  <c r="I15" i="79"/>
  <c r="I17" i="79"/>
  <c r="I18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I35" i="79"/>
  <c r="I36" i="79"/>
  <c r="I37" i="79"/>
  <c r="I38" i="79"/>
  <c r="E13" i="70"/>
  <c r="F13" i="70" s="1"/>
  <c r="G13" i="70" s="1"/>
  <c r="I14" i="61"/>
  <c r="R12" i="67"/>
  <c r="T12" i="67" s="1"/>
  <c r="U12" i="67" s="1"/>
  <c r="I21" i="61"/>
  <c r="T17" i="75"/>
  <c r="U17" i="75" s="1"/>
  <c r="I24" i="61"/>
  <c r="J24" i="61"/>
  <c r="I25" i="61"/>
  <c r="C15" i="13"/>
  <c r="G26" i="66"/>
  <c r="K26" i="66"/>
  <c r="K34" i="66" s="1"/>
  <c r="K31" i="75"/>
  <c r="I23" i="61"/>
  <c r="J23" i="61"/>
  <c r="G31" i="75"/>
  <c r="T12" i="66"/>
  <c r="U12" i="66" s="1"/>
  <c r="T17" i="66"/>
  <c r="U17" i="66" s="1"/>
  <c r="D15" i="13"/>
  <c r="S12" i="65"/>
  <c r="T12" i="65" s="1"/>
  <c r="G26" i="65"/>
  <c r="F11" i="13"/>
  <c r="G11" i="13" s="1"/>
  <c r="R15" i="60"/>
  <c r="T11" i="60"/>
  <c r="U11" i="60" s="1"/>
  <c r="K26" i="65"/>
  <c r="K34" i="65" s="1"/>
  <c r="G11" i="60"/>
  <c r="G33" i="60" s="1"/>
  <c r="K23" i="60"/>
  <c r="K31" i="60" s="1"/>
  <c r="E12" i="13" l="1"/>
  <c r="I12" i="13" s="1"/>
  <c r="J12" i="13" s="1"/>
  <c r="G39" i="75"/>
  <c r="M21" i="61"/>
  <c r="K39" i="75"/>
  <c r="E9" i="13"/>
  <c r="F9" i="13" s="1"/>
  <c r="G9" i="13" s="1"/>
  <c r="G34" i="66"/>
  <c r="E10" i="13"/>
  <c r="F10" i="13" s="1"/>
  <c r="G10" i="13" s="1"/>
  <c r="G43" i="67"/>
  <c r="E8" i="13"/>
  <c r="F8" i="13" s="1"/>
  <c r="G8" i="13" s="1"/>
  <c r="G34" i="65"/>
  <c r="K9" i="79"/>
  <c r="L9" i="79" s="1"/>
  <c r="M9" i="79" s="1"/>
  <c r="K34" i="79"/>
  <c r="L34" i="79" s="1"/>
  <c r="M34" i="79" s="1"/>
  <c r="K19" i="79"/>
  <c r="L19" i="79" s="1"/>
  <c r="M19" i="79" s="1"/>
  <c r="K33" i="79"/>
  <c r="L33" i="79" s="1"/>
  <c r="M33" i="79" s="1"/>
  <c r="K25" i="79"/>
  <c r="L25" i="79" s="1"/>
  <c r="M25" i="79" s="1"/>
  <c r="K12" i="79"/>
  <c r="L12" i="79" s="1"/>
  <c r="M12" i="79" s="1"/>
  <c r="K27" i="79"/>
  <c r="L27" i="79" s="1"/>
  <c r="M27" i="79" s="1"/>
  <c r="K11" i="79"/>
  <c r="L11" i="79" s="1"/>
  <c r="M11" i="79" s="1"/>
  <c r="K32" i="79"/>
  <c r="L32" i="79" s="1"/>
  <c r="M32" i="79" s="1"/>
  <c r="K15" i="79"/>
  <c r="L15" i="79" s="1"/>
  <c r="M15" i="79" s="1"/>
  <c r="K22" i="79"/>
  <c r="L22" i="79" s="1"/>
  <c r="M22" i="79" s="1"/>
  <c r="K10" i="79"/>
  <c r="L10" i="79" s="1"/>
  <c r="M10" i="79" s="1"/>
  <c r="K31" i="79"/>
  <c r="L31" i="79" s="1"/>
  <c r="M31" i="79" s="1"/>
  <c r="K23" i="79"/>
  <c r="L23" i="79" s="1"/>
  <c r="M23" i="79" s="1"/>
  <c r="K16" i="79"/>
  <c r="L16" i="79" s="1"/>
  <c r="M16" i="79" s="1"/>
  <c r="K38" i="79"/>
  <c r="L38" i="79" s="1"/>
  <c r="M38" i="79" s="1"/>
  <c r="K30" i="79"/>
  <c r="L30" i="79" s="1"/>
  <c r="M30" i="79" s="1"/>
  <c r="K37" i="79"/>
  <c r="L37" i="79" s="1"/>
  <c r="M37" i="79" s="1"/>
  <c r="K29" i="79"/>
  <c r="L29" i="79" s="1"/>
  <c r="M29" i="79" s="1"/>
  <c r="K21" i="79"/>
  <c r="L21" i="79" s="1"/>
  <c r="M21" i="79" s="1"/>
  <c r="K8" i="79"/>
  <c r="L8" i="79" s="1"/>
  <c r="M8" i="79" s="1"/>
  <c r="K35" i="79"/>
  <c r="L35" i="79" s="1"/>
  <c r="M35" i="79" s="1"/>
  <c r="K26" i="79"/>
  <c r="L26" i="79" s="1"/>
  <c r="M26" i="79" s="1"/>
  <c r="K18" i="79"/>
  <c r="L18" i="79" s="1"/>
  <c r="M18" i="79" s="1"/>
  <c r="K17" i="79"/>
  <c r="L17" i="79" s="1"/>
  <c r="M17" i="79" s="1"/>
  <c r="K24" i="79"/>
  <c r="L24" i="79" s="1"/>
  <c r="M24" i="79" s="1"/>
  <c r="K14" i="79"/>
  <c r="L14" i="79" s="1"/>
  <c r="M14" i="79" s="1"/>
  <c r="K36" i="79"/>
  <c r="L36" i="79" s="1"/>
  <c r="M36" i="79" s="1"/>
  <c r="K28" i="79"/>
  <c r="L28" i="79" s="1"/>
  <c r="M28" i="79" s="1"/>
  <c r="K20" i="79"/>
  <c r="L20" i="79" s="1"/>
  <c r="M20" i="79" s="1"/>
  <c r="K13" i="79"/>
  <c r="L13" i="79" s="1"/>
  <c r="M13" i="79" s="1"/>
  <c r="R21" i="67"/>
  <c r="U21" i="67"/>
  <c r="J20" i="61"/>
  <c r="I20" i="61"/>
  <c r="T43" i="67"/>
  <c r="T26" i="66"/>
  <c r="T34" i="66" s="1"/>
  <c r="U34" i="66" s="1"/>
  <c r="R12" i="75"/>
  <c r="T12" i="75" s="1"/>
  <c r="J21" i="61"/>
  <c r="G23" i="60"/>
  <c r="G35" i="75"/>
  <c r="G37" i="75" s="1"/>
  <c r="L21" i="61"/>
  <c r="K35" i="75"/>
  <c r="K37" i="75" s="1"/>
  <c r="G39" i="67"/>
  <c r="G41" i="67" s="1"/>
  <c r="L14" i="61"/>
  <c r="G30" i="66"/>
  <c r="G32" i="66" s="1"/>
  <c r="L12" i="61"/>
  <c r="M12" i="61"/>
  <c r="K30" i="66"/>
  <c r="K32" i="66" s="1"/>
  <c r="I11" i="13"/>
  <c r="J11" i="13" s="1"/>
  <c r="S26" i="65"/>
  <c r="S34" i="65" s="1"/>
  <c r="T34" i="65" s="1"/>
  <c r="L10" i="61"/>
  <c r="T15" i="60"/>
  <c r="G30" i="65"/>
  <c r="G32" i="65" s="1"/>
  <c r="M8" i="61"/>
  <c r="K30" i="65"/>
  <c r="K32" i="65" s="1"/>
  <c r="M10" i="61"/>
  <c r="I9" i="13" l="1"/>
  <c r="J9" i="13" s="1"/>
  <c r="F12" i="13"/>
  <c r="G12" i="13" s="1"/>
  <c r="M14" i="61"/>
  <c r="K43" i="67"/>
  <c r="U43" i="67" s="1"/>
  <c r="I8" i="13"/>
  <c r="J8" i="13" s="1"/>
  <c r="T31" i="75"/>
  <c r="U12" i="75"/>
  <c r="N12" i="61"/>
  <c r="U26" i="66"/>
  <c r="N10" i="61"/>
  <c r="T26" i="65"/>
  <c r="N14" i="61"/>
  <c r="U35" i="67"/>
  <c r="T23" i="60"/>
  <c r="U15" i="60"/>
  <c r="K39" i="67"/>
  <c r="K41" i="67" s="1"/>
  <c r="E7" i="13"/>
  <c r="I7" i="13" s="1"/>
  <c r="G31" i="60"/>
  <c r="T37" i="67"/>
  <c r="T39" i="67" s="1"/>
  <c r="L8" i="61"/>
  <c r="K27" i="60"/>
  <c r="K29" i="60" s="1"/>
  <c r="T28" i="66"/>
  <c r="T32" i="66" s="1"/>
  <c r="S28" i="65"/>
  <c r="O10" i="61" s="1"/>
  <c r="I10" i="13"/>
  <c r="J10" i="13" s="1"/>
  <c r="G27" i="60"/>
  <c r="G29" i="60" s="1"/>
  <c r="U9" i="61" l="1"/>
  <c r="W9" i="61"/>
  <c r="N21" i="61"/>
  <c r="T39" i="75"/>
  <c r="U39" i="75" s="1"/>
  <c r="T25" i="60"/>
  <c r="O8" i="61" s="1"/>
  <c r="T31" i="60"/>
  <c r="U31" i="60" s="1"/>
  <c r="T33" i="75"/>
  <c r="U31" i="75"/>
  <c r="N8" i="61"/>
  <c r="U23" i="60"/>
  <c r="F7" i="13"/>
  <c r="G7" i="13" s="1"/>
  <c r="K11" i="70"/>
  <c r="O14" i="61"/>
  <c r="T41" i="67"/>
  <c r="Q14" i="61" s="1"/>
  <c r="L28" i="70" s="1"/>
  <c r="T30" i="66"/>
  <c r="P12" i="61" s="1"/>
  <c r="L12" i="70" s="1"/>
  <c r="M27" i="70" s="1"/>
  <c r="O12" i="61"/>
  <c r="Q12" i="61"/>
  <c r="L27" i="70" s="1"/>
  <c r="P14" i="61"/>
  <c r="L13" i="70" s="1"/>
  <c r="M28" i="70" s="1"/>
  <c r="S30" i="65"/>
  <c r="P10" i="61" s="1"/>
  <c r="L11" i="70" s="1"/>
  <c r="M26" i="70" s="1"/>
  <c r="S32" i="65"/>
  <c r="J7" i="13"/>
  <c r="U11" i="61" l="1"/>
  <c r="W11" i="61"/>
  <c r="U10" i="61"/>
  <c r="W10" i="61"/>
  <c r="U8" i="61"/>
  <c r="U6" i="61" s="1"/>
  <c r="W8" i="61"/>
  <c r="T27" i="60"/>
  <c r="P8" i="61" s="1"/>
  <c r="L10" i="70" s="1"/>
  <c r="M25" i="70" s="1"/>
  <c r="K10" i="70"/>
  <c r="T29" i="60"/>
  <c r="Q8" i="61" s="1"/>
  <c r="L25" i="70" s="1"/>
  <c r="O21" i="61"/>
  <c r="T35" i="75"/>
  <c r="P21" i="61" s="1"/>
  <c r="T37" i="75"/>
  <c r="Q21" i="61" s="1"/>
  <c r="L29" i="70" s="1"/>
  <c r="K13" i="70"/>
  <c r="K12" i="70"/>
  <c r="Q10" i="61"/>
  <c r="L26" i="70" s="1"/>
  <c r="U3" i="61" l="1"/>
  <c r="U13" i="61"/>
  <c r="W13" i="61"/>
  <c r="K14" i="70"/>
  <c r="L14" i="70"/>
  <c r="M29" i="70" s="1"/>
  <c r="G28" i="43"/>
  <c r="E13" i="13" s="1"/>
  <c r="I13" i="13" l="1"/>
  <c r="J13" i="13" s="1"/>
  <c r="F13" i="13"/>
  <c r="G13" i="13" s="1"/>
  <c r="L25" i="61"/>
  <c r="L26" i="61" s="1"/>
  <c r="G32" i="43"/>
  <c r="G34" i="43"/>
  <c r="J28" i="43"/>
  <c r="M25" i="61" s="1"/>
  <c r="M26" i="61" l="1"/>
  <c r="O28" i="43"/>
  <c r="O30" i="43" s="1"/>
  <c r="O25" i="61" s="1"/>
  <c r="J32" i="43"/>
  <c r="J34" i="43" s="1"/>
  <c r="E15" i="13"/>
  <c r="I15" i="13"/>
  <c r="N26" i="61" l="1"/>
  <c r="W14" i="61"/>
  <c r="U14" i="61"/>
  <c r="K15" i="70"/>
  <c r="O32" i="43"/>
  <c r="P25" i="61" s="1"/>
  <c r="F15" i="13"/>
  <c r="G15" i="13" s="1"/>
  <c r="J15" i="13"/>
  <c r="E31" i="70" l="1"/>
  <c r="F31" i="70" s="1"/>
  <c r="G31" i="70" s="1"/>
  <c r="E32" i="70"/>
  <c r="F32" i="70" s="1"/>
  <c r="G32" i="70" s="1"/>
  <c r="E33" i="70"/>
  <c r="F33" i="70" s="1"/>
  <c r="G33" i="70" s="1"/>
  <c r="E34" i="70"/>
  <c r="F34" i="70" s="1"/>
  <c r="G34" i="70" s="1"/>
  <c r="E35" i="70"/>
  <c r="F35" i="70" s="1"/>
  <c r="G35" i="70" s="1"/>
  <c r="E26" i="70"/>
  <c r="F26" i="70" s="1"/>
  <c r="G26" i="70" s="1"/>
  <c r="E27" i="70"/>
  <c r="F27" i="70" s="1"/>
  <c r="G27" i="70" s="1"/>
  <c r="E28" i="70"/>
  <c r="F28" i="70" s="1"/>
  <c r="G28" i="70" s="1"/>
  <c r="E36" i="70"/>
  <c r="F36" i="70" s="1"/>
  <c r="G36" i="70" s="1"/>
  <c r="E29" i="70"/>
  <c r="F29" i="70" s="1"/>
  <c r="G29" i="70" s="1"/>
  <c r="E37" i="70"/>
  <c r="F37" i="70" s="1"/>
  <c r="G37" i="70" s="1"/>
  <c r="E30" i="70"/>
  <c r="F30" i="70" s="1"/>
  <c r="G30" i="70" s="1"/>
  <c r="L15" i="70"/>
  <c r="M30" i="70" s="1"/>
  <c r="O26" i="61"/>
  <c r="O29" i="61" l="1"/>
  <c r="K17" i="70"/>
  <c r="P26" i="61"/>
  <c r="L17" i="70" s="1"/>
  <c r="P29" i="61" l="1"/>
  <c r="I43" i="67"/>
  <c r="K28" i="70" s="1"/>
</calcChain>
</file>

<file path=xl/sharedStrings.xml><?xml version="1.0" encoding="utf-8"?>
<sst xmlns="http://schemas.openxmlformats.org/spreadsheetml/2006/main" count="842" uniqueCount="177">
  <si>
    <t>Billing</t>
  </si>
  <si>
    <t>Calculated</t>
  </si>
  <si>
    <t>Description</t>
  </si>
  <si>
    <t>Units</t>
  </si>
  <si>
    <t>Rate</t>
  </si>
  <si>
    <t>Billings</t>
  </si>
  <si>
    <t>Energy Charge</t>
  </si>
  <si>
    <t>kWh</t>
  </si>
  <si>
    <t>Customer Charge</t>
  </si>
  <si>
    <t>Per kWh</t>
  </si>
  <si>
    <t>Difference</t>
  </si>
  <si>
    <t>Customer Class</t>
  </si>
  <si>
    <t>Current  Rate Calculated Billings</t>
  </si>
  <si>
    <t>Lights</t>
  </si>
  <si>
    <t>Per Light</t>
  </si>
  <si>
    <t>Revenue Per Books</t>
  </si>
  <si>
    <t>Percentage Difference</t>
  </si>
  <si>
    <t>Percent Difference</t>
  </si>
  <si>
    <t>Test Year Rate</t>
  </si>
  <si>
    <t>Test Year Rate Calculated Billings</t>
  </si>
  <si>
    <t>Revenue</t>
  </si>
  <si>
    <t>Present and Proposed Rates</t>
  </si>
  <si>
    <t>Rate Class</t>
  </si>
  <si>
    <t>Rates</t>
  </si>
  <si>
    <t xml:space="preserve">Billing  </t>
  </si>
  <si>
    <t>Present</t>
  </si>
  <si>
    <t>Proposed</t>
  </si>
  <si>
    <t>Increase</t>
  </si>
  <si>
    <t>Classification</t>
  </si>
  <si>
    <t>Code</t>
  </si>
  <si>
    <t>Unit</t>
  </si>
  <si>
    <t>$</t>
  </si>
  <si>
    <t>%</t>
  </si>
  <si>
    <t>TOTAL</t>
  </si>
  <si>
    <t>Total Rate Revenue</t>
  </si>
  <si>
    <t>Rate Code</t>
  </si>
  <si>
    <t>Total</t>
  </si>
  <si>
    <t>Avg Incr/(Decr) Per Customer Per Month</t>
  </si>
  <si>
    <t>Revenues</t>
  </si>
  <si>
    <t xml:space="preserve">Present </t>
  </si>
  <si>
    <t>Energy Charge (per kWh)</t>
  </si>
  <si>
    <t>Demand Charge (per kW)</t>
  </si>
  <si>
    <t>Proposed Rates</t>
  </si>
  <si>
    <t>Avg Bill</t>
  </si>
  <si>
    <t>FAC</t>
  </si>
  <si>
    <t>Customers</t>
  </si>
  <si>
    <t>per Customer</t>
  </si>
  <si>
    <t>Demand Charge</t>
  </si>
  <si>
    <t>kW</t>
  </si>
  <si>
    <t>Per kW</t>
  </si>
  <si>
    <t>Other</t>
  </si>
  <si>
    <t>ES</t>
  </si>
  <si>
    <t>Annual</t>
  </si>
  <si>
    <t>Monthly</t>
  </si>
  <si>
    <t xml:space="preserve">Test Year </t>
  </si>
  <si>
    <t>Over TY</t>
  </si>
  <si>
    <t>Test Year</t>
  </si>
  <si>
    <t>Present Rate</t>
  </si>
  <si>
    <t>Difference from Present Rates</t>
  </si>
  <si>
    <t>Percent Change from Present Rates</t>
  </si>
  <si>
    <t>Incr (Decr)</t>
  </si>
  <si>
    <t>Over Pres</t>
  </si>
  <si>
    <t>Customer</t>
  </si>
  <si>
    <t>Energy</t>
  </si>
  <si>
    <t>Percent</t>
  </si>
  <si>
    <t>Public Notice of Proposed Rate Revisions</t>
  </si>
  <si>
    <t>Average</t>
  </si>
  <si>
    <t>Usage (kWh)</t>
  </si>
  <si>
    <t>The amount of the change requested in both dollar amounts and percentage change for each customer classification to which the proposed rates will apply is set forth below:</t>
  </si>
  <si>
    <t>Dollars</t>
  </si>
  <si>
    <t>#</t>
  </si>
  <si>
    <t xml:space="preserve">Energy </t>
  </si>
  <si>
    <t xml:space="preserve">Customer </t>
  </si>
  <si>
    <t>Present Base Rates</t>
  </si>
  <si>
    <t>Proposed Base Rates</t>
  </si>
  <si>
    <t>Reconciliation of Booked vs. Calculated Billings</t>
  </si>
  <si>
    <t>JACKSON ENERGY COOPERATIVE</t>
  </si>
  <si>
    <t>OL</t>
  </si>
  <si>
    <t>BILLING DETERMINANTS</t>
  </si>
  <si>
    <t>CUSTOMERS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</si>
  <si>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</si>
  <si>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</si>
  <si>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</si>
  <si>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</si>
  <si>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</si>
  <si>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</si>
  <si>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</si>
  <si>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</si>
  <si>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</si>
  <si>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</si>
  <si>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</si>
  <si>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</si>
  <si>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</si>
  <si>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ENERGY (KWH)</t>
  </si>
  <si>
    <t>REVENUE ($)</t>
  </si>
  <si>
    <t>FAC ($)</t>
  </si>
  <si>
    <t>ES ($)</t>
  </si>
  <si>
    <t>All Hours</t>
  </si>
  <si>
    <t>NCP</t>
  </si>
  <si>
    <t>Residential</t>
  </si>
  <si>
    <t>JACKSON PURCHASE ENERGY CORPORATION</t>
  </si>
  <si>
    <t>R - Residential</t>
  </si>
  <si>
    <t>R</t>
  </si>
  <si>
    <t>C-1 Small Commercial Single Phase</t>
  </si>
  <si>
    <t>C1</t>
  </si>
  <si>
    <t>C-3 Small Commerical Three Phase</t>
  </si>
  <si>
    <t>C3</t>
  </si>
  <si>
    <t>D - Commercial and Industrial Demand &lt; 3,000 kW</t>
  </si>
  <si>
    <t>D</t>
  </si>
  <si>
    <t>I-E - Large Commercial Existing</t>
  </si>
  <si>
    <t>I-E</t>
  </si>
  <si>
    <t>OL - Outdoor Lighting</t>
  </si>
  <si>
    <t>Energy Charge 1st 200 (per kWh)</t>
  </si>
  <si>
    <t>Energy Charge 2nd 200 (per kWh)</t>
  </si>
  <si>
    <t>Energy Charge 3rd 200 (per kWh)</t>
  </si>
  <si>
    <t>Energy Charge Over 600 (per kWh)</t>
  </si>
  <si>
    <t>Demand Charge 1st 3000 ($)</t>
  </si>
  <si>
    <t>Demand Charge Over 3000 (per kW)</t>
  </si>
  <si>
    <t>NonFAC PPA</t>
  </si>
  <si>
    <t>MRSM</t>
  </si>
  <si>
    <t>ENERGY - Residential, School, Church or Farm (KWH)</t>
  </si>
  <si>
    <t>ENERGY - Other Than Res, Sch, Church or Farm (KWH)</t>
  </si>
  <si>
    <t>BILLED DEMAND (KW) - NCP</t>
  </si>
  <si>
    <t>MRSM ($)</t>
  </si>
  <si>
    <t>NON-FAC PPA ($)</t>
  </si>
  <si>
    <t>1st 200</t>
  </si>
  <si>
    <t>2nd 200</t>
  </si>
  <si>
    <t>3rd 200</t>
  </si>
  <si>
    <t>Over 600</t>
  </si>
  <si>
    <t>Subtotal</t>
  </si>
  <si>
    <t>C-3 Small Commercial Three Phase</t>
  </si>
  <si>
    <t>Charge</t>
  </si>
  <si>
    <t>Facilities Charge (per month)</t>
  </si>
  <si>
    <t>Service Charge (per month)</t>
  </si>
  <si>
    <t>D - DIRECT SERVED</t>
  </si>
  <si>
    <t>First 3000 KW</t>
  </si>
  <si>
    <t>Over 3000 KW</t>
  </si>
  <si>
    <t>I-E - Large Commercial Existing - Total</t>
  </si>
  <si>
    <t>I-E - Large Commercial Existing - Over 3,000</t>
  </si>
  <si>
    <t>Target</t>
  </si>
  <si>
    <t>Variance</t>
  </si>
  <si>
    <t xml:space="preserve">The amount of the average usage and the effect upon the average bill for each customer </t>
  </si>
  <si>
    <t>classification to which the proposed rates will apply is set forth below:</t>
  </si>
  <si>
    <t>250W HPS</t>
  </si>
  <si>
    <t>100W HPS</t>
  </si>
  <si>
    <t>250W HPS Flood</t>
  </si>
  <si>
    <t>1,000W Metal - Flood</t>
  </si>
  <si>
    <t>LED 6000-9000 Lumens</t>
  </si>
  <si>
    <t>LED 9,300 - 15,000 Lumens</t>
  </si>
  <si>
    <t>LED Flood 14,000 -23,000 Lumens</t>
  </si>
  <si>
    <t>175W Metal</t>
  </si>
  <si>
    <t>150W Metal</t>
  </si>
  <si>
    <t>400W Metal</t>
  </si>
  <si>
    <t>175 MV</t>
  </si>
  <si>
    <t>400 MV</t>
  </si>
  <si>
    <t>L - Large Commercial &amp; Industrial 3,000 - 5,000 kW</t>
  </si>
  <si>
    <t>Rate Schedule</t>
  </si>
  <si>
    <t>NA</t>
  </si>
  <si>
    <t>Totals</t>
  </si>
  <si>
    <t>D - Com &amp; Ind - DIRECT SERVED</t>
  </si>
  <si>
    <t>Riders</t>
  </si>
  <si>
    <t>Averages</t>
  </si>
  <si>
    <t xml:space="preserve">TOTAL </t>
  </si>
  <si>
    <t>Incr</t>
  </si>
  <si>
    <t>L - Large Commercial &amp; Industrial</t>
  </si>
  <si>
    <t>Direct Served (total)</t>
  </si>
  <si>
    <t>Estimated Monthly Rate Increase by KWH</t>
  </si>
  <si>
    <t>Proposed Rate</t>
  </si>
  <si>
    <t>various</t>
  </si>
  <si>
    <t>IE</t>
  </si>
  <si>
    <t>DS</t>
  </si>
  <si>
    <t>target</t>
  </si>
  <si>
    <t>scalar</t>
  </si>
  <si>
    <t>result</t>
  </si>
  <si>
    <t>Rebuttal</t>
  </si>
  <si>
    <t>Min Bill</t>
  </si>
  <si>
    <t>Rev Dec16-Excl-New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</si>
</sst>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0"/>
    <numFmt numFmtId="166" formatCode="0.0%"/>
    <numFmt numFmtId="167" formatCode="0.000%"/>
    <numFmt numFmtId="168" formatCode="_(* #,##0_);_(* \(#,##0\);_(* &quot;-&quot;??_);_(@_)"/>
    <numFmt numFmtId="169" formatCode="_(* #,##0.00000_);_(* \(#,##0.00000\);_(* &quot;-&quot;??_);_(@_)"/>
    <numFmt numFmtId="170" formatCode="&quot;$&quot;#,##0.00"/>
    <numFmt numFmtId="171" formatCode="0.000000"/>
    <numFmt numFmtId="172" formatCode="&quot;$&quot;#,##0"/>
    <numFmt numFmtId="173" formatCode="_(* #,##0.000000_);_(* \(#,##0.000000\);_(* &quot;-&quot;??_);_(@_)"/>
    <numFmt numFmtId="174" formatCode="&quot;$&quot;#,##0.000000"/>
    <numFmt numFmtId="175" formatCode="_(* #,##0.0000_);_(* \(#,##0.000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2"/>
      <color rgb="FF0000FF"/>
      <name val="Times New Roman"/>
      <family val="1"/>
    </font>
    <font>
      <sz val="12"/>
      <color theme="1"/>
      <name val="Times New Roman"/>
      <family val="1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10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2" xfId="0" applyFont="1" applyBorder="1" applyAlignment="1">
      <alignment wrapText="1"/>
    </xf>
    <xf numFmtId="41" fontId="5" fillId="0" borderId="0" xfId="0" applyNumberFormat="1" applyFont="1"/>
    <xf numFmtId="44" fontId="5" fillId="0" borderId="0" xfId="4" applyFont="1"/>
    <xf numFmtId="44" fontId="5" fillId="0" borderId="0" xfId="0" applyNumberFormat="1" applyFont="1"/>
    <xf numFmtId="164" fontId="5" fillId="0" borderId="0" xfId="0" applyNumberFormat="1" applyFont="1"/>
    <xf numFmtId="0" fontId="6" fillId="0" borderId="2" xfId="0" applyFont="1" applyBorder="1"/>
    <xf numFmtId="168" fontId="5" fillId="0" borderId="0" xfId="1" applyNumberFormat="1" applyFont="1"/>
    <xf numFmtId="168" fontId="5" fillId="0" borderId="0" xfId="0" applyNumberFormat="1" applyFont="1"/>
    <xf numFmtId="43" fontId="5" fillId="0" borderId="0" xfId="0" applyNumberFormat="1" applyFont="1"/>
    <xf numFmtId="164" fontId="5" fillId="0" borderId="0" xfId="9" applyNumberFormat="1" applyFont="1"/>
    <xf numFmtId="10" fontId="5" fillId="0" borderId="0" xfId="9" applyNumberFormat="1" applyFont="1" applyBorder="1"/>
    <xf numFmtId="164" fontId="5" fillId="0" borderId="3" xfId="0" applyNumberFormat="1" applyFont="1" applyBorder="1"/>
    <xf numFmtId="10" fontId="5" fillId="0" borderId="0" xfId="9" applyNumberFormat="1" applyFont="1"/>
    <xf numFmtId="43" fontId="5" fillId="0" borderId="0" xfId="1" applyFont="1"/>
    <xf numFmtId="0" fontId="4" fillId="0" borderId="2" xfId="0" applyFont="1" applyBorder="1" applyAlignment="1">
      <alignment horizontal="right" wrapText="1"/>
    </xf>
    <xf numFmtId="164" fontId="5" fillId="0" borderId="0" xfId="4" applyNumberFormat="1" applyFont="1"/>
    <xf numFmtId="165" fontId="5" fillId="0" borderId="0" xfId="0" applyNumberFormat="1" applyFont="1"/>
    <xf numFmtId="44" fontId="5" fillId="0" borderId="0" xfId="4" applyFont="1" applyBorder="1"/>
    <xf numFmtId="43" fontId="5" fillId="0" borderId="0" xfId="1" applyFont="1" applyBorder="1"/>
    <xf numFmtId="164" fontId="5" fillId="0" borderId="0" xfId="4" applyNumberFormat="1" applyFont="1" applyBorder="1" applyAlignment="1">
      <alignment horizontal="right"/>
    </xf>
    <xf numFmtId="168" fontId="5" fillId="0" borderId="0" xfId="1" applyNumberFormat="1" applyFont="1" applyBorder="1"/>
    <xf numFmtId="41" fontId="5" fillId="0" borderId="0" xfId="0" applyNumberFormat="1" applyFont="1" applyAlignment="1">
      <alignment horizontal="right"/>
    </xf>
    <xf numFmtId="164" fontId="5" fillId="0" borderId="0" xfId="4" applyNumberFormat="1" applyFont="1" applyBorder="1"/>
    <xf numFmtId="168" fontId="5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7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168" fontId="5" fillId="0" borderId="0" xfId="1" applyNumberFormat="1" applyFont="1" applyFill="1"/>
    <xf numFmtId="168" fontId="5" fillId="0" borderId="0" xfId="1" applyNumberFormat="1" applyFont="1" applyFill="1" applyBorder="1"/>
    <xf numFmtId="0" fontId="4" fillId="0" borderId="0" xfId="0" quotePrefix="1" applyFont="1"/>
    <xf numFmtId="164" fontId="5" fillId="0" borderId="0" xfId="9" applyNumberFormat="1" applyFont="1" applyFill="1"/>
    <xf numFmtId="10" fontId="5" fillId="0" borderId="0" xfId="9" applyNumberFormat="1" applyFont="1" applyFill="1" applyBorder="1"/>
    <xf numFmtId="164" fontId="5" fillId="0" borderId="0" xfId="9" applyNumberFormat="1" applyFont="1" applyFill="1" applyBorder="1"/>
    <xf numFmtId="167" fontId="5" fillId="0" borderId="0" xfId="9" applyNumberFormat="1" applyFont="1" applyFill="1" applyBorder="1"/>
    <xf numFmtId="171" fontId="5" fillId="0" borderId="0" xfId="0" applyNumberFormat="1" applyFont="1"/>
    <xf numFmtId="164" fontId="5" fillId="0" borderId="0" xfId="1" applyNumberFormat="1" applyFont="1"/>
    <xf numFmtId="164" fontId="5" fillId="0" borderId="0" xfId="4" applyNumberFormat="1" applyFont="1" applyFill="1" applyBorder="1"/>
    <xf numFmtId="0" fontId="5" fillId="0" borderId="0" xfId="0" applyFont="1" applyAlignment="1">
      <alignment horizontal="center"/>
    </xf>
    <xf numFmtId="2" fontId="5" fillId="0" borderId="0" xfId="0" applyNumberFormat="1" applyFont="1"/>
    <xf numFmtId="41" fontId="5" fillId="0" borderId="3" xfId="0" applyNumberFormat="1" applyFont="1" applyBorder="1"/>
    <xf numFmtId="10" fontId="5" fillId="0" borderId="3" xfId="9" applyNumberFormat="1" applyFont="1" applyFill="1" applyBorder="1"/>
    <xf numFmtId="164" fontId="5" fillId="0" borderId="3" xfId="4" applyNumberFormat="1" applyFont="1" applyFill="1" applyBorder="1"/>
    <xf numFmtId="2" fontId="5" fillId="0" borderId="0" xfId="0" applyNumberFormat="1" applyFont="1" applyAlignment="1">
      <alignment horizontal="right"/>
    </xf>
    <xf numFmtId="168" fontId="5" fillId="0" borderId="0" xfId="1" applyNumberFormat="1" applyFont="1" applyFill="1" applyBorder="1" applyAlignment="1">
      <alignment horizontal="right"/>
    </xf>
    <xf numFmtId="44" fontId="5" fillId="0" borderId="0" xfId="4" applyFont="1" applyBorder="1" applyAlignment="1">
      <alignment horizontal="right"/>
    </xf>
    <xf numFmtId="0" fontId="4" fillId="0" borderId="0" xfId="0" applyFont="1" applyAlignment="1">
      <alignment horizontal="right" wrapText="1"/>
    </xf>
    <xf numFmtId="44" fontId="5" fillId="0" borderId="0" xfId="4" applyFont="1" applyFill="1"/>
    <xf numFmtId="168" fontId="5" fillId="0" borderId="0" xfId="9" applyNumberFormat="1" applyFont="1"/>
    <xf numFmtId="168" fontId="5" fillId="0" borderId="0" xfId="0" applyNumberFormat="1" applyFont="1" applyAlignment="1">
      <alignment horizontal="left"/>
    </xf>
    <xf numFmtId="10" fontId="5" fillId="0" borderId="0" xfId="9" applyNumberFormat="1" applyFont="1" applyFill="1" applyBorder="1" applyAlignment="1">
      <alignment horizontal="right"/>
    </xf>
    <xf numFmtId="169" fontId="5" fillId="0" borderId="0" xfId="1" applyNumberFormat="1" applyFont="1"/>
    <xf numFmtId="41" fontId="6" fillId="0" borderId="0" xfId="0" applyNumberFormat="1" applyFont="1" applyAlignment="1">
      <alignment horizontal="left"/>
    </xf>
    <xf numFmtId="0" fontId="6" fillId="0" borderId="0" xfId="0" applyFont="1"/>
    <xf numFmtId="170" fontId="5" fillId="0" borderId="0" xfId="0" applyNumberFormat="1" applyFont="1"/>
    <xf numFmtId="0" fontId="8" fillId="0" borderId="0" xfId="0" applyFont="1"/>
    <xf numFmtId="164" fontId="5" fillId="0" borderId="0" xfId="4" applyNumberFormat="1" applyFont="1" applyFill="1" applyAlignment="1">
      <alignment horizontal="right"/>
    </xf>
    <xf numFmtId="164" fontId="5" fillId="0" borderId="0" xfId="4" applyNumberFormat="1" applyFont="1" applyFill="1"/>
    <xf numFmtId="10" fontId="5" fillId="0" borderId="0" xfId="9" applyNumberFormat="1" applyFont="1" applyFill="1"/>
    <xf numFmtId="0" fontId="8" fillId="0" borderId="0" xfId="0" applyFont="1" applyAlignment="1">
      <alignment horizontal="center"/>
    </xf>
    <xf numFmtId="9" fontId="5" fillId="0" borderId="0" xfId="9" applyFont="1"/>
    <xf numFmtId="0" fontId="5" fillId="0" borderId="0" xfId="8" applyFont="1"/>
    <xf numFmtId="10" fontId="5" fillId="0" borderId="0" xfId="12" applyNumberFormat="1" applyFont="1"/>
    <xf numFmtId="0" fontId="8" fillId="0" borderId="0" xfId="8" applyFont="1"/>
    <xf numFmtId="0" fontId="4" fillId="0" borderId="0" xfId="8" applyFont="1" applyAlignment="1">
      <alignment horizontal="right"/>
    </xf>
    <xf numFmtId="0" fontId="4" fillId="0" borderId="0" xfId="8" applyFont="1"/>
    <xf numFmtId="0" fontId="4" fillId="0" borderId="0" xfId="8" applyFont="1" applyAlignment="1">
      <alignment horizontal="center"/>
    </xf>
    <xf numFmtId="164" fontId="5" fillId="0" borderId="0" xfId="8" applyNumberFormat="1" applyFont="1"/>
    <xf numFmtId="0" fontId="5" fillId="2" borderId="0" xfId="8" applyFont="1" applyFill="1"/>
    <xf numFmtId="0" fontId="5" fillId="0" borderId="0" xfId="8" applyFont="1" applyAlignment="1">
      <alignment horizontal="center"/>
    </xf>
    <xf numFmtId="0" fontId="5" fillId="0" borderId="3" xfId="8" applyFont="1" applyBorder="1" applyAlignment="1">
      <alignment vertical="center"/>
    </xf>
    <xf numFmtId="164" fontId="5" fillId="0" borderId="3" xfId="8" applyNumberFormat="1" applyFont="1" applyBorder="1" applyAlignment="1">
      <alignment vertical="center"/>
    </xf>
    <xf numFmtId="166" fontId="5" fillId="0" borderId="3" xfId="12" applyNumberFormat="1" applyFont="1" applyBorder="1" applyAlignment="1">
      <alignment vertical="center"/>
    </xf>
    <xf numFmtId="0" fontId="5" fillId="0" borderId="0" xfId="8" applyFont="1" applyAlignment="1">
      <alignment vertical="center"/>
    </xf>
    <xf numFmtId="41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6" fontId="5" fillId="0" borderId="0" xfId="8" applyNumberFormat="1" applyFont="1"/>
    <xf numFmtId="0" fontId="5" fillId="0" borderId="3" xfId="8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5" fillId="0" borderId="5" xfId="0" applyFont="1" applyBorder="1"/>
    <xf numFmtId="164" fontId="5" fillId="0" borderId="5" xfId="0" applyNumberFormat="1" applyFont="1" applyBorder="1"/>
    <xf numFmtId="44" fontId="5" fillId="0" borderId="5" xfId="0" applyNumberFormat="1" applyFont="1" applyBorder="1"/>
    <xf numFmtId="164" fontId="5" fillId="0" borderId="5" xfId="9" applyNumberFormat="1" applyFont="1" applyBorder="1"/>
    <xf numFmtId="10" fontId="5" fillId="0" borderId="5" xfId="9" applyNumberFormat="1" applyFont="1" applyBorder="1"/>
    <xf numFmtId="0" fontId="6" fillId="0" borderId="0" xfId="0" applyFont="1" applyAlignment="1">
      <alignment horizontal="right"/>
    </xf>
    <xf numFmtId="41" fontId="6" fillId="0" borderId="0" xfId="0" applyNumberFormat="1" applyFont="1" applyAlignment="1">
      <alignment horizontal="right"/>
    </xf>
    <xf numFmtId="168" fontId="5" fillId="0" borderId="5" xfId="1" applyNumberFormat="1" applyFont="1" applyBorder="1"/>
    <xf numFmtId="0" fontId="4" fillId="0" borderId="3" xfId="0" applyFont="1" applyBorder="1"/>
    <xf numFmtId="168" fontId="5" fillId="0" borderId="3" xfId="0" applyNumberFormat="1" applyFont="1" applyBorder="1"/>
    <xf numFmtId="41" fontId="4" fillId="0" borderId="0" xfId="0" applyNumberFormat="1" applyFont="1" applyAlignment="1">
      <alignment horizontal="right" wrapText="1"/>
    </xf>
    <xf numFmtId="164" fontId="5" fillId="0" borderId="0" xfId="9" applyNumberFormat="1" applyFont="1" applyBorder="1"/>
    <xf numFmtId="0" fontId="6" fillId="0" borderId="2" xfId="0" applyFont="1" applyBorder="1" applyAlignment="1">
      <alignment horizontal="right" wrapText="1"/>
    </xf>
    <xf numFmtId="165" fontId="5" fillId="0" borderId="0" xfId="0" applyNumberFormat="1" applyFont="1" applyAlignment="1">
      <alignment horizontal="right"/>
    </xf>
    <xf numFmtId="44" fontId="5" fillId="0" borderId="0" xfId="4" applyFont="1" applyAlignment="1">
      <alignment horizontal="right"/>
    </xf>
    <xf numFmtId="170" fontId="5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 wrapText="1"/>
    </xf>
    <xf numFmtId="0" fontId="5" fillId="0" borderId="0" xfId="8" applyFont="1" applyAlignment="1">
      <alignment horizontal="right"/>
    </xf>
    <xf numFmtId="168" fontId="5" fillId="0" borderId="3" xfId="1" applyNumberFormat="1" applyFont="1" applyFill="1" applyBorder="1"/>
    <xf numFmtId="0" fontId="5" fillId="0" borderId="0" xfId="8" applyFont="1" applyAlignment="1">
      <alignment horizontal="center" vertical="center"/>
    </xf>
    <xf numFmtId="164" fontId="5" fillId="0" borderId="0" xfId="8" applyNumberFormat="1" applyFont="1" applyAlignment="1">
      <alignment vertical="center"/>
    </xf>
    <xf numFmtId="166" fontId="5" fillId="0" borderId="0" xfId="12" applyNumberFormat="1" applyFont="1" applyBorder="1" applyAlignment="1">
      <alignment vertical="center"/>
    </xf>
    <xf numFmtId="0" fontId="11" fillId="0" borderId="0" xfId="0" applyFont="1"/>
    <xf numFmtId="0" fontId="7" fillId="0" borderId="0" xfId="0" applyFont="1"/>
    <xf numFmtId="0" fontId="12" fillId="0" borderId="0" xfId="0" applyFont="1"/>
    <xf numFmtId="43" fontId="7" fillId="0" borderId="0" xfId="3" applyFont="1" applyFill="1"/>
    <xf numFmtId="0" fontId="13" fillId="0" borderId="0" xfId="0" applyFont="1"/>
    <xf numFmtId="166" fontId="13" fillId="0" borderId="0" xfId="9" applyNumberFormat="1" applyFont="1"/>
    <xf numFmtId="170" fontId="13" fillId="0" borderId="0" xfId="0" applyNumberFormat="1" applyFont="1"/>
    <xf numFmtId="172" fontId="13" fillId="0" borderId="0" xfId="0" applyNumberFormat="1" applyFont="1"/>
    <xf numFmtId="0" fontId="7" fillId="0" borderId="4" xfId="0" applyFont="1" applyBorder="1"/>
    <xf numFmtId="172" fontId="13" fillId="0" borderId="4" xfId="0" applyNumberFormat="1" applyFont="1" applyBorder="1"/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0" fillId="0" borderId="0" xfId="0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0" fontId="13" fillId="0" borderId="4" xfId="0" applyFont="1" applyBorder="1"/>
    <xf numFmtId="0" fontId="3" fillId="0" borderId="4" xfId="0" applyFont="1" applyBorder="1"/>
    <xf numFmtId="174" fontId="5" fillId="0" borderId="0" xfId="0" applyNumberFormat="1" applyFont="1"/>
    <xf numFmtId="41" fontId="5" fillId="0" borderId="4" xfId="0" applyNumberFormat="1" applyFont="1" applyBorder="1"/>
    <xf numFmtId="0" fontId="8" fillId="0" borderId="0" xfId="15" applyFont="1"/>
    <xf numFmtId="0" fontId="3" fillId="0" borderId="0" xfId="15" applyAlignment="1">
      <alignment horizontal="center"/>
    </xf>
    <xf numFmtId="0" fontId="3" fillId="0" borderId="0" xfId="15"/>
    <xf numFmtId="0" fontId="8" fillId="0" borderId="0" xfId="15" applyFont="1" applyAlignment="1">
      <alignment horizontal="left"/>
    </xf>
    <xf numFmtId="0" fontId="11" fillId="0" borderId="8" xfId="15" applyFont="1" applyBorder="1" applyAlignment="1">
      <alignment horizontal="center" vertical="center"/>
    </xf>
    <xf numFmtId="0" fontId="11" fillId="0" borderId="9" xfId="15" applyFont="1" applyBorder="1" applyAlignment="1">
      <alignment horizontal="center" vertical="center"/>
    </xf>
    <xf numFmtId="0" fontId="11" fillId="0" borderId="29" xfId="15" applyFont="1" applyBorder="1" applyAlignment="1">
      <alignment horizontal="center" vertical="center"/>
    </xf>
    <xf numFmtId="0" fontId="11" fillId="0" borderId="30" xfId="15" applyFont="1" applyBorder="1" applyAlignment="1">
      <alignment horizontal="center" vertical="center"/>
    </xf>
    <xf numFmtId="0" fontId="11" fillId="0" borderId="31" xfId="15" applyFont="1" applyBorder="1" applyAlignment="1">
      <alignment horizontal="center" vertical="center"/>
    </xf>
    <xf numFmtId="0" fontId="11" fillId="0" borderId="32" xfId="15" applyFont="1" applyBorder="1" applyAlignment="1">
      <alignment horizontal="center" vertical="center"/>
    </xf>
    <xf numFmtId="0" fontId="11" fillId="0" borderId="0" xfId="15" applyFont="1"/>
    <xf numFmtId="0" fontId="11" fillId="0" borderId="10" xfId="15" applyFont="1" applyBorder="1" applyAlignment="1">
      <alignment horizontal="center" vertical="center"/>
    </xf>
    <xf numFmtId="0" fontId="11" fillId="0" borderId="11" xfId="15" applyFont="1" applyBorder="1" applyAlignment="1">
      <alignment horizontal="center" vertical="center"/>
    </xf>
    <xf numFmtId="44" fontId="16" fillId="0" borderId="11" xfId="15" applyNumberFormat="1" applyFont="1" applyBorder="1" applyAlignment="1">
      <alignment horizontal="center" vertical="center"/>
    </xf>
    <xf numFmtId="0" fontId="16" fillId="0" borderId="11" xfId="15" applyFont="1" applyBorder="1" applyAlignment="1">
      <alignment horizontal="center" vertical="center"/>
    </xf>
    <xf numFmtId="0" fontId="11" fillId="0" borderId="33" xfId="15" applyFont="1" applyBorder="1" applyAlignment="1">
      <alignment horizontal="center" vertical="center"/>
    </xf>
    <xf numFmtId="0" fontId="3" fillId="0" borderId="12" xfId="15" applyBorder="1" applyAlignment="1">
      <alignment horizontal="center"/>
    </xf>
    <xf numFmtId="168" fontId="0" fillId="0" borderId="13" xfId="16" applyNumberFormat="1" applyFont="1" applyBorder="1"/>
    <xf numFmtId="44" fontId="3" fillId="0" borderId="14" xfId="15" applyNumberFormat="1" applyBorder="1"/>
    <xf numFmtId="44" fontId="3" fillId="0" borderId="0" xfId="15" applyNumberFormat="1"/>
    <xf numFmtId="44" fontId="3" fillId="0" borderId="5" xfId="15" applyNumberFormat="1" applyBorder="1"/>
    <xf numFmtId="44" fontId="3" fillId="0" borderId="14" xfId="17" applyFont="1" applyBorder="1"/>
    <xf numFmtId="44" fontId="3" fillId="0" borderId="5" xfId="17" applyFont="1" applyBorder="1"/>
    <xf numFmtId="166" fontId="3" fillId="0" borderId="15" xfId="18" applyNumberFormat="1" applyFont="1" applyBorder="1"/>
    <xf numFmtId="0" fontId="3" fillId="0" borderId="10" xfId="15" applyBorder="1" applyAlignment="1">
      <alignment horizontal="center"/>
    </xf>
    <xf numFmtId="168" fontId="0" fillId="0" borderId="11" xfId="16" applyNumberFormat="1" applyFont="1" applyBorder="1"/>
    <xf numFmtId="44" fontId="3" fillId="0" borderId="16" xfId="15" applyNumberFormat="1" applyBorder="1"/>
    <xf numFmtId="44" fontId="3" fillId="0" borderId="19" xfId="15" applyNumberFormat="1" applyBorder="1"/>
    <xf numFmtId="44" fontId="3" fillId="0" borderId="17" xfId="15" applyNumberFormat="1" applyBorder="1"/>
    <xf numFmtId="44" fontId="3" fillId="0" borderId="16" xfId="17" applyFont="1" applyBorder="1"/>
    <xf numFmtId="44" fontId="3" fillId="0" borderId="17" xfId="17" applyFont="1" applyBorder="1"/>
    <xf numFmtId="166" fontId="3" fillId="0" borderId="18" xfId="18" applyNumberFormat="1" applyFont="1" applyBorder="1"/>
    <xf numFmtId="44" fontId="15" fillId="0" borderId="0" xfId="15" applyNumberFormat="1" applyFont="1"/>
    <xf numFmtId="43" fontId="3" fillId="0" borderId="0" xfId="15" applyNumberFormat="1"/>
    <xf numFmtId="9" fontId="0" fillId="0" borderId="0" xfId="18" applyFont="1"/>
    <xf numFmtId="0" fontId="0" fillId="0" borderId="0" xfId="0" applyAlignment="1">
      <alignment horizontal="center" vertical="top" wrapText="1"/>
    </xf>
    <xf numFmtId="0" fontId="17" fillId="0" borderId="0" xfId="0" applyFont="1"/>
    <xf numFmtId="0" fontId="13" fillId="0" borderId="0" xfId="0" applyFont="1" applyAlignment="1">
      <alignment horizontal="left" vertical="top"/>
    </xf>
    <xf numFmtId="166" fontId="5" fillId="0" borderId="0" xfId="9" applyNumberFormat="1" applyFont="1"/>
    <xf numFmtId="165" fontId="6" fillId="0" borderId="0" xfId="0" applyNumberFormat="1" applyFont="1"/>
    <xf numFmtId="170" fontId="5" fillId="4" borderId="0" xfId="0" applyNumberFormat="1" applyFont="1" applyFill="1"/>
    <xf numFmtId="170" fontId="5" fillId="4" borderId="0" xfId="0" applyNumberFormat="1" applyFont="1" applyFill="1" applyAlignment="1">
      <alignment horizontal="right"/>
    </xf>
    <xf numFmtId="10" fontId="5" fillId="0" borderId="0" xfId="0" applyNumberFormat="1" applyFont="1"/>
    <xf numFmtId="41" fontId="6" fillId="0" borderId="0" xfId="0" applyNumberFormat="1" applyFont="1"/>
    <xf numFmtId="168" fontId="6" fillId="0" borderId="0" xfId="1" applyNumberFormat="1" applyFont="1" applyBorder="1"/>
    <xf numFmtId="166" fontId="13" fillId="0" borderId="4" xfId="9" applyNumberFormat="1" applyFont="1" applyBorder="1"/>
    <xf numFmtId="43" fontId="3" fillId="0" borderId="35" xfId="1" applyFont="1" applyFill="1" applyBorder="1"/>
    <xf numFmtId="0" fontId="3" fillId="0" borderId="2" xfId="0" applyFont="1" applyBorder="1"/>
    <xf numFmtId="173" fontId="3" fillId="0" borderId="37" xfId="3" applyNumberFormat="1" applyFont="1" applyBorder="1"/>
    <xf numFmtId="0" fontId="13" fillId="0" borderId="2" xfId="0" applyFont="1" applyBorder="1"/>
    <xf numFmtId="0" fontId="11" fillId="0" borderId="4" xfId="0" applyFont="1" applyBorder="1"/>
    <xf numFmtId="0" fontId="11" fillId="0" borderId="37" xfId="0" applyFont="1" applyBorder="1" applyAlignment="1">
      <alignment horizontal="right"/>
    </xf>
    <xf numFmtId="43" fontId="3" fillId="0" borderId="5" xfId="1" applyFont="1" applyFill="1" applyBorder="1"/>
    <xf numFmtId="173" fontId="3" fillId="0" borderId="5" xfId="3" applyNumberFormat="1" applyFont="1" applyBorder="1"/>
    <xf numFmtId="43" fontId="3" fillId="0" borderId="5" xfId="1" applyFont="1" applyBorder="1"/>
    <xf numFmtId="43" fontId="3" fillId="0" borderId="35" xfId="1" applyFont="1" applyBorder="1"/>
    <xf numFmtId="173" fontId="3" fillId="0" borderId="5" xfId="1" applyNumberFormat="1" applyFont="1" applyBorder="1"/>
    <xf numFmtId="0" fontId="11" fillId="0" borderId="36" xfId="0" applyFont="1" applyBorder="1" applyAlignment="1">
      <alignment horizontal="right"/>
    </xf>
    <xf numFmtId="43" fontId="3" fillId="0" borderId="34" xfId="1" applyFont="1" applyFill="1" applyBorder="1"/>
    <xf numFmtId="173" fontId="3" fillId="0" borderId="36" xfId="3" applyNumberFormat="1" applyFont="1" applyBorder="1"/>
    <xf numFmtId="43" fontId="3" fillId="0" borderId="14" xfId="1" applyFont="1" applyFill="1" applyBorder="1"/>
    <xf numFmtId="173" fontId="3" fillId="0" borderId="14" xfId="3" applyNumberFormat="1" applyFont="1" applyBorder="1"/>
    <xf numFmtId="43" fontId="3" fillId="0" borderId="14" xfId="1" applyFont="1" applyBorder="1"/>
    <xf numFmtId="43" fontId="3" fillId="0" borderId="34" xfId="3" applyFont="1" applyBorder="1"/>
    <xf numFmtId="43" fontId="3" fillId="0" borderId="34" xfId="1" applyFont="1" applyBorder="1"/>
    <xf numFmtId="0" fontId="11" fillId="0" borderId="40" xfId="0" applyFont="1" applyBorder="1"/>
    <xf numFmtId="0" fontId="13" fillId="0" borderId="30" xfId="0" applyFont="1" applyBorder="1"/>
    <xf numFmtId="0" fontId="3" fillId="0" borderId="13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13" fillId="0" borderId="13" xfId="0" applyFont="1" applyBorder="1"/>
    <xf numFmtId="0" fontId="3" fillId="0" borderId="13" xfId="0" applyFont="1" applyBorder="1"/>
    <xf numFmtId="168" fontId="3" fillId="0" borderId="0" xfId="1" applyNumberFormat="1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 wrapText="1"/>
    </xf>
    <xf numFmtId="166" fontId="5" fillId="0" borderId="0" xfId="0" applyNumberFormat="1" applyFont="1"/>
    <xf numFmtId="165" fontId="6" fillId="0" borderId="4" xfId="0" applyNumberFormat="1" applyFont="1" applyBorder="1"/>
    <xf numFmtId="0" fontId="3" fillId="5" borderId="12" xfId="15" applyFill="1" applyBorder="1" applyAlignment="1">
      <alignment horizontal="center"/>
    </xf>
    <xf numFmtId="168" fontId="0" fillId="5" borderId="13" xfId="16" applyNumberFormat="1" applyFont="1" applyFill="1" applyBorder="1"/>
    <xf numFmtId="44" fontId="3" fillId="5" borderId="14" xfId="15" applyNumberFormat="1" applyFill="1" applyBorder="1"/>
    <xf numFmtId="44" fontId="3" fillId="5" borderId="0" xfId="15" applyNumberFormat="1" applyFill="1"/>
    <xf numFmtId="44" fontId="3" fillId="5" borderId="5" xfId="15" applyNumberFormat="1" applyFill="1" applyBorder="1"/>
    <xf numFmtId="44" fontId="3" fillId="5" borderId="14" xfId="17" applyFont="1" applyFill="1" applyBorder="1"/>
    <xf numFmtId="44" fontId="3" fillId="5" borderId="5" xfId="17" applyFont="1" applyFill="1" applyBorder="1"/>
    <xf numFmtId="166" fontId="3" fillId="5" borderId="15" xfId="18" applyNumberFormat="1" applyFont="1" applyFill="1" applyBorder="1"/>
    <xf numFmtId="169" fontId="5" fillId="0" borderId="0" xfId="1" applyNumberFormat="1" applyFont="1" applyAlignment="1">
      <alignment horizontal="center"/>
    </xf>
    <xf numFmtId="0" fontId="5" fillId="0" borderId="21" xfId="8" applyFont="1" applyBorder="1" applyAlignment="1">
      <alignment horizontal="center"/>
    </xf>
    <xf numFmtId="0" fontId="5" fillId="0" borderId="21" xfId="8" applyFont="1" applyBorder="1"/>
    <xf numFmtId="0" fontId="5" fillId="2" borderId="21" xfId="8" applyFont="1" applyFill="1" applyBorder="1"/>
    <xf numFmtId="0" fontId="4" fillId="0" borderId="1" xfId="8" applyFont="1" applyBorder="1" applyAlignment="1">
      <alignment horizontal="center"/>
    </xf>
    <xf numFmtId="0" fontId="4" fillId="0" borderId="1" xfId="8" applyFont="1" applyBorder="1"/>
    <xf numFmtId="0" fontId="5" fillId="2" borderId="1" xfId="8" applyFont="1" applyFill="1" applyBorder="1"/>
    <xf numFmtId="0" fontId="4" fillId="0" borderId="1" xfId="8" applyFont="1" applyBorder="1" applyAlignment="1">
      <alignment horizontal="right"/>
    </xf>
    <xf numFmtId="166" fontId="5" fillId="0" borderId="3" xfId="9" applyNumberFormat="1" applyFont="1" applyBorder="1" applyAlignment="1">
      <alignment vertical="center"/>
    </xf>
    <xf numFmtId="0" fontId="11" fillId="0" borderId="0" xfId="0" applyFont="1" applyAlignment="1">
      <alignment horizontal="right"/>
    </xf>
    <xf numFmtId="43" fontId="3" fillId="0" borderId="0" xfId="1" applyFont="1" applyFill="1" applyBorder="1"/>
    <xf numFmtId="173" fontId="3" fillId="0" borderId="0" xfId="1" applyNumberFormat="1" applyFont="1" applyFill="1" applyBorder="1"/>
    <xf numFmtId="43" fontId="3" fillId="0" borderId="36" xfId="1" applyFont="1" applyBorder="1"/>
    <xf numFmtId="43" fontId="3" fillId="0" borderId="37" xfId="1" applyFont="1" applyFill="1" applyBorder="1"/>
    <xf numFmtId="10" fontId="3" fillId="0" borderId="0" xfId="0" applyNumberFormat="1" applyFont="1"/>
    <xf numFmtId="10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right"/>
    </xf>
    <xf numFmtId="10" fontId="3" fillId="0" borderId="0" xfId="9" applyNumberFormat="1" applyFont="1" applyFill="1" applyBorder="1"/>
    <xf numFmtId="10" fontId="13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5" fillId="2" borderId="0" xfId="8" applyFont="1" applyFill="1" applyAlignment="1">
      <alignment vertical="center"/>
    </xf>
    <xf numFmtId="43" fontId="5" fillId="0" borderId="0" xfId="1" applyFont="1" applyAlignment="1">
      <alignment vertical="center"/>
    </xf>
    <xf numFmtId="43" fontId="5" fillId="0" borderId="0" xfId="3" applyFont="1" applyAlignment="1">
      <alignment vertical="center"/>
    </xf>
    <xf numFmtId="164" fontId="5" fillId="0" borderId="0" xfId="5" applyNumberFormat="1" applyFont="1" applyAlignment="1">
      <alignment vertical="center"/>
    </xf>
    <xf numFmtId="166" fontId="5" fillId="0" borderId="0" xfId="9" applyNumberFormat="1" applyFont="1" applyAlignment="1">
      <alignment vertical="center"/>
    </xf>
    <xf numFmtId="7" fontId="5" fillId="0" borderId="0" xfId="4" applyNumberFormat="1" applyFont="1" applyFill="1" applyAlignment="1">
      <alignment vertical="center"/>
    </xf>
    <xf numFmtId="171" fontId="18" fillId="3" borderId="0" xfId="8" applyNumberFormat="1" applyFont="1" applyFill="1" applyAlignment="1">
      <alignment vertical="center"/>
    </xf>
    <xf numFmtId="43" fontId="18" fillId="3" borderId="0" xfId="1" applyFont="1" applyFill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0" fontId="5" fillId="0" borderId="2" xfId="7" applyFont="1" applyBorder="1" applyAlignment="1">
      <alignment vertical="center"/>
    </xf>
    <xf numFmtId="0" fontId="5" fillId="0" borderId="2" xfId="11" applyNumberFormat="1" applyFont="1" applyFill="1" applyBorder="1" applyAlignment="1">
      <alignment horizontal="center" vertical="center"/>
    </xf>
    <xf numFmtId="0" fontId="5" fillId="0" borderId="2" xfId="8" applyFont="1" applyBorder="1" applyAlignment="1">
      <alignment vertical="center"/>
    </xf>
    <xf numFmtId="0" fontId="5" fillId="2" borderId="2" xfId="8" applyFont="1" applyFill="1" applyBorder="1" applyAlignment="1">
      <alignment vertical="center"/>
    </xf>
    <xf numFmtId="173" fontId="5" fillId="0" borderId="2" xfId="3" applyNumberFormat="1" applyFont="1" applyBorder="1" applyAlignment="1">
      <alignment vertical="center"/>
    </xf>
    <xf numFmtId="173" fontId="5" fillId="0" borderId="2" xfId="3" applyNumberFormat="1" applyFont="1" applyFill="1" applyBorder="1" applyAlignment="1">
      <alignment vertical="center"/>
    </xf>
    <xf numFmtId="169" fontId="5" fillId="0" borderId="2" xfId="3" applyNumberFormat="1" applyFont="1" applyBorder="1" applyAlignment="1">
      <alignment vertical="center"/>
    </xf>
    <xf numFmtId="164" fontId="5" fillId="0" borderId="2" xfId="5" applyNumberFormat="1" applyFont="1" applyBorder="1" applyAlignment="1">
      <alignment vertical="center"/>
    </xf>
    <xf numFmtId="166" fontId="5" fillId="0" borderId="2" xfId="9" applyNumberFormat="1" applyFont="1" applyBorder="1" applyAlignment="1">
      <alignment vertical="center"/>
    </xf>
    <xf numFmtId="5" fontId="5" fillId="0" borderId="2" xfId="4" applyNumberFormat="1" applyFont="1" applyFill="1" applyBorder="1" applyAlignment="1">
      <alignment vertical="center"/>
    </xf>
    <xf numFmtId="171" fontId="19" fillId="0" borderId="0" xfId="8" applyNumberFormat="1" applyFont="1" applyAlignment="1">
      <alignment vertical="center"/>
    </xf>
    <xf numFmtId="0" fontId="5" fillId="0" borderId="0" xfId="11" applyNumberFormat="1" applyFont="1" applyFill="1" applyAlignment="1">
      <alignment horizontal="center" vertical="center"/>
    </xf>
    <xf numFmtId="43" fontId="5" fillId="0" borderId="0" xfId="1" applyFont="1" applyFill="1" applyAlignment="1">
      <alignment vertical="center"/>
    </xf>
    <xf numFmtId="5" fontId="5" fillId="0" borderId="0" xfId="4" applyNumberFormat="1" applyFont="1" applyFill="1" applyAlignment="1">
      <alignment vertical="center"/>
    </xf>
    <xf numFmtId="0" fontId="5" fillId="0" borderId="0" xfId="7" applyFont="1" applyAlignment="1">
      <alignment vertical="center"/>
    </xf>
    <xf numFmtId="173" fontId="5" fillId="0" borderId="0" xfId="3" applyNumberFormat="1" applyFont="1" applyAlignment="1">
      <alignment vertical="center"/>
    </xf>
    <xf numFmtId="169" fontId="5" fillId="0" borderId="0" xfId="3" applyNumberFormat="1" applyFont="1" applyAlignment="1">
      <alignment vertical="center"/>
    </xf>
    <xf numFmtId="0" fontId="5" fillId="0" borderId="7" xfId="8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11" applyNumberFormat="1" applyFont="1" applyFill="1" applyBorder="1" applyAlignment="1">
      <alignment horizontal="center" vertical="center"/>
    </xf>
    <xf numFmtId="0" fontId="5" fillId="0" borderId="7" xfId="8" applyFont="1" applyBorder="1" applyAlignment="1">
      <alignment vertical="center"/>
    </xf>
    <xf numFmtId="0" fontId="5" fillId="2" borderId="7" xfId="8" applyFont="1" applyFill="1" applyBorder="1" applyAlignment="1">
      <alignment vertical="center"/>
    </xf>
    <xf numFmtId="43" fontId="5" fillId="0" borderId="7" xfId="1" applyFont="1" applyBorder="1" applyAlignment="1">
      <alignment vertical="center"/>
    </xf>
    <xf numFmtId="43" fontId="5" fillId="0" borderId="7" xfId="1" applyFont="1" applyFill="1" applyBorder="1" applyAlignment="1">
      <alignment vertical="center"/>
    </xf>
    <xf numFmtId="43" fontId="5" fillId="0" borderId="7" xfId="3" applyFont="1" applyBorder="1" applyAlignment="1">
      <alignment vertical="center"/>
    </xf>
    <xf numFmtId="164" fontId="5" fillId="0" borderId="7" xfId="5" applyNumberFormat="1" applyFont="1" applyBorder="1" applyAlignment="1">
      <alignment vertical="center"/>
    </xf>
    <xf numFmtId="166" fontId="5" fillId="0" borderId="7" xfId="9" applyNumberFormat="1" applyFont="1" applyBorder="1" applyAlignment="1">
      <alignment vertical="center"/>
    </xf>
    <xf numFmtId="7" fontId="5" fillId="0" borderId="7" xfId="4" applyNumberFormat="1" applyFont="1" applyFill="1" applyBorder="1" applyAlignment="1">
      <alignment vertical="center"/>
    </xf>
    <xf numFmtId="7" fontId="5" fillId="0" borderId="4" xfId="4" applyNumberFormat="1" applyFont="1" applyFill="1" applyBorder="1" applyAlignment="1">
      <alignment vertical="center"/>
    </xf>
    <xf numFmtId="0" fontId="4" fillId="0" borderId="0" xfId="8" applyFont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3" applyFont="1" applyBorder="1" applyAlignment="1">
      <alignment vertical="center"/>
    </xf>
    <xf numFmtId="0" fontId="5" fillId="2" borderId="3" xfId="8" applyFont="1" applyFill="1" applyBorder="1" applyAlignment="1">
      <alignment vertical="center"/>
    </xf>
    <xf numFmtId="166" fontId="5" fillId="0" borderId="0" xfId="8" applyNumberFormat="1" applyFont="1" applyAlignment="1">
      <alignment vertical="center"/>
    </xf>
    <xf numFmtId="168" fontId="0" fillId="0" borderId="0" xfId="1" applyNumberFormat="1" applyFont="1" applyAlignment="1">
      <alignment horizontal="center"/>
    </xf>
    <xf numFmtId="170" fontId="13" fillId="0" borderId="0" xfId="0" applyNumberFormat="1" applyFont="1" applyAlignment="1">
      <alignment horizontal="right"/>
    </xf>
    <xf numFmtId="7" fontId="5" fillId="0" borderId="0" xfId="4" applyNumberFormat="1" applyFont="1" applyFill="1" applyAlignment="1">
      <alignment horizontal="right" vertical="center"/>
    </xf>
    <xf numFmtId="41" fontId="6" fillId="0" borderId="2" xfId="0" applyNumberFormat="1" applyFont="1" applyBorder="1"/>
    <xf numFmtId="166" fontId="5" fillId="0" borderId="0" xfId="9" applyNumberFormat="1" applyFont="1" applyFill="1"/>
    <xf numFmtId="164" fontId="5" fillId="0" borderId="5" xfId="9" applyNumberFormat="1" applyFont="1" applyFill="1" applyBorder="1"/>
    <xf numFmtId="10" fontId="5" fillId="0" borderId="5" xfId="9" applyNumberFormat="1" applyFont="1" applyFill="1" applyBorder="1"/>
    <xf numFmtId="44" fontId="5" fillId="0" borderId="0" xfId="4" applyFont="1" applyFill="1" applyBorder="1"/>
    <xf numFmtId="44" fontId="5" fillId="0" borderId="0" xfId="4" applyFont="1" applyFill="1" applyBorder="1" applyAlignment="1">
      <alignment horizontal="right"/>
    </xf>
    <xf numFmtId="168" fontId="6" fillId="0" borderId="0" xfId="1" applyNumberFormat="1" applyFont="1" applyFill="1" applyBorder="1"/>
    <xf numFmtId="0" fontId="5" fillId="0" borderId="4" xfId="0" applyFont="1" applyBorder="1"/>
    <xf numFmtId="174" fontId="6" fillId="0" borderId="4" xfId="0" applyNumberFormat="1" applyFont="1" applyBorder="1"/>
    <xf numFmtId="164" fontId="5" fillId="0" borderId="4" xfId="0" applyNumberFormat="1" applyFont="1" applyBorder="1"/>
    <xf numFmtId="168" fontId="3" fillId="0" borderId="0" xfId="1" applyNumberFormat="1" applyFont="1" applyFill="1"/>
    <xf numFmtId="0" fontId="3" fillId="0" borderId="0" xfId="13" applyFont="1"/>
    <xf numFmtId="0" fontId="20" fillId="0" borderId="0" xfId="0" applyFont="1" applyAlignment="1">
      <alignment horizontal="right"/>
    </xf>
    <xf numFmtId="168" fontId="20" fillId="0" borderId="0" xfId="1" applyNumberFormat="1" applyFont="1" applyFill="1" applyAlignment="1">
      <alignment horizontal="right"/>
    </xf>
    <xf numFmtId="168" fontId="3" fillId="0" borderId="4" xfId="1" applyNumberFormat="1" applyFont="1" applyFill="1" applyBorder="1"/>
    <xf numFmtId="168" fontId="3" fillId="0" borderId="0" xfId="1" applyNumberFormat="1" applyFont="1" applyFill="1" applyBorder="1"/>
    <xf numFmtId="43" fontId="3" fillId="0" borderId="0" xfId="1" applyFont="1" applyFill="1" applyAlignment="1">
      <alignment horizontal="center"/>
    </xf>
    <xf numFmtId="9" fontId="3" fillId="0" borderId="0" xfId="9" applyFont="1" applyFill="1" applyBorder="1"/>
    <xf numFmtId="168" fontId="3" fillId="0" borderId="0" xfId="0" applyNumberFormat="1" applyFont="1"/>
    <xf numFmtId="43" fontId="5" fillId="0" borderId="0" xfId="1" applyFont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164" fontId="5" fillId="0" borderId="0" xfId="8" applyNumberFormat="1" applyFont="1" applyAlignment="1">
      <alignment horizontal="center" vertical="center"/>
    </xf>
    <xf numFmtId="175" fontId="5" fillId="0" borderId="0" xfId="1" applyNumberFormat="1" applyFont="1"/>
    <xf numFmtId="164" fontId="5" fillId="0" borderId="0" xfId="8" applyNumberFormat="1" applyFont="1" applyAlignment="1">
      <alignment horizontal="center"/>
    </xf>
    <xf numFmtId="0" fontId="5" fillId="0" borderId="0" xfId="8" applyFont="1" applyAlignment="1">
      <alignment horizontal="right" vertical="center"/>
    </xf>
    <xf numFmtId="169" fontId="4" fillId="0" borderId="0" xfId="1" applyNumberFormat="1" applyFont="1"/>
    <xf numFmtId="169" fontId="5" fillId="0" borderId="0" xfId="1" applyNumberFormat="1" applyFont="1" applyAlignment="1">
      <alignment vertical="center"/>
    </xf>
    <xf numFmtId="168" fontId="5" fillId="0" borderId="0" xfId="1" applyNumberFormat="1" applyFont="1" applyAlignment="1">
      <alignment vertical="center"/>
    </xf>
    <xf numFmtId="0" fontId="5" fillId="5" borderId="0" xfId="8" applyFont="1" applyFill="1" applyAlignment="1">
      <alignment horizontal="right"/>
    </xf>
    <xf numFmtId="168" fontId="5" fillId="3" borderId="0" xfId="1" applyNumberFormat="1" applyFont="1" applyFill="1"/>
    <xf numFmtId="0" fontId="4" fillId="0" borderId="0" xfId="8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25" xfId="15" applyFont="1" applyBorder="1" applyAlignment="1">
      <alignment horizontal="center" vertical="center"/>
    </xf>
    <xf numFmtId="0" fontId="11" fillId="0" borderId="26" xfId="15" applyFont="1" applyBorder="1" applyAlignment="1">
      <alignment horizontal="center" vertical="center"/>
    </xf>
    <xf numFmtId="0" fontId="11" fillId="0" borderId="27" xfId="15" applyFont="1" applyBorder="1" applyAlignment="1">
      <alignment horizontal="center" vertical="center"/>
    </xf>
    <xf numFmtId="0" fontId="11" fillId="0" borderId="28" xfId="15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0" borderId="40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5" fillId="6" borderId="0" xfId="8" applyFont="1" applyFill="1" applyAlignment="1">
      <alignment horizontal="right"/>
    </xf>
  </cellXfs>
  <cellStyles count="20">
    <cellStyle name="Comma" xfId="1" builtinId="3"/>
    <cellStyle name="Comma 2" xfId="2" xr:uid="{00000000-0005-0000-0000-000001000000}"/>
    <cellStyle name="Comma 3" xfId="3" xr:uid="{00000000-0005-0000-0000-000002000000}"/>
    <cellStyle name="Comma 3 2" xfId="16" xr:uid="{00000000-0005-0000-0000-000003000000}"/>
    <cellStyle name="Comma 4" xfId="14" xr:uid="{00000000-0005-0000-0000-000004000000}"/>
    <cellStyle name="Currency" xfId="4" builtinId="4"/>
    <cellStyle name="Currency 2" xfId="5" xr:uid="{00000000-0005-0000-0000-000006000000}"/>
    <cellStyle name="Currency 2 2" xfId="17" xr:uid="{00000000-0005-0000-0000-000007000000}"/>
    <cellStyle name="Currency 3" xfId="6" xr:uid="{00000000-0005-0000-0000-000008000000}"/>
    <cellStyle name="Normal" xfId="0" builtinId="0"/>
    <cellStyle name="Normal 2" xfId="7" xr:uid="{00000000-0005-0000-0000-00000A000000}"/>
    <cellStyle name="Normal 2 2" xfId="15" xr:uid="{00000000-0005-0000-0000-00000B000000}"/>
    <cellStyle name="Normal 3" xfId="8" xr:uid="{00000000-0005-0000-0000-00000C000000}"/>
    <cellStyle name="Normal 4" xfId="13" xr:uid="{00000000-0005-0000-0000-00000D000000}"/>
    <cellStyle name="Percent" xfId="9" builtinId="5"/>
    <cellStyle name="Percent 2" xfId="10" xr:uid="{00000000-0005-0000-0000-00000F000000}"/>
    <cellStyle name="Percent 2 2" xfId="11" xr:uid="{00000000-0005-0000-0000-000010000000}"/>
    <cellStyle name="Percent 3" xfId="12" xr:uid="{00000000-0005-0000-0000-000011000000}"/>
    <cellStyle name="Percent 3 2" xfId="18" xr:uid="{00000000-0005-0000-0000-000012000000}"/>
    <cellStyle name="Percent 4" xfId="19" xr:uid="{00000000-0005-0000-0000-000013000000}"/>
  </cellStyles>
  <dxfs count="0"/>
  <tableStyles count="0" defaultTableStyle="TableStyleMedium9" defaultPivotStyle="PivotStyleLight16"/>
  <colors>
    <mruColors>
      <color rgb="FFFFCCFF"/>
      <color rgb="FF0000FF"/>
      <color rgb="FFFFFFCC"/>
      <color rgb="FF01359D"/>
      <color rgb="FFF93D4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c385686f0d07d2/Documents/CATALYST%20Consulting/Clients/JPEC/Rate%20Case%202024-00085/COS%20and%20Rates/JPEC-2023-Pres%20Proposed%20Rates-FILED.xlsx" TargetMode="External"/><Relationship Id="rId1" Type="http://schemas.openxmlformats.org/officeDocument/2006/relationships/externalLinkPath" Target="JPEC-2023-Pres%20Proposed%20Rates-FI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 and Proposed Rates"/>
      <sheetName val="R"/>
      <sheetName val="C-1"/>
      <sheetName val="C-3"/>
      <sheetName val="D"/>
      <sheetName val="I-E"/>
      <sheetName val="Lighting"/>
      <sheetName val="Incr-R"/>
      <sheetName val="Summary"/>
      <sheetName val="Notice Tables"/>
      <sheetName val="Billing Determ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E7">
            <v>30.35</v>
          </cell>
        </row>
        <row r="8">
          <cell r="E8">
            <v>0.118059</v>
          </cell>
        </row>
        <row r="9">
          <cell r="E9">
            <v>30.35</v>
          </cell>
        </row>
        <row r="10">
          <cell r="E10">
            <v>0.118059</v>
          </cell>
        </row>
        <row r="11">
          <cell r="E11">
            <v>42.27</v>
          </cell>
        </row>
        <row r="12">
          <cell r="E12">
            <v>0.103557</v>
          </cell>
        </row>
        <row r="13">
          <cell r="E13">
            <v>58.42</v>
          </cell>
        </row>
        <row r="14">
          <cell r="E14">
            <v>9.2899999999999991</v>
          </cell>
        </row>
        <row r="15">
          <cell r="E15">
            <v>6.4124E-2</v>
          </cell>
        </row>
        <row r="16">
          <cell r="E16">
            <v>5.3713999999999998E-2</v>
          </cell>
        </row>
        <row r="17">
          <cell r="E17">
            <v>4.8424000000000002E-2</v>
          </cell>
        </row>
        <row r="18">
          <cell r="E18">
            <v>4.3291000000000003E-2</v>
          </cell>
        </row>
        <row r="19">
          <cell r="E19">
            <v>424.97</v>
          </cell>
        </row>
        <row r="20">
          <cell r="E20">
            <v>4.0301999999999998E-2</v>
          </cell>
        </row>
        <row r="21">
          <cell r="E21">
            <v>49195.519999999997</v>
          </cell>
        </row>
        <row r="22">
          <cell r="E22">
            <v>16.399999999999999</v>
          </cell>
        </row>
        <row r="23">
          <cell r="E23">
            <v>424.97</v>
          </cell>
        </row>
        <row r="24">
          <cell r="E24">
            <v>15.62</v>
          </cell>
        </row>
        <row r="25">
          <cell r="E25">
            <v>4.8000000000000001E-2</v>
          </cell>
        </row>
        <row r="26">
          <cell r="E26">
            <v>11.32</v>
          </cell>
        </row>
        <row r="27">
          <cell r="E27">
            <v>15.72</v>
          </cell>
        </row>
        <row r="28">
          <cell r="E28">
            <v>16.5</v>
          </cell>
        </row>
        <row r="29">
          <cell r="E29">
            <v>41.34</v>
          </cell>
        </row>
        <row r="30">
          <cell r="E30">
            <v>11.54</v>
          </cell>
        </row>
        <row r="31">
          <cell r="E31">
            <v>14.1</v>
          </cell>
        </row>
        <row r="32">
          <cell r="E32">
            <v>19.899999999999999</v>
          </cell>
        </row>
        <row r="33">
          <cell r="E33">
            <v>19.149999999999999</v>
          </cell>
        </row>
        <row r="34">
          <cell r="E34">
            <v>18.559999999999999</v>
          </cell>
        </row>
        <row r="35">
          <cell r="E35">
            <v>27.91</v>
          </cell>
        </row>
        <row r="36">
          <cell r="E36">
            <v>11.78</v>
          </cell>
        </row>
        <row r="37">
          <cell r="E37">
            <v>18.23</v>
          </cell>
        </row>
      </sheetData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  <pageSetUpPr fitToPage="1"/>
  </sheetPr>
  <dimension ref="A1:AE51"/>
  <sheetViews>
    <sheetView view="pageBreakPreview" zoomScale="75" zoomScaleNormal="75" zoomScaleSheetLayoutView="75" workbookViewId="0">
      <selection activeCell="L34" sqref="L34"/>
    </sheetView>
  </sheetViews>
  <sheetFormatPr defaultColWidth="9.140625" defaultRowHeight="15.75" x14ac:dyDescent="0.25"/>
  <cols>
    <col min="1" max="1" width="3.85546875" style="76" customWidth="1"/>
    <col min="2" max="2" width="39.140625" style="68" hidden="1" customWidth="1"/>
    <col min="3" max="3" width="8.28515625" style="76" customWidth="1"/>
    <col min="4" max="4" width="35.7109375" style="68" customWidth="1"/>
    <col min="5" max="5" width="1.5703125" style="68" customWidth="1"/>
    <col min="6" max="6" width="11.42578125" style="68" hidden="1" customWidth="1"/>
    <col min="7" max="7" width="14.7109375" style="68" customWidth="1"/>
    <col min="8" max="8" width="16.5703125" style="68" customWidth="1"/>
    <col min="9" max="9" width="11.7109375" style="68" hidden="1" customWidth="1"/>
    <col min="10" max="10" width="11.7109375" style="68" bestFit="1" customWidth="1"/>
    <col min="11" max="11" width="1.5703125" style="68" customWidth="1"/>
    <col min="12" max="13" width="14.28515625" style="68" bestFit="1" customWidth="1"/>
    <col min="14" max="14" width="15.5703125" style="68" bestFit="1" customWidth="1"/>
    <col min="15" max="15" width="13.140625" style="68" bestFit="1" customWidth="1"/>
    <col min="16" max="16" width="9.42578125" style="68" bestFit="1" customWidth="1"/>
    <col min="17" max="17" width="12" style="68" customWidth="1"/>
    <col min="18" max="18" width="20" style="58" customWidth="1"/>
    <col min="19" max="19" width="12.28515625" style="68" customWidth="1"/>
    <col min="20" max="20" width="17.7109375" style="76" customWidth="1"/>
    <col min="21" max="21" width="16.28515625" style="76" customWidth="1"/>
    <col min="22" max="22" width="14.7109375" style="68" customWidth="1"/>
    <col min="23" max="23" width="16.28515625" style="68" bestFit="1" customWidth="1"/>
    <col min="24" max="24" width="15.28515625" style="68" customWidth="1"/>
    <col min="25" max="25" width="12.28515625" style="68" customWidth="1"/>
    <col min="26" max="26" width="13" style="68" customWidth="1"/>
    <col min="27" max="27" width="9.140625" style="68"/>
    <col min="28" max="28" width="4.7109375" style="68" customWidth="1"/>
    <col min="29" max="29" width="13.5703125" style="68" customWidth="1"/>
    <col min="30" max="30" width="22.28515625" style="68" customWidth="1"/>
    <col min="31" max="32" width="9.140625" style="68"/>
    <col min="33" max="33" width="11.42578125" style="68" customWidth="1"/>
    <col min="34" max="34" width="12.42578125" style="68" customWidth="1"/>
    <col min="35" max="35" width="11.42578125" style="68" customWidth="1"/>
    <col min="36" max="36" width="16.140625" style="68" customWidth="1"/>
    <col min="37" max="37" width="11.42578125" style="68" customWidth="1"/>
    <col min="38" max="38" width="12.140625" style="68" customWidth="1"/>
    <col min="39" max="39" width="11.42578125" style="68" customWidth="1"/>
    <col min="40" max="16384" width="9.140625" style="68"/>
  </cols>
  <sheetData>
    <row r="1" spans="1:31" ht="18.75" x14ac:dyDescent="0.3">
      <c r="A1" s="62" t="s">
        <v>100</v>
      </c>
      <c r="C1" s="73"/>
      <c r="F1" s="72"/>
      <c r="G1" s="72"/>
      <c r="H1" s="73"/>
      <c r="I1" s="72"/>
      <c r="J1" s="72"/>
      <c r="N1" s="72"/>
      <c r="Q1" s="314" t="s">
        <v>174</v>
      </c>
    </row>
    <row r="2" spans="1:31" ht="18.75" x14ac:dyDescent="0.3">
      <c r="A2" s="70" t="s">
        <v>21</v>
      </c>
      <c r="O2" s="74"/>
      <c r="Q2" s="340" t="s">
        <v>176</v>
      </c>
      <c r="W2" s="105"/>
      <c r="X2" s="105"/>
    </row>
    <row r="3" spans="1:31" x14ac:dyDescent="0.25">
      <c r="U3" s="309">
        <f>U8+U9</f>
        <v>-446.80668400530703</v>
      </c>
      <c r="W3" s="21"/>
      <c r="X3" s="74"/>
      <c r="Y3" s="18"/>
    </row>
    <row r="4" spans="1:31" ht="16.5" thickBot="1" x14ac:dyDescent="0.3">
      <c r="B4" s="316" t="s">
        <v>22</v>
      </c>
      <c r="C4" s="316"/>
      <c r="D4" s="316"/>
      <c r="F4" s="316" t="s">
        <v>23</v>
      </c>
      <c r="G4" s="316"/>
      <c r="H4" s="316"/>
      <c r="I4" s="316"/>
      <c r="J4" s="316"/>
      <c r="L4" s="316" t="s">
        <v>38</v>
      </c>
      <c r="M4" s="316"/>
      <c r="N4" s="316"/>
      <c r="O4" s="316"/>
      <c r="P4" s="316"/>
      <c r="Q4" s="316"/>
      <c r="T4" s="105" t="s">
        <v>171</v>
      </c>
      <c r="U4" s="105"/>
      <c r="V4" s="105" t="s">
        <v>172</v>
      </c>
      <c r="W4" s="105" t="s">
        <v>173</v>
      </c>
    </row>
    <row r="5" spans="1:31" x14ac:dyDescent="0.25">
      <c r="A5" s="220"/>
      <c r="B5" s="221"/>
      <c r="C5" s="220"/>
      <c r="D5" s="221"/>
      <c r="E5" s="222"/>
      <c r="F5" s="221"/>
      <c r="G5" s="221"/>
      <c r="H5" s="221"/>
      <c r="I5" s="221"/>
      <c r="J5" s="221"/>
      <c r="K5" s="222"/>
      <c r="L5" s="221"/>
      <c r="M5" s="221"/>
      <c r="N5" s="221"/>
      <c r="O5" s="221"/>
      <c r="P5" s="221"/>
      <c r="Q5" s="221"/>
      <c r="X5" s="68">
        <v>1.0308982632006238</v>
      </c>
      <c r="Y5" s="76">
        <v>10</v>
      </c>
    </row>
    <row r="6" spans="1:31" s="72" customFormat="1" x14ac:dyDescent="0.25">
      <c r="A6" s="73"/>
      <c r="C6" s="73"/>
      <c r="D6" s="73" t="s">
        <v>24</v>
      </c>
      <c r="E6" s="75"/>
      <c r="F6" s="71" t="s">
        <v>54</v>
      </c>
      <c r="G6" s="71" t="s">
        <v>25</v>
      </c>
      <c r="H6" s="71" t="s">
        <v>26</v>
      </c>
      <c r="I6" s="71" t="s">
        <v>60</v>
      </c>
      <c r="J6" s="71" t="s">
        <v>60</v>
      </c>
      <c r="K6" s="75"/>
      <c r="L6" s="71" t="s">
        <v>56</v>
      </c>
      <c r="M6" s="71" t="s">
        <v>39</v>
      </c>
      <c r="N6" s="71" t="s">
        <v>26</v>
      </c>
      <c r="O6" s="71" t="s">
        <v>27</v>
      </c>
      <c r="P6" s="71" t="s">
        <v>27</v>
      </c>
      <c r="Q6" s="71" t="s">
        <v>27</v>
      </c>
      <c r="R6" s="311"/>
      <c r="U6" s="309">
        <f>U8+U9</f>
        <v>-446.80668400530703</v>
      </c>
      <c r="V6" s="68"/>
      <c r="W6" s="68"/>
      <c r="X6" s="73"/>
      <c r="Y6" s="76"/>
      <c r="Z6" s="68"/>
      <c r="AA6" s="68"/>
      <c r="AB6" s="68"/>
      <c r="AC6" s="68"/>
      <c r="AD6" s="68"/>
      <c r="AE6" s="68"/>
    </row>
    <row r="7" spans="1:31" s="72" customFormat="1" ht="16.5" thickBot="1" x14ac:dyDescent="0.3">
      <c r="A7" s="223" t="s">
        <v>70</v>
      </c>
      <c r="B7" s="224" t="s">
        <v>28</v>
      </c>
      <c r="C7" s="223" t="s">
        <v>29</v>
      </c>
      <c r="D7" s="223" t="s">
        <v>30</v>
      </c>
      <c r="E7" s="225"/>
      <c r="F7" s="226" t="s">
        <v>4</v>
      </c>
      <c r="G7" s="226" t="s">
        <v>4</v>
      </c>
      <c r="H7" s="226" t="s">
        <v>4</v>
      </c>
      <c r="I7" s="226" t="s">
        <v>55</v>
      </c>
      <c r="J7" s="226" t="s">
        <v>61</v>
      </c>
      <c r="K7" s="225"/>
      <c r="L7" s="226" t="s">
        <v>20</v>
      </c>
      <c r="M7" s="226" t="s">
        <v>20</v>
      </c>
      <c r="N7" s="226" t="s">
        <v>20</v>
      </c>
      <c r="O7" s="226" t="s">
        <v>31</v>
      </c>
      <c r="P7" s="226" t="s">
        <v>32</v>
      </c>
      <c r="Q7" s="226" t="s">
        <v>43</v>
      </c>
      <c r="R7" s="58"/>
      <c r="U7" s="76"/>
      <c r="V7" s="68"/>
      <c r="W7" s="68"/>
      <c r="X7" s="73"/>
      <c r="Y7" s="76"/>
      <c r="Z7" s="68"/>
      <c r="AA7" s="68"/>
      <c r="AB7" s="68"/>
      <c r="AC7" s="68"/>
      <c r="AD7" s="68"/>
      <c r="AE7" s="68"/>
    </row>
    <row r="8" spans="1:31" s="80" customFormat="1" ht="19.899999999999999" customHeight="1" x14ac:dyDescent="0.25">
      <c r="A8" s="107">
        <v>1</v>
      </c>
      <c r="B8" s="238" t="str">
        <f>List!B5</f>
        <v>R - Residential</v>
      </c>
      <c r="C8" s="239" t="str">
        <f>List!C5</f>
        <v>R</v>
      </c>
      <c r="D8" s="80" t="s">
        <v>132</v>
      </c>
      <c r="E8" s="240"/>
      <c r="F8" s="241">
        <v>20.350000000000001</v>
      </c>
      <c r="G8" s="241">
        <f>F8</f>
        <v>20.350000000000001</v>
      </c>
      <c r="H8" s="261">
        <f>G8+Y8</f>
        <v>30.35</v>
      </c>
      <c r="I8" s="242">
        <f t="shared" ref="I8:I13" si="0">H8-F8</f>
        <v>10</v>
      </c>
      <c r="J8" s="241">
        <f>H8-G8</f>
        <v>10</v>
      </c>
      <c r="K8" s="240"/>
      <c r="L8" s="243">
        <f>'R'!G23</f>
        <v>51044254.534699</v>
      </c>
      <c r="M8" s="243">
        <f>'R'!K23</f>
        <v>52740451.660948999</v>
      </c>
      <c r="N8" s="243">
        <f>'R'!T23</f>
        <v>56085240.847652994</v>
      </c>
      <c r="O8" s="243">
        <f>'R'!T25</f>
        <v>3344789.1867039949</v>
      </c>
      <c r="P8" s="244">
        <f>'R'!T27</f>
        <v>6.3419805507289609E-2</v>
      </c>
      <c r="Q8" s="245">
        <f>'R'!T29</f>
        <v>10.939692775435963</v>
      </c>
      <c r="R8" s="312">
        <f>H8/G8</f>
        <v>1.4914004914004915</v>
      </c>
      <c r="S8" s="310" t="s">
        <v>102</v>
      </c>
      <c r="T8" s="313">
        <v>2354417.9700000002</v>
      </c>
      <c r="U8" s="307">
        <f>O8-T8</f>
        <v>990371.21670399467</v>
      </c>
      <c r="V8" s="308">
        <v>1.00735</v>
      </c>
      <c r="W8" s="74">
        <f>O8</f>
        <v>3344789.1867039949</v>
      </c>
      <c r="X8" s="246">
        <v>1.016254</v>
      </c>
      <c r="Y8" s="247">
        <v>10</v>
      </c>
      <c r="Z8" s="68"/>
      <c r="AC8" s="68"/>
      <c r="AD8" s="68"/>
    </row>
    <row r="9" spans="1:31" s="80" customFormat="1" ht="19.899999999999999" customHeight="1" x14ac:dyDescent="0.25">
      <c r="A9" s="248"/>
      <c r="B9" s="249"/>
      <c r="C9" s="250"/>
      <c r="D9" s="251" t="s">
        <v>40</v>
      </c>
      <c r="E9" s="252"/>
      <c r="F9" s="253">
        <v>0.114521</v>
      </c>
      <c r="G9" s="253">
        <f t="shared" ref="G9:G24" si="1">F9</f>
        <v>0.114521</v>
      </c>
      <c r="H9" s="254">
        <f>ROUND(G9*V8,6)</f>
        <v>0.11536299999999999</v>
      </c>
      <c r="I9" s="255">
        <f t="shared" si="0"/>
        <v>8.4199999999999553E-4</v>
      </c>
      <c r="J9" s="253">
        <f>ROUND(H9-G9,6)</f>
        <v>8.4199999999999998E-4</v>
      </c>
      <c r="K9" s="252"/>
      <c r="L9" s="256"/>
      <c r="M9" s="256"/>
      <c r="N9" s="256"/>
      <c r="O9" s="256"/>
      <c r="P9" s="257"/>
      <c r="Q9" s="258"/>
      <c r="R9" s="312">
        <f t="shared" ref="R9:R24" si="2">H9/G9</f>
        <v>1.0073523633220107</v>
      </c>
      <c r="S9" s="310" t="s">
        <v>104</v>
      </c>
      <c r="T9" s="313">
        <v>1478044.53</v>
      </c>
      <c r="U9" s="307">
        <f>O10-T9</f>
        <v>-990818.02338799997</v>
      </c>
      <c r="V9" s="308">
        <v>1.3163790782402105</v>
      </c>
      <c r="W9" s="74">
        <f>O10</f>
        <v>487226.50661200006</v>
      </c>
      <c r="X9" s="259">
        <f>X8</f>
        <v>1.016254</v>
      </c>
      <c r="Y9" s="107"/>
      <c r="Z9" s="68"/>
      <c r="AC9" s="68"/>
      <c r="AD9" s="68"/>
    </row>
    <row r="10" spans="1:31" s="80" customFormat="1" ht="19.899999999999999" customHeight="1" x14ac:dyDescent="0.25">
      <c r="A10" s="107">
        <v>2</v>
      </c>
      <c r="B10" s="238" t="str">
        <f>List!B6</f>
        <v>C-1 Small Commercial Single Phase</v>
      </c>
      <c r="C10" s="260" t="str">
        <f>List!C6</f>
        <v>C1</v>
      </c>
      <c r="D10" s="80" t="s">
        <v>132</v>
      </c>
      <c r="E10" s="240"/>
      <c r="F10" s="241">
        <v>20.350000000000001</v>
      </c>
      <c r="G10" s="241">
        <f t="shared" si="1"/>
        <v>20.350000000000001</v>
      </c>
      <c r="H10" s="261">
        <f>H8</f>
        <v>30.35</v>
      </c>
      <c r="I10" s="242">
        <f t="shared" si="0"/>
        <v>10</v>
      </c>
      <c r="J10" s="241">
        <f>ROUND(H10-G10,2)</f>
        <v>10</v>
      </c>
      <c r="K10" s="240"/>
      <c r="L10" s="243">
        <f>'C-1'!G26</f>
        <v>6319638.1651440002</v>
      </c>
      <c r="M10" s="243">
        <f>'C-1'!K26</f>
        <v>5202157.7627760004</v>
      </c>
      <c r="N10" s="243">
        <f>'C-1'!S26</f>
        <v>5689384.2693880005</v>
      </c>
      <c r="O10" s="243">
        <f>'C-1'!S28</f>
        <v>487226.50661200006</v>
      </c>
      <c r="P10" s="244">
        <f>'C-1'!S30</f>
        <v>9.3658541095840181E-2</v>
      </c>
      <c r="Q10" s="245">
        <f>'C-1'!S32</f>
        <v>10.540552669868468</v>
      </c>
      <c r="R10" s="312">
        <f t="shared" si="2"/>
        <v>1.4914004914004915</v>
      </c>
      <c r="S10" s="310" t="s">
        <v>106</v>
      </c>
      <c r="T10" s="313">
        <v>200519.01</v>
      </c>
      <c r="U10" s="307">
        <f>O12-T10</f>
        <v>26.268580000149086</v>
      </c>
      <c r="V10" s="308">
        <v>1.1175999999999999</v>
      </c>
      <c r="W10" s="74">
        <f>O12</f>
        <v>200545.27858000016</v>
      </c>
      <c r="X10" s="259">
        <f t="shared" ref="X10:X25" si="3">X9</f>
        <v>1.016254</v>
      </c>
      <c r="Y10" s="107"/>
      <c r="Z10" s="68"/>
      <c r="AC10" s="68"/>
      <c r="AD10" s="68"/>
    </row>
    <row r="11" spans="1:31" s="80" customFormat="1" ht="19.899999999999999" customHeight="1" x14ac:dyDescent="0.25">
      <c r="A11" s="248"/>
      <c r="B11" s="249"/>
      <c r="C11" s="250"/>
      <c r="D11" s="251" t="s">
        <v>40</v>
      </c>
      <c r="E11" s="252"/>
      <c r="F11" s="253">
        <v>0.114521</v>
      </c>
      <c r="G11" s="253">
        <f t="shared" si="1"/>
        <v>0.114521</v>
      </c>
      <c r="H11" s="254">
        <f>H9</f>
        <v>0.11536299999999999</v>
      </c>
      <c r="I11" s="255">
        <f t="shared" si="0"/>
        <v>8.4199999999999553E-4</v>
      </c>
      <c r="J11" s="253">
        <f>ROUND(H11-G11,6)</f>
        <v>8.4199999999999998E-4</v>
      </c>
      <c r="K11" s="252"/>
      <c r="L11" s="256"/>
      <c r="M11" s="256"/>
      <c r="N11" s="256"/>
      <c r="O11" s="256"/>
      <c r="P11" s="257"/>
      <c r="Q11" s="258"/>
      <c r="R11" s="312">
        <f t="shared" si="2"/>
        <v>1.0073523633220107</v>
      </c>
      <c r="S11" s="310" t="s">
        <v>108</v>
      </c>
      <c r="T11" s="313">
        <v>105979.62</v>
      </c>
      <c r="U11" s="307">
        <f>O14-T11</f>
        <v>-6.4028427004814148E-9</v>
      </c>
      <c r="V11" s="308">
        <v>1.0188833296186151</v>
      </c>
      <c r="W11" s="74">
        <f>O14</f>
        <v>105979.61999999359</v>
      </c>
      <c r="X11" s="259">
        <f t="shared" si="3"/>
        <v>1.016254</v>
      </c>
      <c r="Y11" s="107"/>
      <c r="Z11" s="68"/>
      <c r="AC11" s="68"/>
      <c r="AD11" s="68"/>
    </row>
    <row r="12" spans="1:31" s="80" customFormat="1" ht="19.899999999999999" customHeight="1" x14ac:dyDescent="0.25">
      <c r="A12" s="107">
        <v>3</v>
      </c>
      <c r="B12" s="238" t="str">
        <f>List!B7</f>
        <v>C-3 Small Commercial Three Phase</v>
      </c>
      <c r="C12" s="239" t="str">
        <f>List!C7</f>
        <v>C3</v>
      </c>
      <c r="D12" s="80" t="s">
        <v>132</v>
      </c>
      <c r="E12" s="240"/>
      <c r="F12" s="241">
        <v>32.270000000000003</v>
      </c>
      <c r="G12" s="241">
        <f t="shared" si="1"/>
        <v>32.270000000000003</v>
      </c>
      <c r="H12" s="261">
        <f>G12+Y8</f>
        <v>42.27</v>
      </c>
      <c r="I12" s="242">
        <f t="shared" si="0"/>
        <v>10</v>
      </c>
      <c r="J12" s="241">
        <f>ROUND(H12-G12,2)</f>
        <v>10</v>
      </c>
      <c r="K12" s="240"/>
      <c r="L12" s="243">
        <f>'C-3'!G26</f>
        <v>1621936.475689</v>
      </c>
      <c r="M12" s="243">
        <f>'C-3'!K26</f>
        <v>1630042.609927</v>
      </c>
      <c r="N12" s="243">
        <f>'C-3'!T26</f>
        <v>1830587.8885070002</v>
      </c>
      <c r="O12" s="243">
        <f>'C-3'!T28</f>
        <v>200545.27858000016</v>
      </c>
      <c r="P12" s="244">
        <f>'C-3'!T30</f>
        <v>0.12303069708648991</v>
      </c>
      <c r="Q12" s="245">
        <f>'C-3'!T32</f>
        <v>32.262753954311478</v>
      </c>
      <c r="R12" s="312">
        <f t="shared" si="2"/>
        <v>1.3098853424233035</v>
      </c>
      <c r="S12" s="310" t="s">
        <v>170</v>
      </c>
      <c r="T12" s="313">
        <v>0</v>
      </c>
      <c r="U12" s="307">
        <f>O20-T12</f>
        <v>0</v>
      </c>
      <c r="V12" s="308">
        <v>1</v>
      </c>
      <c r="W12" s="74">
        <f>O20</f>
        <v>0</v>
      </c>
      <c r="X12" s="259">
        <f t="shared" si="3"/>
        <v>1.016254</v>
      </c>
      <c r="Y12" s="107"/>
      <c r="Z12" s="68"/>
      <c r="AC12" s="68"/>
      <c r="AD12" s="68"/>
    </row>
    <row r="13" spans="1:31" s="80" customFormat="1" ht="19.899999999999999" customHeight="1" x14ac:dyDescent="0.25">
      <c r="A13" s="248"/>
      <c r="B13" s="249"/>
      <c r="C13" s="250"/>
      <c r="D13" s="251" t="s">
        <v>40</v>
      </c>
      <c r="E13" s="252"/>
      <c r="F13" s="253">
        <v>0.100453</v>
      </c>
      <c r="G13" s="253">
        <f t="shared" si="1"/>
        <v>0.100453</v>
      </c>
      <c r="H13" s="254">
        <f>ROUND(G13*V10,6)</f>
        <v>0.112266</v>
      </c>
      <c r="I13" s="255">
        <f t="shared" si="0"/>
        <v>1.1813000000000004E-2</v>
      </c>
      <c r="J13" s="253">
        <f>ROUND(H13-G13,6)</f>
        <v>1.1813000000000001E-2</v>
      </c>
      <c r="K13" s="252"/>
      <c r="L13" s="256"/>
      <c r="M13" s="256"/>
      <c r="N13" s="256"/>
      <c r="O13" s="256"/>
      <c r="P13" s="257"/>
      <c r="Q13" s="258"/>
      <c r="R13" s="312">
        <f t="shared" si="2"/>
        <v>1.1175972843021116</v>
      </c>
      <c r="S13" s="310" t="s">
        <v>169</v>
      </c>
      <c r="T13" s="313">
        <v>42166.47</v>
      </c>
      <c r="U13" s="307">
        <f>O21-T13</f>
        <v>37.141518000484211</v>
      </c>
      <c r="V13" s="308">
        <v>1.0249999999999999</v>
      </c>
      <c r="W13" s="74">
        <f>O21</f>
        <v>42203.611518000485</v>
      </c>
      <c r="X13" s="259">
        <f t="shared" si="3"/>
        <v>1.016254</v>
      </c>
      <c r="Y13" s="107"/>
      <c r="Z13" s="68"/>
      <c r="AC13" s="68"/>
      <c r="AD13" s="68"/>
    </row>
    <row r="14" spans="1:31" s="80" customFormat="1" ht="19.899999999999999" customHeight="1" x14ac:dyDescent="0.25">
      <c r="A14" s="107">
        <v>4</v>
      </c>
      <c r="B14" s="317" t="str">
        <f>List!B8</f>
        <v>D - Commercial and Industrial Demand &lt; 3,000 kW</v>
      </c>
      <c r="C14" s="239" t="str">
        <f>List!C8</f>
        <v>D</v>
      </c>
      <c r="D14" s="80" t="s">
        <v>132</v>
      </c>
      <c r="E14" s="240"/>
      <c r="F14" s="241">
        <v>48.42</v>
      </c>
      <c r="G14" s="241">
        <f t="shared" si="1"/>
        <v>48.42</v>
      </c>
      <c r="H14" s="261">
        <f>G14+Y8</f>
        <v>58.42</v>
      </c>
      <c r="I14" s="242">
        <f t="shared" ref="I14:I19" si="4">H14-F14</f>
        <v>10</v>
      </c>
      <c r="J14" s="241">
        <f t="shared" ref="J14:J19" si="5">H14-G14</f>
        <v>10</v>
      </c>
      <c r="K14" s="240"/>
      <c r="L14" s="243">
        <f>D!G35</f>
        <v>19806787.028349001</v>
      </c>
      <c r="M14" s="243">
        <f>D!K35</f>
        <v>19874301.327255007</v>
      </c>
      <c r="N14" s="243">
        <f>D!T35</f>
        <v>19980280.947255</v>
      </c>
      <c r="O14" s="243">
        <f>D!T37</f>
        <v>105979.61999999359</v>
      </c>
      <c r="P14" s="244">
        <f>D!T39</f>
        <v>5.3324953795812887E-3</v>
      </c>
      <c r="Q14" s="245">
        <f>D!T41</f>
        <v>13.587130769229947</v>
      </c>
      <c r="R14" s="312">
        <f t="shared" si="2"/>
        <v>1.2065262288310616</v>
      </c>
      <c r="S14" s="310" t="s">
        <v>77</v>
      </c>
      <c r="T14" s="313">
        <v>0</v>
      </c>
      <c r="U14" s="307">
        <f>O25-T14</f>
        <v>0</v>
      </c>
      <c r="V14" s="308">
        <v>1</v>
      </c>
      <c r="W14" s="74">
        <f>O25</f>
        <v>0</v>
      </c>
      <c r="X14" s="259">
        <f t="shared" si="3"/>
        <v>1.016254</v>
      </c>
      <c r="Y14" s="107"/>
      <c r="Z14" s="68"/>
      <c r="AC14" s="68"/>
      <c r="AD14" s="68"/>
    </row>
    <row r="15" spans="1:31" s="80" customFormat="1" ht="19.899999999999999" customHeight="1" x14ac:dyDescent="0.25">
      <c r="A15" s="107"/>
      <c r="B15" s="317"/>
      <c r="C15" s="260"/>
      <c r="D15" s="80" t="s">
        <v>41</v>
      </c>
      <c r="E15" s="240"/>
      <c r="F15" s="241">
        <v>9.01</v>
      </c>
      <c r="G15" s="241">
        <f t="shared" si="1"/>
        <v>9.01</v>
      </c>
      <c r="H15" s="261">
        <f>G15*V$11</f>
        <v>9.1801387998637214</v>
      </c>
      <c r="I15" s="242">
        <f t="shared" si="4"/>
        <v>0.1701387998637216</v>
      </c>
      <c r="J15" s="241">
        <f t="shared" si="5"/>
        <v>0.1701387998637216</v>
      </c>
      <c r="K15" s="240"/>
      <c r="L15" s="243"/>
      <c r="M15" s="243"/>
      <c r="N15" s="243"/>
      <c r="O15" s="243"/>
      <c r="P15" s="244"/>
      <c r="Q15" s="262"/>
      <c r="R15" s="312">
        <f t="shared" si="2"/>
        <v>1.0188833296186151</v>
      </c>
      <c r="U15" s="107"/>
      <c r="V15" s="68"/>
      <c r="W15" s="68"/>
      <c r="X15" s="259">
        <f t="shared" si="3"/>
        <v>1.016254</v>
      </c>
      <c r="Y15" s="107"/>
      <c r="Z15" s="68"/>
      <c r="AC15" s="68"/>
      <c r="AD15" s="68"/>
    </row>
    <row r="16" spans="1:31" s="80" customFormat="1" ht="19.899999999999999" customHeight="1" x14ac:dyDescent="0.25">
      <c r="A16" s="107"/>
      <c r="B16" s="263"/>
      <c r="C16" s="260"/>
      <c r="D16" s="80" t="s">
        <v>112</v>
      </c>
      <c r="E16" s="240"/>
      <c r="F16" s="264">
        <v>6.2202E-2</v>
      </c>
      <c r="G16" s="264">
        <f t="shared" si="1"/>
        <v>6.2202E-2</v>
      </c>
      <c r="H16" s="264">
        <f t="shared" ref="H16:H19" si="6">G16*V$11</f>
        <v>6.3376580868937091E-2</v>
      </c>
      <c r="I16" s="265">
        <f t="shared" si="4"/>
        <v>1.1745808689370904E-3</v>
      </c>
      <c r="J16" s="264">
        <f t="shared" si="5"/>
        <v>1.1745808689370904E-3</v>
      </c>
      <c r="K16" s="240"/>
      <c r="L16" s="243"/>
      <c r="M16" s="243"/>
      <c r="N16" s="243"/>
      <c r="O16" s="243"/>
      <c r="P16" s="244"/>
      <c r="Q16" s="262"/>
      <c r="R16" s="312">
        <f t="shared" si="2"/>
        <v>1.0188833296186151</v>
      </c>
      <c r="U16" s="107"/>
      <c r="X16" s="259">
        <f t="shared" si="3"/>
        <v>1.016254</v>
      </c>
      <c r="Y16" s="107"/>
      <c r="AC16" s="68"/>
      <c r="AD16" s="68"/>
    </row>
    <row r="17" spans="1:30" s="80" customFormat="1" ht="19.899999999999999" customHeight="1" x14ac:dyDescent="0.25">
      <c r="A17" s="107"/>
      <c r="B17" s="263"/>
      <c r="C17" s="260"/>
      <c r="D17" s="80" t="s">
        <v>113</v>
      </c>
      <c r="E17" s="240"/>
      <c r="F17" s="264">
        <v>5.2103999999999998E-2</v>
      </c>
      <c r="G17" s="264">
        <f t="shared" si="1"/>
        <v>5.2103999999999998E-2</v>
      </c>
      <c r="H17" s="264">
        <f t="shared" si="6"/>
        <v>5.3087897006448316E-2</v>
      </c>
      <c r="I17" s="265">
        <f t="shared" si="4"/>
        <v>9.8389700644831851E-4</v>
      </c>
      <c r="J17" s="264">
        <f t="shared" si="5"/>
        <v>9.8389700644831851E-4</v>
      </c>
      <c r="K17" s="240"/>
      <c r="L17" s="243"/>
      <c r="M17" s="243"/>
      <c r="N17" s="243"/>
      <c r="O17" s="243"/>
      <c r="P17" s="244"/>
      <c r="Q17" s="262"/>
      <c r="R17" s="312">
        <f t="shared" si="2"/>
        <v>1.0188833296186151</v>
      </c>
      <c r="U17" s="107"/>
      <c r="X17" s="259">
        <f t="shared" si="3"/>
        <v>1.016254</v>
      </c>
      <c r="Y17" s="107"/>
      <c r="AC17" s="68"/>
      <c r="AD17" s="68"/>
    </row>
    <row r="18" spans="1:30" s="80" customFormat="1" ht="19.899999999999999" customHeight="1" x14ac:dyDescent="0.25">
      <c r="A18" s="107"/>
      <c r="B18" s="263"/>
      <c r="C18" s="260"/>
      <c r="D18" s="80" t="s">
        <v>114</v>
      </c>
      <c r="E18" s="240"/>
      <c r="F18" s="264">
        <v>4.6973000000000001E-2</v>
      </c>
      <c r="G18" s="264">
        <f t="shared" si="1"/>
        <v>4.6973000000000001E-2</v>
      </c>
      <c r="H18" s="264">
        <f t="shared" si="6"/>
        <v>4.7860006642175205E-2</v>
      </c>
      <c r="I18" s="265">
        <f t="shared" si="4"/>
        <v>8.8700664217520458E-4</v>
      </c>
      <c r="J18" s="264">
        <f t="shared" si="5"/>
        <v>8.8700664217520458E-4</v>
      </c>
      <c r="K18" s="240"/>
      <c r="L18" s="243"/>
      <c r="M18" s="243"/>
      <c r="N18" s="243"/>
      <c r="O18" s="243"/>
      <c r="P18" s="244"/>
      <c r="Q18" s="262"/>
      <c r="R18" s="312">
        <f t="shared" si="2"/>
        <v>1.0188833296186151</v>
      </c>
      <c r="U18" s="107"/>
      <c r="X18" s="259">
        <f t="shared" si="3"/>
        <v>1.016254</v>
      </c>
      <c r="Y18" s="107"/>
      <c r="AC18" s="68"/>
      <c r="AD18" s="68"/>
    </row>
    <row r="19" spans="1:30" s="80" customFormat="1" ht="19.899999999999999" customHeight="1" x14ac:dyDescent="0.25">
      <c r="A19" s="248"/>
      <c r="B19" s="249"/>
      <c r="C19" s="250"/>
      <c r="D19" s="251" t="s">
        <v>115</v>
      </c>
      <c r="E19" s="252"/>
      <c r="F19" s="253">
        <v>4.1993000000000003E-2</v>
      </c>
      <c r="G19" s="253">
        <f t="shared" si="1"/>
        <v>4.1993000000000003E-2</v>
      </c>
      <c r="H19" s="253">
        <f t="shared" si="6"/>
        <v>4.2785967660674502E-2</v>
      </c>
      <c r="I19" s="255">
        <f t="shared" si="4"/>
        <v>7.9296766067449981E-4</v>
      </c>
      <c r="J19" s="253">
        <f t="shared" si="5"/>
        <v>7.9296766067449981E-4</v>
      </c>
      <c r="K19" s="252"/>
      <c r="L19" s="256"/>
      <c r="M19" s="256"/>
      <c r="N19" s="256"/>
      <c r="O19" s="256"/>
      <c r="P19" s="257"/>
      <c r="Q19" s="258"/>
      <c r="R19" s="312">
        <f t="shared" si="2"/>
        <v>1.0188833296186151</v>
      </c>
      <c r="U19" s="107"/>
      <c r="X19" s="259">
        <f t="shared" si="3"/>
        <v>1.016254</v>
      </c>
      <c r="Y19" s="107"/>
      <c r="AC19" s="68"/>
      <c r="AD19" s="68"/>
    </row>
    <row r="20" spans="1:30" s="80" customFormat="1" ht="19.899999999999999" customHeight="1" x14ac:dyDescent="0.25">
      <c r="A20" s="266">
        <v>5</v>
      </c>
      <c r="B20" s="267" t="str">
        <f>List!B9</f>
        <v>D - Com &amp; Ind - DIRECT SERVED</v>
      </c>
      <c r="C20" s="268" t="str">
        <f>List!C9</f>
        <v>D</v>
      </c>
      <c r="D20" s="269" t="s">
        <v>165</v>
      </c>
      <c r="E20" s="270"/>
      <c r="F20" s="271">
        <v>0</v>
      </c>
      <c r="G20" s="271">
        <v>0</v>
      </c>
      <c r="H20" s="272">
        <v>0</v>
      </c>
      <c r="I20" s="273">
        <f>H20-F20</f>
        <v>0</v>
      </c>
      <c r="J20" s="273">
        <f t="shared" ref="J20:J24" si="7">H20-G20</f>
        <v>0</v>
      </c>
      <c r="K20" s="270"/>
      <c r="L20" s="274">
        <f>'Billing Determ'!Q32</f>
        <v>12887923.620000001</v>
      </c>
      <c r="M20" s="274">
        <f>L20</f>
        <v>12887923.620000001</v>
      </c>
      <c r="N20" s="274">
        <f>M20</f>
        <v>12887923.620000001</v>
      </c>
      <c r="O20" s="274">
        <v>0</v>
      </c>
      <c r="P20" s="275">
        <v>0</v>
      </c>
      <c r="Q20" s="276">
        <v>0</v>
      </c>
      <c r="R20" s="312"/>
      <c r="U20" s="107"/>
      <c r="X20" s="259">
        <f t="shared" si="3"/>
        <v>1.016254</v>
      </c>
      <c r="Y20" s="107"/>
      <c r="AC20" s="68"/>
      <c r="AD20" s="68"/>
    </row>
    <row r="21" spans="1:30" s="80" customFormat="1" ht="19.899999999999999" customHeight="1" x14ac:dyDescent="0.25">
      <c r="A21" s="107">
        <v>6</v>
      </c>
      <c r="B21" s="317" t="str">
        <f>List!B10</f>
        <v>I-E - Large Commercial Existing</v>
      </c>
      <c r="C21" s="260" t="str">
        <f>List!C10</f>
        <v>I-E</v>
      </c>
      <c r="D21" s="80" t="s">
        <v>133</v>
      </c>
      <c r="E21" s="240"/>
      <c r="F21" s="242">
        <v>414.97</v>
      </c>
      <c r="G21" s="242">
        <f t="shared" si="1"/>
        <v>414.97</v>
      </c>
      <c r="H21" s="261">
        <f>G21+Y8</f>
        <v>424.97</v>
      </c>
      <c r="I21" s="242">
        <f>H21-F21</f>
        <v>10</v>
      </c>
      <c r="J21" s="242">
        <f t="shared" si="7"/>
        <v>10</v>
      </c>
      <c r="K21" s="240"/>
      <c r="L21" s="243">
        <f>'I-E'!G31</f>
        <v>2088057.1577930001</v>
      </c>
      <c r="M21" s="243">
        <f>'I-E'!K31</f>
        <v>2088057.1577930001</v>
      </c>
      <c r="N21" s="243">
        <f>'I-E'!T31</f>
        <v>2130260.7693110006</v>
      </c>
      <c r="O21" s="243">
        <f>'I-E'!T33</f>
        <v>42203.611518000485</v>
      </c>
      <c r="P21" s="244">
        <f>'I-E'!T35</f>
        <v>2.0211904334366093E-2</v>
      </c>
      <c r="Q21" s="277">
        <f>'I-E'!T37</f>
        <v>3516.9676265000403</v>
      </c>
      <c r="R21" s="312">
        <f t="shared" si="2"/>
        <v>1.0240981275754875</v>
      </c>
      <c r="U21" s="107"/>
      <c r="X21" s="259">
        <f t="shared" si="3"/>
        <v>1.016254</v>
      </c>
      <c r="Y21" s="107"/>
      <c r="AC21" s="68"/>
      <c r="AD21" s="68"/>
    </row>
    <row r="22" spans="1:30" s="80" customFormat="1" ht="19.899999999999999" customHeight="1" x14ac:dyDescent="0.25">
      <c r="A22" s="107"/>
      <c r="B22" s="317"/>
      <c r="C22" s="260"/>
      <c r="D22" s="80" t="s">
        <v>40</v>
      </c>
      <c r="E22" s="240"/>
      <c r="F22" s="264">
        <v>3.9093999999999997E-2</v>
      </c>
      <c r="G22" s="264">
        <f t="shared" si="1"/>
        <v>3.9093999999999997E-2</v>
      </c>
      <c r="H22" s="264">
        <f>ROUND(G22*V13,6)</f>
        <v>4.0071000000000002E-2</v>
      </c>
      <c r="I22" s="265">
        <f t="shared" ref="I22" si="8">H22-F22</f>
        <v>9.7700000000000564E-4</v>
      </c>
      <c r="J22" s="264">
        <f t="shared" si="7"/>
        <v>9.7700000000000564E-4</v>
      </c>
      <c r="K22" s="240"/>
      <c r="L22" s="243"/>
      <c r="M22" s="243"/>
      <c r="N22" s="243"/>
      <c r="O22" s="243"/>
      <c r="P22" s="244"/>
      <c r="Q22" s="245"/>
      <c r="R22" s="312">
        <f t="shared" si="2"/>
        <v>1.0249910472195223</v>
      </c>
      <c r="U22" s="107"/>
      <c r="X22" s="259">
        <f t="shared" si="3"/>
        <v>1.016254</v>
      </c>
      <c r="Y22" s="107"/>
      <c r="AC22" s="68"/>
      <c r="AD22" s="68"/>
    </row>
    <row r="23" spans="1:30" s="80" customFormat="1" ht="19.899999999999999" customHeight="1" x14ac:dyDescent="0.25">
      <c r="A23" s="107"/>
      <c r="B23" s="317"/>
      <c r="C23" s="260"/>
      <c r="D23" s="80" t="s">
        <v>116</v>
      </c>
      <c r="E23" s="240"/>
      <c r="F23" s="241">
        <v>47721.03</v>
      </c>
      <c r="G23" s="241">
        <f t="shared" si="1"/>
        <v>47721.03</v>
      </c>
      <c r="H23" s="241">
        <f>ROUND(G23*V13,2)</f>
        <v>48914.06</v>
      </c>
      <c r="I23" s="241">
        <f>H23-F23</f>
        <v>1193.0299999999988</v>
      </c>
      <c r="J23" s="241">
        <f t="shared" si="7"/>
        <v>1193.0299999999988</v>
      </c>
      <c r="K23" s="240"/>
      <c r="L23" s="243"/>
      <c r="M23" s="243"/>
      <c r="N23" s="243"/>
      <c r="O23" s="243"/>
      <c r="P23" s="244"/>
      <c r="Q23" s="262"/>
      <c r="R23" s="312">
        <f t="shared" si="2"/>
        <v>1.0250000890592679</v>
      </c>
      <c r="U23" s="107"/>
      <c r="X23" s="259">
        <f t="shared" si="3"/>
        <v>1.016254</v>
      </c>
      <c r="Y23" s="278"/>
      <c r="AC23" s="68"/>
      <c r="AD23" s="68"/>
    </row>
    <row r="24" spans="1:30" s="80" customFormat="1" ht="19.899999999999999" customHeight="1" x14ac:dyDescent="0.25">
      <c r="A24" s="248"/>
      <c r="B24" s="249"/>
      <c r="C24" s="250"/>
      <c r="D24" s="251" t="s">
        <v>117</v>
      </c>
      <c r="E24" s="252"/>
      <c r="F24" s="279">
        <v>15.913</v>
      </c>
      <c r="G24" s="279">
        <f t="shared" si="1"/>
        <v>15.913</v>
      </c>
      <c r="H24" s="241">
        <f>ROUND(G24*V13,2)</f>
        <v>16.309999999999999</v>
      </c>
      <c r="I24" s="280">
        <f>H24-F24</f>
        <v>0.39699999999999847</v>
      </c>
      <c r="J24" s="279">
        <f t="shared" si="7"/>
        <v>0.39699999999999847</v>
      </c>
      <c r="K24" s="252"/>
      <c r="L24" s="256"/>
      <c r="M24" s="256"/>
      <c r="N24" s="256"/>
      <c r="O24" s="256"/>
      <c r="P24" s="257"/>
      <c r="Q24" s="258"/>
      <c r="R24" s="312">
        <f t="shared" si="2"/>
        <v>1.0249481555960533</v>
      </c>
      <c r="U24" s="278"/>
      <c r="X24" s="259">
        <f t="shared" si="3"/>
        <v>1.016254</v>
      </c>
      <c r="Y24" s="278"/>
      <c r="AC24" s="68"/>
      <c r="AD24" s="68"/>
    </row>
    <row r="25" spans="1:30" s="80" customFormat="1" ht="19.899999999999999" customHeight="1" x14ac:dyDescent="0.2">
      <c r="A25" s="107">
        <v>7</v>
      </c>
      <c r="B25" s="238" t="str">
        <f>List!B11</f>
        <v>OL - Outdoor Lighting</v>
      </c>
      <c r="C25" s="260" t="str">
        <f>List!C11</f>
        <v>OL</v>
      </c>
      <c r="D25" s="269" t="s">
        <v>158</v>
      </c>
      <c r="E25" s="240"/>
      <c r="F25" s="241">
        <v>0</v>
      </c>
      <c r="G25" s="305" t="s">
        <v>168</v>
      </c>
      <c r="H25" s="306" t="s">
        <v>168</v>
      </c>
      <c r="I25" s="242" t="e">
        <f>H25-F25</f>
        <v>#VALUE!</v>
      </c>
      <c r="J25" s="305" t="s">
        <v>168</v>
      </c>
      <c r="K25" s="240"/>
      <c r="L25" s="243">
        <f>Lighting!G28</f>
        <v>1428385.8800000001</v>
      </c>
      <c r="M25" s="243">
        <f>Lighting!J28</f>
        <v>1428385.8800000001</v>
      </c>
      <c r="N25" s="243">
        <f>M25*V14</f>
        <v>1428385.8800000001</v>
      </c>
      <c r="O25" s="243">
        <f>Lighting!O30</f>
        <v>0</v>
      </c>
      <c r="P25" s="244">
        <f>Lighting!O32</f>
        <v>0</v>
      </c>
      <c r="Q25" s="285" t="s">
        <v>157</v>
      </c>
      <c r="R25" s="312"/>
      <c r="U25" s="278"/>
      <c r="X25" s="259">
        <f t="shared" si="3"/>
        <v>1.016254</v>
      </c>
      <c r="Y25" s="278"/>
    </row>
    <row r="26" spans="1:30" s="80" customFormat="1" ht="31.5" customHeight="1" thickBot="1" x14ac:dyDescent="0.25">
      <c r="A26" s="84">
        <v>8</v>
      </c>
      <c r="B26" s="77" t="s">
        <v>33</v>
      </c>
      <c r="C26" s="84"/>
      <c r="D26" s="77" t="s">
        <v>162</v>
      </c>
      <c r="E26" s="281"/>
      <c r="F26" s="77"/>
      <c r="G26" s="77"/>
      <c r="H26" s="77"/>
      <c r="I26" s="77"/>
      <c r="J26" s="77"/>
      <c r="K26" s="281"/>
      <c r="L26" s="78">
        <f>SUM(L8:L25)</f>
        <v>95196982.861674011</v>
      </c>
      <c r="M26" s="78">
        <f>SUM(M8:M25)</f>
        <v>95851320.018700004</v>
      </c>
      <c r="N26" s="78">
        <f>SUM(N8:N25)</f>
        <v>100032064.22211398</v>
      </c>
      <c r="O26" s="78">
        <f>SUM(O8:O25)</f>
        <v>4180744.2034139894</v>
      </c>
      <c r="P26" s="227">
        <f>O26/M26</f>
        <v>4.3616970560221305E-2</v>
      </c>
      <c r="Q26" s="79"/>
      <c r="R26" s="312"/>
      <c r="S26" s="278"/>
      <c r="T26" s="278"/>
      <c r="U26" s="278"/>
      <c r="X26" s="282"/>
    </row>
    <row r="27" spans="1:30" s="80" customFormat="1" ht="15.75" customHeight="1" thickTop="1" x14ac:dyDescent="0.25">
      <c r="A27" s="107"/>
      <c r="C27" s="107"/>
      <c r="L27" s="108"/>
      <c r="M27" s="108"/>
      <c r="N27" s="108"/>
      <c r="O27" s="108"/>
      <c r="P27" s="109"/>
      <c r="Q27" s="109"/>
      <c r="R27" s="58"/>
      <c r="T27" s="107"/>
      <c r="U27" s="107"/>
      <c r="V27" s="74"/>
      <c r="W27" s="68"/>
      <c r="X27" s="83"/>
    </row>
    <row r="28" spans="1:30" x14ac:dyDescent="0.25">
      <c r="M28" s="74"/>
      <c r="N28" s="105" t="s">
        <v>139</v>
      </c>
      <c r="O28" s="315">
        <v>4181127.2380700707</v>
      </c>
      <c r="T28" s="219"/>
      <c r="U28" s="219"/>
      <c r="V28" s="58"/>
    </row>
    <row r="29" spans="1:30" x14ac:dyDescent="0.25">
      <c r="N29" s="105" t="s">
        <v>140</v>
      </c>
      <c r="O29" s="74">
        <f>O26-O28</f>
        <v>-383.03465608134866</v>
      </c>
      <c r="P29" s="69">
        <f>O29/O28</f>
        <v>-9.161038023280779E-5</v>
      </c>
      <c r="T29" s="219"/>
      <c r="U29" s="219"/>
      <c r="V29" s="58"/>
    </row>
    <row r="30" spans="1:30" x14ac:dyDescent="0.25">
      <c r="N30" s="74"/>
      <c r="P30" s="69"/>
      <c r="T30" s="219"/>
      <c r="U30" s="219"/>
      <c r="V30" s="58"/>
    </row>
    <row r="31" spans="1:30" x14ac:dyDescent="0.25">
      <c r="T31" s="219"/>
      <c r="U31" s="219"/>
      <c r="V31" s="58"/>
    </row>
    <row r="32" spans="1:30" x14ac:dyDescent="0.25">
      <c r="O32" s="12"/>
    </row>
    <row r="33" spans="3:15" x14ac:dyDescent="0.25">
      <c r="O33" s="74"/>
    </row>
    <row r="44" spans="3:15" x14ac:dyDescent="0.25">
      <c r="F44" s="76"/>
    </row>
    <row r="45" spans="3:15" x14ac:dyDescent="0.25">
      <c r="F45" s="76"/>
    </row>
    <row r="46" spans="3:15" x14ac:dyDescent="0.25">
      <c r="C46" s="68"/>
      <c r="F46" s="74"/>
      <c r="G46" s="83"/>
    </row>
    <row r="47" spans="3:15" x14ac:dyDescent="0.25">
      <c r="C47" s="68"/>
    </row>
    <row r="48" spans="3:15" x14ac:dyDescent="0.25">
      <c r="C48" s="68"/>
    </row>
    <row r="49" spans="3:3" x14ac:dyDescent="0.25">
      <c r="C49" s="68"/>
    </row>
    <row r="50" spans="3:3" x14ac:dyDescent="0.25">
      <c r="C50" s="68"/>
    </row>
    <row r="51" spans="3:3" x14ac:dyDescent="0.25">
      <c r="C51" s="68"/>
    </row>
  </sheetData>
  <dataConsolidate/>
  <mergeCells count="5">
    <mergeCell ref="B4:D4"/>
    <mergeCell ref="L4:Q4"/>
    <mergeCell ref="F4:J4"/>
    <mergeCell ref="B14:B15"/>
    <mergeCell ref="B21:B23"/>
  </mergeCells>
  <printOptions horizontalCentered="1"/>
  <pageMargins left="0.5" right="0.5" top="1.5" bottom="0.5" header="0.3" footer="0.3"/>
  <pageSetup scale="74" orientation="landscape" r:id="rId1"/>
  <headerFooter>
    <oddFooter>&amp;RExhibit JW-9
Page &amp;P of &amp;N</oddFooter>
  </headerFooter>
  <ignoredErrors>
    <ignoredError sqref="I9:J9 I10:J10 I13:J13 I12:J12 H12 I11:J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79998168889431442"/>
    <pageSetUpPr fitToPage="1"/>
  </sheetPr>
  <dimension ref="A1:M37"/>
  <sheetViews>
    <sheetView topLeftCell="C5" workbookViewId="0">
      <selection activeCell="E14" sqref="E14"/>
    </sheetView>
  </sheetViews>
  <sheetFormatPr defaultRowHeight="12.75" x14ac:dyDescent="0.2"/>
  <cols>
    <col min="1" max="1" width="5" style="114" customWidth="1"/>
    <col min="2" max="2" width="29" style="114" customWidth="1"/>
    <col min="3" max="3" width="35.28515625" style="114" bestFit="1" customWidth="1"/>
    <col min="4" max="5" width="14" style="114" bestFit="1" customWidth="1"/>
    <col min="6" max="6" width="14" style="114" hidden="1" customWidth="1"/>
    <col min="7" max="7" width="14" style="237" hidden="1" customWidth="1"/>
    <col min="8" max="8" width="14" style="114" bestFit="1" customWidth="1"/>
    <col min="9" max="9" width="4.42578125" style="114" customWidth="1"/>
    <col min="10" max="10" width="43.140625" customWidth="1"/>
    <col min="11" max="11" width="12.42578125" customWidth="1"/>
    <col min="12" max="12" width="10.140625" style="114" customWidth="1"/>
  </cols>
  <sheetData>
    <row r="1" spans="1:12" ht="18" x14ac:dyDescent="0.25">
      <c r="A1" s="170" t="str">
        <f>'Present and Proposed Rates'!A1</f>
        <v>JACKSON PURCHASE ENERGY CORPORATION</v>
      </c>
      <c r="B1" s="111"/>
      <c r="C1" s="111"/>
      <c r="D1" s="124"/>
      <c r="E1" s="124"/>
      <c r="F1" s="124"/>
      <c r="G1" s="233"/>
      <c r="H1" s="124"/>
      <c r="I1" s="111"/>
      <c r="L1" s="111"/>
    </row>
    <row r="2" spans="1:12" x14ac:dyDescent="0.2">
      <c r="A2" s="110"/>
      <c r="B2" s="111"/>
      <c r="C2" s="111"/>
      <c r="D2" s="124"/>
      <c r="E2" s="124"/>
      <c r="F2" s="124"/>
      <c r="G2" s="233"/>
      <c r="H2" s="124"/>
      <c r="I2" s="111"/>
      <c r="L2" s="111"/>
    </row>
    <row r="3" spans="1:12" x14ac:dyDescent="0.2">
      <c r="A3" s="110" t="s">
        <v>65</v>
      </c>
      <c r="B3" s="111"/>
      <c r="C3" s="111"/>
      <c r="D3" s="124"/>
      <c r="E3" s="124"/>
      <c r="F3" s="124"/>
      <c r="G3" s="233"/>
      <c r="H3" s="124"/>
      <c r="I3" s="111"/>
      <c r="L3" s="111"/>
    </row>
    <row r="4" spans="1:12" ht="12.75" customHeight="1" x14ac:dyDescent="0.2">
      <c r="A4" s="111"/>
      <c r="B4" s="111"/>
      <c r="C4" s="111"/>
      <c r="D4" s="124"/>
      <c r="E4" s="124"/>
      <c r="F4" s="124"/>
      <c r="G4" s="233"/>
      <c r="H4" s="124"/>
      <c r="I4" s="111"/>
      <c r="J4" s="339" t="s">
        <v>68</v>
      </c>
      <c r="K4" s="339"/>
      <c r="L4" s="339"/>
    </row>
    <row r="5" spans="1:12" ht="12.75" customHeight="1" x14ac:dyDescent="0.2">
      <c r="A5" s="111"/>
      <c r="B5" s="199" t="s">
        <v>156</v>
      </c>
      <c r="C5" s="184" t="s">
        <v>131</v>
      </c>
      <c r="D5" s="337" t="s">
        <v>23</v>
      </c>
      <c r="E5" s="338"/>
      <c r="F5" s="120"/>
      <c r="G5" s="234"/>
      <c r="H5" s="120"/>
      <c r="I5" s="111"/>
      <c r="J5" s="339"/>
      <c r="K5" s="339"/>
      <c r="L5" s="339"/>
    </row>
    <row r="6" spans="1:12" x14ac:dyDescent="0.2">
      <c r="A6" s="111"/>
      <c r="B6" s="200"/>
      <c r="C6" s="183"/>
      <c r="D6" s="191" t="s">
        <v>25</v>
      </c>
      <c r="E6" s="185" t="s">
        <v>26</v>
      </c>
      <c r="F6" s="228" t="s">
        <v>163</v>
      </c>
      <c r="G6" s="235" t="s">
        <v>163</v>
      </c>
      <c r="H6" s="185"/>
      <c r="I6" s="111"/>
      <c r="J6" s="339"/>
      <c r="K6" s="339"/>
      <c r="L6" s="339"/>
    </row>
    <row r="7" spans="1:12" x14ac:dyDescent="0.2">
      <c r="A7" s="111"/>
      <c r="B7" s="329" t="str">
        <f>'Present and Proposed Rates'!B8</f>
        <v>R - Residential</v>
      </c>
      <c r="C7" s="131" t="str">
        <f>'Present and Proposed Rates'!D8</f>
        <v>Facilities Charge (per month)</v>
      </c>
      <c r="D7" s="192">
        <f>'Present and Proposed Rates'!G8</f>
        <v>20.350000000000001</v>
      </c>
      <c r="E7" s="180">
        <f>'Present and Proposed Rates'!H8</f>
        <v>30.35</v>
      </c>
      <c r="F7" s="229">
        <f>E7-D7</f>
        <v>10</v>
      </c>
      <c r="G7" s="236">
        <f>F7/D7</f>
        <v>0.49140049140049136</v>
      </c>
      <c r="H7" s="180">
        <f>E7-'[1]Notice Tables'!E7</f>
        <v>0</v>
      </c>
      <c r="I7" s="111"/>
    </row>
    <row r="8" spans="1:12" x14ac:dyDescent="0.2">
      <c r="A8" s="111"/>
      <c r="B8" s="331"/>
      <c r="C8" s="181" t="str">
        <f>'Present and Proposed Rates'!D9</f>
        <v>Energy Charge (per kWh)</v>
      </c>
      <c r="D8" s="193">
        <f>'Present and Proposed Rates'!G9</f>
        <v>0.114521</v>
      </c>
      <c r="E8" s="182">
        <f>'Present and Proposed Rates'!H9</f>
        <v>0.11536299999999999</v>
      </c>
      <c r="F8" s="230">
        <f t="shared" ref="F8:F37" si="0">E8-D8</f>
        <v>8.4199999999999553E-4</v>
      </c>
      <c r="G8" s="236">
        <f t="shared" ref="G8:G37" si="1">F8/D8</f>
        <v>7.3523633220107711E-3</v>
      </c>
      <c r="H8" s="182">
        <f>E8-'[1]Notice Tables'!E8</f>
        <v>-2.6960000000000039E-3</v>
      </c>
      <c r="I8" s="111"/>
      <c r="J8" s="114"/>
      <c r="K8" s="332" t="s">
        <v>27</v>
      </c>
      <c r="L8" s="332"/>
    </row>
    <row r="9" spans="1:12" x14ac:dyDescent="0.2">
      <c r="A9" s="111"/>
      <c r="B9" s="329" t="str">
        <f>'Present and Proposed Rates'!B10</f>
        <v>C-1 Small Commercial Single Phase</v>
      </c>
      <c r="C9" s="131" t="str">
        <f>'Present and Proposed Rates'!D10</f>
        <v>Facilities Charge (per month)</v>
      </c>
      <c r="D9" s="192">
        <f>'Present and Proposed Rates'!G10</f>
        <v>20.350000000000001</v>
      </c>
      <c r="E9" s="180">
        <f>'Present and Proposed Rates'!H10</f>
        <v>30.35</v>
      </c>
      <c r="F9" s="229">
        <f t="shared" si="0"/>
        <v>10</v>
      </c>
      <c r="G9" s="236">
        <f t="shared" si="1"/>
        <v>0.49140049140049136</v>
      </c>
      <c r="H9" s="180">
        <f>E9-'[1]Notice Tables'!E9</f>
        <v>0</v>
      </c>
      <c r="I9" s="111"/>
      <c r="J9" s="112" t="s">
        <v>156</v>
      </c>
      <c r="K9" s="122" t="s">
        <v>69</v>
      </c>
      <c r="L9" s="122" t="s">
        <v>64</v>
      </c>
    </row>
    <row r="10" spans="1:12" x14ac:dyDescent="0.2">
      <c r="A10" s="111"/>
      <c r="B10" s="331"/>
      <c r="C10" s="181" t="str">
        <f>'Present and Proposed Rates'!D11</f>
        <v>Energy Charge (per kWh)</v>
      </c>
      <c r="D10" s="193">
        <f>'Present and Proposed Rates'!G11</f>
        <v>0.114521</v>
      </c>
      <c r="E10" s="182">
        <f>'Present and Proposed Rates'!H11</f>
        <v>0.11536299999999999</v>
      </c>
      <c r="F10" s="230">
        <f t="shared" si="0"/>
        <v>8.4199999999999553E-4</v>
      </c>
      <c r="G10" s="236">
        <f t="shared" si="1"/>
        <v>7.3523633220107711E-3</v>
      </c>
      <c r="H10" s="182">
        <f>E10-'[1]Notice Tables'!E10</f>
        <v>-2.6960000000000039E-3</v>
      </c>
      <c r="I10" s="111"/>
      <c r="J10" s="171" t="str">
        <f>List!B5</f>
        <v>R - Residential</v>
      </c>
      <c r="K10" s="117">
        <f>'Present and Proposed Rates'!O8</f>
        <v>3344789.1867039949</v>
      </c>
      <c r="L10" s="115">
        <f>'Present and Proposed Rates'!P8</f>
        <v>6.3419805507289609E-2</v>
      </c>
    </row>
    <row r="11" spans="1:12" x14ac:dyDescent="0.2">
      <c r="A11" s="111"/>
      <c r="B11" s="329" t="str">
        <f>'Present and Proposed Rates'!B12</f>
        <v>C-3 Small Commercial Three Phase</v>
      </c>
      <c r="C11" s="131" t="str">
        <f>'Present and Proposed Rates'!D12</f>
        <v>Facilities Charge (per month)</v>
      </c>
      <c r="D11" s="192">
        <f>'Present and Proposed Rates'!G12</f>
        <v>32.270000000000003</v>
      </c>
      <c r="E11" s="180">
        <f>'Present and Proposed Rates'!H12</f>
        <v>42.27</v>
      </c>
      <c r="F11" s="229">
        <f t="shared" si="0"/>
        <v>10</v>
      </c>
      <c r="G11" s="236">
        <f t="shared" si="1"/>
        <v>0.30988534242330334</v>
      </c>
      <c r="H11" s="180">
        <f>E11-'[1]Notice Tables'!E11</f>
        <v>0</v>
      </c>
      <c r="I11" s="111"/>
      <c r="J11" s="171" t="str">
        <f>List!B6</f>
        <v>C-1 Small Commercial Single Phase</v>
      </c>
      <c r="K11" s="117">
        <f>'Present and Proposed Rates'!O10</f>
        <v>487226.50661200006</v>
      </c>
      <c r="L11" s="115">
        <f>'Present and Proposed Rates'!P10</f>
        <v>9.3658541095840181E-2</v>
      </c>
    </row>
    <row r="12" spans="1:12" x14ac:dyDescent="0.2">
      <c r="A12" s="111"/>
      <c r="B12" s="331"/>
      <c r="C12" s="181" t="str">
        <f>'Present and Proposed Rates'!D13</f>
        <v>Energy Charge (per kWh)</v>
      </c>
      <c r="D12" s="193">
        <f>'Present and Proposed Rates'!G13</f>
        <v>0.100453</v>
      </c>
      <c r="E12" s="182">
        <f>'Present and Proposed Rates'!H13</f>
        <v>0.112266</v>
      </c>
      <c r="F12" s="230">
        <f t="shared" si="0"/>
        <v>1.1813000000000004E-2</v>
      </c>
      <c r="G12" s="236">
        <f t="shared" si="1"/>
        <v>0.11759728430211147</v>
      </c>
      <c r="H12" s="182">
        <f>E12-'[1]Notice Tables'!E12</f>
        <v>8.7090000000000084E-3</v>
      </c>
      <c r="I12" s="111"/>
      <c r="J12" s="171" t="str">
        <f>List!B7</f>
        <v>C-3 Small Commercial Three Phase</v>
      </c>
      <c r="K12" s="117">
        <f>'Present and Proposed Rates'!O12</f>
        <v>200545.27858000016</v>
      </c>
      <c r="L12" s="115">
        <f>'Present and Proposed Rates'!P12</f>
        <v>0.12303069708648991</v>
      </c>
    </row>
    <row r="13" spans="1:12" x14ac:dyDescent="0.2">
      <c r="A13" s="111"/>
      <c r="B13" s="329" t="str">
        <f>'Present and Proposed Rates'!B14</f>
        <v>D - Commercial and Industrial Demand &lt; 3,000 kW</v>
      </c>
      <c r="C13" s="131" t="str">
        <f>'Present and Proposed Rates'!D14</f>
        <v>Facilities Charge (per month)</v>
      </c>
      <c r="D13" s="192">
        <f>'Present and Proposed Rates'!G14</f>
        <v>48.42</v>
      </c>
      <c r="E13" s="180">
        <f>'Present and Proposed Rates'!H14</f>
        <v>58.42</v>
      </c>
      <c r="F13" s="229">
        <f t="shared" si="0"/>
        <v>10</v>
      </c>
      <c r="G13" s="236">
        <f t="shared" si="1"/>
        <v>0.20652622883106153</v>
      </c>
      <c r="H13" s="180">
        <f>E13-'[1]Notice Tables'!E13</f>
        <v>0</v>
      </c>
      <c r="I13" s="111"/>
      <c r="J13" s="171" t="str">
        <f>List!B8</f>
        <v>D - Commercial and Industrial Demand &lt; 3,000 kW</v>
      </c>
      <c r="K13" s="117">
        <f>'Present and Proposed Rates'!O14</f>
        <v>105979.61999999359</v>
      </c>
      <c r="L13" s="115">
        <f>'Present and Proposed Rates'!P14</f>
        <v>5.3324953795812887E-3</v>
      </c>
    </row>
    <row r="14" spans="1:12" x14ac:dyDescent="0.2">
      <c r="A14" s="111"/>
      <c r="B14" s="330"/>
      <c r="C14" s="124" t="str">
        <f>'Present and Proposed Rates'!D15</f>
        <v>Demand Charge (per kW)</v>
      </c>
      <c r="D14" s="194">
        <f>'Present and Proposed Rates'!G15</f>
        <v>9.01</v>
      </c>
      <c r="E14" s="186">
        <f>'Present and Proposed Rates'!H15</f>
        <v>9.1801387998637214</v>
      </c>
      <c r="F14" s="229">
        <f t="shared" si="0"/>
        <v>0.1701387998637216</v>
      </c>
      <c r="G14" s="236">
        <f t="shared" si="1"/>
        <v>1.8883329618615049E-2</v>
      </c>
      <c r="H14" s="186">
        <f>E14-'[1]Notice Tables'!E14</f>
        <v>-0.10986120013627776</v>
      </c>
      <c r="I14" s="111"/>
      <c r="J14" s="171" t="str">
        <f>List!B10</f>
        <v>I-E - Large Commercial Existing</v>
      </c>
      <c r="K14" s="117">
        <f>'Present and Proposed Rates'!O21</f>
        <v>42203.611518000485</v>
      </c>
      <c r="L14" s="115">
        <f>'Present and Proposed Rates'!P21</f>
        <v>2.0211904334366093E-2</v>
      </c>
    </row>
    <row r="15" spans="1:12" x14ac:dyDescent="0.2">
      <c r="A15" s="111"/>
      <c r="B15" s="201"/>
      <c r="C15" s="124" t="str">
        <f>'Present and Proposed Rates'!D16</f>
        <v>Energy Charge 1st 200 (per kWh)</v>
      </c>
      <c r="D15" s="195">
        <f>'Present and Proposed Rates'!G16</f>
        <v>6.2202E-2</v>
      </c>
      <c r="E15" s="187">
        <f>'Present and Proposed Rates'!H16</f>
        <v>6.3376580868937091E-2</v>
      </c>
      <c r="F15" s="230">
        <f t="shared" si="0"/>
        <v>1.1745808689370904E-3</v>
      </c>
      <c r="G15" s="236">
        <f t="shared" si="1"/>
        <v>1.8883329618615004E-2</v>
      </c>
      <c r="H15" s="187">
        <f>E15-'[1]Notice Tables'!E15</f>
        <v>-7.4741913106290969E-4</v>
      </c>
      <c r="I15" s="111"/>
      <c r="J15" s="171" t="str">
        <f>List!B11</f>
        <v>OL - Outdoor Lighting</v>
      </c>
      <c r="K15" s="117">
        <f>'Present and Proposed Rates'!O25</f>
        <v>0</v>
      </c>
      <c r="L15" s="115">
        <f>'Present and Proposed Rates'!P25</f>
        <v>0</v>
      </c>
    </row>
    <row r="16" spans="1:12" x14ac:dyDescent="0.2">
      <c r="A16" s="111"/>
      <c r="B16" s="201"/>
      <c r="C16" s="124" t="str">
        <f>'Present and Proposed Rates'!D17</f>
        <v>Energy Charge 2nd 200 (per kWh)</v>
      </c>
      <c r="D16" s="195">
        <f>'Present and Proposed Rates'!G17</f>
        <v>5.2103999999999998E-2</v>
      </c>
      <c r="E16" s="187">
        <f>'Present and Proposed Rates'!H17</f>
        <v>5.3087897006448316E-2</v>
      </c>
      <c r="F16" s="230">
        <f t="shared" si="0"/>
        <v>9.8389700644831851E-4</v>
      </c>
      <c r="G16" s="236">
        <f t="shared" si="1"/>
        <v>1.8883329618615049E-2</v>
      </c>
      <c r="H16" s="187">
        <f>E16-'[1]Notice Tables'!E16</f>
        <v>-6.2610299355168181E-4</v>
      </c>
      <c r="I16" s="111"/>
      <c r="J16" t="s">
        <v>164</v>
      </c>
      <c r="K16" s="117">
        <v>0</v>
      </c>
      <c r="L16" s="115">
        <v>0</v>
      </c>
    </row>
    <row r="17" spans="1:13" x14ac:dyDescent="0.2">
      <c r="A17" s="111"/>
      <c r="B17" s="201"/>
      <c r="C17" s="124" t="str">
        <f>'Present and Proposed Rates'!D18</f>
        <v>Energy Charge 3rd 200 (per kWh)</v>
      </c>
      <c r="D17" s="195">
        <f>'Present and Proposed Rates'!G18</f>
        <v>4.6973000000000001E-2</v>
      </c>
      <c r="E17" s="187">
        <f>'Present and Proposed Rates'!H18</f>
        <v>4.7860006642175205E-2</v>
      </c>
      <c r="F17" s="230">
        <f t="shared" si="0"/>
        <v>8.8700664217520458E-4</v>
      </c>
      <c r="G17" s="236">
        <f t="shared" si="1"/>
        <v>1.8883329618615045E-2</v>
      </c>
      <c r="H17" s="187">
        <f>E17-'[1]Notice Tables'!E17</f>
        <v>-5.6399335782479632E-4</v>
      </c>
      <c r="I17" s="111"/>
      <c r="J17" s="118" t="s">
        <v>36</v>
      </c>
      <c r="K17" s="119">
        <f>'Present and Proposed Rates'!O26</f>
        <v>4180744.2034139894</v>
      </c>
      <c r="L17" s="179">
        <f>'Present and Proposed Rates'!P26</f>
        <v>4.3616970560221305E-2</v>
      </c>
      <c r="M17" s="123"/>
    </row>
    <row r="18" spans="1:13" ht="12.75" customHeight="1" x14ac:dyDescent="0.2">
      <c r="A18" s="111"/>
      <c r="B18" s="202"/>
      <c r="C18" s="181" t="str">
        <f>'Present and Proposed Rates'!D19</f>
        <v>Energy Charge Over 600 (per kWh)</v>
      </c>
      <c r="D18" s="193">
        <f>'Present and Proposed Rates'!G19</f>
        <v>4.1993000000000003E-2</v>
      </c>
      <c r="E18" s="182">
        <f>'Present and Proposed Rates'!H19</f>
        <v>4.2785967660674502E-2</v>
      </c>
      <c r="F18" s="230">
        <f t="shared" si="0"/>
        <v>7.9296766067449981E-4</v>
      </c>
      <c r="G18" s="236">
        <f t="shared" si="1"/>
        <v>1.8883329618615E-2</v>
      </c>
      <c r="H18" s="182">
        <f>E18-'[1]Notice Tables'!E18</f>
        <v>-5.0503233932550073E-4</v>
      </c>
      <c r="I18" s="111"/>
      <c r="K18" s="123"/>
      <c r="L18" s="123"/>
    </row>
    <row r="19" spans="1:13" x14ac:dyDescent="0.2">
      <c r="A19" s="111"/>
      <c r="B19" s="329" t="str">
        <f>'Present and Proposed Rates'!B21</f>
        <v>I-E - Large Commercial Existing</v>
      </c>
      <c r="C19" s="131" t="str">
        <f>'Present and Proposed Rates'!D21</f>
        <v>Service Charge (per month)</v>
      </c>
      <c r="D19" s="197">
        <f>'Present and Proposed Rates'!G21</f>
        <v>414.97</v>
      </c>
      <c r="E19" s="189">
        <f>'Present and Proposed Rates'!H21</f>
        <v>424.97</v>
      </c>
      <c r="F19" s="229">
        <f t="shared" si="0"/>
        <v>10</v>
      </c>
      <c r="G19" s="236">
        <f t="shared" si="1"/>
        <v>2.4098127575487384E-2</v>
      </c>
      <c r="H19" s="189">
        <f>E19-'[1]Notice Tables'!E19</f>
        <v>0</v>
      </c>
      <c r="I19" s="111"/>
      <c r="J19" s="123"/>
      <c r="K19" s="123"/>
      <c r="L19" s="123"/>
      <c r="M19" s="169"/>
    </row>
    <row r="20" spans="1:13" ht="12.75" customHeight="1" x14ac:dyDescent="0.2">
      <c r="A20" s="111"/>
      <c r="B20" s="330"/>
      <c r="C20" s="124" t="str">
        <f>'Present and Proposed Rates'!D22</f>
        <v>Energy Charge (per kWh)</v>
      </c>
      <c r="D20" s="195">
        <f>'Present and Proposed Rates'!G22</f>
        <v>3.9093999999999997E-2</v>
      </c>
      <c r="E20" s="190">
        <f>'Present and Proposed Rates'!H22</f>
        <v>4.0071000000000002E-2</v>
      </c>
      <c r="F20" s="230">
        <f t="shared" si="0"/>
        <v>9.7700000000000564E-4</v>
      </c>
      <c r="G20" s="236">
        <f t="shared" si="1"/>
        <v>2.4991047219522323E-2</v>
      </c>
      <c r="H20" s="190">
        <f>E20-'[1]Notice Tables'!E20</f>
        <v>-2.309999999999951E-4</v>
      </c>
      <c r="I20" s="111"/>
      <c r="J20" s="333" t="s">
        <v>141</v>
      </c>
      <c r="K20" s="334"/>
      <c r="L20" s="334"/>
      <c r="M20" s="334"/>
    </row>
    <row r="21" spans="1:13" x14ac:dyDescent="0.2">
      <c r="A21" s="111"/>
      <c r="B21" s="201"/>
      <c r="C21" s="124" t="str">
        <f>'Present and Proposed Rates'!D23</f>
        <v>Demand Charge 1st 3000 ($)</v>
      </c>
      <c r="D21" s="196">
        <f>'Present and Proposed Rates'!G23</f>
        <v>47721.03</v>
      </c>
      <c r="E21" s="188">
        <f>'Present and Proposed Rates'!H23</f>
        <v>48914.06</v>
      </c>
      <c r="F21" s="229">
        <f t="shared" si="0"/>
        <v>1193.0299999999988</v>
      </c>
      <c r="G21" s="236">
        <f t="shared" si="1"/>
        <v>2.5000089059267976E-2</v>
      </c>
      <c r="H21" s="188">
        <f>E21-'[1]Notice Tables'!E21</f>
        <v>-281.45999999999913</v>
      </c>
      <c r="I21" s="111"/>
      <c r="J21" s="333" t="s">
        <v>142</v>
      </c>
      <c r="K21" s="334"/>
      <c r="L21" s="334"/>
      <c r="M21" s="334"/>
    </row>
    <row r="22" spans="1:13" ht="12.75" customHeight="1" x14ac:dyDescent="0.2">
      <c r="A22" s="111"/>
      <c r="B22" s="201"/>
      <c r="C22" s="124" t="str">
        <f>'Present and Proposed Rates'!D24</f>
        <v>Demand Charge Over 3000 (per kW)</v>
      </c>
      <c r="D22" s="196">
        <f>'Present and Proposed Rates'!G24</f>
        <v>15.913</v>
      </c>
      <c r="E22" s="188">
        <f>'Present and Proposed Rates'!H24</f>
        <v>16.309999999999999</v>
      </c>
      <c r="F22" s="229">
        <f t="shared" si="0"/>
        <v>0.39699999999999847</v>
      </c>
      <c r="G22" s="236">
        <f t="shared" si="1"/>
        <v>2.4948155596053446E-2</v>
      </c>
      <c r="H22" s="188">
        <f>E22-'[1]Notice Tables'!E22</f>
        <v>-8.9999999999999858E-2</v>
      </c>
      <c r="I22" s="111"/>
    </row>
    <row r="23" spans="1:13" x14ac:dyDescent="0.2">
      <c r="A23" s="111"/>
      <c r="B23" s="335" t="s">
        <v>155</v>
      </c>
      <c r="C23" s="130" t="s">
        <v>133</v>
      </c>
      <c r="D23" s="198">
        <v>414.97</v>
      </c>
      <c r="E23" s="189">
        <f>E19</f>
        <v>424.97</v>
      </c>
      <c r="F23" s="229">
        <f t="shared" si="0"/>
        <v>10</v>
      </c>
      <c r="G23" s="236">
        <f t="shared" si="1"/>
        <v>2.4098127575487384E-2</v>
      </c>
      <c r="H23" s="189">
        <f>E23-'[1]Notice Tables'!E23</f>
        <v>0</v>
      </c>
      <c r="I23" s="111"/>
      <c r="J23" s="114"/>
      <c r="K23" s="120" t="s">
        <v>66</v>
      </c>
      <c r="L23" s="332" t="s">
        <v>27</v>
      </c>
      <c r="M23" s="332"/>
    </row>
    <row r="24" spans="1:13" x14ac:dyDescent="0.2">
      <c r="A24" s="111"/>
      <c r="B24" s="336"/>
      <c r="C24" s="114" t="s">
        <v>41</v>
      </c>
      <c r="D24" s="196">
        <v>15.62</v>
      </c>
      <c r="E24" s="188">
        <f>D24</f>
        <v>15.62</v>
      </c>
      <c r="F24" s="229">
        <f t="shared" si="0"/>
        <v>0</v>
      </c>
      <c r="G24" s="236">
        <f t="shared" si="1"/>
        <v>0</v>
      </c>
      <c r="H24" s="188">
        <f>E24-'[1]Notice Tables'!E24</f>
        <v>0</v>
      </c>
      <c r="I24" s="111"/>
      <c r="J24" s="112" t="s">
        <v>156</v>
      </c>
      <c r="K24" s="121" t="s">
        <v>67</v>
      </c>
      <c r="L24" s="122" t="s">
        <v>69</v>
      </c>
      <c r="M24" s="122" t="s">
        <v>64</v>
      </c>
    </row>
    <row r="25" spans="1:13" x14ac:dyDescent="0.2">
      <c r="A25" s="111"/>
      <c r="B25" s="200"/>
      <c r="C25" s="183" t="s">
        <v>40</v>
      </c>
      <c r="D25" s="193">
        <v>3.8124999999999999E-2</v>
      </c>
      <c r="E25" s="182">
        <v>4.8000000000000001E-2</v>
      </c>
      <c r="F25" s="230">
        <f t="shared" si="0"/>
        <v>9.8750000000000018E-3</v>
      </c>
      <c r="G25" s="236">
        <f t="shared" si="1"/>
        <v>0.25901639344262301</v>
      </c>
      <c r="H25" s="182">
        <f>E25-'[1]Notice Tables'!E25</f>
        <v>0</v>
      </c>
      <c r="I25" s="111"/>
      <c r="J25" s="114" t="str">
        <f>List!B5</f>
        <v>R - Residential</v>
      </c>
      <c r="K25" s="283">
        <f>'R'!I31</f>
        <v>1116.0246739144654</v>
      </c>
      <c r="L25" s="116">
        <f>'Present and Proposed Rates'!Q8</f>
        <v>10.939692775435963</v>
      </c>
      <c r="M25" s="115">
        <f t="shared" ref="M25:M31" si="2">L10</f>
        <v>6.3419805507289609E-2</v>
      </c>
    </row>
    <row r="26" spans="1:13" x14ac:dyDescent="0.2">
      <c r="A26" s="111"/>
      <c r="B26" s="203" t="str">
        <f>'Present and Proposed Rates'!B25</f>
        <v>OL - Outdoor Lighting</v>
      </c>
      <c r="C26" s="124" t="s">
        <v>144</v>
      </c>
      <c r="D26" s="196">
        <v>10.98</v>
      </c>
      <c r="E26" s="186">
        <f>ROUND(D26*(1+'Present and Proposed Rates'!$P$25),2)</f>
        <v>10.98</v>
      </c>
      <c r="F26" s="229">
        <f t="shared" si="0"/>
        <v>0</v>
      </c>
      <c r="G26" s="236">
        <f t="shared" si="1"/>
        <v>0</v>
      </c>
      <c r="H26" s="186">
        <f>E26-'[1]Notice Tables'!E26</f>
        <v>-0.33999999999999986</v>
      </c>
      <c r="I26" s="111"/>
      <c r="J26" s="114" t="str">
        <f>List!B6</f>
        <v>C-1 Small Commercial Single Phase</v>
      </c>
      <c r="K26" s="283">
        <f>'C-1'!I34</f>
        <v>641.98654378677747</v>
      </c>
      <c r="L26" s="116">
        <f>'Present and Proposed Rates'!Q10</f>
        <v>10.540552669868468</v>
      </c>
      <c r="M26" s="115">
        <f t="shared" si="2"/>
        <v>9.3658541095840181E-2</v>
      </c>
    </row>
    <row r="27" spans="1:13" x14ac:dyDescent="0.2">
      <c r="A27" s="111"/>
      <c r="B27" s="204"/>
      <c r="C27" s="114" t="s">
        <v>143</v>
      </c>
      <c r="D27" s="196">
        <v>15.25</v>
      </c>
      <c r="E27" s="186">
        <f>ROUND(D27*(1+'Present and Proposed Rates'!$P$25),2)</f>
        <v>15.25</v>
      </c>
      <c r="F27" s="229">
        <f t="shared" si="0"/>
        <v>0</v>
      </c>
      <c r="G27" s="236">
        <f t="shared" si="1"/>
        <v>0</v>
      </c>
      <c r="H27" s="186">
        <f>E27-'[1]Notice Tables'!E27</f>
        <v>-0.47000000000000064</v>
      </c>
      <c r="I27" s="111"/>
      <c r="J27" s="114" t="str">
        <f>List!B7</f>
        <v>C-3 Small Commercial Three Phase</v>
      </c>
      <c r="K27" s="283">
        <f>'C-3'!I34</f>
        <v>1884.597812097812</v>
      </c>
      <c r="L27" s="116">
        <f>'Present and Proposed Rates'!Q12</f>
        <v>32.262753954311478</v>
      </c>
      <c r="M27" s="115">
        <f t="shared" si="2"/>
        <v>0.12303069708648991</v>
      </c>
    </row>
    <row r="28" spans="1:13" ht="12.75" customHeight="1" x14ac:dyDescent="0.2">
      <c r="A28" s="111"/>
      <c r="B28" s="204"/>
      <c r="C28" s="114" t="s">
        <v>145</v>
      </c>
      <c r="D28" s="196">
        <v>16.010000000000002</v>
      </c>
      <c r="E28" s="186">
        <f>ROUND(D28*(1+'Present and Proposed Rates'!$P$25),2)</f>
        <v>16.010000000000002</v>
      </c>
      <c r="F28" s="229">
        <f t="shared" si="0"/>
        <v>0</v>
      </c>
      <c r="G28" s="236">
        <f t="shared" si="1"/>
        <v>0</v>
      </c>
      <c r="H28" s="186">
        <f>E28-'[1]Notice Tables'!E28</f>
        <v>-0.48999999999999844</v>
      </c>
      <c r="I28" s="111"/>
      <c r="J28" s="114" t="str">
        <f>List!B8</f>
        <v>D - Commercial and Industrial Demand &lt; 3,000 kW</v>
      </c>
      <c r="K28" s="283">
        <f>D!I43</f>
        <v>21899.024358974359</v>
      </c>
      <c r="L28" s="116">
        <f>'Present and Proposed Rates'!Q14</f>
        <v>13.587130769229947</v>
      </c>
      <c r="M28" s="115">
        <f t="shared" si="2"/>
        <v>5.3324953795812887E-3</v>
      </c>
    </row>
    <row r="29" spans="1:13" x14ac:dyDescent="0.2">
      <c r="A29" s="111"/>
      <c r="B29" s="204"/>
      <c r="C29" s="124" t="s">
        <v>146</v>
      </c>
      <c r="D29" s="196">
        <v>40.1</v>
      </c>
      <c r="E29" s="186">
        <f>ROUND(D29*(1+'Present and Proposed Rates'!$P$25),2)</f>
        <v>40.1</v>
      </c>
      <c r="F29" s="229">
        <f t="shared" si="0"/>
        <v>0</v>
      </c>
      <c r="G29" s="236">
        <f t="shared" si="1"/>
        <v>0</v>
      </c>
      <c r="H29" s="186">
        <f>E29-'[1]Notice Tables'!E29</f>
        <v>-1.240000000000002</v>
      </c>
      <c r="I29" s="111"/>
      <c r="J29" s="114" t="str">
        <f>List!B10</f>
        <v>I-E - Large Commercial Existing</v>
      </c>
      <c r="K29" s="283">
        <f>'I-E'!I39</f>
        <v>1517427.8333333333</v>
      </c>
      <c r="L29" s="116">
        <f>'Present and Proposed Rates'!Q21</f>
        <v>3516.9676265000403</v>
      </c>
      <c r="M29" s="115">
        <f t="shared" si="2"/>
        <v>2.0211904334366093E-2</v>
      </c>
    </row>
    <row r="30" spans="1:13" x14ac:dyDescent="0.2">
      <c r="A30" s="111"/>
      <c r="B30" s="204"/>
      <c r="C30" s="124" t="s">
        <v>147</v>
      </c>
      <c r="D30" s="196">
        <v>11.19</v>
      </c>
      <c r="E30" s="186">
        <f>ROUND(D30*(1+'Present and Proposed Rates'!$P$25),2)</f>
        <v>11.19</v>
      </c>
      <c r="F30" s="229">
        <f t="shared" si="0"/>
        <v>0</v>
      </c>
      <c r="G30" s="236">
        <f t="shared" si="1"/>
        <v>0</v>
      </c>
      <c r="H30" s="186">
        <f>E30-'[1]Notice Tables'!E30</f>
        <v>-0.34999999999999964</v>
      </c>
      <c r="I30" s="111"/>
      <c r="J30" s="114" t="str">
        <f>List!B11</f>
        <v>OL - Outdoor Lighting</v>
      </c>
      <c r="K30" s="205" t="s">
        <v>157</v>
      </c>
      <c r="L30" s="284" t="s">
        <v>157</v>
      </c>
      <c r="M30" s="115">
        <f t="shared" si="2"/>
        <v>0</v>
      </c>
    </row>
    <row r="31" spans="1:13" x14ac:dyDescent="0.2">
      <c r="A31" s="111"/>
      <c r="B31" s="204"/>
      <c r="C31" s="124" t="s">
        <v>148</v>
      </c>
      <c r="D31" s="196">
        <v>13.68</v>
      </c>
      <c r="E31" s="186">
        <f>ROUND(D31*(1+'Present and Proposed Rates'!$P$25),2)</f>
        <v>13.68</v>
      </c>
      <c r="F31" s="229">
        <f t="shared" si="0"/>
        <v>0</v>
      </c>
      <c r="G31" s="236">
        <f t="shared" si="1"/>
        <v>0</v>
      </c>
      <c r="H31" s="186">
        <f>E31-'[1]Notice Tables'!E31</f>
        <v>-0.41999999999999993</v>
      </c>
      <c r="I31" s="111"/>
      <c r="J31" t="s">
        <v>164</v>
      </c>
      <c r="K31" s="283">
        <v>0</v>
      </c>
      <c r="L31" s="113">
        <v>0</v>
      </c>
      <c r="M31" s="115">
        <f t="shared" si="2"/>
        <v>0</v>
      </c>
    </row>
    <row r="32" spans="1:13" x14ac:dyDescent="0.2">
      <c r="A32" s="111"/>
      <c r="B32" s="204"/>
      <c r="C32" s="124" t="s">
        <v>149</v>
      </c>
      <c r="D32" s="196">
        <v>19.3</v>
      </c>
      <c r="E32" s="186">
        <f>ROUND(D32*(1+'Present and Proposed Rates'!$P$25),2)</f>
        <v>19.3</v>
      </c>
      <c r="F32" s="229">
        <f t="shared" si="0"/>
        <v>0</v>
      </c>
      <c r="G32" s="236">
        <f t="shared" si="1"/>
        <v>0</v>
      </c>
      <c r="H32" s="186">
        <f>E32-'[1]Notice Tables'!E32</f>
        <v>-0.59999999999999787</v>
      </c>
      <c r="I32" s="111"/>
      <c r="K32" s="126"/>
    </row>
    <row r="33" spans="1:9" x14ac:dyDescent="0.2">
      <c r="A33" s="111"/>
      <c r="B33" s="204"/>
      <c r="C33" s="124" t="s">
        <v>150</v>
      </c>
      <c r="D33" s="196">
        <v>18.579999999999998</v>
      </c>
      <c r="E33" s="186">
        <f>ROUND(D33*(1+'Present and Proposed Rates'!$P$25),2)</f>
        <v>18.579999999999998</v>
      </c>
      <c r="F33" s="229">
        <f t="shared" si="0"/>
        <v>0</v>
      </c>
      <c r="G33" s="236">
        <f t="shared" si="1"/>
        <v>0</v>
      </c>
      <c r="H33" s="186">
        <f>E33-'[1]Notice Tables'!E33</f>
        <v>-0.57000000000000028</v>
      </c>
      <c r="I33" s="111"/>
    </row>
    <row r="34" spans="1:9" x14ac:dyDescent="0.2">
      <c r="A34" s="111"/>
      <c r="B34" s="203"/>
      <c r="C34" s="124" t="s">
        <v>151</v>
      </c>
      <c r="D34" s="196">
        <v>18</v>
      </c>
      <c r="E34" s="186">
        <f>ROUND(D34*(1+'Present and Proposed Rates'!$P$25),2)</f>
        <v>18</v>
      </c>
      <c r="F34" s="229">
        <f t="shared" si="0"/>
        <v>0</v>
      </c>
      <c r="G34" s="236">
        <f t="shared" si="1"/>
        <v>0</v>
      </c>
      <c r="H34" s="186">
        <f>E34-'[1]Notice Tables'!E34</f>
        <v>-0.55999999999999872</v>
      </c>
      <c r="I34" s="111"/>
    </row>
    <row r="35" spans="1:9" x14ac:dyDescent="0.2">
      <c r="A35" s="111"/>
      <c r="B35" s="203"/>
      <c r="C35" s="124" t="s">
        <v>152</v>
      </c>
      <c r="D35" s="196">
        <v>27.07</v>
      </c>
      <c r="E35" s="186">
        <f>ROUND(D35*(1+'Present and Proposed Rates'!$P$25),2)</f>
        <v>27.07</v>
      </c>
      <c r="F35" s="229">
        <f t="shared" si="0"/>
        <v>0</v>
      </c>
      <c r="G35" s="236">
        <f t="shared" si="1"/>
        <v>0</v>
      </c>
      <c r="H35" s="186">
        <f>E35-'[1]Notice Tables'!E35</f>
        <v>-0.83999999999999986</v>
      </c>
      <c r="I35" s="111"/>
    </row>
    <row r="36" spans="1:9" x14ac:dyDescent="0.2">
      <c r="B36" s="204"/>
      <c r="C36" s="124" t="s">
        <v>153</v>
      </c>
      <c r="D36" s="196">
        <v>11.43</v>
      </c>
      <c r="E36" s="186">
        <f>ROUND(D36*(1+'Present and Proposed Rates'!$P$25),2)</f>
        <v>11.43</v>
      </c>
      <c r="F36" s="229">
        <f t="shared" si="0"/>
        <v>0</v>
      </c>
      <c r="G36" s="236">
        <f t="shared" si="1"/>
        <v>0</v>
      </c>
      <c r="H36" s="186">
        <f>E36-'[1]Notice Tables'!E36</f>
        <v>-0.34999999999999964</v>
      </c>
    </row>
    <row r="37" spans="1:9" x14ac:dyDescent="0.2">
      <c r="B37" s="200"/>
      <c r="C37" s="183" t="s">
        <v>154</v>
      </c>
      <c r="D37" s="231">
        <v>17.68</v>
      </c>
      <c r="E37" s="232">
        <f>ROUND(D37*(1+'Present and Proposed Rates'!$P$25),2)</f>
        <v>17.68</v>
      </c>
      <c r="F37" s="229">
        <f t="shared" si="0"/>
        <v>0</v>
      </c>
      <c r="G37" s="236">
        <f t="shared" si="1"/>
        <v>0</v>
      </c>
      <c r="H37" s="232">
        <f>E37-'[1]Notice Tables'!E37</f>
        <v>-0.55000000000000071</v>
      </c>
    </row>
  </sheetData>
  <mergeCells count="12">
    <mergeCell ref="D5:E5"/>
    <mergeCell ref="K8:L8"/>
    <mergeCell ref="J4:L6"/>
    <mergeCell ref="B7:B8"/>
    <mergeCell ref="B9:B10"/>
    <mergeCell ref="B13:B14"/>
    <mergeCell ref="B19:B20"/>
    <mergeCell ref="B11:B12"/>
    <mergeCell ref="L23:M23"/>
    <mergeCell ref="J20:M20"/>
    <mergeCell ref="J21:M21"/>
    <mergeCell ref="B23:B24"/>
  </mergeCells>
  <pageMargins left="0.7" right="0.7" top="0.75" bottom="0.75" header="0.3" footer="0.3"/>
  <pageSetup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79998168889431442"/>
  </sheetPr>
  <dimension ref="A1:R113"/>
  <sheetViews>
    <sheetView zoomScale="75" zoomScaleNormal="75" workbookViewId="0">
      <selection activeCell="H20" sqref="H20"/>
    </sheetView>
  </sheetViews>
  <sheetFormatPr defaultColWidth="9.140625" defaultRowHeight="12.75" x14ac:dyDescent="0.2"/>
  <cols>
    <col min="1" max="1" width="4.85546875" style="124" customWidth="1"/>
    <col min="2" max="2" width="8.140625" style="124" customWidth="1"/>
    <col min="3" max="3" width="52" style="124" bestFit="1" customWidth="1"/>
    <col min="4" max="4" width="9.140625" style="124"/>
    <col min="5" max="5" width="16.140625" style="124" customWidth="1"/>
    <col min="6" max="8" width="14" style="124" customWidth="1"/>
    <col min="9" max="9" width="17.85546875" style="124" customWidth="1"/>
    <col min="10" max="10" width="14" style="124" customWidth="1"/>
    <col min="11" max="11" width="16.42578125" style="124" customWidth="1"/>
    <col min="12" max="12" width="15.5703125" style="124" customWidth="1"/>
    <col min="13" max="15" width="14" style="124" customWidth="1"/>
    <col min="16" max="16" width="15.140625" style="124" customWidth="1"/>
    <col min="17" max="17" width="17.28515625" style="124" customWidth="1"/>
    <col min="18" max="18" width="14" style="296" bestFit="1" customWidth="1"/>
    <col min="19" max="16384" width="9.140625" style="297"/>
  </cols>
  <sheetData>
    <row r="1" spans="1:18" x14ac:dyDescent="0.2">
      <c r="A1" s="110" t="s">
        <v>100</v>
      </c>
    </row>
    <row r="2" spans="1:18" x14ac:dyDescent="0.2">
      <c r="A2" s="110" t="s">
        <v>78</v>
      </c>
    </row>
    <row r="4" spans="1:18" x14ac:dyDescent="0.2">
      <c r="B4" s="110" t="s">
        <v>79</v>
      </c>
    </row>
    <row r="5" spans="1:18" x14ac:dyDescent="0.2">
      <c r="E5" s="298" t="s">
        <v>80</v>
      </c>
      <c r="F5" s="298" t="s">
        <v>81</v>
      </c>
      <c r="G5" s="298" t="s">
        <v>82</v>
      </c>
      <c r="H5" s="298" t="s">
        <v>83</v>
      </c>
      <c r="I5" s="298" t="s">
        <v>84</v>
      </c>
      <c r="J5" s="298" t="s">
        <v>85</v>
      </c>
      <c r="K5" s="298" t="s">
        <v>86</v>
      </c>
      <c r="L5" s="298" t="s">
        <v>87</v>
      </c>
      <c r="M5" s="298" t="s">
        <v>88</v>
      </c>
      <c r="N5" s="298" t="s">
        <v>89</v>
      </c>
      <c r="O5" s="298" t="s">
        <v>90</v>
      </c>
      <c r="P5" s="298" t="s">
        <v>91</v>
      </c>
      <c r="Q5" s="298" t="s">
        <v>33</v>
      </c>
      <c r="R5" s="299" t="s">
        <v>92</v>
      </c>
    </row>
    <row r="6" spans="1:18" x14ac:dyDescent="0.2">
      <c r="B6" s="125">
        <v>1</v>
      </c>
      <c r="C6" s="124" t="s">
        <v>101</v>
      </c>
      <c r="D6" s="125" t="s">
        <v>102</v>
      </c>
      <c r="E6" s="296">
        <v>25100</v>
      </c>
      <c r="F6" s="296">
        <v>24072</v>
      </c>
      <c r="G6" s="296">
        <v>23793</v>
      </c>
      <c r="H6" s="296">
        <v>23790</v>
      </c>
      <c r="I6" s="296">
        <v>23779</v>
      </c>
      <c r="J6" s="296">
        <v>23824</v>
      </c>
      <c r="K6" s="296">
        <v>23821</v>
      </c>
      <c r="L6" s="296">
        <v>23853</v>
      </c>
      <c r="M6" s="296">
        <v>25578</v>
      </c>
      <c r="N6" s="296">
        <v>25594</v>
      </c>
      <c r="O6" s="296">
        <v>25613</v>
      </c>
      <c r="P6" s="296">
        <v>25479</v>
      </c>
      <c r="Q6" s="296">
        <f>SUM(E6:P6)</f>
        <v>294296</v>
      </c>
      <c r="R6" s="296">
        <f>Q6/12</f>
        <v>24524.666666666668</v>
      </c>
    </row>
    <row r="7" spans="1:18" x14ac:dyDescent="0.2">
      <c r="B7" s="125">
        <v>2</v>
      </c>
      <c r="C7" s="124" t="s">
        <v>103</v>
      </c>
      <c r="D7" s="125" t="s">
        <v>104</v>
      </c>
      <c r="E7" s="296">
        <v>4290</v>
      </c>
      <c r="F7" s="296">
        <v>5311</v>
      </c>
      <c r="G7" s="296">
        <v>5579</v>
      </c>
      <c r="H7" s="296">
        <v>5576</v>
      </c>
      <c r="I7" s="296">
        <v>5559</v>
      </c>
      <c r="J7" s="296">
        <v>5554</v>
      </c>
      <c r="K7" s="296">
        <v>5563</v>
      </c>
      <c r="L7" s="296">
        <v>5572</v>
      </c>
      <c r="M7" s="296">
        <v>3747</v>
      </c>
      <c r="N7" s="296">
        <v>3757</v>
      </c>
      <c r="O7" s="296">
        <v>3770</v>
      </c>
      <c r="P7" s="296">
        <v>3852</v>
      </c>
      <c r="Q7" s="296">
        <f t="shared" ref="Q7:Q13" si="0">SUM(E7:P7)</f>
        <v>58130</v>
      </c>
      <c r="R7" s="296">
        <f t="shared" ref="R7:R13" si="1">Q7/12</f>
        <v>4844.166666666667</v>
      </c>
    </row>
    <row r="8" spans="1:18" x14ac:dyDescent="0.2">
      <c r="B8" s="125">
        <v>3</v>
      </c>
      <c r="C8" s="124" t="s">
        <v>105</v>
      </c>
      <c r="D8" s="125" t="s">
        <v>106</v>
      </c>
      <c r="E8" s="296">
        <v>514</v>
      </c>
      <c r="F8" s="296">
        <v>516</v>
      </c>
      <c r="G8" s="296">
        <v>513</v>
      </c>
      <c r="H8" s="296">
        <v>514</v>
      </c>
      <c r="I8" s="296">
        <v>514</v>
      </c>
      <c r="J8" s="296">
        <v>516</v>
      </c>
      <c r="K8" s="296">
        <v>516</v>
      </c>
      <c r="L8" s="296">
        <v>520</v>
      </c>
      <c r="M8" s="296">
        <v>510</v>
      </c>
      <c r="N8" s="296">
        <v>513</v>
      </c>
      <c r="O8" s="296">
        <v>512</v>
      </c>
      <c r="P8" s="296">
        <v>518</v>
      </c>
      <c r="Q8" s="296">
        <f t="shared" si="0"/>
        <v>6176</v>
      </c>
      <c r="R8" s="296">
        <f t="shared" si="1"/>
        <v>514.66666666666663</v>
      </c>
    </row>
    <row r="9" spans="1:18" x14ac:dyDescent="0.2">
      <c r="B9" s="125">
        <v>4</v>
      </c>
      <c r="C9" s="124" t="s">
        <v>107</v>
      </c>
      <c r="D9" s="125" t="s">
        <v>108</v>
      </c>
      <c r="E9" s="296">
        <v>652</v>
      </c>
      <c r="F9" s="296">
        <v>662</v>
      </c>
      <c r="G9" s="296">
        <v>636</v>
      </c>
      <c r="H9" s="296">
        <v>637</v>
      </c>
      <c r="I9" s="296">
        <v>638</v>
      </c>
      <c r="J9" s="296">
        <v>642</v>
      </c>
      <c r="K9" s="296">
        <v>643</v>
      </c>
      <c r="L9" s="296">
        <v>645</v>
      </c>
      <c r="M9" s="296">
        <v>652</v>
      </c>
      <c r="N9" s="296">
        <v>650</v>
      </c>
      <c r="O9" s="296">
        <v>649</v>
      </c>
      <c r="P9" s="296">
        <v>650</v>
      </c>
      <c r="Q9" s="296">
        <f t="shared" si="0"/>
        <v>7756</v>
      </c>
      <c r="R9" s="296">
        <f t="shared" si="1"/>
        <v>646.33333333333337</v>
      </c>
    </row>
    <row r="10" spans="1:18" x14ac:dyDescent="0.2">
      <c r="B10" s="125">
        <v>6</v>
      </c>
      <c r="C10" s="124" t="s">
        <v>134</v>
      </c>
      <c r="D10" s="125" t="s">
        <v>108</v>
      </c>
      <c r="E10" s="296">
        <v>1</v>
      </c>
      <c r="F10" s="296">
        <v>1</v>
      </c>
      <c r="G10" s="296">
        <v>1</v>
      </c>
      <c r="H10" s="296">
        <v>1</v>
      </c>
      <c r="I10" s="296">
        <v>1</v>
      </c>
      <c r="J10" s="296">
        <v>1</v>
      </c>
      <c r="K10" s="296">
        <v>1</v>
      </c>
      <c r="L10" s="296">
        <v>1</v>
      </c>
      <c r="M10" s="296">
        <v>1</v>
      </c>
      <c r="N10" s="296">
        <v>1</v>
      </c>
      <c r="O10" s="296">
        <v>1</v>
      </c>
      <c r="P10" s="296">
        <v>1</v>
      </c>
      <c r="Q10" s="296">
        <f t="shared" si="0"/>
        <v>12</v>
      </c>
      <c r="R10" s="296">
        <f t="shared" si="1"/>
        <v>1</v>
      </c>
    </row>
    <row r="11" spans="1:18" x14ac:dyDescent="0.2">
      <c r="B11" s="125">
        <v>5</v>
      </c>
      <c r="C11" s="124" t="s">
        <v>109</v>
      </c>
      <c r="D11" s="125" t="s">
        <v>110</v>
      </c>
      <c r="E11" s="296">
        <v>1</v>
      </c>
      <c r="F11" s="296">
        <v>1</v>
      </c>
      <c r="G11" s="296">
        <v>1</v>
      </c>
      <c r="H11" s="296">
        <v>1</v>
      </c>
      <c r="I11" s="296">
        <v>1</v>
      </c>
      <c r="J11" s="296">
        <v>1</v>
      </c>
      <c r="K11" s="296">
        <v>1</v>
      </c>
      <c r="L11" s="296">
        <v>1</v>
      </c>
      <c r="M11" s="296">
        <v>1</v>
      </c>
      <c r="N11" s="296">
        <v>1</v>
      </c>
      <c r="O11" s="296">
        <v>1</v>
      </c>
      <c r="P11" s="296">
        <v>1</v>
      </c>
      <c r="Q11" s="296">
        <f t="shared" si="0"/>
        <v>12</v>
      </c>
      <c r="R11" s="296">
        <f t="shared" si="1"/>
        <v>1</v>
      </c>
    </row>
    <row r="12" spans="1:18" x14ac:dyDescent="0.2">
      <c r="B12" s="125">
        <v>8</v>
      </c>
      <c r="C12" s="124" t="s">
        <v>111</v>
      </c>
      <c r="D12" s="125" t="s">
        <v>77</v>
      </c>
      <c r="E12" s="296">
        <v>106</v>
      </c>
      <c r="F12" s="296">
        <v>107</v>
      </c>
      <c r="G12" s="296">
        <v>107</v>
      </c>
      <c r="H12" s="296">
        <v>107</v>
      </c>
      <c r="I12" s="296">
        <v>106</v>
      </c>
      <c r="J12" s="296">
        <v>106</v>
      </c>
      <c r="K12" s="296">
        <v>106</v>
      </c>
      <c r="L12" s="296">
        <v>104</v>
      </c>
      <c r="M12" s="296">
        <v>109</v>
      </c>
      <c r="N12" s="296">
        <v>108</v>
      </c>
      <c r="O12" s="296">
        <v>106</v>
      </c>
      <c r="P12" s="296">
        <v>105</v>
      </c>
      <c r="Q12" s="296">
        <f t="shared" si="0"/>
        <v>1277</v>
      </c>
      <c r="R12" s="296">
        <f t="shared" si="1"/>
        <v>106.41666666666667</v>
      </c>
    </row>
    <row r="13" spans="1:18" x14ac:dyDescent="0.2">
      <c r="B13" s="131"/>
      <c r="C13" s="131" t="s">
        <v>33</v>
      </c>
      <c r="D13" s="131"/>
      <c r="E13" s="300">
        <f t="shared" ref="E13:P13" si="2">SUM(E6:E12)</f>
        <v>30664</v>
      </c>
      <c r="F13" s="300">
        <f t="shared" si="2"/>
        <v>30670</v>
      </c>
      <c r="G13" s="300">
        <f t="shared" si="2"/>
        <v>30630</v>
      </c>
      <c r="H13" s="300">
        <f t="shared" si="2"/>
        <v>30626</v>
      </c>
      <c r="I13" s="300">
        <f t="shared" si="2"/>
        <v>30598</v>
      </c>
      <c r="J13" s="300">
        <f t="shared" si="2"/>
        <v>30644</v>
      </c>
      <c r="K13" s="300">
        <f t="shared" si="2"/>
        <v>30651</v>
      </c>
      <c r="L13" s="300">
        <f t="shared" si="2"/>
        <v>30696</v>
      </c>
      <c r="M13" s="300">
        <f t="shared" si="2"/>
        <v>30598</v>
      </c>
      <c r="N13" s="300">
        <f t="shared" si="2"/>
        <v>30624</v>
      </c>
      <c r="O13" s="300">
        <f t="shared" si="2"/>
        <v>30652</v>
      </c>
      <c r="P13" s="300">
        <f t="shared" si="2"/>
        <v>30606</v>
      </c>
      <c r="Q13" s="300">
        <f t="shared" si="0"/>
        <v>367659</v>
      </c>
      <c r="R13" s="300">
        <f t="shared" si="1"/>
        <v>30638.25</v>
      </c>
    </row>
    <row r="15" spans="1:18" x14ac:dyDescent="0.2">
      <c r="B15" s="110" t="s">
        <v>93</v>
      </c>
    </row>
    <row r="16" spans="1:18" x14ac:dyDescent="0.2">
      <c r="E16" s="298" t="s">
        <v>80</v>
      </c>
      <c r="F16" s="298" t="s">
        <v>81</v>
      </c>
      <c r="G16" s="298" t="s">
        <v>82</v>
      </c>
      <c r="H16" s="298" t="s">
        <v>83</v>
      </c>
      <c r="I16" s="298" t="s">
        <v>84</v>
      </c>
      <c r="J16" s="298" t="s">
        <v>85</v>
      </c>
      <c r="K16" s="298" t="s">
        <v>86</v>
      </c>
      <c r="L16" s="298" t="s">
        <v>87</v>
      </c>
      <c r="M16" s="298" t="s">
        <v>88</v>
      </c>
      <c r="N16" s="298" t="s">
        <v>89</v>
      </c>
      <c r="O16" s="298" t="s">
        <v>90</v>
      </c>
      <c r="P16" s="298" t="s">
        <v>91</v>
      </c>
      <c r="Q16" s="298" t="s">
        <v>33</v>
      </c>
      <c r="R16" s="299" t="s">
        <v>92</v>
      </c>
    </row>
    <row r="17" spans="2:18" x14ac:dyDescent="0.2">
      <c r="B17" s="125">
        <v>1</v>
      </c>
      <c r="C17" s="124" t="s">
        <v>101</v>
      </c>
      <c r="D17" s="125" t="s">
        <v>102</v>
      </c>
      <c r="E17" s="296">
        <v>34763363</v>
      </c>
      <c r="F17" s="296">
        <v>31169818</v>
      </c>
      <c r="G17" s="296">
        <v>23559010</v>
      </c>
      <c r="H17" s="296">
        <v>22774537</v>
      </c>
      <c r="I17" s="296">
        <v>19106227</v>
      </c>
      <c r="J17" s="296">
        <v>24681118</v>
      </c>
      <c r="K17" s="296">
        <v>31613277</v>
      </c>
      <c r="L17" s="296">
        <v>34941947</v>
      </c>
      <c r="M17" s="296">
        <v>33414893</v>
      </c>
      <c r="N17" s="296">
        <v>24218886</v>
      </c>
      <c r="O17" s="296">
        <v>20007686</v>
      </c>
      <c r="P17" s="296">
        <v>28195300</v>
      </c>
      <c r="Q17" s="296">
        <f>SUM(E17:P17)</f>
        <v>328446062</v>
      </c>
      <c r="R17" s="296">
        <f>Q17/12</f>
        <v>27370505.166666668</v>
      </c>
    </row>
    <row r="18" spans="2:18" x14ac:dyDescent="0.2">
      <c r="B18" s="125">
        <v>2</v>
      </c>
      <c r="C18" s="124" t="s">
        <v>103</v>
      </c>
      <c r="D18" s="125" t="s">
        <v>104</v>
      </c>
      <c r="E18" s="296">
        <v>3467440</v>
      </c>
      <c r="F18" s="296">
        <v>3919757</v>
      </c>
      <c r="G18" s="296">
        <v>2991441</v>
      </c>
      <c r="H18" s="296">
        <v>2569715</v>
      </c>
      <c r="I18" s="296">
        <v>2567822</v>
      </c>
      <c r="J18" s="296">
        <v>3095264</v>
      </c>
      <c r="K18" s="296">
        <v>3689641</v>
      </c>
      <c r="L18" s="296">
        <v>3976250</v>
      </c>
      <c r="M18" s="296">
        <v>3142645</v>
      </c>
      <c r="N18" s="296">
        <v>2574457</v>
      </c>
      <c r="O18" s="296">
        <v>2426308</v>
      </c>
      <c r="P18" s="296">
        <v>2896654</v>
      </c>
      <c r="Q18" s="296">
        <f t="shared" ref="Q18:Q24" si="3">SUM(E18:P18)</f>
        <v>37317394</v>
      </c>
      <c r="R18" s="296">
        <f t="shared" ref="R18:R24" si="4">Q18/12</f>
        <v>3109782.8333333335</v>
      </c>
    </row>
    <row r="19" spans="2:18" x14ac:dyDescent="0.2">
      <c r="B19" s="125">
        <v>3</v>
      </c>
      <c r="C19" s="124" t="s">
        <v>105</v>
      </c>
      <c r="D19" s="125" t="s">
        <v>106</v>
      </c>
      <c r="E19" s="296">
        <v>984603</v>
      </c>
      <c r="F19" s="296">
        <v>854056</v>
      </c>
      <c r="G19" s="296">
        <v>906093</v>
      </c>
      <c r="H19" s="296">
        <v>789931</v>
      </c>
      <c r="I19" s="296">
        <v>934421</v>
      </c>
      <c r="J19" s="296">
        <v>1045795</v>
      </c>
      <c r="K19" s="296">
        <v>1174886</v>
      </c>
      <c r="L19" s="296">
        <v>1218336</v>
      </c>
      <c r="M19" s="296">
        <v>1060033</v>
      </c>
      <c r="N19" s="296">
        <v>906704</v>
      </c>
      <c r="O19" s="296">
        <v>816136</v>
      </c>
      <c r="P19" s="296">
        <v>955820</v>
      </c>
      <c r="Q19" s="296">
        <f t="shared" si="3"/>
        <v>11646814</v>
      </c>
      <c r="R19" s="296">
        <f t="shared" si="4"/>
        <v>970567.83333333337</v>
      </c>
    </row>
    <row r="20" spans="2:18" x14ac:dyDescent="0.2">
      <c r="B20" s="125">
        <v>4</v>
      </c>
      <c r="C20" s="124" t="s">
        <v>107</v>
      </c>
      <c r="D20" s="125" t="s">
        <v>108</v>
      </c>
      <c r="E20" s="296">
        <v>14203709</v>
      </c>
      <c r="F20" s="296">
        <v>12639339</v>
      </c>
      <c r="G20" s="296">
        <v>13693825</v>
      </c>
      <c r="H20" s="296">
        <v>12081485</v>
      </c>
      <c r="I20" s="296">
        <v>13969547</v>
      </c>
      <c r="J20" s="296">
        <v>15960540</v>
      </c>
      <c r="K20" s="296">
        <v>16024319</v>
      </c>
      <c r="L20" s="296">
        <v>16895806</v>
      </c>
      <c r="M20" s="296">
        <v>14699379</v>
      </c>
      <c r="N20" s="296">
        <v>12317776</v>
      </c>
      <c r="O20" s="296">
        <v>12820789</v>
      </c>
      <c r="P20" s="296">
        <v>14454723</v>
      </c>
      <c r="Q20" s="296">
        <f t="shared" si="3"/>
        <v>169761237</v>
      </c>
      <c r="R20" s="296">
        <f t="shared" si="4"/>
        <v>14146769.75</v>
      </c>
    </row>
    <row r="21" spans="2:18" x14ac:dyDescent="0.2">
      <c r="B21" s="125">
        <v>6</v>
      </c>
      <c r="C21" s="124" t="s">
        <v>134</v>
      </c>
      <c r="D21" s="125" t="s">
        <v>108</v>
      </c>
      <c r="E21" s="296">
        <v>5500748</v>
      </c>
      <c r="F21" s="296">
        <v>5032519</v>
      </c>
      <c r="G21" s="296">
        <v>5499739</v>
      </c>
      <c r="H21" s="296">
        <v>5580049</v>
      </c>
      <c r="I21" s="296">
        <v>5795784</v>
      </c>
      <c r="J21" s="296">
        <v>5608668</v>
      </c>
      <c r="K21" s="296">
        <v>5742306</v>
      </c>
      <c r="L21" s="296">
        <v>4496924</v>
      </c>
      <c r="M21" s="296">
        <v>5261821</v>
      </c>
      <c r="N21" s="296">
        <v>5583848</v>
      </c>
      <c r="O21" s="296">
        <v>5400001</v>
      </c>
      <c r="P21" s="296">
        <v>5580000</v>
      </c>
      <c r="Q21" s="296">
        <f t="shared" si="3"/>
        <v>65082407</v>
      </c>
      <c r="R21" s="296">
        <f t="shared" si="4"/>
        <v>5423533.916666667</v>
      </c>
    </row>
    <row r="22" spans="2:18" x14ac:dyDescent="0.2">
      <c r="B22" s="125">
        <v>5</v>
      </c>
      <c r="C22" s="124" t="s">
        <v>109</v>
      </c>
      <c r="D22" s="125" t="s">
        <v>110</v>
      </c>
      <c r="E22" s="296">
        <v>1617690</v>
      </c>
      <c r="F22" s="296">
        <v>1507705</v>
      </c>
      <c r="G22" s="296">
        <v>1700527</v>
      </c>
      <c r="H22" s="296">
        <v>1196593</v>
      </c>
      <c r="I22" s="296">
        <v>1563671</v>
      </c>
      <c r="J22" s="296">
        <v>1564535</v>
      </c>
      <c r="K22" s="296">
        <v>1497836</v>
      </c>
      <c r="L22" s="296">
        <v>1840302</v>
      </c>
      <c r="M22" s="296">
        <v>1595306</v>
      </c>
      <c r="N22" s="296">
        <v>1431637</v>
      </c>
      <c r="O22" s="296">
        <v>1332671</v>
      </c>
      <c r="P22" s="296">
        <v>1360661</v>
      </c>
      <c r="Q22" s="296">
        <f t="shared" si="3"/>
        <v>18209134</v>
      </c>
      <c r="R22" s="296">
        <f t="shared" si="4"/>
        <v>1517427.8333333333</v>
      </c>
    </row>
    <row r="23" spans="2:18" x14ac:dyDescent="0.2">
      <c r="B23" s="125">
        <v>8</v>
      </c>
      <c r="C23" s="124" t="s">
        <v>111</v>
      </c>
      <c r="D23" s="125" t="s">
        <v>77</v>
      </c>
      <c r="E23" s="296">
        <v>541487</v>
      </c>
      <c r="F23" s="296">
        <v>535152</v>
      </c>
      <c r="G23" s="296">
        <v>527216</v>
      </c>
      <c r="H23" s="296">
        <v>520834</v>
      </c>
      <c r="I23" s="296">
        <v>514467</v>
      </c>
      <c r="J23" s="296">
        <v>511458</v>
      </c>
      <c r="K23" s="296">
        <v>504817</v>
      </c>
      <c r="L23" s="296">
        <v>499298</v>
      </c>
      <c r="M23" s="296">
        <v>566470</v>
      </c>
      <c r="N23" s="296">
        <v>561384</v>
      </c>
      <c r="O23" s="296">
        <v>552949</v>
      </c>
      <c r="P23" s="296">
        <v>547207</v>
      </c>
      <c r="Q23" s="296">
        <f t="shared" si="3"/>
        <v>6382739</v>
      </c>
      <c r="R23" s="296">
        <f t="shared" si="4"/>
        <v>531894.91666666663</v>
      </c>
    </row>
    <row r="24" spans="2:18" x14ac:dyDescent="0.2">
      <c r="B24" s="131"/>
      <c r="C24" s="131" t="s">
        <v>33</v>
      </c>
      <c r="D24" s="131"/>
      <c r="E24" s="300">
        <f t="shared" ref="E24:P24" si="5">SUM(E17:E23)</f>
        <v>61079040</v>
      </c>
      <c r="F24" s="300">
        <f t="shared" si="5"/>
        <v>55658346</v>
      </c>
      <c r="G24" s="300">
        <f t="shared" si="5"/>
        <v>48877851</v>
      </c>
      <c r="H24" s="300">
        <f t="shared" si="5"/>
        <v>45513144</v>
      </c>
      <c r="I24" s="300">
        <f t="shared" si="5"/>
        <v>44451939</v>
      </c>
      <c r="J24" s="300">
        <f t="shared" si="5"/>
        <v>52467378</v>
      </c>
      <c r="K24" s="300">
        <f t="shared" si="5"/>
        <v>60247082</v>
      </c>
      <c r="L24" s="300">
        <f t="shared" si="5"/>
        <v>63868863</v>
      </c>
      <c r="M24" s="300">
        <f t="shared" si="5"/>
        <v>59740547</v>
      </c>
      <c r="N24" s="300">
        <f t="shared" si="5"/>
        <v>47594692</v>
      </c>
      <c r="O24" s="300">
        <f t="shared" si="5"/>
        <v>43356540</v>
      </c>
      <c r="P24" s="300">
        <f t="shared" si="5"/>
        <v>53990365</v>
      </c>
      <c r="Q24" s="300">
        <f t="shared" si="3"/>
        <v>636845787</v>
      </c>
      <c r="R24" s="300">
        <f t="shared" si="4"/>
        <v>53070482.25</v>
      </c>
    </row>
    <row r="26" spans="2:18" x14ac:dyDescent="0.2">
      <c r="B26" s="110" t="s">
        <v>94</v>
      </c>
    </row>
    <row r="27" spans="2:18" x14ac:dyDescent="0.2">
      <c r="E27" s="298" t="s">
        <v>80</v>
      </c>
      <c r="F27" s="298" t="s">
        <v>81</v>
      </c>
      <c r="G27" s="298" t="s">
        <v>82</v>
      </c>
      <c r="H27" s="298" t="s">
        <v>83</v>
      </c>
      <c r="I27" s="298" t="s">
        <v>84</v>
      </c>
      <c r="J27" s="298" t="s">
        <v>85</v>
      </c>
      <c r="K27" s="298" t="s">
        <v>86</v>
      </c>
      <c r="L27" s="298" t="s">
        <v>87</v>
      </c>
      <c r="M27" s="298" t="s">
        <v>88</v>
      </c>
      <c r="N27" s="298" t="s">
        <v>89</v>
      </c>
      <c r="O27" s="298" t="s">
        <v>90</v>
      </c>
      <c r="P27" s="298" t="s">
        <v>91</v>
      </c>
      <c r="Q27" s="298" t="s">
        <v>33</v>
      </c>
      <c r="R27" s="299" t="s">
        <v>92</v>
      </c>
    </row>
    <row r="28" spans="2:18" x14ac:dyDescent="0.2">
      <c r="B28" s="125">
        <v>1</v>
      </c>
      <c r="C28" s="124" t="s">
        <v>101</v>
      </c>
      <c r="D28" s="125" t="s">
        <v>102</v>
      </c>
      <c r="E28" s="296">
        <v>5719811.5099999998</v>
      </c>
      <c r="F28" s="296">
        <v>5076528.8899999997</v>
      </c>
      <c r="G28" s="296">
        <v>3641004.9699999997</v>
      </c>
      <c r="H28" s="296">
        <v>3241819.7199999997</v>
      </c>
      <c r="I28" s="296">
        <v>2885600.11</v>
      </c>
      <c r="J28" s="296">
        <v>3665109.5700000003</v>
      </c>
      <c r="K28" s="296">
        <v>4507605.24</v>
      </c>
      <c r="L28" s="296">
        <v>5056146.67</v>
      </c>
      <c r="M28" s="296">
        <v>5045677.1899999995</v>
      </c>
      <c r="N28" s="296">
        <v>3805281.23</v>
      </c>
      <c r="O28" s="296">
        <v>3592621.39</v>
      </c>
      <c r="P28" s="296">
        <v>4835380.72</v>
      </c>
      <c r="Q28" s="296">
        <f>SUM(E28:P28)</f>
        <v>51072587.209999993</v>
      </c>
      <c r="R28" s="296">
        <f>Q28/12</f>
        <v>4256048.9341666661</v>
      </c>
    </row>
    <row r="29" spans="2:18" x14ac:dyDescent="0.2">
      <c r="B29" s="125">
        <v>2</v>
      </c>
      <c r="C29" s="124" t="s">
        <v>103</v>
      </c>
      <c r="D29" s="125" t="s">
        <v>104</v>
      </c>
      <c r="E29" s="296">
        <v>601662.4</v>
      </c>
      <c r="F29" s="296">
        <v>683809.34000000008</v>
      </c>
      <c r="G29" s="296">
        <v>512107.51</v>
      </c>
      <c r="H29" s="296">
        <v>414542.39</v>
      </c>
      <c r="I29" s="296">
        <v>435665.33000000007</v>
      </c>
      <c r="J29" s="296">
        <v>515232</v>
      </c>
      <c r="K29" s="296">
        <v>584126.6100000001</v>
      </c>
      <c r="L29" s="296">
        <v>635922.5</v>
      </c>
      <c r="M29" s="296">
        <v>506378.03</v>
      </c>
      <c r="N29" s="296">
        <v>420790.57</v>
      </c>
      <c r="O29" s="296">
        <v>446584.08999999997</v>
      </c>
      <c r="P29" s="296">
        <v>523008.17000000004</v>
      </c>
      <c r="Q29" s="296">
        <f t="shared" ref="Q29:Q35" si="6">SUM(E29:P29)</f>
        <v>6279828.9400000004</v>
      </c>
      <c r="R29" s="296">
        <f t="shared" ref="R29:R35" si="7">Q29/12</f>
        <v>523319.07833333337</v>
      </c>
    </row>
    <row r="30" spans="2:18" x14ac:dyDescent="0.2">
      <c r="B30" s="125">
        <v>3</v>
      </c>
      <c r="C30" s="124" t="s">
        <v>105</v>
      </c>
      <c r="D30" s="125" t="s">
        <v>106</v>
      </c>
      <c r="E30" s="296">
        <v>150587.99</v>
      </c>
      <c r="F30" s="296">
        <v>131868.63</v>
      </c>
      <c r="G30" s="296">
        <v>125949.91</v>
      </c>
      <c r="H30" s="296">
        <v>98860.45</v>
      </c>
      <c r="I30" s="296">
        <v>120340.79</v>
      </c>
      <c r="J30" s="296">
        <v>138103.91999999998</v>
      </c>
      <c r="K30" s="296">
        <v>150402.87</v>
      </c>
      <c r="L30" s="296">
        <v>160297.03</v>
      </c>
      <c r="M30" s="296">
        <v>147110.39000000001</v>
      </c>
      <c r="N30" s="296">
        <v>124714.29000000001</v>
      </c>
      <c r="O30" s="296">
        <v>129533.77999999998</v>
      </c>
      <c r="P30" s="296">
        <v>150637.94</v>
      </c>
      <c r="Q30" s="296">
        <f t="shared" si="6"/>
        <v>1628407.99</v>
      </c>
      <c r="R30" s="296">
        <f t="shared" si="7"/>
        <v>135700.66583333333</v>
      </c>
    </row>
    <row r="31" spans="2:18" x14ac:dyDescent="0.2">
      <c r="B31" s="125">
        <v>4</v>
      </c>
      <c r="C31" s="124" t="s">
        <v>107</v>
      </c>
      <c r="D31" s="125" t="s">
        <v>108</v>
      </c>
      <c r="E31" s="296">
        <v>1808951.63</v>
      </c>
      <c r="F31" s="296">
        <v>1651957.3</v>
      </c>
      <c r="G31" s="296">
        <v>1551858.88</v>
      </c>
      <c r="H31" s="296">
        <v>1238654.08</v>
      </c>
      <c r="I31" s="296">
        <v>1689322.48</v>
      </c>
      <c r="J31" s="296">
        <v>1496597.54</v>
      </c>
      <c r="K31" s="296">
        <v>1694357.5199999998</v>
      </c>
      <c r="L31" s="296">
        <v>1826314.43</v>
      </c>
      <c r="M31" s="296">
        <v>1719798.7200000002</v>
      </c>
      <c r="N31" s="296">
        <v>1450921.84</v>
      </c>
      <c r="O31" s="296">
        <v>1744697.25</v>
      </c>
      <c r="P31" s="296">
        <v>1902156.1900000002</v>
      </c>
      <c r="Q31" s="296">
        <f t="shared" si="6"/>
        <v>19775587.860000003</v>
      </c>
      <c r="R31" s="296">
        <f t="shared" si="7"/>
        <v>1647965.6550000003</v>
      </c>
    </row>
    <row r="32" spans="2:18" x14ac:dyDescent="0.2">
      <c r="B32" s="125">
        <v>6</v>
      </c>
      <c r="C32" s="124" t="s">
        <v>134</v>
      </c>
      <c r="D32" s="125" t="s">
        <v>108</v>
      </c>
      <c r="E32" s="296">
        <v>1027943.14</v>
      </c>
      <c r="F32" s="296">
        <v>830698.02</v>
      </c>
      <c r="G32" s="296">
        <v>928258.01</v>
      </c>
      <c r="H32" s="296">
        <v>952970.53</v>
      </c>
      <c r="I32" s="296">
        <v>1029130.58</v>
      </c>
      <c r="J32" s="296">
        <v>841510.53</v>
      </c>
      <c r="K32" s="296">
        <v>945938.37</v>
      </c>
      <c r="L32" s="296">
        <v>694148.05</v>
      </c>
      <c r="M32" s="296">
        <v>1544711.05</v>
      </c>
      <c r="N32" s="296">
        <v>1557138.79</v>
      </c>
      <c r="O32" s="296">
        <v>1406130.06</v>
      </c>
      <c r="P32" s="296">
        <v>1129346.49</v>
      </c>
      <c r="Q32" s="296">
        <f t="shared" si="6"/>
        <v>12887923.620000001</v>
      </c>
      <c r="R32" s="296">
        <f t="shared" si="7"/>
        <v>1073993.635</v>
      </c>
    </row>
    <row r="33" spans="2:18" x14ac:dyDescent="0.2">
      <c r="B33" s="125">
        <v>5</v>
      </c>
      <c r="C33" s="124" t="s">
        <v>109</v>
      </c>
      <c r="D33" s="125" t="s">
        <v>110</v>
      </c>
      <c r="E33" s="296">
        <v>211630.72</v>
      </c>
      <c r="F33" s="296">
        <v>194067.22</v>
      </c>
      <c r="G33" s="296">
        <v>186698.44</v>
      </c>
      <c r="H33" s="296">
        <v>138963.44</v>
      </c>
      <c r="I33" s="296">
        <v>158388.96</v>
      </c>
      <c r="J33" s="296">
        <v>168827.8</v>
      </c>
      <c r="K33" s="296">
        <v>159779.03</v>
      </c>
      <c r="L33" s="296">
        <v>189759.02</v>
      </c>
      <c r="M33" s="296">
        <v>174814.92</v>
      </c>
      <c r="N33" s="296">
        <v>159006.99000000002</v>
      </c>
      <c r="O33" s="296">
        <v>176855.73</v>
      </c>
      <c r="P33" s="296">
        <v>182230.75</v>
      </c>
      <c r="Q33" s="296">
        <f t="shared" si="6"/>
        <v>2101023.02</v>
      </c>
      <c r="R33" s="296">
        <f t="shared" si="7"/>
        <v>175085.25166666668</v>
      </c>
    </row>
    <row r="34" spans="2:18" x14ac:dyDescent="0.2">
      <c r="B34" s="125">
        <v>8</v>
      </c>
      <c r="C34" s="124" t="s">
        <v>111</v>
      </c>
      <c r="D34" s="125" t="s">
        <v>77</v>
      </c>
      <c r="E34" s="296">
        <v>120489.45</v>
      </c>
      <c r="F34" s="296">
        <v>120088.91999999998</v>
      </c>
      <c r="G34" s="296">
        <v>118409.79999999999</v>
      </c>
      <c r="H34" s="296">
        <v>117460.89</v>
      </c>
      <c r="I34" s="296">
        <v>117206.31</v>
      </c>
      <c r="J34" s="296">
        <v>118320</v>
      </c>
      <c r="K34" s="296">
        <v>117972.33</v>
      </c>
      <c r="L34" s="296">
        <v>117768.15000000001</v>
      </c>
      <c r="M34" s="296">
        <v>119482.68</v>
      </c>
      <c r="N34" s="296">
        <v>119634.28</v>
      </c>
      <c r="O34" s="296">
        <v>120861.53</v>
      </c>
      <c r="P34" s="296">
        <v>120691.54</v>
      </c>
      <c r="Q34" s="296">
        <f t="shared" si="6"/>
        <v>1428385.8800000001</v>
      </c>
      <c r="R34" s="296">
        <f t="shared" si="7"/>
        <v>119032.15666666668</v>
      </c>
    </row>
    <row r="35" spans="2:18" x14ac:dyDescent="0.2">
      <c r="B35" s="131"/>
      <c r="C35" s="131" t="s">
        <v>33</v>
      </c>
      <c r="D35" s="131"/>
      <c r="E35" s="300">
        <f t="shared" ref="E35:P35" si="8">SUM(E28:E34)</f>
        <v>9641076.8399999999</v>
      </c>
      <c r="F35" s="300">
        <f t="shared" si="8"/>
        <v>8689018.3200000003</v>
      </c>
      <c r="G35" s="300">
        <f t="shared" si="8"/>
        <v>7064287.5199999996</v>
      </c>
      <c r="H35" s="300">
        <f t="shared" si="8"/>
        <v>6203271.5000000009</v>
      </c>
      <c r="I35" s="300">
        <f t="shared" si="8"/>
        <v>6435654.5599999996</v>
      </c>
      <c r="J35" s="300">
        <f t="shared" si="8"/>
        <v>6943701.3600000003</v>
      </c>
      <c r="K35" s="300">
        <f t="shared" si="8"/>
        <v>8160181.9700000007</v>
      </c>
      <c r="L35" s="300">
        <f t="shared" si="8"/>
        <v>8680355.8499999996</v>
      </c>
      <c r="M35" s="300">
        <f t="shared" si="8"/>
        <v>9257972.9800000004</v>
      </c>
      <c r="N35" s="300">
        <f t="shared" si="8"/>
        <v>7637487.9900000002</v>
      </c>
      <c r="O35" s="300">
        <f t="shared" si="8"/>
        <v>7617283.830000001</v>
      </c>
      <c r="P35" s="300">
        <f t="shared" si="8"/>
        <v>8843451.7999999989</v>
      </c>
      <c r="Q35" s="300">
        <f t="shared" si="6"/>
        <v>95173744.519999996</v>
      </c>
      <c r="R35" s="300">
        <f t="shared" si="7"/>
        <v>7931145.376666666</v>
      </c>
    </row>
    <row r="36" spans="2:18" x14ac:dyDescent="0.2">
      <c r="R36" s="301"/>
    </row>
    <row r="37" spans="2:18" x14ac:dyDescent="0.2">
      <c r="B37" s="110" t="s">
        <v>122</v>
      </c>
    </row>
    <row r="38" spans="2:18" x14ac:dyDescent="0.2">
      <c r="E38" s="298" t="s">
        <v>80</v>
      </c>
      <c r="F38" s="298" t="s">
        <v>81</v>
      </c>
      <c r="G38" s="298" t="s">
        <v>82</v>
      </c>
      <c r="H38" s="298" t="s">
        <v>83</v>
      </c>
      <c r="I38" s="298" t="s">
        <v>84</v>
      </c>
      <c r="J38" s="298" t="s">
        <v>85</v>
      </c>
      <c r="K38" s="298" t="s">
        <v>86</v>
      </c>
      <c r="L38" s="298" t="s">
        <v>87</v>
      </c>
      <c r="M38" s="298" t="s">
        <v>88</v>
      </c>
      <c r="N38" s="298" t="s">
        <v>89</v>
      </c>
      <c r="O38" s="298" t="s">
        <v>90</v>
      </c>
      <c r="P38" s="298" t="s">
        <v>91</v>
      </c>
      <c r="Q38" s="298" t="s">
        <v>33</v>
      </c>
      <c r="R38" s="299" t="s">
        <v>92</v>
      </c>
    </row>
    <row r="39" spans="2:18" x14ac:dyDescent="0.2">
      <c r="B39" s="302">
        <v>9</v>
      </c>
      <c r="C39" s="124" t="s">
        <v>107</v>
      </c>
      <c r="D39" s="125" t="s">
        <v>108</v>
      </c>
      <c r="E39" s="296">
        <v>47677.254000000001</v>
      </c>
      <c r="F39" s="296">
        <v>46331.76</v>
      </c>
      <c r="G39" s="296">
        <v>46844.347999999998</v>
      </c>
      <c r="H39" s="296">
        <v>45990.271999999997</v>
      </c>
      <c r="I39" s="296">
        <v>73611.350999999995</v>
      </c>
      <c r="J39" s="296">
        <v>29321.934999999998</v>
      </c>
      <c r="K39" s="296">
        <v>54550.040999999997</v>
      </c>
      <c r="L39" s="296">
        <v>55595.624000000003</v>
      </c>
      <c r="M39" s="296">
        <v>54743.436999999998</v>
      </c>
      <c r="N39" s="296">
        <v>48440.906000000003</v>
      </c>
      <c r="O39" s="296">
        <v>49201.904999999999</v>
      </c>
      <c r="P39" s="296">
        <v>48973.312000000005</v>
      </c>
      <c r="Q39" s="296">
        <f>SUM(E39:P39)</f>
        <v>601282.14500000002</v>
      </c>
      <c r="R39" s="296">
        <v>51502.480833333328</v>
      </c>
    </row>
    <row r="40" spans="2:18" x14ac:dyDescent="0.2">
      <c r="B40" s="302">
        <v>0</v>
      </c>
      <c r="C40" s="124" t="s">
        <v>137</v>
      </c>
      <c r="D40" s="125" t="s">
        <v>110</v>
      </c>
      <c r="E40" s="296">
        <v>5353.92</v>
      </c>
      <c r="F40" s="296">
        <v>5274.72</v>
      </c>
      <c r="G40" s="296">
        <v>5467.68</v>
      </c>
      <c r="H40" s="296">
        <v>5263.2</v>
      </c>
      <c r="I40" s="296">
        <v>4980</v>
      </c>
      <c r="J40" s="296">
        <v>5325</v>
      </c>
      <c r="K40" s="296">
        <v>5129</v>
      </c>
      <c r="L40" s="296">
        <v>5480</v>
      </c>
      <c r="M40" s="296">
        <v>4953.6000000000004</v>
      </c>
      <c r="N40" s="296">
        <v>4560.4799999999996</v>
      </c>
      <c r="O40" s="296">
        <v>4579.2</v>
      </c>
      <c r="P40" s="296">
        <v>4764</v>
      </c>
      <c r="Q40" s="296">
        <f>SUM(E40:P40)</f>
        <v>61130.8</v>
      </c>
      <c r="R40" s="296">
        <v>1630.25</v>
      </c>
    </row>
    <row r="41" spans="2:18" x14ac:dyDescent="0.2">
      <c r="B41" s="302">
        <v>15.91</v>
      </c>
      <c r="C41" s="124" t="s">
        <v>138</v>
      </c>
      <c r="D41" s="125" t="s">
        <v>110</v>
      </c>
      <c r="E41" s="296">
        <f>IF(E40&lt;3000,0,(E40-3000))</f>
        <v>2353.92</v>
      </c>
      <c r="F41" s="296">
        <f t="shared" ref="F41:P41" si="9">IF(F40&lt;3000,0,(F40-3000))</f>
        <v>2274.7200000000003</v>
      </c>
      <c r="G41" s="296">
        <f t="shared" si="9"/>
        <v>2467.6800000000003</v>
      </c>
      <c r="H41" s="296">
        <f t="shared" si="9"/>
        <v>2263.1999999999998</v>
      </c>
      <c r="I41" s="296">
        <f t="shared" si="9"/>
        <v>1980</v>
      </c>
      <c r="J41" s="296">
        <f t="shared" si="9"/>
        <v>2325</v>
      </c>
      <c r="K41" s="296">
        <f t="shared" si="9"/>
        <v>2129</v>
      </c>
      <c r="L41" s="296">
        <f t="shared" si="9"/>
        <v>2480</v>
      </c>
      <c r="M41" s="296">
        <f t="shared" si="9"/>
        <v>1953.6000000000004</v>
      </c>
      <c r="N41" s="296">
        <f t="shared" si="9"/>
        <v>1560.4799999999996</v>
      </c>
      <c r="O41" s="296">
        <f t="shared" si="9"/>
        <v>1579.1999999999998</v>
      </c>
      <c r="P41" s="296">
        <f t="shared" si="9"/>
        <v>1764</v>
      </c>
      <c r="Q41" s="296">
        <f>SUM(E41:P41)</f>
        <v>25130.800000000003</v>
      </c>
      <c r="R41" s="296">
        <v>3210.9150661545027</v>
      </c>
    </row>
    <row r="42" spans="2:18" x14ac:dyDescent="0.2">
      <c r="B42" s="131"/>
      <c r="C42" s="131" t="s">
        <v>33</v>
      </c>
      <c r="D42" s="131"/>
      <c r="E42" s="300">
        <v>56682.95444444444</v>
      </c>
      <c r="F42" s="300">
        <v>52462.453205292361</v>
      </c>
      <c r="G42" s="300">
        <v>54173.938033859718</v>
      </c>
      <c r="H42" s="300">
        <v>53303.32</v>
      </c>
      <c r="I42" s="300">
        <v>54816.962222222224</v>
      </c>
      <c r="J42" s="300">
        <v>57178.370256081944</v>
      </c>
      <c r="K42" s="300">
        <v>58782.652094181249</v>
      </c>
      <c r="L42" s="300">
        <v>59824.542503912366</v>
      </c>
      <c r="M42" s="300">
        <v>59855.866794707639</v>
      </c>
      <c r="N42" s="300">
        <v>57873.893461374297</v>
      </c>
      <c r="O42" s="300">
        <v>55142.363589415269</v>
      </c>
      <c r="P42" s="300">
        <v>56026.434188362502</v>
      </c>
      <c r="Q42" s="131">
        <v>676123.75079385389</v>
      </c>
      <c r="R42" s="300">
        <v>56343.645899487834</v>
      </c>
    </row>
    <row r="43" spans="2:18" x14ac:dyDescent="0.2"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R43" s="301"/>
    </row>
    <row r="44" spans="2:18" x14ac:dyDescent="0.2">
      <c r="B44" s="110" t="s">
        <v>122</v>
      </c>
    </row>
    <row r="45" spans="2:18" x14ac:dyDescent="0.2">
      <c r="E45" s="298" t="s">
        <v>80</v>
      </c>
      <c r="F45" s="298" t="s">
        <v>81</v>
      </c>
      <c r="G45" s="298" t="s">
        <v>82</v>
      </c>
      <c r="H45" s="298" t="s">
        <v>83</v>
      </c>
      <c r="I45" s="298" t="s">
        <v>84</v>
      </c>
      <c r="J45" s="298" t="s">
        <v>85</v>
      </c>
      <c r="K45" s="298" t="s">
        <v>86</v>
      </c>
      <c r="L45" s="298" t="s">
        <v>87</v>
      </c>
      <c r="M45" s="298" t="s">
        <v>88</v>
      </c>
      <c r="N45" s="298" t="s">
        <v>89</v>
      </c>
      <c r="O45" s="298" t="s">
        <v>90</v>
      </c>
      <c r="P45" s="298" t="s">
        <v>91</v>
      </c>
      <c r="Q45" s="298" t="s">
        <v>33</v>
      </c>
      <c r="R45" s="299" t="s">
        <v>92</v>
      </c>
    </row>
    <row r="46" spans="2:18" x14ac:dyDescent="0.2">
      <c r="B46" s="125">
        <v>9</v>
      </c>
      <c r="C46" s="124" t="s">
        <v>134</v>
      </c>
      <c r="D46" s="125" t="s">
        <v>108</v>
      </c>
      <c r="E46" s="296">
        <v>43</v>
      </c>
      <c r="F46" s="296">
        <v>43</v>
      </c>
      <c r="G46" s="296">
        <v>43</v>
      </c>
      <c r="H46" s="296">
        <v>22</v>
      </c>
      <c r="I46" s="296">
        <v>22</v>
      </c>
      <c r="J46" s="296">
        <v>22</v>
      </c>
      <c r="K46" s="296">
        <v>22</v>
      </c>
      <c r="L46" s="296">
        <v>22</v>
      </c>
      <c r="M46" s="296">
        <v>22</v>
      </c>
      <c r="N46" s="296">
        <v>1717</v>
      </c>
      <c r="O46" s="296">
        <v>32</v>
      </c>
      <c r="P46" s="296">
        <v>1739</v>
      </c>
      <c r="Q46" s="296">
        <f>SUM(E46:P46)</f>
        <v>3749</v>
      </c>
      <c r="R46" s="296">
        <v>2129.4166666666665</v>
      </c>
    </row>
    <row r="47" spans="2:18" x14ac:dyDescent="0.2">
      <c r="B47" s="131"/>
      <c r="C47" s="131" t="s">
        <v>33</v>
      </c>
      <c r="D47" s="131"/>
      <c r="E47" s="300">
        <v>3067</v>
      </c>
      <c r="F47" s="300">
        <v>1825</v>
      </c>
      <c r="G47" s="300">
        <v>1782</v>
      </c>
      <c r="H47" s="300">
        <v>1793</v>
      </c>
      <c r="I47" s="300">
        <v>3154</v>
      </c>
      <c r="J47" s="300">
        <v>1901</v>
      </c>
      <c r="K47" s="300">
        <v>3089</v>
      </c>
      <c r="L47" s="300">
        <v>1814</v>
      </c>
      <c r="M47" s="300">
        <v>1771</v>
      </c>
      <c r="N47" s="300">
        <v>1760</v>
      </c>
      <c r="O47" s="300">
        <v>1804</v>
      </c>
      <c r="P47" s="300">
        <v>1793</v>
      </c>
      <c r="Q47" s="131">
        <v>25553</v>
      </c>
      <c r="R47" s="300">
        <v>2129.4166666666665</v>
      </c>
    </row>
    <row r="48" spans="2:18" x14ac:dyDescent="0.2"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R48" s="301"/>
    </row>
    <row r="49" spans="2:18" x14ac:dyDescent="0.2">
      <c r="B49" s="110" t="s">
        <v>120</v>
      </c>
    </row>
    <row r="50" spans="2:18" x14ac:dyDescent="0.2">
      <c r="E50" s="298" t="s">
        <v>80</v>
      </c>
      <c r="F50" s="298" t="s">
        <v>81</v>
      </c>
      <c r="G50" s="298" t="s">
        <v>82</v>
      </c>
      <c r="H50" s="298" t="s">
        <v>83</v>
      </c>
      <c r="I50" s="298" t="s">
        <v>84</v>
      </c>
      <c r="J50" s="298" t="s">
        <v>85</v>
      </c>
      <c r="K50" s="298" t="s">
        <v>86</v>
      </c>
      <c r="L50" s="298" t="s">
        <v>87</v>
      </c>
      <c r="M50" s="298" t="s">
        <v>88</v>
      </c>
      <c r="N50" s="298" t="s">
        <v>89</v>
      </c>
      <c r="O50" s="298" t="s">
        <v>90</v>
      </c>
      <c r="P50" s="298" t="s">
        <v>91</v>
      </c>
      <c r="Q50" s="298" t="s">
        <v>33</v>
      </c>
      <c r="R50" s="299" t="s">
        <v>92</v>
      </c>
    </row>
    <row r="51" spans="2:18" x14ac:dyDescent="0.2">
      <c r="B51" s="125">
        <v>1</v>
      </c>
      <c r="C51" s="124" t="s">
        <v>101</v>
      </c>
      <c r="D51" s="125" t="s">
        <v>102</v>
      </c>
      <c r="E51" s="296">
        <v>34763363</v>
      </c>
      <c r="F51" s="296">
        <v>31169818</v>
      </c>
      <c r="G51" s="296">
        <v>23559010</v>
      </c>
      <c r="H51" s="296">
        <v>22774537</v>
      </c>
      <c r="I51" s="296">
        <v>19106227</v>
      </c>
      <c r="J51" s="296">
        <v>24681118</v>
      </c>
      <c r="K51" s="296">
        <v>31613277</v>
      </c>
      <c r="L51" s="296">
        <v>34941947</v>
      </c>
      <c r="M51" s="296">
        <v>33414893</v>
      </c>
      <c r="N51" s="296">
        <v>24218886</v>
      </c>
      <c r="O51" s="296">
        <v>20007686</v>
      </c>
      <c r="P51" s="296">
        <v>28195300</v>
      </c>
      <c r="Q51" s="296">
        <f>SUM(E51:P51)</f>
        <v>328446062</v>
      </c>
      <c r="R51" s="296">
        <f>Q51/12</f>
        <v>27370505.166666668</v>
      </c>
    </row>
    <row r="52" spans="2:18" x14ac:dyDescent="0.2">
      <c r="B52" s="125">
        <v>2</v>
      </c>
      <c r="C52" s="124" t="s">
        <v>103</v>
      </c>
      <c r="D52" s="125" t="s">
        <v>104</v>
      </c>
      <c r="E52" s="296">
        <v>1333149</v>
      </c>
      <c r="F52" s="296">
        <v>1390571</v>
      </c>
      <c r="G52" s="296">
        <v>1288808</v>
      </c>
      <c r="H52" s="296">
        <v>1138134</v>
      </c>
      <c r="I52" s="296">
        <v>969990</v>
      </c>
      <c r="J52" s="296">
        <v>1223498</v>
      </c>
      <c r="K52" s="296">
        <v>1568349</v>
      </c>
      <c r="L52" s="296">
        <v>1710841</v>
      </c>
      <c r="M52" s="296">
        <v>1034323</v>
      </c>
      <c r="N52" s="296">
        <v>917630</v>
      </c>
      <c r="O52" s="296">
        <v>787777</v>
      </c>
      <c r="P52" s="296">
        <v>1021391</v>
      </c>
      <c r="Q52" s="296">
        <f t="shared" ref="Q52:Q58" si="10">SUM(E52:P52)</f>
        <v>14384461</v>
      </c>
      <c r="R52" s="296">
        <f t="shared" ref="R52:R58" si="11">Q52/12</f>
        <v>1198705.0833333333</v>
      </c>
    </row>
    <row r="53" spans="2:18" x14ac:dyDescent="0.2">
      <c r="B53" s="125">
        <v>3</v>
      </c>
      <c r="C53" s="124" t="s">
        <v>105</v>
      </c>
      <c r="D53" s="125" t="s">
        <v>106</v>
      </c>
      <c r="E53" s="296">
        <v>169229</v>
      </c>
      <c r="F53" s="296">
        <v>102910</v>
      </c>
      <c r="G53" s="296">
        <v>113074</v>
      </c>
      <c r="H53" s="296">
        <v>80077</v>
      </c>
      <c r="I53" s="296">
        <v>61425</v>
      </c>
      <c r="J53" s="296">
        <v>87540</v>
      </c>
      <c r="K53" s="296">
        <v>118482</v>
      </c>
      <c r="L53" s="296">
        <v>115224</v>
      </c>
      <c r="M53" s="296">
        <v>127020</v>
      </c>
      <c r="N53" s="296">
        <v>136632</v>
      </c>
      <c r="O53" s="296">
        <v>95785</v>
      </c>
      <c r="P53" s="296">
        <v>127521</v>
      </c>
      <c r="Q53" s="296">
        <f t="shared" si="10"/>
        <v>1334919</v>
      </c>
      <c r="R53" s="296">
        <f t="shared" si="11"/>
        <v>111243.25</v>
      </c>
    </row>
    <row r="54" spans="2:18" x14ac:dyDescent="0.2">
      <c r="B54" s="125">
        <v>4</v>
      </c>
      <c r="C54" s="124" t="s">
        <v>107</v>
      </c>
      <c r="D54" s="125" t="s">
        <v>108</v>
      </c>
      <c r="E54" s="296">
        <v>1838314</v>
      </c>
      <c r="F54" s="296">
        <v>1534598</v>
      </c>
      <c r="G54" s="296">
        <v>1693645</v>
      </c>
      <c r="H54" s="296">
        <v>1484589</v>
      </c>
      <c r="I54" s="296">
        <v>1880895</v>
      </c>
      <c r="J54" s="296">
        <v>2236619</v>
      </c>
      <c r="K54" s="296">
        <v>2271710</v>
      </c>
      <c r="L54" s="296">
        <v>2617970</v>
      </c>
      <c r="M54" s="296">
        <v>2810007</v>
      </c>
      <c r="N54" s="296">
        <v>1989705</v>
      </c>
      <c r="O54" s="296">
        <v>1837653</v>
      </c>
      <c r="P54" s="296">
        <v>1873375</v>
      </c>
      <c r="Q54" s="296">
        <f t="shared" si="10"/>
        <v>24069080</v>
      </c>
      <c r="R54" s="296">
        <f t="shared" si="11"/>
        <v>2005756.6666666667</v>
      </c>
    </row>
    <row r="55" spans="2:18" x14ac:dyDescent="0.2">
      <c r="B55" s="125">
        <v>6</v>
      </c>
      <c r="C55" s="124" t="s">
        <v>134</v>
      </c>
      <c r="D55" s="125" t="s">
        <v>108</v>
      </c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>
        <f t="shared" si="10"/>
        <v>0</v>
      </c>
      <c r="R55" s="296">
        <f t="shared" si="11"/>
        <v>0</v>
      </c>
    </row>
    <row r="56" spans="2:18" x14ac:dyDescent="0.2">
      <c r="B56" s="125">
        <v>5</v>
      </c>
      <c r="C56" s="124" t="s">
        <v>109</v>
      </c>
      <c r="D56" s="125" t="s">
        <v>110</v>
      </c>
      <c r="E56" s="296">
        <v>0</v>
      </c>
      <c r="F56" s="296">
        <v>0</v>
      </c>
      <c r="G56" s="296">
        <v>0</v>
      </c>
      <c r="H56" s="296">
        <v>0</v>
      </c>
      <c r="I56" s="296">
        <v>0</v>
      </c>
      <c r="J56" s="296">
        <v>0</v>
      </c>
      <c r="K56" s="296">
        <v>0</v>
      </c>
      <c r="L56" s="296">
        <v>0</v>
      </c>
      <c r="M56" s="296">
        <v>0</v>
      </c>
      <c r="N56" s="296">
        <v>0</v>
      </c>
      <c r="O56" s="296">
        <v>0</v>
      </c>
      <c r="P56" s="296">
        <v>0</v>
      </c>
      <c r="Q56" s="296">
        <f t="shared" si="10"/>
        <v>0</v>
      </c>
      <c r="R56" s="296">
        <f t="shared" si="11"/>
        <v>0</v>
      </c>
    </row>
    <row r="57" spans="2:18" x14ac:dyDescent="0.2">
      <c r="B57" s="125">
        <v>8</v>
      </c>
      <c r="C57" s="124" t="s">
        <v>111</v>
      </c>
      <c r="D57" s="125" t="s">
        <v>77</v>
      </c>
      <c r="E57" s="296">
        <v>541487</v>
      </c>
      <c r="F57" s="296">
        <v>535152</v>
      </c>
      <c r="G57" s="296">
        <v>527216</v>
      </c>
      <c r="H57" s="296">
        <v>520834</v>
      </c>
      <c r="I57" s="296">
        <v>514467</v>
      </c>
      <c r="J57" s="296">
        <v>511458</v>
      </c>
      <c r="K57" s="296">
        <v>504817</v>
      </c>
      <c r="L57" s="296">
        <v>499298</v>
      </c>
      <c r="M57" s="296">
        <v>566470</v>
      </c>
      <c r="N57" s="296">
        <v>561384</v>
      </c>
      <c r="O57" s="296">
        <v>552949</v>
      </c>
      <c r="P57" s="296">
        <v>547207</v>
      </c>
      <c r="Q57" s="296">
        <f t="shared" si="10"/>
        <v>6382739</v>
      </c>
      <c r="R57" s="296">
        <f t="shared" si="11"/>
        <v>531894.91666666663</v>
      </c>
    </row>
    <row r="58" spans="2:18" x14ac:dyDescent="0.2">
      <c r="B58" s="131"/>
      <c r="C58" s="131" t="s">
        <v>33</v>
      </c>
      <c r="D58" s="131"/>
      <c r="E58" s="300">
        <f t="shared" ref="E58:P58" si="12">SUM(E51:E57)</f>
        <v>38645542</v>
      </c>
      <c r="F58" s="300">
        <f t="shared" si="12"/>
        <v>34733049</v>
      </c>
      <c r="G58" s="300">
        <f t="shared" si="12"/>
        <v>27181753</v>
      </c>
      <c r="H58" s="300">
        <f t="shared" si="12"/>
        <v>25998171</v>
      </c>
      <c r="I58" s="300">
        <f t="shared" si="12"/>
        <v>22533004</v>
      </c>
      <c r="J58" s="300">
        <f t="shared" si="12"/>
        <v>28740233</v>
      </c>
      <c r="K58" s="300">
        <f t="shared" si="12"/>
        <v>36076635</v>
      </c>
      <c r="L58" s="300">
        <f t="shared" si="12"/>
        <v>39885280</v>
      </c>
      <c r="M58" s="300">
        <f t="shared" si="12"/>
        <v>37952713</v>
      </c>
      <c r="N58" s="300">
        <f t="shared" si="12"/>
        <v>27824237</v>
      </c>
      <c r="O58" s="300">
        <f t="shared" si="12"/>
        <v>23281850</v>
      </c>
      <c r="P58" s="300">
        <f t="shared" si="12"/>
        <v>31764794</v>
      </c>
      <c r="Q58" s="300">
        <f t="shared" si="10"/>
        <v>374617261</v>
      </c>
      <c r="R58" s="300">
        <f t="shared" si="11"/>
        <v>31218105.083333332</v>
      </c>
    </row>
    <row r="59" spans="2:18" x14ac:dyDescent="0.2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R59" s="301"/>
    </row>
    <row r="60" spans="2:18" x14ac:dyDescent="0.2">
      <c r="B60" s="110" t="s">
        <v>121</v>
      </c>
    </row>
    <row r="61" spans="2:18" x14ac:dyDescent="0.2">
      <c r="E61" s="298" t="s">
        <v>80</v>
      </c>
      <c r="F61" s="298" t="s">
        <v>81</v>
      </c>
      <c r="G61" s="298" t="s">
        <v>82</v>
      </c>
      <c r="H61" s="298" t="s">
        <v>83</v>
      </c>
      <c r="I61" s="298" t="s">
        <v>84</v>
      </c>
      <c r="J61" s="298" t="s">
        <v>85</v>
      </c>
      <c r="K61" s="298" t="s">
        <v>86</v>
      </c>
      <c r="L61" s="298" t="s">
        <v>87</v>
      </c>
      <c r="M61" s="298" t="s">
        <v>88</v>
      </c>
      <c r="N61" s="298" t="s">
        <v>89</v>
      </c>
      <c r="O61" s="298" t="s">
        <v>90</v>
      </c>
      <c r="P61" s="298" t="s">
        <v>91</v>
      </c>
      <c r="Q61" s="298" t="s">
        <v>33</v>
      </c>
      <c r="R61" s="299" t="s">
        <v>92</v>
      </c>
    </row>
    <row r="62" spans="2:18" x14ac:dyDescent="0.2">
      <c r="B62" s="125">
        <v>1</v>
      </c>
      <c r="C62" s="124" t="s">
        <v>101</v>
      </c>
      <c r="D62" s="125" t="s">
        <v>102</v>
      </c>
      <c r="E62" s="296">
        <v>0</v>
      </c>
      <c r="F62" s="296">
        <v>0</v>
      </c>
      <c r="G62" s="296">
        <v>0</v>
      </c>
      <c r="H62" s="296">
        <v>0</v>
      </c>
      <c r="I62" s="296">
        <v>0</v>
      </c>
      <c r="J62" s="296">
        <v>0</v>
      </c>
      <c r="K62" s="296">
        <v>0</v>
      </c>
      <c r="L62" s="296">
        <v>0</v>
      </c>
      <c r="M62" s="296">
        <v>0</v>
      </c>
      <c r="N62" s="296">
        <v>0</v>
      </c>
      <c r="O62" s="296">
        <v>0</v>
      </c>
      <c r="P62" s="296">
        <v>0</v>
      </c>
      <c r="Q62" s="296">
        <f>SUM(E62:P62)</f>
        <v>0</v>
      </c>
      <c r="R62" s="296">
        <f>Q62/12</f>
        <v>0</v>
      </c>
    </row>
    <row r="63" spans="2:18" x14ac:dyDescent="0.2">
      <c r="B63" s="125">
        <v>2</v>
      </c>
      <c r="C63" s="124" t="s">
        <v>103</v>
      </c>
      <c r="D63" s="125" t="s">
        <v>104</v>
      </c>
      <c r="E63" s="296">
        <v>2309945</v>
      </c>
      <c r="F63" s="296">
        <v>2638521</v>
      </c>
      <c r="G63" s="296">
        <v>1822132</v>
      </c>
      <c r="H63" s="296">
        <v>1518083</v>
      </c>
      <c r="I63" s="296">
        <v>1665682</v>
      </c>
      <c r="J63" s="296">
        <v>1965730</v>
      </c>
      <c r="K63" s="296">
        <v>2246218</v>
      </c>
      <c r="L63" s="296">
        <v>2387045</v>
      </c>
      <c r="M63" s="296">
        <v>2241767</v>
      </c>
      <c r="N63" s="296">
        <v>1799884</v>
      </c>
      <c r="O63" s="296">
        <v>1740741</v>
      </c>
      <c r="P63" s="296">
        <v>2009209</v>
      </c>
      <c r="Q63" s="296">
        <f t="shared" ref="Q63:Q69" si="13">SUM(E63:P63)</f>
        <v>24344957</v>
      </c>
      <c r="R63" s="296">
        <f t="shared" ref="R63:R69" si="14">Q63/12</f>
        <v>2028746.4166666667</v>
      </c>
    </row>
    <row r="64" spans="2:18" x14ac:dyDescent="0.2">
      <c r="B64" s="125">
        <v>3</v>
      </c>
      <c r="C64" s="124" t="s">
        <v>105</v>
      </c>
      <c r="D64" s="125" t="s">
        <v>106</v>
      </c>
      <c r="E64" s="296">
        <v>815374</v>
      </c>
      <c r="F64" s="296">
        <v>751146</v>
      </c>
      <c r="G64" s="296">
        <v>793019</v>
      </c>
      <c r="H64" s="296">
        <v>709854</v>
      </c>
      <c r="I64" s="296">
        <v>872996</v>
      </c>
      <c r="J64" s="296">
        <v>958255</v>
      </c>
      <c r="K64" s="296">
        <v>1056404</v>
      </c>
      <c r="L64" s="296">
        <v>1103112</v>
      </c>
      <c r="M64" s="296">
        <v>933013</v>
      </c>
      <c r="N64" s="296">
        <v>770072</v>
      </c>
      <c r="O64" s="296">
        <v>720351</v>
      </c>
      <c r="P64" s="296">
        <v>828299</v>
      </c>
      <c r="Q64" s="296">
        <f t="shared" si="13"/>
        <v>10311895</v>
      </c>
      <c r="R64" s="296">
        <f t="shared" si="14"/>
        <v>859324.58333333337</v>
      </c>
    </row>
    <row r="65" spans="2:18" x14ac:dyDescent="0.2">
      <c r="B65" s="125">
        <v>4</v>
      </c>
      <c r="C65" s="124" t="s">
        <v>107</v>
      </c>
      <c r="D65" s="125" t="s">
        <v>108</v>
      </c>
      <c r="E65" s="296">
        <v>12365411</v>
      </c>
      <c r="F65" s="296">
        <v>11104741</v>
      </c>
      <c r="G65" s="296">
        <v>12000180</v>
      </c>
      <c r="H65" s="296">
        <v>10596896</v>
      </c>
      <c r="I65" s="296">
        <v>12088652</v>
      </c>
      <c r="J65" s="296">
        <v>13723921</v>
      </c>
      <c r="K65" s="296">
        <v>13752609</v>
      </c>
      <c r="L65" s="296">
        <v>14277836</v>
      </c>
      <c r="M65" s="296">
        <v>11889467</v>
      </c>
      <c r="N65" s="296">
        <v>10328166</v>
      </c>
      <c r="O65" s="296">
        <v>10983231</v>
      </c>
      <c r="P65" s="296">
        <v>12581443</v>
      </c>
      <c r="Q65" s="296">
        <f t="shared" si="13"/>
        <v>145692553</v>
      </c>
      <c r="R65" s="296">
        <f t="shared" si="14"/>
        <v>12141046.083333334</v>
      </c>
    </row>
    <row r="66" spans="2:18" x14ac:dyDescent="0.2">
      <c r="B66" s="125">
        <v>6</v>
      </c>
      <c r="C66" s="124" t="s">
        <v>134</v>
      </c>
      <c r="D66" s="125" t="s">
        <v>108</v>
      </c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>
        <f t="shared" si="13"/>
        <v>0</v>
      </c>
      <c r="R66" s="296">
        <f t="shared" si="14"/>
        <v>0</v>
      </c>
    </row>
    <row r="67" spans="2:18" x14ac:dyDescent="0.2">
      <c r="B67" s="125">
        <v>5</v>
      </c>
      <c r="C67" s="124" t="s">
        <v>109</v>
      </c>
      <c r="D67" s="125" t="s">
        <v>110</v>
      </c>
      <c r="E67" s="296">
        <v>1617690</v>
      </c>
      <c r="F67" s="296">
        <v>1507705</v>
      </c>
      <c r="G67" s="296">
        <v>1700527</v>
      </c>
      <c r="H67" s="296">
        <v>1196593</v>
      </c>
      <c r="I67" s="296">
        <v>1563671</v>
      </c>
      <c r="J67" s="296">
        <v>1564535</v>
      </c>
      <c r="K67" s="296">
        <v>1497836</v>
      </c>
      <c r="L67" s="296">
        <v>1840302</v>
      </c>
      <c r="M67" s="296">
        <v>1595306</v>
      </c>
      <c r="N67" s="296">
        <v>1431637</v>
      </c>
      <c r="O67" s="296">
        <v>1332671</v>
      </c>
      <c r="P67" s="296">
        <v>1360661</v>
      </c>
      <c r="Q67" s="296">
        <f t="shared" si="13"/>
        <v>18209134</v>
      </c>
      <c r="R67" s="296">
        <f t="shared" si="14"/>
        <v>1517427.8333333333</v>
      </c>
    </row>
    <row r="68" spans="2:18" x14ac:dyDescent="0.2">
      <c r="B68" s="125">
        <v>8</v>
      </c>
      <c r="C68" s="124" t="s">
        <v>111</v>
      </c>
      <c r="D68" s="125" t="s">
        <v>77</v>
      </c>
      <c r="E68" s="296">
        <v>0</v>
      </c>
      <c r="F68" s="296">
        <v>0</v>
      </c>
      <c r="G68" s="296">
        <v>0</v>
      </c>
      <c r="H68" s="296">
        <v>0</v>
      </c>
      <c r="I68" s="296">
        <v>0</v>
      </c>
      <c r="J68" s="296">
        <v>0</v>
      </c>
      <c r="K68" s="296">
        <v>0</v>
      </c>
      <c r="L68" s="296">
        <v>0</v>
      </c>
      <c r="M68" s="296">
        <v>0</v>
      </c>
      <c r="N68" s="296">
        <v>0</v>
      </c>
      <c r="O68" s="296">
        <v>0</v>
      </c>
      <c r="P68" s="296">
        <v>0</v>
      </c>
      <c r="Q68" s="296">
        <f t="shared" si="13"/>
        <v>0</v>
      </c>
      <c r="R68" s="296">
        <f t="shared" si="14"/>
        <v>0</v>
      </c>
    </row>
    <row r="69" spans="2:18" x14ac:dyDescent="0.2">
      <c r="B69" s="131"/>
      <c r="C69" s="131" t="s">
        <v>33</v>
      </c>
      <c r="D69" s="131"/>
      <c r="E69" s="300">
        <f t="shared" ref="E69:P69" si="15">SUM(E62:E68)</f>
        <v>17108420</v>
      </c>
      <c r="F69" s="300">
        <f t="shared" si="15"/>
        <v>16002113</v>
      </c>
      <c r="G69" s="300">
        <f t="shared" si="15"/>
        <v>16315858</v>
      </c>
      <c r="H69" s="300">
        <f t="shared" si="15"/>
        <v>14021426</v>
      </c>
      <c r="I69" s="300">
        <f t="shared" si="15"/>
        <v>16191001</v>
      </c>
      <c r="J69" s="300">
        <f t="shared" si="15"/>
        <v>18212441</v>
      </c>
      <c r="K69" s="300">
        <f t="shared" si="15"/>
        <v>18553067</v>
      </c>
      <c r="L69" s="300">
        <f t="shared" si="15"/>
        <v>19608295</v>
      </c>
      <c r="M69" s="300">
        <f t="shared" si="15"/>
        <v>16659553</v>
      </c>
      <c r="N69" s="300">
        <f t="shared" si="15"/>
        <v>14329759</v>
      </c>
      <c r="O69" s="300">
        <f t="shared" si="15"/>
        <v>14776994</v>
      </c>
      <c r="P69" s="300">
        <f t="shared" si="15"/>
        <v>16779612</v>
      </c>
      <c r="Q69" s="300">
        <f t="shared" si="13"/>
        <v>198558539</v>
      </c>
      <c r="R69" s="300">
        <f t="shared" si="14"/>
        <v>16546544.916666666</v>
      </c>
    </row>
    <row r="71" spans="2:18" x14ac:dyDescent="0.2">
      <c r="B71" s="110" t="s">
        <v>95</v>
      </c>
    </row>
    <row r="72" spans="2:18" x14ac:dyDescent="0.2">
      <c r="E72" s="298" t="s">
        <v>80</v>
      </c>
      <c r="F72" s="298" t="s">
        <v>81</v>
      </c>
      <c r="G72" s="298" t="s">
        <v>82</v>
      </c>
      <c r="H72" s="298" t="s">
        <v>83</v>
      </c>
      <c r="I72" s="298" t="s">
        <v>84</v>
      </c>
      <c r="J72" s="298" t="s">
        <v>85</v>
      </c>
      <c r="K72" s="298" t="s">
        <v>86</v>
      </c>
      <c r="L72" s="298" t="s">
        <v>87</v>
      </c>
      <c r="M72" s="298" t="s">
        <v>88</v>
      </c>
      <c r="N72" s="298" t="s">
        <v>89</v>
      </c>
      <c r="O72" s="298" t="s">
        <v>90</v>
      </c>
      <c r="P72" s="298" t="s">
        <v>91</v>
      </c>
      <c r="Q72" s="298" t="s">
        <v>33</v>
      </c>
      <c r="R72" s="299" t="s">
        <v>92</v>
      </c>
    </row>
    <row r="73" spans="2:18" x14ac:dyDescent="0.2">
      <c r="B73" s="125">
        <v>1</v>
      </c>
      <c r="C73" s="124" t="s">
        <v>101</v>
      </c>
      <c r="D73" s="125" t="s">
        <v>102</v>
      </c>
      <c r="E73" s="296">
        <v>1083295.917806</v>
      </c>
      <c r="F73" s="296">
        <v>842644.85981199995</v>
      </c>
      <c r="G73" s="296">
        <v>177210.87322000001</v>
      </c>
      <c r="H73" s="296">
        <v>11250.621277999999</v>
      </c>
      <c r="I73" s="296">
        <v>88328.087421000004</v>
      </c>
      <c r="J73" s="296">
        <v>147741.17234799999</v>
      </c>
      <c r="K73" s="296">
        <v>173177.53140599999</v>
      </c>
      <c r="L73" s="296">
        <v>239037.85942699999</v>
      </c>
      <c r="M73" s="296">
        <v>627364.61607500003</v>
      </c>
      <c r="N73" s="296">
        <v>420633.61204800004</v>
      </c>
      <c r="O73" s="296">
        <v>699488.71024599997</v>
      </c>
      <c r="P73" s="296">
        <v>998846.69779999997</v>
      </c>
      <c r="Q73" s="296">
        <f>SUM(E73:P73)</f>
        <v>5509020.5588870002</v>
      </c>
      <c r="R73" s="296">
        <f>Q73/12</f>
        <v>459085.04657391668</v>
      </c>
    </row>
    <row r="74" spans="2:18" x14ac:dyDescent="0.2">
      <c r="B74" s="125">
        <v>2</v>
      </c>
      <c r="C74" s="124" t="s">
        <v>103</v>
      </c>
      <c r="D74" s="125" t="s">
        <v>104</v>
      </c>
      <c r="E74" s="296">
        <v>113526.09522799999</v>
      </c>
      <c r="F74" s="296">
        <v>108922.47312799998</v>
      </c>
      <c r="G74" s="296">
        <v>23400.490679999999</v>
      </c>
      <c r="H74" s="296">
        <v>1312.171198</v>
      </c>
      <c r="I74" s="296">
        <v>12184.711656000001</v>
      </c>
      <c r="J74" s="296">
        <v>19090.718808000001</v>
      </c>
      <c r="K74" s="296">
        <v>20896.198026000002</v>
      </c>
      <c r="L74" s="296">
        <v>28033.638125999998</v>
      </c>
      <c r="M74" s="296">
        <v>61508.589749999999</v>
      </c>
      <c r="N74" s="296">
        <v>47197.783152000004</v>
      </c>
      <c r="O74" s="296">
        <v>88399.517798000001</v>
      </c>
      <c r="P74" s="296">
        <v>107362.0356</v>
      </c>
      <c r="Q74" s="296">
        <f t="shared" ref="Q74:Q80" si="16">SUM(E74:P74)</f>
        <v>631834.42314999993</v>
      </c>
      <c r="R74" s="296">
        <f t="shared" ref="R74:R80" si="17">Q74/12</f>
        <v>52652.86859583333</v>
      </c>
    </row>
    <row r="75" spans="2:18" x14ac:dyDescent="0.2">
      <c r="B75" s="125">
        <v>3</v>
      </c>
      <c r="C75" s="124" t="s">
        <v>105</v>
      </c>
      <c r="D75" s="125" t="s">
        <v>106</v>
      </c>
      <c r="E75" s="296">
        <v>30682.198686</v>
      </c>
      <c r="F75" s="296">
        <v>23088.549904</v>
      </c>
      <c r="G75" s="296">
        <v>6815.6315460000005</v>
      </c>
      <c r="H75" s="296">
        <v>390.22591399999999</v>
      </c>
      <c r="I75" s="296">
        <v>4319.8282829999998</v>
      </c>
      <c r="J75" s="296">
        <v>6260.1288699999996</v>
      </c>
      <c r="K75" s="296">
        <v>6436.0255080000006</v>
      </c>
      <c r="L75" s="296">
        <v>8334.636575999999</v>
      </c>
      <c r="M75" s="296">
        <v>19902.119575000001</v>
      </c>
      <c r="N75" s="296">
        <v>15747.635072000001</v>
      </c>
      <c r="O75" s="296">
        <v>28532.930695999999</v>
      </c>
      <c r="P75" s="296">
        <v>33860.87932</v>
      </c>
      <c r="Q75" s="296">
        <f t="shared" si="16"/>
        <v>184370.78995000003</v>
      </c>
      <c r="R75" s="296">
        <f t="shared" si="17"/>
        <v>15364.232495833336</v>
      </c>
    </row>
    <row r="76" spans="2:18" x14ac:dyDescent="0.2">
      <c r="B76" s="125">
        <v>4</v>
      </c>
      <c r="C76" s="124" t="s">
        <v>107</v>
      </c>
      <c r="D76" s="125" t="s">
        <v>108</v>
      </c>
      <c r="E76" s="296">
        <v>442616.47845</v>
      </c>
      <c r="F76" s="296">
        <v>341691.890526</v>
      </c>
      <c r="G76" s="296">
        <v>103004.95165</v>
      </c>
      <c r="H76" s="296">
        <v>5968.2535899999993</v>
      </c>
      <c r="I76" s="296">
        <v>64581.215781000006</v>
      </c>
      <c r="J76" s="296">
        <v>95539.79243999999</v>
      </c>
      <c r="K76" s="296">
        <v>87781.219482000015</v>
      </c>
      <c r="L76" s="296">
        <v>115584.20884599999</v>
      </c>
      <c r="M76" s="296">
        <v>275982.62435</v>
      </c>
      <c r="N76" s="296">
        <v>213936.78352800003</v>
      </c>
      <c r="O76" s="296">
        <v>448230.92552399996</v>
      </c>
      <c r="P76" s="296">
        <v>512076.382468</v>
      </c>
      <c r="Q76" s="296">
        <f t="shared" si="16"/>
        <v>2706994.7266349997</v>
      </c>
      <c r="R76" s="296">
        <f t="shared" si="17"/>
        <v>225582.89388624998</v>
      </c>
    </row>
    <row r="77" spans="2:18" x14ac:dyDescent="0.2">
      <c r="B77" s="125">
        <v>6</v>
      </c>
      <c r="C77" s="124" t="s">
        <v>134</v>
      </c>
      <c r="D77" s="125" t="s">
        <v>108</v>
      </c>
      <c r="E77" s="296">
        <v>79683.835528000011</v>
      </c>
      <c r="F77" s="296">
        <v>39409.656288999999</v>
      </c>
      <c r="G77" s="296">
        <v>7292.6539139999995</v>
      </c>
      <c r="H77" s="296">
        <v>22163.954628</v>
      </c>
      <c r="I77" s="296">
        <v>29373.033311999996</v>
      </c>
      <c r="J77" s="296">
        <v>34285.787484</v>
      </c>
      <c r="K77" s="296">
        <v>51772.630895999995</v>
      </c>
      <c r="L77" s="296">
        <v>34280.051651999995</v>
      </c>
      <c r="M77" s="296">
        <v>182374.71586000003</v>
      </c>
      <c r="N77" s="296">
        <v>161228.027152</v>
      </c>
      <c r="O77" s="296">
        <v>126900.0235</v>
      </c>
      <c r="P77" s="296">
        <v>111772.98</v>
      </c>
      <c r="Q77" s="296">
        <f t="shared" si="16"/>
        <v>880537.35021499998</v>
      </c>
      <c r="R77" s="296">
        <f t="shared" si="17"/>
        <v>73378.11251791667</v>
      </c>
    </row>
    <row r="78" spans="2:18" x14ac:dyDescent="0.2">
      <c r="B78" s="125">
        <v>5</v>
      </c>
      <c r="C78" s="124" t="s">
        <v>109</v>
      </c>
      <c r="D78" s="125" t="s">
        <v>110</v>
      </c>
      <c r="E78" s="296">
        <v>50410.455779999997</v>
      </c>
      <c r="F78" s="296">
        <v>40759.296969999996</v>
      </c>
      <c r="G78" s="296">
        <v>12791.364094</v>
      </c>
      <c r="H78" s="296">
        <v>591.11694199999999</v>
      </c>
      <c r="I78" s="296">
        <v>7228.8510330000008</v>
      </c>
      <c r="J78" s="296">
        <v>9365.3065100000003</v>
      </c>
      <c r="K78" s="296">
        <v>8205.1456080000007</v>
      </c>
      <c r="L78" s="296">
        <v>12589.505982000001</v>
      </c>
      <c r="M78" s="296">
        <v>29951.870149999999</v>
      </c>
      <c r="N78" s="296">
        <v>24864.671416000001</v>
      </c>
      <c r="O78" s="296">
        <v>46591.510831</v>
      </c>
      <c r="P78" s="296">
        <v>48202.776586</v>
      </c>
      <c r="Q78" s="296">
        <f t="shared" si="16"/>
        <v>291551.87190199998</v>
      </c>
      <c r="R78" s="296">
        <f t="shared" si="17"/>
        <v>24295.989325166665</v>
      </c>
    </row>
    <row r="79" spans="2:18" x14ac:dyDescent="0.2">
      <c r="B79" s="125">
        <v>8</v>
      </c>
      <c r="C79" s="124" t="s">
        <v>111</v>
      </c>
      <c r="D79" s="125" t="s">
        <v>77</v>
      </c>
      <c r="E79" s="296">
        <v>16873.817894</v>
      </c>
      <c r="F79" s="296">
        <v>14467.299168</v>
      </c>
      <c r="G79" s="296">
        <v>3965.7187520000002</v>
      </c>
      <c r="H79" s="296">
        <v>257.29199599999998</v>
      </c>
      <c r="I79" s="296">
        <v>2378.3809410000003</v>
      </c>
      <c r="J79" s="296">
        <v>3061.5875879999999</v>
      </c>
      <c r="K79" s="296">
        <v>2765.387526</v>
      </c>
      <c r="L79" s="296">
        <v>3415.6976180000001</v>
      </c>
      <c r="M79" s="296">
        <v>10635.474249999999</v>
      </c>
      <c r="N79" s="296">
        <v>9750.1173120000003</v>
      </c>
      <c r="O79" s="296">
        <v>19331.649988999998</v>
      </c>
      <c r="P79" s="296">
        <v>19385.355181999999</v>
      </c>
      <c r="Q79" s="296">
        <f t="shared" si="16"/>
        <v>106287.77821599999</v>
      </c>
      <c r="R79" s="296">
        <f t="shared" si="17"/>
        <v>8857.3148513333326</v>
      </c>
    </row>
    <row r="80" spans="2:18" x14ac:dyDescent="0.2">
      <c r="B80" s="131"/>
      <c r="C80" s="131" t="s">
        <v>33</v>
      </c>
      <c r="D80" s="131"/>
      <c r="E80" s="300">
        <f t="shared" ref="E80:P80" si="18">SUM(E73:E79)</f>
        <v>1817088.7993720002</v>
      </c>
      <c r="F80" s="300">
        <f t="shared" si="18"/>
        <v>1410984.0257969999</v>
      </c>
      <c r="G80" s="300">
        <f t="shared" si="18"/>
        <v>334481.68385600002</v>
      </c>
      <c r="H80" s="300">
        <f t="shared" si="18"/>
        <v>41933.635545999998</v>
      </c>
      <c r="I80" s="300">
        <f t="shared" si="18"/>
        <v>208394.10842700003</v>
      </c>
      <c r="J80" s="300">
        <f t="shared" si="18"/>
        <v>315344.49404799996</v>
      </c>
      <c r="K80" s="300">
        <f t="shared" si="18"/>
        <v>351034.13845199998</v>
      </c>
      <c r="L80" s="300">
        <f t="shared" si="18"/>
        <v>441275.59822699998</v>
      </c>
      <c r="M80" s="300">
        <f t="shared" si="18"/>
        <v>1207720.0100100003</v>
      </c>
      <c r="N80" s="300">
        <f t="shared" si="18"/>
        <v>893358.62968000001</v>
      </c>
      <c r="O80" s="300">
        <f t="shared" si="18"/>
        <v>1457475.2685839999</v>
      </c>
      <c r="P80" s="300">
        <f t="shared" si="18"/>
        <v>1831507.1069560002</v>
      </c>
      <c r="Q80" s="300">
        <f t="shared" si="16"/>
        <v>10310597.498955</v>
      </c>
      <c r="R80" s="300">
        <f t="shared" si="17"/>
        <v>859216.45824625005</v>
      </c>
    </row>
    <row r="82" spans="2:18" x14ac:dyDescent="0.2">
      <c r="B82" s="110" t="s">
        <v>96</v>
      </c>
    </row>
    <row r="83" spans="2:18" x14ac:dyDescent="0.2">
      <c r="E83" s="298" t="s">
        <v>80</v>
      </c>
      <c r="F83" s="298" t="s">
        <v>81</v>
      </c>
      <c r="G83" s="298" t="s">
        <v>82</v>
      </c>
      <c r="H83" s="298" t="s">
        <v>83</v>
      </c>
      <c r="I83" s="298" t="s">
        <v>84</v>
      </c>
      <c r="J83" s="298" t="s">
        <v>85</v>
      </c>
      <c r="K83" s="298" t="s">
        <v>86</v>
      </c>
      <c r="L83" s="298" t="s">
        <v>87</v>
      </c>
      <c r="M83" s="298" t="s">
        <v>88</v>
      </c>
      <c r="N83" s="298" t="s">
        <v>89</v>
      </c>
      <c r="O83" s="298" t="s">
        <v>90</v>
      </c>
      <c r="P83" s="298" t="s">
        <v>91</v>
      </c>
      <c r="Q83" s="298" t="s">
        <v>33</v>
      </c>
      <c r="R83" s="299" t="s">
        <v>92</v>
      </c>
    </row>
    <row r="84" spans="2:18" x14ac:dyDescent="0.2">
      <c r="B84" s="125">
        <v>1</v>
      </c>
      <c r="C84" s="124" t="s">
        <v>101</v>
      </c>
      <c r="D84" s="125" t="s">
        <v>102</v>
      </c>
      <c r="E84" s="296">
        <v>168185.15019400002</v>
      </c>
      <c r="F84" s="296">
        <v>158062.14707800001</v>
      </c>
      <c r="G84" s="296">
        <v>216978.48209999999</v>
      </c>
      <c r="H84" s="296">
        <v>81487.293386000005</v>
      </c>
      <c r="I84" s="296">
        <v>87640.263248999996</v>
      </c>
      <c r="J84" s="296">
        <v>191105.89667399999</v>
      </c>
      <c r="K84" s="296">
        <v>197013.94226399998</v>
      </c>
      <c r="L84" s="296">
        <v>273001.43191099999</v>
      </c>
      <c r="M84" s="296">
        <v>116551.14678400001</v>
      </c>
      <c r="N84" s="296">
        <v>77718.405174</v>
      </c>
      <c r="O84" s="296">
        <v>58582.504608000003</v>
      </c>
      <c r="P84" s="296">
        <v>160459.4523</v>
      </c>
      <c r="Q84" s="296">
        <f>SUM(E84:P84)</f>
        <v>1786786.1157219999</v>
      </c>
      <c r="R84" s="296">
        <f>Q84/12</f>
        <v>148898.84297683332</v>
      </c>
    </row>
    <row r="85" spans="2:18" x14ac:dyDescent="0.2">
      <c r="B85" s="125">
        <v>2</v>
      </c>
      <c r="C85" s="124" t="s">
        <v>103</v>
      </c>
      <c r="D85" s="125" t="s">
        <v>104</v>
      </c>
      <c r="E85" s="296">
        <v>17625.288772</v>
      </c>
      <c r="F85" s="296">
        <v>20431.525532</v>
      </c>
      <c r="G85" s="296">
        <v>28651.757399999999</v>
      </c>
      <c r="H85" s="296">
        <v>9503.944426</v>
      </c>
      <c r="I85" s="296">
        <v>12089.827463999998</v>
      </c>
      <c r="J85" s="296">
        <v>24694.192404000001</v>
      </c>
      <c r="K85" s="296">
        <v>23772.381543999996</v>
      </c>
      <c r="L85" s="296">
        <v>32016.783318000002</v>
      </c>
      <c r="M85" s="296">
        <v>11427.001920000001</v>
      </c>
      <c r="N85" s="296">
        <v>8720.5024259999991</v>
      </c>
      <c r="O85" s="296">
        <v>7403.500704</v>
      </c>
      <c r="P85" s="296">
        <v>17247.1446</v>
      </c>
      <c r="Q85" s="296">
        <f t="shared" ref="Q85:Q91" si="19">SUM(E85:P85)</f>
        <v>213583.85051000002</v>
      </c>
      <c r="R85" s="296">
        <f t="shared" ref="R85:R91" si="20">Q85/12</f>
        <v>17798.654209166667</v>
      </c>
    </row>
    <row r="86" spans="2:18" x14ac:dyDescent="0.2">
      <c r="B86" s="125">
        <v>3</v>
      </c>
      <c r="C86" s="124" t="s">
        <v>105</v>
      </c>
      <c r="D86" s="125" t="s">
        <v>106</v>
      </c>
      <c r="E86" s="296">
        <v>4763.5093140000008</v>
      </c>
      <c r="F86" s="296">
        <v>4330.9179759999997</v>
      </c>
      <c r="G86" s="296">
        <v>8345.1165299999993</v>
      </c>
      <c r="H86" s="296">
        <v>2826.373118</v>
      </c>
      <c r="I86" s="296">
        <v>4286.1891269999996</v>
      </c>
      <c r="J86" s="296">
        <v>8097.5906850000001</v>
      </c>
      <c r="K86" s="296">
        <v>7321.8895519999996</v>
      </c>
      <c r="L86" s="296">
        <v>9518.8591680000009</v>
      </c>
      <c r="M86" s="296">
        <v>3697.3951040000002</v>
      </c>
      <c r="N86" s="296">
        <v>2909.6131359999999</v>
      </c>
      <c r="O86" s="296">
        <v>2389.6462080000001</v>
      </c>
      <c r="P86" s="296">
        <v>5439.5716199999997</v>
      </c>
      <c r="Q86" s="296">
        <f t="shared" si="19"/>
        <v>63926.671538000002</v>
      </c>
      <c r="R86" s="296">
        <f t="shared" si="20"/>
        <v>5327.2226281666672</v>
      </c>
    </row>
    <row r="87" spans="2:18" x14ac:dyDescent="0.2">
      <c r="B87" s="125">
        <v>4</v>
      </c>
      <c r="C87" s="124" t="s">
        <v>107</v>
      </c>
      <c r="D87" s="125" t="s">
        <v>108</v>
      </c>
      <c r="E87" s="296">
        <v>68717.621550000011</v>
      </c>
      <c r="F87" s="296">
        <v>64094.088068999998</v>
      </c>
      <c r="G87" s="296">
        <v>126120.12824999998</v>
      </c>
      <c r="H87" s="296">
        <v>43227.553330000002</v>
      </c>
      <c r="I87" s="296">
        <v>64078.312088999999</v>
      </c>
      <c r="J87" s="296">
        <v>123582.46122</v>
      </c>
      <c r="K87" s="296">
        <v>99863.556008</v>
      </c>
      <c r="L87" s="296">
        <v>132006.93227800002</v>
      </c>
      <c r="M87" s="296">
        <v>51271.765312000003</v>
      </c>
      <c r="N87" s="296">
        <v>39528.048039000001</v>
      </c>
      <c r="O87" s="296">
        <v>37539.548351999998</v>
      </c>
      <c r="P87" s="296">
        <v>82262.369237999999</v>
      </c>
      <c r="Q87" s="296">
        <f t="shared" si="19"/>
        <v>932292.38373500016</v>
      </c>
      <c r="R87" s="296">
        <f t="shared" si="20"/>
        <v>77691.031977916675</v>
      </c>
    </row>
    <row r="88" spans="2:18" x14ac:dyDescent="0.2">
      <c r="B88" s="125">
        <v>6</v>
      </c>
      <c r="C88" s="124" t="s">
        <v>134</v>
      </c>
      <c r="D88" s="125" t="s">
        <v>108</v>
      </c>
      <c r="E88" s="296">
        <v>50744.400300000001</v>
      </c>
      <c r="F88" s="296">
        <v>27049.789624999998</v>
      </c>
      <c r="G88" s="296">
        <v>19672.566403000001</v>
      </c>
      <c r="H88" s="296">
        <v>31382.195575999998</v>
      </c>
      <c r="I88" s="296">
        <v>30879.937152000002</v>
      </c>
      <c r="J88" s="296">
        <v>38295.985103999999</v>
      </c>
      <c r="K88" s="296">
        <v>25662.365514000001</v>
      </c>
      <c r="L88" s="296">
        <v>27880.928799999998</v>
      </c>
      <c r="M88" s="296">
        <v>18574.22813</v>
      </c>
      <c r="N88" s="296">
        <v>27590.44198668715</v>
      </c>
      <c r="O88" s="296">
        <v>18327.603393999998</v>
      </c>
      <c r="P88" s="296">
        <v>26398.98</v>
      </c>
      <c r="Q88" s="296">
        <f t="shared" si="19"/>
        <v>342459.4219846871</v>
      </c>
      <c r="R88" s="296">
        <f t="shared" si="20"/>
        <v>28538.285165390593</v>
      </c>
    </row>
    <row r="89" spans="2:18" x14ac:dyDescent="0.2">
      <c r="B89" s="125">
        <v>5</v>
      </c>
      <c r="C89" s="124" t="s">
        <v>109</v>
      </c>
      <c r="D89" s="125" t="s">
        <v>110</v>
      </c>
      <c r="E89" s="296">
        <v>7826.3842200000008</v>
      </c>
      <c r="F89" s="296">
        <v>7645.5720549999996</v>
      </c>
      <c r="G89" s="296">
        <v>15661.853669999999</v>
      </c>
      <c r="H89" s="296">
        <v>4281.4097540000002</v>
      </c>
      <c r="I89" s="296">
        <v>7172.5588769999995</v>
      </c>
      <c r="J89" s="296">
        <v>12114.194504999999</v>
      </c>
      <c r="K89" s="296">
        <v>9334.5139519999993</v>
      </c>
      <c r="L89" s="296">
        <v>14378.279526</v>
      </c>
      <c r="M89" s="296">
        <v>5564.4273280000007</v>
      </c>
      <c r="N89" s="296">
        <v>4594.1231330000001</v>
      </c>
      <c r="O89" s="296">
        <v>3902.060688</v>
      </c>
      <c r="P89" s="296">
        <v>7743.5217510000002</v>
      </c>
      <c r="Q89" s="296">
        <f t="shared" si="19"/>
        <v>100218.89945900001</v>
      </c>
      <c r="R89" s="296">
        <f t="shared" si="20"/>
        <v>8351.5749549166667</v>
      </c>
    </row>
    <row r="90" spans="2:18" x14ac:dyDescent="0.2">
      <c r="B90" s="125">
        <v>8</v>
      </c>
      <c r="C90" s="124" t="s">
        <v>111</v>
      </c>
      <c r="D90" s="125" t="s">
        <v>77</v>
      </c>
      <c r="E90" s="296">
        <v>2619.7141060000004</v>
      </c>
      <c r="F90" s="296">
        <v>2713.7557919999999</v>
      </c>
      <c r="G90" s="296">
        <v>4855.6593599999997</v>
      </c>
      <c r="H90" s="296">
        <v>1863.544052</v>
      </c>
      <c r="I90" s="296">
        <v>2359.8601290000001</v>
      </c>
      <c r="J90" s="296">
        <v>3960.219294</v>
      </c>
      <c r="K90" s="296">
        <v>3146.0195439999998</v>
      </c>
      <c r="L90" s="296">
        <v>3901.0152740000003</v>
      </c>
      <c r="M90" s="296">
        <v>1975.8473600000002</v>
      </c>
      <c r="N90" s="296">
        <v>1801.481256</v>
      </c>
      <c r="O90" s="296">
        <v>1619.034672</v>
      </c>
      <c r="P90" s="296">
        <v>3114.155037</v>
      </c>
      <c r="Q90" s="296">
        <f t="shared" si="19"/>
        <v>33930.305875999999</v>
      </c>
      <c r="R90" s="296">
        <f t="shared" si="20"/>
        <v>2827.5254896666665</v>
      </c>
    </row>
    <row r="91" spans="2:18" x14ac:dyDescent="0.2">
      <c r="B91" s="131"/>
      <c r="C91" s="131" t="s">
        <v>33</v>
      </c>
      <c r="D91" s="131"/>
      <c r="E91" s="300">
        <f t="shared" ref="E91:P91" si="21">SUM(E84:E90)</f>
        <v>320482.06845600007</v>
      </c>
      <c r="F91" s="300">
        <f t="shared" si="21"/>
        <v>284327.79612699995</v>
      </c>
      <c r="G91" s="300">
        <f t="shared" si="21"/>
        <v>420285.56371299992</v>
      </c>
      <c r="H91" s="300">
        <f t="shared" si="21"/>
        <v>174572.31364200002</v>
      </c>
      <c r="I91" s="300">
        <f t="shared" si="21"/>
        <v>208506.948087</v>
      </c>
      <c r="J91" s="300">
        <f t="shared" si="21"/>
        <v>401850.53988600004</v>
      </c>
      <c r="K91" s="300">
        <f t="shared" si="21"/>
        <v>366114.66837799997</v>
      </c>
      <c r="L91" s="300">
        <f t="shared" si="21"/>
        <v>492704.23027499998</v>
      </c>
      <c r="M91" s="300">
        <f t="shared" si="21"/>
        <v>209061.81193800003</v>
      </c>
      <c r="N91" s="300">
        <f t="shared" si="21"/>
        <v>162862.61515068714</v>
      </c>
      <c r="O91" s="300">
        <f t="shared" si="21"/>
        <v>129763.89862599999</v>
      </c>
      <c r="P91" s="300">
        <f t="shared" si="21"/>
        <v>302665.19454600004</v>
      </c>
      <c r="Q91" s="300">
        <f t="shared" si="19"/>
        <v>3473197.6488246876</v>
      </c>
      <c r="R91" s="300">
        <f t="shared" si="20"/>
        <v>289433.1374020573</v>
      </c>
    </row>
    <row r="93" spans="2:18" x14ac:dyDescent="0.2">
      <c r="B93" s="110" t="s">
        <v>123</v>
      </c>
    </row>
    <row r="94" spans="2:18" x14ac:dyDescent="0.2">
      <c r="E94" s="298" t="s">
        <v>80</v>
      </c>
      <c r="F94" s="298" t="s">
        <v>81</v>
      </c>
      <c r="G94" s="298" t="s">
        <v>82</v>
      </c>
      <c r="H94" s="298" t="s">
        <v>83</v>
      </c>
      <c r="I94" s="298" t="s">
        <v>84</v>
      </c>
      <c r="J94" s="298" t="s">
        <v>85</v>
      </c>
      <c r="K94" s="298" t="s">
        <v>86</v>
      </c>
      <c r="L94" s="298" t="s">
        <v>87</v>
      </c>
      <c r="M94" s="298" t="s">
        <v>88</v>
      </c>
      <c r="N94" s="298" t="s">
        <v>89</v>
      </c>
      <c r="O94" s="298" t="s">
        <v>90</v>
      </c>
      <c r="P94" s="298" t="s">
        <v>91</v>
      </c>
      <c r="Q94" s="298" t="s">
        <v>33</v>
      </c>
      <c r="R94" s="299" t="s">
        <v>92</v>
      </c>
    </row>
    <row r="95" spans="2:18" x14ac:dyDescent="0.2">
      <c r="B95" s="125">
        <v>1</v>
      </c>
      <c r="C95" s="124" t="s">
        <v>101</v>
      </c>
      <c r="D95" s="125" t="s">
        <v>102</v>
      </c>
      <c r="E95" s="296">
        <v>-276820.65956900001</v>
      </c>
      <c r="F95" s="296">
        <v>-223082.387426</v>
      </c>
      <c r="G95" s="296">
        <v>-51947.617050000001</v>
      </c>
      <c r="H95" s="296">
        <v>-43727.111040000003</v>
      </c>
      <c r="I95" s="296">
        <v>-98626.343773999994</v>
      </c>
      <c r="J95" s="296">
        <v>-167288.61780400001</v>
      </c>
      <c r="K95" s="296">
        <v>-177666.61674</v>
      </c>
      <c r="L95" s="296">
        <v>-182990.97643900002</v>
      </c>
      <c r="M95" s="296">
        <v>-118990.43397299999</v>
      </c>
      <c r="N95" s="296">
        <v>-31896.272862000002</v>
      </c>
      <c r="O95" s="296">
        <v>-101338.92959</v>
      </c>
      <c r="P95" s="296">
        <v>-273099.67580000003</v>
      </c>
      <c r="Q95" s="296">
        <f>SUM(E95:P95)</f>
        <v>-1747475.642067</v>
      </c>
      <c r="R95" s="296">
        <f>Q95/12</f>
        <v>-145622.97017225</v>
      </c>
    </row>
    <row r="96" spans="2:18" x14ac:dyDescent="0.2">
      <c r="B96" s="125">
        <v>2</v>
      </c>
      <c r="C96" s="124" t="s">
        <v>103</v>
      </c>
      <c r="D96" s="125" t="s">
        <v>104</v>
      </c>
      <c r="E96" s="296">
        <v>-29753.759812</v>
      </c>
      <c r="F96" s="296">
        <v>-25152.836127999999</v>
      </c>
      <c r="G96" s="296">
        <v>-5932.1575119999998</v>
      </c>
      <c r="H96" s="296">
        <v>-9754.3791180000007</v>
      </c>
      <c r="I96" s="296">
        <v>-15219.384721999999</v>
      </c>
      <c r="J96" s="296">
        <v>-19698.034904</v>
      </c>
      <c r="K96" s="296">
        <v>-20739.292742000001</v>
      </c>
      <c r="L96" s="296">
        <v>-19911.436777000003</v>
      </c>
      <c r="M96" s="296">
        <v>-8455.9461459999984</v>
      </c>
      <c r="N96" s="296">
        <v>-9110.0094699999991</v>
      </c>
      <c r="O96" s="296">
        <v>-16942.944285999998</v>
      </c>
      <c r="P96" s="296">
        <v>-28343.759472999998</v>
      </c>
      <c r="Q96" s="296">
        <f t="shared" ref="Q96:Q102" si="22">SUM(E96:P96)</f>
        <v>-209013.94109000004</v>
      </c>
      <c r="R96" s="296">
        <f t="shared" ref="R96:R102" si="23">Q96/12</f>
        <v>-17417.82842416667</v>
      </c>
    </row>
    <row r="97" spans="2:18" x14ac:dyDescent="0.2">
      <c r="B97" s="125">
        <v>3</v>
      </c>
      <c r="C97" s="124" t="s">
        <v>105</v>
      </c>
      <c r="D97" s="125" t="s">
        <v>106</v>
      </c>
      <c r="E97" s="296">
        <v>-8102.944117</v>
      </c>
      <c r="F97" s="296">
        <v>-5063.8789759999991</v>
      </c>
      <c r="G97" s="296">
        <v>-1594.2883939999999</v>
      </c>
      <c r="H97" s="296">
        <v>-3693.0798839999998</v>
      </c>
      <c r="I97" s="296">
        <v>-5669.4143260000001</v>
      </c>
      <c r="J97" s="296">
        <v>-6153.1416300000001</v>
      </c>
      <c r="K97" s="296">
        <v>-6274.3176760000006</v>
      </c>
      <c r="L97" s="296">
        <v>-5664.5059439999995</v>
      </c>
      <c r="M97" s="296">
        <v>-2438.7028969999997</v>
      </c>
      <c r="N97" s="296">
        <v>-3560.5604239999998</v>
      </c>
      <c r="O97" s="296">
        <v>-5845.2828159999999</v>
      </c>
      <c r="P97" s="296">
        <v>-8841.4381229999999</v>
      </c>
      <c r="Q97" s="296">
        <f t="shared" si="22"/>
        <v>-62901.555206999998</v>
      </c>
      <c r="R97" s="296">
        <f t="shared" si="23"/>
        <v>-5241.7962672499998</v>
      </c>
    </row>
    <row r="98" spans="2:18" x14ac:dyDescent="0.2">
      <c r="B98" s="125">
        <v>4</v>
      </c>
      <c r="C98" s="124" t="s">
        <v>107</v>
      </c>
      <c r="D98" s="125" t="s">
        <v>108</v>
      </c>
      <c r="E98" s="296">
        <v>-117085.92451700001</v>
      </c>
      <c r="F98" s="296">
        <v>-74957.530786999996</v>
      </c>
      <c r="G98" s="296">
        <v>-24086.792505000001</v>
      </c>
      <c r="H98" s="296">
        <v>-55686.534336000004</v>
      </c>
      <c r="I98" s="296">
        <v>-83824.705402000007</v>
      </c>
      <c r="J98" s="296">
        <v>-94785.993224000005</v>
      </c>
      <c r="K98" s="296">
        <v>-85779.61138100001</v>
      </c>
      <c r="L98" s="296">
        <v>-79217.020457999999</v>
      </c>
      <c r="M98" s="296">
        <v>-35319.11017</v>
      </c>
      <c r="N98" s="296">
        <v>-47961.090225</v>
      </c>
      <c r="O98" s="296">
        <v>-91033.934315999999</v>
      </c>
      <c r="P98" s="296">
        <v>-133680.901319</v>
      </c>
      <c r="Q98" s="296">
        <f t="shared" si="22"/>
        <v>-923419.14864000003</v>
      </c>
      <c r="R98" s="296">
        <f t="shared" si="23"/>
        <v>-76951.595719999998</v>
      </c>
    </row>
    <row r="99" spans="2:18" x14ac:dyDescent="0.2">
      <c r="B99" s="125">
        <v>6</v>
      </c>
      <c r="C99" s="124" t="s">
        <v>134</v>
      </c>
      <c r="D99" s="125" t="s">
        <v>108</v>
      </c>
      <c r="E99" s="296">
        <v>-21535.42842</v>
      </c>
      <c r="F99" s="296">
        <v>-23451.538540000001</v>
      </c>
      <c r="G99" s="296">
        <v>-25084.309579000001</v>
      </c>
      <c r="H99" s="296">
        <v>-31304.074890000004</v>
      </c>
      <c r="I99" s="296">
        <v>-28984.715784</v>
      </c>
      <c r="J99" s="296">
        <v>-23820.012996000001</v>
      </c>
      <c r="K99" s="296">
        <v>-21166.139916</v>
      </c>
      <c r="L99" s="296">
        <v>-16323.83412</v>
      </c>
      <c r="M99" s="296">
        <v>-38332.365984999997</v>
      </c>
      <c r="N99" s="296">
        <v>-40685.180256016385</v>
      </c>
      <c r="O99" s="296">
        <v>-39339.007285</v>
      </c>
      <c r="P99" s="296">
        <v>-30438.899999999998</v>
      </c>
      <c r="Q99" s="296">
        <f t="shared" si="22"/>
        <v>-340465.50777101639</v>
      </c>
      <c r="R99" s="296">
        <f t="shared" si="23"/>
        <v>-28372.1256475847</v>
      </c>
    </row>
    <row r="100" spans="2:18" x14ac:dyDescent="0.2">
      <c r="B100" s="125">
        <v>5</v>
      </c>
      <c r="C100" s="124" t="s">
        <v>109</v>
      </c>
      <c r="D100" s="125" t="s">
        <v>110</v>
      </c>
      <c r="E100" s="296">
        <v>-13402.561650000001</v>
      </c>
      <c r="F100" s="296">
        <v>-8685.888504999999</v>
      </c>
      <c r="G100" s="296">
        <v>-2884.0937920000001</v>
      </c>
      <c r="H100" s="296">
        <v>-5966.2126980000003</v>
      </c>
      <c r="I100" s="296">
        <v>-9586.8669009999994</v>
      </c>
      <c r="J100" s="296">
        <v>-9077.4320699999989</v>
      </c>
      <c r="K100" s="296">
        <v>-7952.011324000001</v>
      </c>
      <c r="L100" s="296">
        <v>-8443.3055760000007</v>
      </c>
      <c r="M100" s="296">
        <v>-3396.4064739999999</v>
      </c>
      <c r="N100" s="296">
        <v>-6284.8864299999996</v>
      </c>
      <c r="O100" s="296">
        <v>-9916.4049109999996</v>
      </c>
      <c r="P100" s="296">
        <v>-12494.949963000001</v>
      </c>
      <c r="Q100" s="296">
        <f t="shared" si="22"/>
        <v>-98091.020294000016</v>
      </c>
      <c r="R100" s="296">
        <f t="shared" si="23"/>
        <v>-8174.251691166668</v>
      </c>
    </row>
    <row r="101" spans="2:18" x14ac:dyDescent="0.2">
      <c r="B101" s="125">
        <v>8</v>
      </c>
      <c r="C101" s="124" t="s">
        <v>111</v>
      </c>
      <c r="D101" s="125" t="s">
        <v>77</v>
      </c>
      <c r="E101" s="296">
        <v>-4311.8609809999998</v>
      </c>
      <c r="F101" s="296">
        <v>-3830.082864</v>
      </c>
      <c r="G101" s="296">
        <v>-1162.5112799999999</v>
      </c>
      <c r="H101" s="296">
        <v>-1000.0012800000001</v>
      </c>
      <c r="I101" s="296">
        <v>-2655.6786539999998</v>
      </c>
      <c r="J101" s="296">
        <v>-3466.6623239999999</v>
      </c>
      <c r="K101" s="296">
        <v>-2837.0715399999999</v>
      </c>
      <c r="L101" s="296">
        <v>-2614.8236260000003</v>
      </c>
      <c r="M101" s="296">
        <v>-2017.19967</v>
      </c>
      <c r="N101" s="296">
        <v>-739.34272799999997</v>
      </c>
      <c r="O101" s="296">
        <v>-2800.6866850000001</v>
      </c>
      <c r="P101" s="296">
        <v>-5300.2470020000001</v>
      </c>
      <c r="Q101" s="296">
        <f t="shared" si="22"/>
        <v>-32736.168634000001</v>
      </c>
      <c r="R101" s="296">
        <f t="shared" si="23"/>
        <v>-2728.0140528333336</v>
      </c>
    </row>
    <row r="102" spans="2:18" x14ac:dyDescent="0.2">
      <c r="B102" s="131"/>
      <c r="C102" s="131" t="s">
        <v>33</v>
      </c>
      <c r="D102" s="131"/>
      <c r="E102" s="300">
        <f t="shared" ref="E102:P102" si="24">SUM(E95:E101)</f>
        <v>-471013.13906599995</v>
      </c>
      <c r="F102" s="300">
        <f t="shared" si="24"/>
        <v>-364224.14322599996</v>
      </c>
      <c r="G102" s="300">
        <f t="shared" si="24"/>
        <v>-112691.770112</v>
      </c>
      <c r="H102" s="300">
        <f t="shared" si="24"/>
        <v>-151131.39324599999</v>
      </c>
      <c r="I102" s="300">
        <f t="shared" si="24"/>
        <v>-244567.10956300001</v>
      </c>
      <c r="J102" s="300">
        <f t="shared" si="24"/>
        <v>-324289.89495199994</v>
      </c>
      <c r="K102" s="300">
        <f t="shared" si="24"/>
        <v>-322415.06131900003</v>
      </c>
      <c r="L102" s="300">
        <f t="shared" si="24"/>
        <v>-315165.90294000006</v>
      </c>
      <c r="M102" s="300">
        <f t="shared" si="24"/>
        <v>-208950.16531499996</v>
      </c>
      <c r="N102" s="300">
        <f t="shared" si="24"/>
        <v>-140237.3423950164</v>
      </c>
      <c r="O102" s="300">
        <f t="shared" si="24"/>
        <v>-267217.18988900003</v>
      </c>
      <c r="P102" s="300">
        <f t="shared" si="24"/>
        <v>-492199.87168000004</v>
      </c>
      <c r="Q102" s="300">
        <f t="shared" si="22"/>
        <v>-3414102.9837030163</v>
      </c>
      <c r="R102" s="300">
        <f t="shared" si="23"/>
        <v>-284508.58197525138</v>
      </c>
    </row>
    <row r="104" spans="2:18" x14ac:dyDescent="0.2">
      <c r="B104" s="110" t="s">
        <v>124</v>
      </c>
    </row>
    <row r="105" spans="2:18" x14ac:dyDescent="0.2">
      <c r="E105" s="298" t="s">
        <v>80</v>
      </c>
      <c r="F105" s="298" t="s">
        <v>81</v>
      </c>
      <c r="G105" s="298" t="s">
        <v>82</v>
      </c>
      <c r="H105" s="298" t="s">
        <v>83</v>
      </c>
      <c r="I105" s="298" t="s">
        <v>84</v>
      </c>
      <c r="J105" s="298" t="s">
        <v>85</v>
      </c>
      <c r="K105" s="298" t="s">
        <v>86</v>
      </c>
      <c r="L105" s="298" t="s">
        <v>87</v>
      </c>
      <c r="M105" s="298" t="s">
        <v>88</v>
      </c>
      <c r="N105" s="298" t="s">
        <v>89</v>
      </c>
      <c r="O105" s="298" t="s">
        <v>90</v>
      </c>
      <c r="P105" s="298" t="s">
        <v>91</v>
      </c>
      <c r="Q105" s="298" t="s">
        <v>33</v>
      </c>
      <c r="R105" s="299" t="s">
        <v>92</v>
      </c>
    </row>
    <row r="106" spans="2:18" x14ac:dyDescent="0.2">
      <c r="B106" s="125">
        <v>1</v>
      </c>
      <c r="C106" s="124" t="s">
        <v>101</v>
      </c>
      <c r="D106" s="125" t="s">
        <v>102</v>
      </c>
      <c r="E106" s="296">
        <v>242683.03710300001</v>
      </c>
      <c r="F106" s="296">
        <v>229285.18120799999</v>
      </c>
      <c r="G106" s="296">
        <v>112612.0678</v>
      </c>
      <c r="H106" s="296">
        <v>104079.63409000001</v>
      </c>
      <c r="I106" s="296">
        <v>137966.06516699999</v>
      </c>
      <c r="J106" s="296">
        <v>183973.053572</v>
      </c>
      <c r="K106" s="296">
        <v>213010.26042599999</v>
      </c>
      <c r="L106" s="296">
        <v>244768.338735</v>
      </c>
      <c r="M106" s="296">
        <v>71307.381662</v>
      </c>
      <c r="N106" s="296">
        <v>42455.707157999997</v>
      </c>
      <c r="O106" s="296">
        <v>116424.72483400001</v>
      </c>
      <c r="P106" s="296">
        <v>194462.9841</v>
      </c>
      <c r="Q106" s="296">
        <f>SUM(E106:P106)</f>
        <v>1893028.435855</v>
      </c>
      <c r="R106" s="296">
        <f>Q106/12</f>
        <v>157752.36965458334</v>
      </c>
    </row>
    <row r="107" spans="2:18" x14ac:dyDescent="0.2">
      <c r="B107" s="125">
        <v>2</v>
      </c>
      <c r="C107" s="124" t="s">
        <v>103</v>
      </c>
      <c r="D107" s="125" t="s">
        <v>104</v>
      </c>
      <c r="E107" s="296">
        <v>25432.439214000002</v>
      </c>
      <c r="F107" s="296">
        <v>29638.000752</v>
      </c>
      <c r="G107" s="296">
        <v>14870.2932</v>
      </c>
      <c r="H107" s="296">
        <v>12138.911690000001</v>
      </c>
      <c r="I107" s="296">
        <v>19032.187512</v>
      </c>
      <c r="J107" s="296">
        <v>23772.505512</v>
      </c>
      <c r="K107" s="296">
        <v>25702.552446000002</v>
      </c>
      <c r="L107" s="296">
        <v>28705.691429999999</v>
      </c>
      <c r="M107" s="296">
        <v>6991.1760599999998</v>
      </c>
      <c r="N107" s="296">
        <v>4763.8020420000003</v>
      </c>
      <c r="O107" s="296">
        <v>14713.446242000002</v>
      </c>
      <c r="P107" s="296">
        <v>20902.048200000001</v>
      </c>
      <c r="Q107" s="296">
        <f t="shared" ref="Q107:Q113" si="25">SUM(E107:P107)</f>
        <v>226663.05429999999</v>
      </c>
      <c r="R107" s="296">
        <f t="shared" ref="R107:R113" si="26">Q107/12</f>
        <v>18888.587858333332</v>
      </c>
    </row>
    <row r="108" spans="2:18" x14ac:dyDescent="0.2">
      <c r="B108" s="125">
        <v>3</v>
      </c>
      <c r="C108" s="124" t="s">
        <v>105</v>
      </c>
      <c r="D108" s="125" t="s">
        <v>106</v>
      </c>
      <c r="E108" s="296">
        <v>6873.513543</v>
      </c>
      <c r="F108" s="296">
        <v>6282.4359359999999</v>
      </c>
      <c r="G108" s="296">
        <v>4331.1245400000007</v>
      </c>
      <c r="H108" s="296">
        <v>3609.9846699999998</v>
      </c>
      <c r="I108" s="296">
        <v>6747.454041</v>
      </c>
      <c r="J108" s="296">
        <v>7795.3559299999997</v>
      </c>
      <c r="K108" s="296">
        <v>7916.3818679999995</v>
      </c>
      <c r="L108" s="296">
        <v>8534.4436800000003</v>
      </c>
      <c r="M108" s="296">
        <v>2262.1104220000002</v>
      </c>
      <c r="N108" s="296">
        <v>1589.4521119999999</v>
      </c>
      <c r="O108" s="296">
        <v>4749.0953840000002</v>
      </c>
      <c r="P108" s="296">
        <v>6592.29054</v>
      </c>
      <c r="Q108" s="296">
        <f t="shared" si="25"/>
        <v>67283.642666</v>
      </c>
      <c r="R108" s="296">
        <f t="shared" si="26"/>
        <v>5606.9702221666666</v>
      </c>
    </row>
    <row r="109" spans="2:18" x14ac:dyDescent="0.2">
      <c r="B109" s="125">
        <v>4</v>
      </c>
      <c r="C109" s="124" t="s">
        <v>107</v>
      </c>
      <c r="D109" s="125" t="s">
        <v>108</v>
      </c>
      <c r="E109" s="296">
        <v>99156.204225000009</v>
      </c>
      <c r="F109" s="296">
        <v>92974.977683999998</v>
      </c>
      <c r="G109" s="296">
        <v>65456.483500000002</v>
      </c>
      <c r="H109" s="296">
        <v>55212.386450000005</v>
      </c>
      <c r="I109" s="296">
        <v>100874.098887</v>
      </c>
      <c r="J109" s="296">
        <v>118969.86515999999</v>
      </c>
      <c r="K109" s="296">
        <v>107971.861422</v>
      </c>
      <c r="L109" s="296">
        <v>118355.12102999999</v>
      </c>
      <c r="M109" s="296">
        <v>31368.677516000003</v>
      </c>
      <c r="N109" s="296">
        <v>21593.227863</v>
      </c>
      <c r="O109" s="296">
        <v>74604.723996000015</v>
      </c>
      <c r="P109" s="296">
        <v>99694.879746000006</v>
      </c>
      <c r="Q109" s="296">
        <f t="shared" si="25"/>
        <v>986232.50747900014</v>
      </c>
      <c r="R109" s="296">
        <f t="shared" si="26"/>
        <v>82186.042289916673</v>
      </c>
    </row>
    <row r="110" spans="2:18" x14ac:dyDescent="0.2">
      <c r="B110" s="125">
        <v>6</v>
      </c>
      <c r="C110" s="124" t="s">
        <v>134</v>
      </c>
      <c r="D110" s="125" t="s">
        <v>108</v>
      </c>
      <c r="E110" s="296">
        <v>33109.002211999999</v>
      </c>
      <c r="F110" s="296">
        <v>30290.731861</v>
      </c>
      <c r="G110" s="296">
        <v>33102.929041000003</v>
      </c>
      <c r="H110" s="296">
        <v>33586.314931000001</v>
      </c>
      <c r="I110" s="296">
        <v>34884.823896000002</v>
      </c>
      <c r="J110" s="296">
        <v>33758.572692000002</v>
      </c>
      <c r="K110" s="296">
        <v>34562.939813999998</v>
      </c>
      <c r="L110" s="296">
        <v>27066.985556</v>
      </c>
      <c r="M110" s="296">
        <v>31670.900599000001</v>
      </c>
      <c r="N110" s="296">
        <v>33609.181111999998</v>
      </c>
      <c r="O110" s="296">
        <v>32502.606018999999</v>
      </c>
      <c r="P110" s="296">
        <v>33586.019999999997</v>
      </c>
      <c r="Q110" s="296">
        <f t="shared" si="25"/>
        <v>391731.00773300003</v>
      </c>
      <c r="R110" s="296">
        <f t="shared" si="26"/>
        <v>32644.250644416668</v>
      </c>
    </row>
    <row r="111" spans="2:18" x14ac:dyDescent="0.2">
      <c r="B111" s="125">
        <v>5</v>
      </c>
      <c r="C111" s="124" t="s">
        <v>109</v>
      </c>
      <c r="D111" s="125" t="s">
        <v>110</v>
      </c>
      <c r="E111" s="296">
        <v>11293.09389</v>
      </c>
      <c r="F111" s="296">
        <v>11090.67798</v>
      </c>
      <c r="G111" s="296">
        <v>8128.5190600000005</v>
      </c>
      <c r="H111" s="296">
        <v>5468.43001</v>
      </c>
      <c r="I111" s="296">
        <v>11291.268291</v>
      </c>
      <c r="J111" s="296">
        <v>11662.043889999999</v>
      </c>
      <c r="K111" s="296">
        <v>10092.418968</v>
      </c>
      <c r="L111" s="296">
        <v>12891.31551</v>
      </c>
      <c r="M111" s="296">
        <v>3404.3830040000003</v>
      </c>
      <c r="N111" s="296">
        <v>2509.6596610000001</v>
      </c>
      <c r="O111" s="296">
        <v>7754.8125490000002</v>
      </c>
      <c r="P111" s="296">
        <v>9384.4789170000004</v>
      </c>
      <c r="Q111" s="296">
        <f t="shared" si="25"/>
        <v>104971.10172999999</v>
      </c>
      <c r="R111" s="296">
        <f t="shared" si="26"/>
        <v>8747.5918108333335</v>
      </c>
    </row>
    <row r="112" spans="2:18" x14ac:dyDescent="0.2">
      <c r="B112" s="125">
        <v>8</v>
      </c>
      <c r="C112" s="124" t="s">
        <v>111</v>
      </c>
      <c r="D112" s="125" t="s">
        <v>77</v>
      </c>
      <c r="E112" s="296">
        <v>3780.1207469999999</v>
      </c>
      <c r="F112" s="296">
        <v>3936.5781119999997</v>
      </c>
      <c r="G112" s="296">
        <v>2520.0924800000003</v>
      </c>
      <c r="H112" s="296">
        <v>2380.2113800000002</v>
      </c>
      <c r="I112" s="296">
        <v>3714.9662069999999</v>
      </c>
      <c r="J112" s="296">
        <v>3812.4079319999996</v>
      </c>
      <c r="K112" s="296">
        <v>3401.4569460000002</v>
      </c>
      <c r="L112" s="296">
        <v>3497.5824899999998</v>
      </c>
      <c r="M112" s="296">
        <v>1208.84698</v>
      </c>
      <c r="N112" s="296">
        <v>984.10615199999995</v>
      </c>
      <c r="O112" s="296">
        <v>3217.6102310000001</v>
      </c>
      <c r="P112" s="296">
        <v>3774.086679</v>
      </c>
      <c r="Q112" s="296">
        <f t="shared" si="25"/>
        <v>36228.066336000004</v>
      </c>
      <c r="R112" s="296">
        <f t="shared" si="26"/>
        <v>3019.0055280000001</v>
      </c>
    </row>
    <row r="113" spans="2:18" x14ac:dyDescent="0.2">
      <c r="B113" s="131"/>
      <c r="C113" s="131" t="s">
        <v>33</v>
      </c>
      <c r="D113" s="131"/>
      <c r="E113" s="300">
        <f t="shared" ref="E113:P113" si="27">SUM(E106:E112)</f>
        <v>422327.41093399998</v>
      </c>
      <c r="F113" s="300">
        <f t="shared" si="27"/>
        <v>403498.58353299997</v>
      </c>
      <c r="G113" s="300">
        <f t="shared" si="27"/>
        <v>241021.50962099998</v>
      </c>
      <c r="H113" s="300">
        <f t="shared" si="27"/>
        <v>216475.87322100002</v>
      </c>
      <c r="I113" s="300">
        <f t="shared" si="27"/>
        <v>314510.86400100001</v>
      </c>
      <c r="J113" s="300">
        <f t="shared" si="27"/>
        <v>383743.80468799995</v>
      </c>
      <c r="K113" s="300">
        <f t="shared" si="27"/>
        <v>402657.87188999995</v>
      </c>
      <c r="L113" s="300">
        <f t="shared" si="27"/>
        <v>443819.47843099997</v>
      </c>
      <c r="M113" s="300">
        <f t="shared" si="27"/>
        <v>148213.47624299998</v>
      </c>
      <c r="N113" s="300">
        <f t="shared" si="27"/>
        <v>107505.13609999999</v>
      </c>
      <c r="O113" s="300">
        <f t="shared" si="27"/>
        <v>253967.01925500002</v>
      </c>
      <c r="P113" s="300">
        <f t="shared" si="27"/>
        <v>368396.78818199999</v>
      </c>
      <c r="Q113" s="300">
        <f t="shared" si="25"/>
        <v>3706137.8160989997</v>
      </c>
      <c r="R113" s="300">
        <f t="shared" si="26"/>
        <v>308844.81800824997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79998168889431442"/>
  </sheetPr>
  <dimension ref="A3:C14"/>
  <sheetViews>
    <sheetView workbookViewId="0">
      <selection activeCell="B10" sqref="B10"/>
    </sheetView>
  </sheetViews>
  <sheetFormatPr defaultRowHeight="12.75" x14ac:dyDescent="0.2"/>
  <cols>
    <col min="1" max="1" width="9.140625" style="126"/>
    <col min="2" max="2" width="50.5703125" customWidth="1"/>
  </cols>
  <sheetData>
    <row r="3" spans="1:3" x14ac:dyDescent="0.2">
      <c r="B3" s="124" t="s">
        <v>4</v>
      </c>
      <c r="C3" s="124" t="s">
        <v>29</v>
      </c>
    </row>
    <row r="5" spans="1:3" x14ac:dyDescent="0.2">
      <c r="A5" s="126">
        <v>1</v>
      </c>
      <c r="B5" s="124" t="s">
        <v>101</v>
      </c>
      <c r="C5" s="125" t="s">
        <v>102</v>
      </c>
    </row>
    <row r="6" spans="1:3" x14ac:dyDescent="0.2">
      <c r="A6" s="126">
        <v>2</v>
      </c>
      <c r="B6" s="124" t="s">
        <v>103</v>
      </c>
      <c r="C6" s="125" t="s">
        <v>104</v>
      </c>
    </row>
    <row r="7" spans="1:3" x14ac:dyDescent="0.2">
      <c r="A7" s="126">
        <v>3</v>
      </c>
      <c r="B7" s="124" t="s">
        <v>130</v>
      </c>
      <c r="C7" s="125" t="s">
        <v>106</v>
      </c>
    </row>
    <row r="8" spans="1:3" x14ac:dyDescent="0.2">
      <c r="A8" s="126">
        <v>4</v>
      </c>
      <c r="B8" s="124" t="s">
        <v>107</v>
      </c>
      <c r="C8" s="125" t="s">
        <v>108</v>
      </c>
    </row>
    <row r="9" spans="1:3" x14ac:dyDescent="0.2">
      <c r="A9" s="126">
        <v>5</v>
      </c>
      <c r="B9" s="124" t="s">
        <v>159</v>
      </c>
      <c r="C9" s="125" t="s">
        <v>108</v>
      </c>
    </row>
    <row r="10" spans="1:3" x14ac:dyDescent="0.2">
      <c r="A10" s="126">
        <v>6</v>
      </c>
      <c r="B10" s="124" t="s">
        <v>109</v>
      </c>
      <c r="C10" s="125" t="s">
        <v>110</v>
      </c>
    </row>
    <row r="11" spans="1:3" x14ac:dyDescent="0.2">
      <c r="A11" s="126">
        <v>7</v>
      </c>
      <c r="B11" s="124" t="s">
        <v>111</v>
      </c>
      <c r="C11" s="125" t="s">
        <v>77</v>
      </c>
    </row>
    <row r="12" spans="1:3" x14ac:dyDescent="0.2">
      <c r="B12" s="124"/>
      <c r="C12" s="125"/>
    </row>
    <row r="13" spans="1:3" x14ac:dyDescent="0.2">
      <c r="B13" s="124"/>
      <c r="C13" s="125"/>
    </row>
    <row r="14" spans="1:3" x14ac:dyDescent="0.2">
      <c r="B14" s="124"/>
      <c r="C14" s="1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5"/>
  <sheetViews>
    <sheetView tabSelected="1" view="pageBreakPreview" zoomScale="75" zoomScaleNormal="85" zoomScaleSheetLayoutView="75" workbookViewId="0">
      <selection activeCell="O35" sqref="O35"/>
    </sheetView>
  </sheetViews>
  <sheetFormatPr defaultColWidth="9.140625" defaultRowHeight="15.75" x14ac:dyDescent="0.25"/>
  <cols>
    <col min="1" max="1" width="4.7109375" style="2" customWidth="1"/>
    <col min="2" max="2" width="15.4257812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8" style="2" customWidth="1"/>
    <col min="8" max="8" width="2.7109375" style="2" customWidth="1"/>
    <col min="9" max="9" width="15" style="2" bestFit="1" customWidth="1"/>
    <col min="10" max="11" width="16.42578125" style="2" customWidth="1"/>
    <col min="12" max="13" width="2.85546875" style="2" customWidth="1"/>
    <col min="14" max="14" width="4.7109375" style="2" customWidth="1"/>
    <col min="15" max="15" width="15.85546875" style="2" customWidth="1"/>
    <col min="16" max="16" width="3" style="2" customWidth="1"/>
    <col min="17" max="17" width="15.7109375" style="2" customWidth="1"/>
    <col min="18" max="18" width="15.140625" style="2" customWidth="1"/>
    <col min="19" max="19" width="2.42578125" style="2" customWidth="1"/>
    <col min="20" max="20" width="17.42578125" style="2" customWidth="1"/>
    <col min="21" max="21" width="11.28515625" style="2" customWidth="1"/>
    <col min="22" max="22" width="14.28515625" style="2" bestFit="1" customWidth="1"/>
    <col min="23" max="16384" width="9.140625" style="2"/>
  </cols>
  <sheetData>
    <row r="1" spans="1:22" x14ac:dyDescent="0.25">
      <c r="A1" s="1" t="str">
        <f>'Present and Proposed Rates'!A1</f>
        <v>JACKSON PURCHASE ENERGY CORPORATION</v>
      </c>
      <c r="O1" s="1"/>
    </row>
    <row r="2" spans="1:22" x14ac:dyDescent="0.25">
      <c r="A2" s="1" t="str">
        <f>List!B5</f>
        <v>R - Residential</v>
      </c>
    </row>
    <row r="3" spans="1:22" ht="16.5" thickBot="1" x14ac:dyDescent="0.3">
      <c r="A3" s="127" t="str">
        <f>List!C5</f>
        <v>R</v>
      </c>
    </row>
    <row r="4" spans="1:22" x14ac:dyDescent="0.25">
      <c r="D4" s="318" t="s">
        <v>18</v>
      </c>
      <c r="E4" s="319"/>
      <c r="F4" s="319"/>
      <c r="G4" s="320"/>
      <c r="H4" s="3"/>
      <c r="I4" s="3"/>
      <c r="J4" s="318" t="s">
        <v>57</v>
      </c>
      <c r="K4" s="320"/>
      <c r="L4" s="85"/>
      <c r="M4" s="3"/>
      <c r="Q4" s="318" t="s">
        <v>42</v>
      </c>
      <c r="R4" s="319"/>
      <c r="S4" s="319"/>
      <c r="T4" s="320"/>
    </row>
    <row r="5" spans="1:22" ht="16.5" thickBot="1" x14ac:dyDescent="0.3">
      <c r="A5" s="32"/>
      <c r="B5" s="45"/>
      <c r="C5" s="3"/>
      <c r="D5" s="321"/>
      <c r="E5" s="322"/>
      <c r="F5" s="322"/>
      <c r="G5" s="323"/>
      <c r="H5" s="3"/>
      <c r="I5" s="3"/>
      <c r="J5" s="321"/>
      <c r="K5" s="323"/>
      <c r="L5" s="85"/>
      <c r="M5" s="3"/>
      <c r="N5" s="32"/>
      <c r="O5" s="45"/>
      <c r="P5" s="3"/>
      <c r="Q5" s="321"/>
      <c r="R5" s="322"/>
      <c r="S5" s="322"/>
      <c r="T5" s="323"/>
    </row>
    <row r="6" spans="1:22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6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2" ht="16.5" thickBot="1" x14ac:dyDescent="0.3">
      <c r="A7" s="5"/>
      <c r="B7" s="5"/>
      <c r="C7" s="5"/>
      <c r="D7" s="5" t="s">
        <v>3</v>
      </c>
      <c r="E7" s="322" t="s">
        <v>4</v>
      </c>
      <c r="F7" s="322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2" t="s">
        <v>4</v>
      </c>
      <c r="S7" s="322"/>
      <c r="T7" s="5" t="s">
        <v>5</v>
      </c>
      <c r="U7" s="5" t="s">
        <v>27</v>
      </c>
    </row>
    <row r="8" spans="1:22" x14ac:dyDescent="0.25">
      <c r="L8" s="88"/>
    </row>
    <row r="9" spans="1:22" x14ac:dyDescent="0.25">
      <c r="A9" s="72" t="s">
        <v>8</v>
      </c>
      <c r="L9" s="88"/>
      <c r="N9" s="72" t="s">
        <v>8</v>
      </c>
    </row>
    <row r="10" spans="1:22" x14ac:dyDescent="0.25">
      <c r="D10" s="100" t="s">
        <v>45</v>
      </c>
      <c r="E10" s="100" t="s">
        <v>46</v>
      </c>
      <c r="I10" s="100" t="s">
        <v>45</v>
      </c>
      <c r="J10" s="100" t="s">
        <v>46</v>
      </c>
      <c r="L10" s="88"/>
      <c r="Q10" s="6" t="s">
        <v>45</v>
      </c>
      <c r="R10" s="6" t="s">
        <v>46</v>
      </c>
    </row>
    <row r="11" spans="1:22" x14ac:dyDescent="0.25">
      <c r="B11" s="2" t="s">
        <v>56</v>
      </c>
      <c r="D11" s="7">
        <f>'Billing Determ'!Q6</f>
        <v>294296</v>
      </c>
      <c r="E11" s="8">
        <f>'Present and Proposed Rates'!F8</f>
        <v>20.350000000000001</v>
      </c>
      <c r="G11" s="10">
        <f>D11*E11</f>
        <v>5988923.6000000006</v>
      </c>
      <c r="H11" s="10"/>
      <c r="I11" s="7">
        <f>25479*12</f>
        <v>305748</v>
      </c>
      <c r="J11" s="54">
        <f>'Present and Proposed Rates'!G8</f>
        <v>20.350000000000001</v>
      </c>
      <c r="K11" s="10">
        <f>J11*I11</f>
        <v>6221971.8000000007</v>
      </c>
      <c r="L11" s="89"/>
      <c r="M11" s="10"/>
      <c r="O11" s="2" t="s">
        <v>52</v>
      </c>
      <c r="Q11" s="7">
        <f>25479*12</f>
        <v>305748</v>
      </c>
      <c r="R11" s="8">
        <f>'Present and Proposed Rates'!H8</f>
        <v>30.35</v>
      </c>
      <c r="T11" s="10">
        <f>Q11*R11</f>
        <v>9279451.8000000007</v>
      </c>
      <c r="U11" s="172">
        <f>T11/K11-1</f>
        <v>0.49140049140049125</v>
      </c>
    </row>
    <row r="12" spans="1:22" x14ac:dyDescent="0.25">
      <c r="D12" s="7"/>
      <c r="G12" s="10"/>
      <c r="H12" s="10"/>
      <c r="I12" s="7"/>
      <c r="K12" s="10"/>
      <c r="L12" s="89"/>
      <c r="M12" s="10"/>
      <c r="Q12" s="7"/>
      <c r="T12" s="10"/>
    </row>
    <row r="13" spans="1:22" x14ac:dyDescent="0.25">
      <c r="A13" s="1" t="s">
        <v>6</v>
      </c>
      <c r="D13" s="7"/>
      <c r="G13" s="10"/>
      <c r="H13" s="10"/>
      <c r="I13" s="7"/>
      <c r="K13" s="10"/>
      <c r="L13" s="89"/>
      <c r="M13" s="10"/>
      <c r="N13" s="1" t="s">
        <v>6</v>
      </c>
      <c r="Q13" s="7"/>
      <c r="T13" s="10"/>
    </row>
    <row r="14" spans="1:22" x14ac:dyDescent="0.25">
      <c r="D14" s="81" t="s">
        <v>7</v>
      </c>
      <c r="E14" s="82" t="s">
        <v>9</v>
      </c>
      <c r="G14" s="10"/>
      <c r="H14" s="10"/>
      <c r="I14" s="81" t="s">
        <v>7</v>
      </c>
      <c r="J14" s="82" t="s">
        <v>9</v>
      </c>
      <c r="K14" s="10"/>
      <c r="L14" s="89"/>
      <c r="M14" s="10"/>
      <c r="Q14" s="286" t="s">
        <v>7</v>
      </c>
      <c r="R14" s="11" t="s">
        <v>9</v>
      </c>
      <c r="T14" s="10"/>
    </row>
    <row r="15" spans="1:22" x14ac:dyDescent="0.25">
      <c r="B15" s="2" t="s">
        <v>97</v>
      </c>
      <c r="D15" s="7">
        <f>'Billing Determ'!Q17</f>
        <v>328446062</v>
      </c>
      <c r="E15" s="132">
        <f>'Present and Proposed Rates'!F9</f>
        <v>0.114521</v>
      </c>
      <c r="G15" s="10">
        <f>D15*E15</f>
        <v>37613971.466302</v>
      </c>
      <c r="H15" s="10"/>
      <c r="I15" s="7">
        <f>D15+12776250</f>
        <v>341222312</v>
      </c>
      <c r="J15" s="132">
        <f>'Present and Proposed Rates'!G9</f>
        <v>0.114521</v>
      </c>
      <c r="K15" s="10">
        <f>I15*J15</f>
        <v>39077120.392551996</v>
      </c>
      <c r="L15" s="89"/>
      <c r="M15" s="10"/>
      <c r="O15" s="2" t="s">
        <v>97</v>
      </c>
      <c r="Q15" s="7">
        <f>D15+12776250</f>
        <v>341222312</v>
      </c>
      <c r="R15" s="132">
        <f>'Present and Proposed Rates'!H9</f>
        <v>0.11536299999999999</v>
      </c>
      <c r="T15" s="10">
        <f>Q15*R15</f>
        <v>39364429.579255998</v>
      </c>
      <c r="U15" s="172">
        <f>T15/K15-1</f>
        <v>7.3523633220109463E-3</v>
      </c>
      <c r="V15" s="10"/>
    </row>
    <row r="16" spans="1:22" x14ac:dyDescent="0.25">
      <c r="A16" s="1"/>
      <c r="B16" s="1"/>
      <c r="C16" s="60"/>
      <c r="D16" s="177"/>
      <c r="E16" s="22"/>
      <c r="G16" s="10"/>
      <c r="H16" s="10"/>
      <c r="I16" s="177"/>
      <c r="J16" s="10"/>
      <c r="K16" s="10"/>
      <c r="L16" s="89"/>
      <c r="M16" s="10"/>
      <c r="N16" s="1"/>
      <c r="O16" s="1"/>
      <c r="P16" s="60"/>
      <c r="Q16" s="7"/>
      <c r="R16" s="22"/>
      <c r="T16" s="10"/>
      <c r="U16" s="209"/>
    </row>
    <row r="17" spans="1:21" x14ac:dyDescent="0.25">
      <c r="A17" s="1" t="s">
        <v>50</v>
      </c>
      <c r="B17" s="1"/>
      <c r="C17" s="60"/>
      <c r="D17" s="7"/>
      <c r="E17" s="22"/>
      <c r="G17" s="10"/>
      <c r="H17" s="10"/>
      <c r="I17" s="7"/>
      <c r="J17" s="10"/>
      <c r="K17" s="10"/>
      <c r="L17" s="89"/>
      <c r="M17" s="10"/>
      <c r="N17" s="1" t="s">
        <v>50</v>
      </c>
      <c r="O17" s="1"/>
      <c r="P17" s="60"/>
      <c r="Q17" s="7"/>
      <c r="R17" s="22"/>
      <c r="T17" s="10"/>
      <c r="U17" s="209"/>
    </row>
    <row r="18" spans="1:21" x14ac:dyDescent="0.25">
      <c r="A18" s="1"/>
      <c r="B18" s="2" t="s">
        <v>44</v>
      </c>
      <c r="C18" s="60"/>
      <c r="D18" s="7"/>
      <c r="E18" s="173">
        <f>G18/D$15</f>
        <v>1.677298404901259E-2</v>
      </c>
      <c r="G18" s="10">
        <f>'Billing Determ'!Q73</f>
        <v>5509020.5588870002</v>
      </c>
      <c r="H18" s="10"/>
      <c r="I18" s="7"/>
      <c r="J18" s="173">
        <f>K18/D$15</f>
        <v>1.677298404901259E-2</v>
      </c>
      <c r="K18" s="10">
        <f>G18</f>
        <v>5509020.5588870002</v>
      </c>
      <c r="L18" s="89"/>
      <c r="M18" s="10"/>
      <c r="N18" s="1"/>
      <c r="O18" s="2" t="s">
        <v>44</v>
      </c>
      <c r="P18" s="60"/>
      <c r="Q18" s="7"/>
      <c r="R18" s="173">
        <f>T18/Q$15</f>
        <v>1.6144959942968207E-2</v>
      </c>
      <c r="T18" s="10">
        <f>G18</f>
        <v>5509020.5588870002</v>
      </c>
      <c r="U18" s="172">
        <f>T18/K18-1</f>
        <v>0</v>
      </c>
    </row>
    <row r="19" spans="1:21" x14ac:dyDescent="0.25">
      <c r="A19" s="1"/>
      <c r="B19" s="2" t="s">
        <v>51</v>
      </c>
      <c r="C19" s="60"/>
      <c r="D19" s="7"/>
      <c r="E19" s="173">
        <f t="shared" ref="E19:E21" si="0">G19/D$15</f>
        <v>5.4401203803198586E-3</v>
      </c>
      <c r="G19" s="10">
        <f>'Billing Determ'!Q84</f>
        <v>1786786.1157219999</v>
      </c>
      <c r="H19" s="10"/>
      <c r="I19" s="7"/>
      <c r="J19" s="173">
        <f t="shared" ref="J19:J21" si="1">K19/D$15</f>
        <v>5.4401203803198586E-3</v>
      </c>
      <c r="K19" s="10">
        <f>G19</f>
        <v>1786786.1157219999</v>
      </c>
      <c r="L19" s="89"/>
      <c r="M19" s="10"/>
      <c r="N19" s="1"/>
      <c r="O19" s="2" t="s">
        <v>51</v>
      </c>
      <c r="P19" s="60"/>
      <c r="Q19" s="7"/>
      <c r="R19" s="173">
        <f t="shared" ref="R19:R21" si="2">T19/Q$15</f>
        <v>5.2364281375656347E-3</v>
      </c>
      <c r="T19" s="10">
        <f>G19</f>
        <v>1786786.1157219999</v>
      </c>
      <c r="U19" s="172">
        <f>T19/K19-1</f>
        <v>0</v>
      </c>
    </row>
    <row r="20" spans="1:21" x14ac:dyDescent="0.25">
      <c r="A20" s="1"/>
      <c r="B20" s="2" t="s">
        <v>119</v>
      </c>
      <c r="C20" s="60"/>
      <c r="D20" s="7"/>
      <c r="E20" s="173">
        <f t="shared" si="0"/>
        <v>-5.3204341419901087E-3</v>
      </c>
      <c r="G20" s="10">
        <f>'Billing Determ'!Q95</f>
        <v>-1747475.642067</v>
      </c>
      <c r="H20" s="10"/>
      <c r="I20" s="7"/>
      <c r="J20" s="173">
        <f t="shared" si="1"/>
        <v>-5.3204341419901087E-3</v>
      </c>
      <c r="K20" s="10">
        <f>G20</f>
        <v>-1747475.642067</v>
      </c>
      <c r="L20" s="89"/>
      <c r="M20" s="10"/>
      <c r="N20" s="1"/>
      <c r="O20" s="2" t="s">
        <v>77</v>
      </c>
      <c r="P20" s="60"/>
      <c r="Q20" s="7"/>
      <c r="R20" s="173">
        <f t="shared" si="2"/>
        <v>-5.1212232629940097E-3</v>
      </c>
      <c r="T20" s="10">
        <f>K20</f>
        <v>-1747475.642067</v>
      </c>
      <c r="U20" s="172">
        <f>T20/K20-1</f>
        <v>0</v>
      </c>
    </row>
    <row r="21" spans="1:21" x14ac:dyDescent="0.25">
      <c r="A21" s="1"/>
      <c r="B21" s="2" t="s">
        <v>118</v>
      </c>
      <c r="C21" s="60"/>
      <c r="D21" s="7"/>
      <c r="E21" s="173">
        <f t="shared" si="0"/>
        <v>5.7635899919999652E-3</v>
      </c>
      <c r="G21" s="10">
        <f>'Billing Determ'!Q106</f>
        <v>1893028.435855</v>
      </c>
      <c r="H21" s="10"/>
      <c r="I21" s="7"/>
      <c r="J21" s="173">
        <f t="shared" si="1"/>
        <v>5.7635899919999652E-3</v>
      </c>
      <c r="K21" s="10">
        <f>G21</f>
        <v>1893028.435855</v>
      </c>
      <c r="L21" s="89"/>
      <c r="M21" s="10"/>
      <c r="N21" s="1"/>
      <c r="O21" s="2" t="s">
        <v>44</v>
      </c>
      <c r="P21" s="60"/>
      <c r="Q21" s="7"/>
      <c r="R21" s="173">
        <f t="shared" si="2"/>
        <v>5.547786206474681E-3</v>
      </c>
      <c r="T21" s="10">
        <f>G21</f>
        <v>1893028.435855</v>
      </c>
      <c r="U21" s="172">
        <f>T21/K21-1</f>
        <v>0</v>
      </c>
    </row>
    <row r="22" spans="1:21" x14ac:dyDescent="0.25">
      <c r="A22" s="1"/>
      <c r="D22" s="18"/>
      <c r="E22" s="210">
        <f>SUM(E18:E21)</f>
        <v>2.2656260279342304E-2</v>
      </c>
      <c r="G22" s="10"/>
      <c r="H22" s="10"/>
      <c r="I22" s="18"/>
      <c r="J22" s="10"/>
      <c r="K22" s="10"/>
      <c r="L22" s="89"/>
      <c r="M22" s="10"/>
      <c r="N22" s="1"/>
      <c r="T22" s="10"/>
      <c r="U22" s="209"/>
    </row>
    <row r="23" spans="1:21" ht="16.5" thickBot="1" x14ac:dyDescent="0.3">
      <c r="A23" s="1" t="s">
        <v>34</v>
      </c>
      <c r="G23" s="17">
        <f>SUM(G11:G21)</f>
        <v>51044254.534699</v>
      </c>
      <c r="H23" s="10"/>
      <c r="J23" s="10"/>
      <c r="K23" s="17">
        <f>SUM(K11:K21)</f>
        <v>52740451.660948999</v>
      </c>
      <c r="L23" s="89"/>
      <c r="M23" s="10"/>
      <c r="N23" s="1" t="s">
        <v>34</v>
      </c>
      <c r="T23" s="17">
        <f>SUM(T11:T21)</f>
        <v>56085240.847652994</v>
      </c>
      <c r="U23" s="172">
        <f>T23/K23-1</f>
        <v>6.341980550728965E-2</v>
      </c>
    </row>
    <row r="24" spans="1:21" ht="16.5" thickTop="1" x14ac:dyDescent="0.25">
      <c r="A24" s="1"/>
      <c r="B24" s="1"/>
      <c r="G24" s="10"/>
      <c r="H24" s="10"/>
      <c r="J24" s="10"/>
      <c r="K24" s="10"/>
      <c r="L24" s="89"/>
      <c r="M24" s="10"/>
      <c r="N24" s="1"/>
      <c r="O24" s="1"/>
      <c r="T24" s="10"/>
    </row>
    <row r="25" spans="1:21" x14ac:dyDescent="0.25">
      <c r="A25" s="1" t="s">
        <v>15</v>
      </c>
      <c r="B25" s="9"/>
      <c r="G25" s="10">
        <f>'Billing Determ'!Q28</f>
        <v>51072587.209999993</v>
      </c>
      <c r="H25" s="10"/>
      <c r="J25" s="10"/>
      <c r="K25" s="10"/>
      <c r="L25" s="89"/>
      <c r="M25" s="10"/>
      <c r="N25" s="1" t="s">
        <v>58</v>
      </c>
      <c r="O25" s="9"/>
      <c r="T25" s="21">
        <f>T23-K23</f>
        <v>3344789.1867039949</v>
      </c>
    </row>
    <row r="26" spans="1:21" x14ac:dyDescent="0.25">
      <c r="A26" s="9"/>
      <c r="B26" s="9"/>
      <c r="G26" s="9"/>
      <c r="H26" s="9"/>
      <c r="J26" s="9"/>
      <c r="K26" s="9"/>
      <c r="L26" s="90"/>
      <c r="M26" s="9"/>
      <c r="O26" s="9"/>
      <c r="T26" s="9"/>
    </row>
    <row r="27" spans="1:21" x14ac:dyDescent="0.25">
      <c r="A27" s="1" t="s">
        <v>10</v>
      </c>
      <c r="B27" s="9"/>
      <c r="G27" s="15">
        <f>G23-G25</f>
        <v>-28332.675300993025</v>
      </c>
      <c r="H27" s="15"/>
      <c r="J27" s="15"/>
      <c r="K27" s="15">
        <f>K23-G23</f>
        <v>1696197.1262499988</v>
      </c>
      <c r="L27" s="91"/>
      <c r="M27" s="99"/>
      <c r="N27" s="1" t="s">
        <v>59</v>
      </c>
      <c r="O27" s="9"/>
      <c r="T27" s="172">
        <f>T25/K23</f>
        <v>6.3419805507289609E-2</v>
      </c>
    </row>
    <row r="28" spans="1:21" x14ac:dyDescent="0.25">
      <c r="A28" s="9"/>
      <c r="B28" s="9"/>
      <c r="D28" s="12"/>
      <c r="G28" s="10"/>
      <c r="H28" s="10"/>
      <c r="I28" s="12"/>
      <c r="J28" s="10"/>
      <c r="K28" s="10"/>
      <c r="L28" s="89"/>
      <c r="M28" s="10"/>
      <c r="O28" s="9"/>
      <c r="T28" s="10"/>
    </row>
    <row r="29" spans="1:21" x14ac:dyDescent="0.25">
      <c r="A29" s="1" t="s">
        <v>17</v>
      </c>
      <c r="B29" s="9"/>
      <c r="G29" s="16">
        <f>G27/G25</f>
        <v>-5.5475308475160814E-4</v>
      </c>
      <c r="H29" s="16"/>
      <c r="J29" s="16"/>
      <c r="K29" s="16">
        <f>K27/G25</f>
        <v>3.3211497966131702E-2</v>
      </c>
      <c r="L29" s="92"/>
      <c r="M29" s="16"/>
      <c r="N29" s="1" t="s">
        <v>37</v>
      </c>
      <c r="O29" s="9"/>
      <c r="T29" s="23">
        <f>T25/Q11</f>
        <v>10.939692775435963</v>
      </c>
    </row>
    <row r="30" spans="1:21" x14ac:dyDescent="0.25">
      <c r="A30" s="1"/>
      <c r="B30" s="9"/>
      <c r="G30" s="16"/>
      <c r="H30" s="16"/>
      <c r="J30" s="16"/>
      <c r="K30" s="16"/>
      <c r="L30" s="92"/>
      <c r="M30" s="16"/>
      <c r="N30" s="1"/>
      <c r="O30" s="9"/>
      <c r="T30" s="23"/>
    </row>
    <row r="31" spans="1:21" x14ac:dyDescent="0.25">
      <c r="A31" s="1" t="s">
        <v>161</v>
      </c>
      <c r="B31" s="9"/>
      <c r="D31" s="12">
        <f>D15/D11</f>
        <v>1116.0398442384537</v>
      </c>
      <c r="E31" s="2" t="s">
        <v>7</v>
      </c>
      <c r="G31" s="23">
        <f>G23/D11</f>
        <v>173.44528819521503</v>
      </c>
      <c r="H31" s="16"/>
      <c r="I31" s="12">
        <f>I15/I11</f>
        <v>1116.0246739144654</v>
      </c>
      <c r="J31" s="2" t="s">
        <v>7</v>
      </c>
      <c r="K31" s="23">
        <f>K23/I11</f>
        <v>172.49647311167692</v>
      </c>
      <c r="L31" s="92"/>
      <c r="M31" s="16"/>
      <c r="N31" s="1"/>
      <c r="O31" s="9"/>
      <c r="Q31" s="12">
        <f>Q15/Q11</f>
        <v>1116.0246739144654</v>
      </c>
      <c r="R31" s="2" t="s">
        <v>7</v>
      </c>
      <c r="T31" s="23">
        <f>T23/Q11</f>
        <v>183.43616588711291</v>
      </c>
      <c r="U31" s="9">
        <f>T31-K31</f>
        <v>10.939692775435987</v>
      </c>
    </row>
    <row r="32" spans="1:21" x14ac:dyDescent="0.25">
      <c r="A32" s="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T32" s="16"/>
    </row>
    <row r="33" spans="1:21" x14ac:dyDescent="0.25">
      <c r="A33" s="1"/>
      <c r="B33" s="9"/>
      <c r="C33" s="9"/>
      <c r="D33" s="9"/>
      <c r="E33" s="9"/>
      <c r="F33" s="9"/>
      <c r="G33" s="9">
        <f>G11+G15</f>
        <v>43602895.066302001</v>
      </c>
      <c r="H33" s="9"/>
      <c r="I33" s="9"/>
      <c r="J33" s="9"/>
      <c r="K33" s="9"/>
      <c r="L33" s="9"/>
      <c r="M33" s="9"/>
      <c r="N33" s="9"/>
      <c r="O33" s="9"/>
      <c r="T33" s="16"/>
    </row>
    <row r="34" spans="1:21" x14ac:dyDescent="0.25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T34" s="16"/>
    </row>
    <row r="35" spans="1:21" x14ac:dyDescent="0.25">
      <c r="A35" s="1"/>
      <c r="B35" s="9"/>
      <c r="G35" s="16"/>
      <c r="H35" s="16"/>
      <c r="J35" s="16"/>
      <c r="K35" s="16"/>
      <c r="L35" s="16"/>
      <c r="M35" s="16"/>
      <c r="N35" s="1"/>
      <c r="O35" s="9"/>
      <c r="T35" s="16"/>
    </row>
    <row r="36" spans="1:21" x14ac:dyDescent="0.25">
      <c r="A36" s="1"/>
      <c r="B36" s="9"/>
      <c r="G36" s="16"/>
      <c r="H36" s="16"/>
      <c r="J36" s="16"/>
      <c r="K36" s="16"/>
      <c r="L36" s="16"/>
      <c r="M36" s="16"/>
      <c r="N36" s="1"/>
      <c r="O36" s="9"/>
      <c r="T36" s="16"/>
    </row>
    <row r="37" spans="1:21" ht="18.75" customHeight="1" x14ac:dyDescent="0.25">
      <c r="A37" s="1"/>
      <c r="B37" s="10"/>
      <c r="G37" s="16"/>
      <c r="H37" s="16"/>
      <c r="J37" s="16"/>
      <c r="K37" s="16"/>
      <c r="L37" s="16"/>
      <c r="M37" s="16"/>
    </row>
    <row r="38" spans="1:21" x14ac:dyDescent="0.25">
      <c r="E38" s="10"/>
    </row>
    <row r="43" spans="1:21" x14ac:dyDescent="0.25">
      <c r="U43" s="50"/>
    </row>
    <row r="44" spans="1:21" x14ac:dyDescent="0.25">
      <c r="U44" s="50"/>
    </row>
    <row r="45" spans="1:21" x14ac:dyDescent="0.25">
      <c r="U45" s="50"/>
    </row>
    <row r="46" spans="1:21" x14ac:dyDescent="0.25">
      <c r="U46" s="50"/>
    </row>
    <row r="47" spans="1:21" x14ac:dyDescent="0.25">
      <c r="U47" s="50"/>
    </row>
    <row r="48" spans="1:21" x14ac:dyDescent="0.25">
      <c r="U48" s="50"/>
    </row>
    <row r="49" spans="21:21" x14ac:dyDescent="0.25">
      <c r="U49" s="50"/>
    </row>
    <row r="50" spans="21:21" x14ac:dyDescent="0.25">
      <c r="U50" s="50"/>
    </row>
    <row r="51" spans="21:21" x14ac:dyDescent="0.25">
      <c r="U51" s="50"/>
    </row>
    <row r="52" spans="21:21" ht="16.5" customHeight="1" x14ac:dyDescent="0.25">
      <c r="U52" s="50"/>
    </row>
    <row r="53" spans="21:21" x14ac:dyDescent="0.25">
      <c r="U53" s="50"/>
    </row>
    <row r="54" spans="21:21" x14ac:dyDescent="0.25">
      <c r="U54" s="50"/>
    </row>
    <row r="57" spans="21:21" x14ac:dyDescent="0.25">
      <c r="U57" s="30"/>
    </row>
    <row r="58" spans="21:21" x14ac:dyDescent="0.25">
      <c r="U58" s="30"/>
    </row>
    <row r="60" spans="21:21" x14ac:dyDescent="0.25">
      <c r="U60" s="30"/>
    </row>
    <row r="61" spans="21:21" x14ac:dyDescent="0.25">
      <c r="U61" s="30"/>
    </row>
    <row r="62" spans="21:21" x14ac:dyDescent="0.25">
      <c r="U62" s="30"/>
    </row>
    <row r="63" spans="21:21" x14ac:dyDescent="0.25">
      <c r="U63" s="30"/>
    </row>
    <row r="64" spans="21:21" x14ac:dyDescent="0.25">
      <c r="U64" s="30"/>
    </row>
    <row r="65" spans="21:21" x14ac:dyDescent="0.25">
      <c r="U65" s="30"/>
    </row>
    <row r="66" spans="21:21" x14ac:dyDescent="0.25">
      <c r="U66" s="30"/>
    </row>
    <row r="67" spans="21:21" x14ac:dyDescent="0.25">
      <c r="U67" s="30"/>
    </row>
    <row r="68" spans="21:21" x14ac:dyDescent="0.25">
      <c r="U68" s="30"/>
    </row>
    <row r="69" spans="21:21" x14ac:dyDescent="0.25">
      <c r="U69" s="30"/>
    </row>
    <row r="70" spans="21:21" x14ac:dyDescent="0.25">
      <c r="U70" s="30"/>
    </row>
    <row r="71" spans="21:21" x14ac:dyDescent="0.25">
      <c r="U71" s="30"/>
    </row>
    <row r="72" spans="21:21" x14ac:dyDescent="0.25">
      <c r="U72" s="52"/>
    </row>
    <row r="73" spans="21:21" x14ac:dyDescent="0.25">
      <c r="U73" s="52"/>
    </row>
    <row r="74" spans="21:21" x14ac:dyDescent="0.25">
      <c r="U74" s="52"/>
    </row>
    <row r="75" spans="21:21" x14ac:dyDescent="0.25">
      <c r="U75" s="52"/>
    </row>
    <row r="76" spans="21:21" x14ac:dyDescent="0.25">
      <c r="U76" s="52"/>
    </row>
    <row r="77" spans="21:21" x14ac:dyDescent="0.25">
      <c r="U77" s="52"/>
    </row>
    <row r="78" spans="21:21" x14ac:dyDescent="0.25">
      <c r="U78" s="52"/>
    </row>
    <row r="79" spans="21:21" x14ac:dyDescent="0.25">
      <c r="U79" s="52"/>
    </row>
    <row r="80" spans="21:21" x14ac:dyDescent="0.25">
      <c r="U80" s="52"/>
    </row>
    <row r="81" spans="21:21" x14ac:dyDescent="0.25">
      <c r="U81" s="52"/>
    </row>
    <row r="82" spans="21:21" x14ac:dyDescent="0.25">
      <c r="U82" s="52"/>
    </row>
    <row r="83" spans="21:21" x14ac:dyDescent="0.25">
      <c r="U83" s="52"/>
    </row>
    <row r="84" spans="21:21" x14ac:dyDescent="0.25">
      <c r="U84" s="52"/>
    </row>
    <row r="85" spans="21:21" ht="15" customHeight="1" x14ac:dyDescent="0.25">
      <c r="U85" s="52"/>
    </row>
    <row r="86" spans="21:21" x14ac:dyDescent="0.25">
      <c r="U86" s="52"/>
    </row>
    <row r="87" spans="21:21" x14ac:dyDescent="0.25">
      <c r="U87" s="52"/>
    </row>
    <row r="88" spans="21:21" x14ac:dyDescent="0.25">
      <c r="U88" s="52"/>
    </row>
    <row r="89" spans="21:21" x14ac:dyDescent="0.25">
      <c r="U89" s="52"/>
    </row>
    <row r="90" spans="21:21" x14ac:dyDescent="0.25">
      <c r="U90" s="52"/>
    </row>
    <row r="91" spans="21:21" x14ac:dyDescent="0.25">
      <c r="U91" s="52"/>
    </row>
    <row r="92" spans="21:21" x14ac:dyDescent="0.25">
      <c r="U92" s="52"/>
    </row>
    <row r="93" spans="21:21" x14ac:dyDescent="0.25">
      <c r="U93" s="52"/>
    </row>
    <row r="94" spans="21:21" x14ac:dyDescent="0.25">
      <c r="U94" s="52"/>
    </row>
    <row r="95" spans="21:21" x14ac:dyDescent="0.25">
      <c r="U95" s="52"/>
    </row>
    <row r="96" spans="21:21" x14ac:dyDescent="0.25">
      <c r="U96" s="52"/>
    </row>
    <row r="97" spans="21:21" x14ac:dyDescent="0.25">
      <c r="U97" s="52"/>
    </row>
    <row r="98" spans="21:21" x14ac:dyDescent="0.25">
      <c r="U98" s="52"/>
    </row>
    <row r="99" spans="21:21" x14ac:dyDescent="0.25">
      <c r="U99" s="52"/>
    </row>
    <row r="100" spans="21:21" x14ac:dyDescent="0.25">
      <c r="U100" s="52"/>
    </row>
    <row r="101" spans="21:21" x14ac:dyDescent="0.25">
      <c r="U101" s="52"/>
    </row>
    <row r="102" spans="21:21" x14ac:dyDescent="0.25">
      <c r="U102" s="52"/>
    </row>
    <row r="103" spans="21:21" x14ac:dyDescent="0.25">
      <c r="U103" s="52"/>
    </row>
    <row r="104" spans="21:21" x14ac:dyDescent="0.25">
      <c r="U104" s="52"/>
    </row>
    <row r="105" spans="21:21" x14ac:dyDescent="0.25">
      <c r="U105" s="52"/>
    </row>
    <row r="106" spans="21:21" x14ac:dyDescent="0.25">
      <c r="U106" s="52"/>
    </row>
    <row r="107" spans="21:21" x14ac:dyDescent="0.25">
      <c r="U107" s="52"/>
    </row>
    <row r="108" spans="21:21" x14ac:dyDescent="0.25">
      <c r="U108" s="52"/>
    </row>
    <row r="109" spans="21:21" x14ac:dyDescent="0.25">
      <c r="U109" s="52"/>
    </row>
    <row r="110" spans="21:21" x14ac:dyDescent="0.25">
      <c r="U110" s="52"/>
    </row>
    <row r="111" spans="21:21" x14ac:dyDescent="0.25">
      <c r="U111" s="52"/>
    </row>
    <row r="112" spans="21:21" x14ac:dyDescent="0.25">
      <c r="U112" s="52"/>
    </row>
    <row r="113" spans="21:21" x14ac:dyDescent="0.25">
      <c r="U113" s="52"/>
    </row>
    <row r="114" spans="21:21" x14ac:dyDescent="0.25">
      <c r="U114" s="52"/>
    </row>
    <row r="115" spans="21:21" x14ac:dyDescent="0.25">
      <c r="U115" s="52"/>
    </row>
    <row r="116" spans="21:21" x14ac:dyDescent="0.25">
      <c r="U116" s="52"/>
    </row>
    <row r="117" spans="21:21" x14ac:dyDescent="0.25">
      <c r="U117" s="52"/>
    </row>
    <row r="131" spans="3:15" x14ac:dyDescent="0.25">
      <c r="O131" s="30"/>
    </row>
    <row r="132" spans="3:15" x14ac:dyDescent="0.25">
      <c r="C132" s="30"/>
      <c r="D132" s="30"/>
      <c r="I132" s="30"/>
      <c r="O132" s="30"/>
    </row>
    <row r="133" spans="3:15" x14ac:dyDescent="0.25">
      <c r="C133" s="31"/>
      <c r="D133" s="42"/>
      <c r="E133" s="46"/>
      <c r="I133" s="42"/>
      <c r="O133" s="30"/>
    </row>
    <row r="134" spans="3:15" x14ac:dyDescent="0.25">
      <c r="C134" s="31"/>
      <c r="D134" s="42"/>
      <c r="E134" s="46"/>
      <c r="I134" s="42"/>
      <c r="O134" s="30"/>
    </row>
    <row r="135" spans="3:15" x14ac:dyDescent="0.25">
      <c r="C135" s="31"/>
      <c r="D135" s="42"/>
      <c r="E135" s="46"/>
      <c r="I135" s="42"/>
      <c r="O135" s="30"/>
    </row>
  </sheetData>
  <mergeCells count="5">
    <mergeCell ref="D4:G5"/>
    <mergeCell ref="E7:F7"/>
    <mergeCell ref="Q4:T5"/>
    <mergeCell ref="R7:S7"/>
    <mergeCell ref="J4:K5"/>
  </mergeCells>
  <pageMargins left="0.75" right="0.75" top="1" bottom="1" header="0.5" footer="0.5"/>
  <pageSetup scale="54" orientation="landscape" r:id="rId1"/>
  <headerFooter alignWithMargins="0">
    <oddFooter>&amp;RExhibit JW-9
Page &amp;P of &amp;N</oddFooter>
  </headerFooter>
  <ignoredErrors>
    <ignoredError sqref="T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37"/>
  <sheetViews>
    <sheetView view="pageBreakPreview" zoomScale="75" zoomScaleNormal="85" zoomScaleSheetLayoutView="75" workbookViewId="0">
      <selection activeCell="N48" sqref="N48"/>
    </sheetView>
  </sheetViews>
  <sheetFormatPr defaultColWidth="9.140625" defaultRowHeight="15.75" x14ac:dyDescent="0.25"/>
  <cols>
    <col min="1" max="1" width="4.7109375" style="2" customWidth="1"/>
    <col min="2" max="2" width="14.42578125" style="2" customWidth="1"/>
    <col min="3" max="3" width="3" style="2" customWidth="1"/>
    <col min="4" max="4" width="14.28515625" style="2" customWidth="1"/>
    <col min="5" max="5" width="16.28515625" style="2" bestFit="1" customWidth="1"/>
    <col min="6" max="6" width="2.5703125" style="2" customWidth="1"/>
    <col min="7" max="7" width="14" style="2" customWidth="1"/>
    <col min="8" max="8" width="2.85546875" style="2" customWidth="1"/>
    <col min="9" max="9" width="14.28515625" style="2" customWidth="1"/>
    <col min="10" max="10" width="16" style="2" customWidth="1"/>
    <col min="11" max="11" width="13" style="2" customWidth="1"/>
    <col min="12" max="12" width="2.85546875" style="2" customWidth="1"/>
    <col min="13" max="13" width="5.28515625" style="2" customWidth="1"/>
    <col min="14" max="14" width="15.28515625" style="2" customWidth="1"/>
    <col min="15" max="15" width="2.85546875" style="2" customWidth="1"/>
    <col min="16" max="16" width="14" style="2" customWidth="1"/>
    <col min="17" max="17" width="15" style="2" customWidth="1"/>
    <col min="18" max="18" width="2.7109375" style="2" customWidth="1"/>
    <col min="19" max="19" width="16.140625" style="2" customWidth="1"/>
    <col min="20" max="20" width="11.42578125" style="2" customWidth="1"/>
    <col min="21" max="16384" width="9.140625" style="2"/>
  </cols>
  <sheetData>
    <row r="1" spans="1:23" x14ac:dyDescent="0.25">
      <c r="A1" s="1" t="str">
        <f>'Present and Proposed Rates'!A1</f>
        <v>JACKSON PURCHASE ENERGY CORPORATION</v>
      </c>
      <c r="N1" s="1"/>
    </row>
    <row r="2" spans="1:23" x14ac:dyDescent="0.25">
      <c r="A2" s="127" t="str">
        <f>List!B6</f>
        <v>C-1 Small Commercial Single Phase</v>
      </c>
    </row>
    <row r="3" spans="1:23" ht="16.5" thickBot="1" x14ac:dyDescent="0.3">
      <c r="A3" s="127" t="str">
        <f>List!C6</f>
        <v>C1</v>
      </c>
    </row>
    <row r="4" spans="1:23" x14ac:dyDescent="0.25">
      <c r="D4" s="318" t="s">
        <v>18</v>
      </c>
      <c r="E4" s="319"/>
      <c r="F4" s="319"/>
      <c r="G4" s="320"/>
      <c r="H4" s="3"/>
      <c r="I4" s="3"/>
      <c r="J4" s="318" t="s">
        <v>57</v>
      </c>
      <c r="K4" s="320"/>
      <c r="L4" s="88"/>
      <c r="P4" s="318" t="s">
        <v>42</v>
      </c>
      <c r="Q4" s="319"/>
      <c r="R4" s="319"/>
      <c r="S4" s="320"/>
    </row>
    <row r="5" spans="1:23" ht="16.5" thickBot="1" x14ac:dyDescent="0.3">
      <c r="A5" s="32"/>
      <c r="B5" s="45"/>
      <c r="C5" s="3"/>
      <c r="D5" s="321"/>
      <c r="E5" s="322"/>
      <c r="F5" s="322"/>
      <c r="G5" s="323"/>
      <c r="H5" s="3"/>
      <c r="I5" s="3"/>
      <c r="J5" s="321"/>
      <c r="K5" s="323"/>
      <c r="L5" s="88"/>
      <c r="M5" s="32"/>
      <c r="N5" s="45"/>
      <c r="O5" s="3"/>
      <c r="P5" s="321"/>
      <c r="Q5" s="322"/>
      <c r="R5" s="322"/>
      <c r="S5" s="323"/>
    </row>
    <row r="6" spans="1:23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 t="s">
        <v>0</v>
      </c>
      <c r="Q6" s="4"/>
      <c r="R6" s="4"/>
      <c r="S6" s="4" t="s">
        <v>1</v>
      </c>
    </row>
    <row r="7" spans="1:23" ht="16.5" thickBot="1" x14ac:dyDescent="0.3">
      <c r="A7" s="5"/>
      <c r="B7" s="5"/>
      <c r="C7" s="5"/>
      <c r="D7" s="5" t="s">
        <v>3</v>
      </c>
      <c r="E7" s="322" t="s">
        <v>4</v>
      </c>
      <c r="F7" s="322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 t="s">
        <v>3</v>
      </c>
      <c r="Q7" s="322" t="s">
        <v>4</v>
      </c>
      <c r="R7" s="322"/>
      <c r="S7" s="5" t="s">
        <v>5</v>
      </c>
      <c r="T7" s="5" t="s">
        <v>27</v>
      </c>
    </row>
    <row r="8" spans="1:23" x14ac:dyDescent="0.25">
      <c r="L8" s="88"/>
    </row>
    <row r="9" spans="1:23" x14ac:dyDescent="0.25">
      <c r="L9" s="88"/>
    </row>
    <row r="10" spans="1:23" x14ac:dyDescent="0.25">
      <c r="A10" s="72" t="s">
        <v>8</v>
      </c>
      <c r="L10" s="88"/>
      <c r="M10" s="72" t="s">
        <v>8</v>
      </c>
    </row>
    <row r="11" spans="1:23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P11" s="6" t="s">
        <v>45</v>
      </c>
      <c r="Q11" s="6" t="s">
        <v>46</v>
      </c>
    </row>
    <row r="12" spans="1:23" x14ac:dyDescent="0.25">
      <c r="B12" s="2" t="s">
        <v>56</v>
      </c>
      <c r="D12" s="7">
        <f>'Billing Determ'!Q7</f>
        <v>58130</v>
      </c>
      <c r="E12" s="54">
        <f>'Present and Proposed Rates'!F10</f>
        <v>20.350000000000001</v>
      </c>
      <c r="G12" s="10">
        <f>D12*E12</f>
        <v>1182945.5</v>
      </c>
      <c r="H12" s="10"/>
      <c r="I12" s="7">
        <f>3852*12</f>
        <v>46224</v>
      </c>
      <c r="J12" s="54">
        <f>'Present and Proposed Rates'!G10</f>
        <v>20.350000000000001</v>
      </c>
      <c r="K12" s="64">
        <f>J12*I12</f>
        <v>940658.4</v>
      </c>
      <c r="L12" s="89"/>
      <c r="N12" s="2" t="s">
        <v>52</v>
      </c>
      <c r="P12" s="7">
        <f>3852*12</f>
        <v>46224</v>
      </c>
      <c r="Q12" s="54">
        <f>'Present and Proposed Rates'!H10</f>
        <v>30.35</v>
      </c>
      <c r="S12" s="10">
        <f>P12*Q12</f>
        <v>1402898.4000000001</v>
      </c>
      <c r="T12" s="287">
        <f>S12/K12-1</f>
        <v>0.49140049140049147</v>
      </c>
      <c r="W12" s="287">
        <f>P12/D12</f>
        <v>0.79518321004644765</v>
      </c>
    </row>
    <row r="13" spans="1:23" x14ac:dyDescent="0.25">
      <c r="D13" s="7"/>
      <c r="E13" s="54"/>
      <c r="G13" s="10"/>
      <c r="H13" s="10"/>
      <c r="I13" s="7"/>
      <c r="J13" s="54"/>
      <c r="L13" s="89"/>
      <c r="P13" s="7"/>
      <c r="Q13" s="54"/>
      <c r="S13" s="10"/>
      <c r="W13" s="287"/>
    </row>
    <row r="14" spans="1:23" x14ac:dyDescent="0.25">
      <c r="D14" s="7"/>
      <c r="G14" s="10"/>
      <c r="H14" s="10"/>
      <c r="I14" s="7"/>
      <c r="L14" s="89"/>
      <c r="P14" s="7"/>
      <c r="S14" s="10"/>
      <c r="W14" s="287"/>
    </row>
    <row r="15" spans="1:23" x14ac:dyDescent="0.25">
      <c r="A15" s="1" t="s">
        <v>6</v>
      </c>
      <c r="D15" s="7"/>
      <c r="G15" s="10"/>
      <c r="H15" s="10"/>
      <c r="I15" s="7"/>
      <c r="L15" s="89"/>
      <c r="M15" s="1" t="s">
        <v>6</v>
      </c>
      <c r="P15" s="7"/>
      <c r="S15" s="10"/>
      <c r="W15" s="287"/>
    </row>
    <row r="16" spans="1:23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L16" s="89"/>
      <c r="P16" s="286" t="s">
        <v>7</v>
      </c>
      <c r="Q16" s="11" t="s">
        <v>9</v>
      </c>
      <c r="S16" s="10"/>
      <c r="W16" s="287"/>
    </row>
    <row r="17" spans="1:23" x14ac:dyDescent="0.25">
      <c r="B17" s="2" t="s">
        <v>56</v>
      </c>
      <c r="D17" s="7">
        <f>'Billing Determ'!Q18</f>
        <v>37317394</v>
      </c>
      <c r="E17" s="132">
        <f>'Present and Proposed Rates'!F11</f>
        <v>0.114521</v>
      </c>
      <c r="G17" s="10">
        <f>D17*E17</f>
        <v>4273625.2782739997</v>
      </c>
      <c r="H17" s="10"/>
      <c r="I17" s="7">
        <f>D17-7642208</f>
        <v>29675186</v>
      </c>
      <c r="J17" s="132">
        <f>'Present and Proposed Rates'!G11</f>
        <v>0.114521</v>
      </c>
      <c r="K17" s="64">
        <f>I17*J17</f>
        <v>3398431.975906</v>
      </c>
      <c r="L17" s="89"/>
      <c r="N17" s="2" t="s">
        <v>97</v>
      </c>
      <c r="P17" s="7">
        <f>D17-7642208</f>
        <v>29675186</v>
      </c>
      <c r="Q17" s="132">
        <f>'Present and Proposed Rates'!H11</f>
        <v>0.11536299999999999</v>
      </c>
      <c r="S17" s="10">
        <f>P17*Q17</f>
        <v>3423418.4825179996</v>
      </c>
      <c r="T17" s="287">
        <f>S17/K17-1</f>
        <v>7.3523633220107243E-3</v>
      </c>
      <c r="W17" s="287">
        <f>P17/D17</f>
        <v>0.79521056588249439</v>
      </c>
    </row>
    <row r="18" spans="1:23" x14ac:dyDescent="0.25">
      <c r="A18" s="1"/>
      <c r="C18" s="93"/>
      <c r="D18" s="177"/>
      <c r="E18" s="22"/>
      <c r="G18" s="10"/>
      <c r="H18" s="10"/>
      <c r="I18" s="177"/>
      <c r="J18" s="22"/>
      <c r="L18" s="89"/>
      <c r="M18" s="1"/>
      <c r="P18" s="7"/>
      <c r="Q18" s="22"/>
      <c r="S18" s="10"/>
      <c r="W18" s="287"/>
    </row>
    <row r="19" spans="1:23" x14ac:dyDescent="0.25">
      <c r="A19" s="1" t="s">
        <v>50</v>
      </c>
      <c r="B19" s="1"/>
      <c r="C19" s="60"/>
      <c r="D19" s="7"/>
      <c r="E19" s="22"/>
      <c r="G19" s="10"/>
      <c r="H19" s="10"/>
      <c r="I19" s="7"/>
      <c r="J19" s="10"/>
      <c r="K19" s="10"/>
      <c r="L19" s="89"/>
      <c r="M19" s="1" t="s">
        <v>50</v>
      </c>
      <c r="N19" s="1"/>
      <c r="O19" s="60"/>
      <c r="P19" s="7"/>
      <c r="Q19" s="22"/>
      <c r="S19" s="10"/>
    </row>
    <row r="20" spans="1:23" x14ac:dyDescent="0.25">
      <c r="A20" s="1"/>
      <c r="B20" s="2" t="s">
        <v>44</v>
      </c>
      <c r="C20" s="60"/>
      <c r="D20" s="7"/>
      <c r="E20" s="173">
        <f>G20/D$17</f>
        <v>1.6931365120243926E-2</v>
      </c>
      <c r="G20" s="10">
        <f>'Billing Determ'!Q74</f>
        <v>631834.42314999993</v>
      </c>
      <c r="H20" s="10"/>
      <c r="I20" s="7"/>
      <c r="J20" s="173">
        <f>K20/D$17</f>
        <v>1.6931365120243926E-2</v>
      </c>
      <c r="K20" s="10">
        <f>G20</f>
        <v>631834.42314999993</v>
      </c>
      <c r="L20" s="89"/>
      <c r="M20" s="10"/>
      <c r="N20" s="1"/>
      <c r="O20" s="2" t="s">
        <v>44</v>
      </c>
      <c r="P20" s="60"/>
      <c r="Q20" s="173">
        <f>S20/P$17</f>
        <v>2.1291675245102084E-2</v>
      </c>
      <c r="R20" s="22"/>
      <c r="S20" s="10">
        <f>K20</f>
        <v>631834.42314999993</v>
      </c>
      <c r="T20" s="287">
        <f>S20/K20-1</f>
        <v>0</v>
      </c>
    </row>
    <row r="21" spans="1:23" x14ac:dyDescent="0.25">
      <c r="A21" s="1"/>
      <c r="B21" s="2" t="s">
        <v>51</v>
      </c>
      <c r="C21" s="60"/>
      <c r="D21" s="7"/>
      <c r="E21" s="173">
        <f t="shared" ref="E21:E23" si="0">G21/D$17</f>
        <v>5.7234395978990396E-3</v>
      </c>
      <c r="G21" s="10">
        <f>'Billing Determ'!Q85</f>
        <v>213583.85051000002</v>
      </c>
      <c r="H21" s="10"/>
      <c r="I21" s="7"/>
      <c r="J21" s="173">
        <f t="shared" ref="J21:J23" si="1">K21/D$17</f>
        <v>5.7234395978990396E-3</v>
      </c>
      <c r="K21" s="10">
        <f>G21</f>
        <v>213583.85051000002</v>
      </c>
      <c r="L21" s="89"/>
      <c r="M21" s="10"/>
      <c r="N21" s="1"/>
      <c r="O21" s="2" t="s">
        <v>51</v>
      </c>
      <c r="P21" s="60"/>
      <c r="Q21" s="173">
        <f t="shared" ref="Q21:Q23" si="2">S21/P$17</f>
        <v>7.1973887715480545E-3</v>
      </c>
      <c r="R21" s="22"/>
      <c r="S21" s="10">
        <f t="shared" ref="S21:S23" si="3">K21</f>
        <v>213583.85051000002</v>
      </c>
      <c r="T21" s="287">
        <f>S21/K21-1</f>
        <v>0</v>
      </c>
    </row>
    <row r="22" spans="1:23" x14ac:dyDescent="0.25">
      <c r="A22" s="1"/>
      <c r="B22" s="2" t="s">
        <v>119</v>
      </c>
      <c r="C22" s="60"/>
      <c r="D22" s="7"/>
      <c r="E22" s="173">
        <f t="shared" si="0"/>
        <v>-5.6009790257594092E-3</v>
      </c>
      <c r="G22" s="10">
        <f>'Billing Determ'!Q96</f>
        <v>-209013.94109000004</v>
      </c>
      <c r="H22" s="10"/>
      <c r="I22" s="7"/>
      <c r="J22" s="173">
        <f t="shared" si="1"/>
        <v>-5.6009790257594092E-3</v>
      </c>
      <c r="K22" s="10">
        <f>G22</f>
        <v>-209013.94109000004</v>
      </c>
      <c r="L22" s="89"/>
      <c r="M22" s="10"/>
      <c r="N22" s="1"/>
      <c r="O22" s="2" t="s">
        <v>77</v>
      </c>
      <c r="P22" s="60"/>
      <c r="Q22" s="173">
        <f t="shared" si="2"/>
        <v>-7.0433911042714287E-3</v>
      </c>
      <c r="R22" s="22"/>
      <c r="S22" s="10">
        <f t="shared" si="3"/>
        <v>-209013.94109000004</v>
      </c>
      <c r="T22" s="287">
        <f>S22/K22-1</f>
        <v>0</v>
      </c>
    </row>
    <row r="23" spans="1:23" x14ac:dyDescent="0.25">
      <c r="A23" s="1"/>
      <c r="B23" s="2" t="s">
        <v>118</v>
      </c>
      <c r="C23" s="60"/>
      <c r="D23" s="7"/>
      <c r="E23" s="173">
        <f t="shared" si="0"/>
        <v>6.0739250522155964E-3</v>
      </c>
      <c r="G23" s="10">
        <f>'Billing Determ'!Q107</f>
        <v>226663.05429999999</v>
      </c>
      <c r="H23" s="10"/>
      <c r="I23" s="7"/>
      <c r="J23" s="173">
        <f t="shared" si="1"/>
        <v>6.0739250522155964E-3</v>
      </c>
      <c r="K23" s="10">
        <f>G23</f>
        <v>226663.05429999999</v>
      </c>
      <c r="L23" s="89"/>
      <c r="M23" s="10"/>
      <c r="N23" s="1"/>
      <c r="O23" s="2" t="s">
        <v>44</v>
      </c>
      <c r="P23" s="60"/>
      <c r="Q23" s="173">
        <f t="shared" si="2"/>
        <v>7.6381342411804927E-3</v>
      </c>
      <c r="R23" s="22"/>
      <c r="S23" s="10">
        <f t="shared" si="3"/>
        <v>226663.05429999999</v>
      </c>
      <c r="T23" s="287">
        <f>S23/K23-1</f>
        <v>0</v>
      </c>
    </row>
    <row r="24" spans="1:23" x14ac:dyDescent="0.25">
      <c r="C24" s="60"/>
      <c r="D24" s="7"/>
      <c r="E24" s="210">
        <f>SUM(E20:E23)</f>
        <v>2.3127750744599152E-2</v>
      </c>
      <c r="G24" s="10"/>
      <c r="H24" s="10"/>
      <c r="I24" s="7"/>
      <c r="J24" s="10"/>
      <c r="K24" s="10"/>
      <c r="L24" s="89"/>
      <c r="M24" s="72"/>
    </row>
    <row r="25" spans="1:23" x14ac:dyDescent="0.25">
      <c r="A25" s="1"/>
      <c r="D25" s="65"/>
      <c r="G25" s="10"/>
      <c r="H25" s="10"/>
      <c r="I25" s="65"/>
      <c r="J25" s="10"/>
      <c r="K25" s="10"/>
      <c r="L25" s="89"/>
      <c r="M25" s="1"/>
      <c r="S25" s="10"/>
    </row>
    <row r="26" spans="1:23" ht="16.5" thickBot="1" x14ac:dyDescent="0.3">
      <c r="A26" s="1" t="s">
        <v>34</v>
      </c>
      <c r="G26" s="17">
        <f>SUM(G12:G23)</f>
        <v>6319638.1651440002</v>
      </c>
      <c r="H26" s="10"/>
      <c r="J26" s="10"/>
      <c r="K26" s="17">
        <f>SUM(K12:K23)</f>
        <v>5202157.7627760004</v>
      </c>
      <c r="L26" s="89"/>
      <c r="M26" s="1" t="s">
        <v>34</v>
      </c>
      <c r="S26" s="17">
        <f>SUM(S12:S24)</f>
        <v>5689384.2693880005</v>
      </c>
      <c r="T26" s="287">
        <f>S26/K26-1</f>
        <v>9.3658541095840153E-2</v>
      </c>
    </row>
    <row r="27" spans="1:23" ht="16.5" thickTop="1" x14ac:dyDescent="0.25">
      <c r="A27" s="1"/>
      <c r="B27" s="1"/>
      <c r="G27" s="10"/>
      <c r="H27" s="10"/>
      <c r="J27" s="10"/>
      <c r="K27" s="10"/>
      <c r="L27" s="89"/>
      <c r="M27" s="1"/>
      <c r="N27" s="1"/>
      <c r="S27" s="10"/>
    </row>
    <row r="28" spans="1:23" x14ac:dyDescent="0.25">
      <c r="A28" s="1" t="s">
        <v>15</v>
      </c>
      <c r="B28" s="9"/>
      <c r="G28" s="10">
        <f>'Billing Determ'!Q29</f>
        <v>6279828.9400000004</v>
      </c>
      <c r="H28" s="10"/>
      <c r="J28" s="10"/>
      <c r="K28" s="10"/>
      <c r="L28" s="89"/>
      <c r="M28" s="1" t="s">
        <v>58</v>
      </c>
      <c r="N28" s="9"/>
      <c r="S28" s="64">
        <f>S26-K26</f>
        <v>487226.50661200006</v>
      </c>
    </row>
    <row r="29" spans="1:23" x14ac:dyDescent="0.25">
      <c r="A29" s="9"/>
      <c r="B29" s="9"/>
      <c r="G29" s="9"/>
      <c r="H29" s="9"/>
      <c r="J29" s="9"/>
      <c r="K29" s="9"/>
      <c r="L29" s="90"/>
      <c r="N29" s="9"/>
      <c r="S29" s="9"/>
    </row>
    <row r="30" spans="1:23" x14ac:dyDescent="0.25">
      <c r="A30" s="1" t="s">
        <v>10</v>
      </c>
      <c r="B30" s="9"/>
      <c r="G30" s="38">
        <f>G26-G28</f>
        <v>39809.225143999793</v>
      </c>
      <c r="H30" s="38"/>
      <c r="J30" s="38"/>
      <c r="K30" s="38">
        <f>K26-G26</f>
        <v>-1117480.4023679998</v>
      </c>
      <c r="L30" s="288"/>
      <c r="M30" s="1" t="s">
        <v>59</v>
      </c>
      <c r="N30" s="9"/>
      <c r="S30" s="287">
        <f>S28/K26</f>
        <v>9.3658541095840181E-2</v>
      </c>
    </row>
    <row r="31" spans="1:23" x14ac:dyDescent="0.25">
      <c r="A31" s="9"/>
      <c r="B31" s="9"/>
      <c r="G31" s="10"/>
      <c r="H31" s="10"/>
      <c r="J31" s="10"/>
      <c r="K31" s="10"/>
      <c r="L31" s="89"/>
      <c r="N31" s="9"/>
      <c r="S31" s="10"/>
    </row>
    <row r="32" spans="1:23" x14ac:dyDescent="0.25">
      <c r="A32" s="1" t="s">
        <v>17</v>
      </c>
      <c r="B32" s="9"/>
      <c r="G32" s="39">
        <f>G30/G28</f>
        <v>6.3392212629281887E-3</v>
      </c>
      <c r="H32" s="39"/>
      <c r="J32" s="39"/>
      <c r="K32" s="39">
        <f>K30/G28</f>
        <v>-0.17794758631880819</v>
      </c>
      <c r="L32" s="289"/>
      <c r="M32" s="1" t="s">
        <v>37</v>
      </c>
      <c r="N32" s="9"/>
      <c r="S32" s="44">
        <f>S28/P12</f>
        <v>10.540552669868468</v>
      </c>
    </row>
    <row r="33" spans="1:20" x14ac:dyDescent="0.25">
      <c r="L33" s="289"/>
    </row>
    <row r="34" spans="1:20" x14ac:dyDescent="0.25">
      <c r="A34" s="1" t="s">
        <v>161</v>
      </c>
      <c r="D34" s="35">
        <f>D17/D12</f>
        <v>641.96445897127126</v>
      </c>
      <c r="E34" s="2" t="s">
        <v>7</v>
      </c>
      <c r="G34" s="290">
        <f>G26/D12</f>
        <v>108.71560579982797</v>
      </c>
      <c r="H34" s="39"/>
      <c r="I34" s="35">
        <f>I17/I12</f>
        <v>641.98654378677747</v>
      </c>
      <c r="J34" s="39" t="s">
        <v>7</v>
      </c>
      <c r="K34" s="290">
        <f>K26/I12</f>
        <v>112.54235381568017</v>
      </c>
      <c r="L34" s="289"/>
      <c r="M34" s="1"/>
      <c r="N34" s="9"/>
      <c r="P34" s="35">
        <f>P17/P12</f>
        <v>641.98654378677747</v>
      </c>
      <c r="Q34" s="2" t="s">
        <v>7</v>
      </c>
      <c r="S34" s="290">
        <f>S26/P12</f>
        <v>123.08290648554865</v>
      </c>
      <c r="T34" s="9">
        <f>S34-K34</f>
        <v>10.540552669868475</v>
      </c>
    </row>
    <row r="35" spans="1:20" x14ac:dyDescent="0.25">
      <c r="A35" s="1"/>
      <c r="B35" s="9"/>
    </row>
    <row r="36" spans="1:20" x14ac:dyDescent="0.25">
      <c r="A36" s="1"/>
      <c r="B36" s="9"/>
      <c r="G36" s="40">
        <f>G12+G17</f>
        <v>5456570.7782739997</v>
      </c>
      <c r="H36" s="39"/>
      <c r="J36" s="39"/>
      <c r="K36" s="39"/>
      <c r="L36" s="39"/>
      <c r="M36" s="1"/>
      <c r="N36" s="9"/>
      <c r="S36" s="39"/>
    </row>
    <row r="37" spans="1:20" x14ac:dyDescent="0.25">
      <c r="A37" s="1"/>
      <c r="B37" s="9"/>
      <c r="G37" s="39"/>
      <c r="H37" s="39"/>
      <c r="J37" s="39"/>
      <c r="K37" s="39"/>
      <c r="L37" s="39"/>
      <c r="M37" s="1"/>
      <c r="N37" s="9"/>
      <c r="S37" s="39"/>
    </row>
    <row r="38" spans="1:20" x14ac:dyDescent="0.25">
      <c r="A38" s="1"/>
      <c r="B38" s="9"/>
      <c r="G38" s="39"/>
      <c r="H38" s="39"/>
      <c r="J38" s="39"/>
      <c r="K38" s="39"/>
      <c r="L38" s="39"/>
      <c r="M38" s="1"/>
      <c r="N38" s="9"/>
      <c r="S38" s="39"/>
    </row>
    <row r="39" spans="1:20" ht="18.75" customHeight="1" x14ac:dyDescent="0.25">
      <c r="A39" s="1"/>
      <c r="B39" s="10"/>
      <c r="G39" s="39"/>
      <c r="H39" s="39"/>
      <c r="J39" s="39"/>
      <c r="K39" s="39"/>
      <c r="L39" s="39"/>
    </row>
    <row r="40" spans="1:20" x14ac:dyDescent="0.25">
      <c r="E40" s="10"/>
    </row>
    <row r="54" spans="20:20" ht="16.5" customHeight="1" x14ac:dyDescent="0.25"/>
    <row r="63" spans="20:20" x14ac:dyDescent="0.25">
      <c r="T63" s="30"/>
    </row>
    <row r="64" spans="20:20" x14ac:dyDescent="0.25">
      <c r="T64" s="30"/>
    </row>
    <row r="65" spans="20:20" x14ac:dyDescent="0.25">
      <c r="T65" s="30"/>
    </row>
    <row r="66" spans="20:20" x14ac:dyDescent="0.25">
      <c r="T66" s="30"/>
    </row>
    <row r="67" spans="20:20" x14ac:dyDescent="0.25">
      <c r="T67" s="30"/>
    </row>
    <row r="68" spans="20:20" x14ac:dyDescent="0.25">
      <c r="T68" s="30"/>
    </row>
    <row r="69" spans="20:20" x14ac:dyDescent="0.25">
      <c r="T69" s="30"/>
    </row>
    <row r="70" spans="20:20" x14ac:dyDescent="0.25">
      <c r="T70" s="30"/>
    </row>
    <row r="71" spans="20:20" x14ac:dyDescent="0.25">
      <c r="T71" s="30"/>
    </row>
    <row r="72" spans="20:20" x14ac:dyDescent="0.25">
      <c r="T72" s="30"/>
    </row>
    <row r="73" spans="20:20" x14ac:dyDescent="0.25">
      <c r="T73" s="30"/>
    </row>
    <row r="74" spans="20:20" x14ac:dyDescent="0.25">
      <c r="T74" s="291"/>
    </row>
    <row r="75" spans="20:20" x14ac:dyDescent="0.25">
      <c r="T75" s="291"/>
    </row>
    <row r="76" spans="20:20" x14ac:dyDescent="0.25">
      <c r="T76" s="291"/>
    </row>
    <row r="77" spans="20:20" x14ac:dyDescent="0.25">
      <c r="T77" s="291"/>
    </row>
    <row r="78" spans="20:20" x14ac:dyDescent="0.25">
      <c r="T78" s="291"/>
    </row>
    <row r="79" spans="20:20" x14ac:dyDescent="0.25">
      <c r="T79" s="291"/>
    </row>
    <row r="80" spans="20:20" x14ac:dyDescent="0.25">
      <c r="T80" s="291"/>
    </row>
    <row r="81" spans="20:20" x14ac:dyDescent="0.25">
      <c r="T81" s="291"/>
    </row>
    <row r="82" spans="20:20" x14ac:dyDescent="0.25">
      <c r="T82" s="291"/>
    </row>
    <row r="83" spans="20:20" x14ac:dyDescent="0.25">
      <c r="T83" s="291"/>
    </row>
    <row r="84" spans="20:20" x14ac:dyDescent="0.25">
      <c r="T84" s="291"/>
    </row>
    <row r="85" spans="20:20" x14ac:dyDescent="0.25">
      <c r="T85" s="291"/>
    </row>
    <row r="86" spans="20:20" x14ac:dyDescent="0.25">
      <c r="T86" s="291"/>
    </row>
    <row r="87" spans="20:20" ht="15" customHeight="1" x14ac:dyDescent="0.25">
      <c r="T87" s="291"/>
    </row>
    <row r="88" spans="20:20" x14ac:dyDescent="0.25">
      <c r="T88" s="291"/>
    </row>
    <row r="89" spans="20:20" x14ac:dyDescent="0.25">
      <c r="T89" s="291"/>
    </row>
    <row r="90" spans="20:20" x14ac:dyDescent="0.25">
      <c r="T90" s="291"/>
    </row>
    <row r="91" spans="20:20" x14ac:dyDescent="0.25">
      <c r="T91" s="291"/>
    </row>
    <row r="92" spans="20:20" x14ac:dyDescent="0.25">
      <c r="T92" s="291"/>
    </row>
    <row r="93" spans="20:20" x14ac:dyDescent="0.25">
      <c r="T93" s="291"/>
    </row>
    <row r="94" spans="20:20" x14ac:dyDescent="0.25">
      <c r="T94" s="291"/>
    </row>
    <row r="95" spans="20:20" x14ac:dyDescent="0.25">
      <c r="T95" s="291"/>
    </row>
    <row r="96" spans="20:20" x14ac:dyDescent="0.25">
      <c r="T96" s="291"/>
    </row>
    <row r="97" spans="20:20" x14ac:dyDescent="0.25">
      <c r="T97" s="291"/>
    </row>
    <row r="98" spans="20:20" x14ac:dyDescent="0.25">
      <c r="T98" s="291"/>
    </row>
    <row r="99" spans="20:20" x14ac:dyDescent="0.25">
      <c r="T99" s="291"/>
    </row>
    <row r="100" spans="20:20" x14ac:dyDescent="0.25">
      <c r="T100" s="291"/>
    </row>
    <row r="101" spans="20:20" x14ac:dyDescent="0.25">
      <c r="T101" s="291"/>
    </row>
    <row r="102" spans="20:20" x14ac:dyDescent="0.25">
      <c r="T102" s="291"/>
    </row>
    <row r="103" spans="20:20" x14ac:dyDescent="0.25">
      <c r="T103" s="291"/>
    </row>
    <row r="104" spans="20:20" x14ac:dyDescent="0.25">
      <c r="T104" s="291"/>
    </row>
    <row r="105" spans="20:20" x14ac:dyDescent="0.25">
      <c r="T105" s="291"/>
    </row>
    <row r="106" spans="20:20" x14ac:dyDescent="0.25">
      <c r="T106" s="291"/>
    </row>
    <row r="107" spans="20:20" x14ac:dyDescent="0.25">
      <c r="T107" s="291"/>
    </row>
    <row r="108" spans="20:20" x14ac:dyDescent="0.25">
      <c r="T108" s="291"/>
    </row>
    <row r="109" spans="20:20" x14ac:dyDescent="0.25">
      <c r="T109" s="291"/>
    </row>
    <row r="110" spans="20:20" x14ac:dyDescent="0.25">
      <c r="T110" s="291"/>
    </row>
    <row r="111" spans="20:20" x14ac:dyDescent="0.25">
      <c r="T111" s="291"/>
    </row>
    <row r="112" spans="20:20" x14ac:dyDescent="0.25">
      <c r="T112" s="291"/>
    </row>
    <row r="113" spans="20:20" x14ac:dyDescent="0.25">
      <c r="T113" s="291"/>
    </row>
    <row r="114" spans="20:20" x14ac:dyDescent="0.25">
      <c r="T114" s="291"/>
    </row>
    <row r="115" spans="20:20" x14ac:dyDescent="0.25">
      <c r="T115" s="291"/>
    </row>
    <row r="116" spans="20:20" x14ac:dyDescent="0.25">
      <c r="T116" s="291"/>
    </row>
    <row r="117" spans="20:20" x14ac:dyDescent="0.25">
      <c r="T117" s="291"/>
    </row>
    <row r="118" spans="20:20" x14ac:dyDescent="0.25">
      <c r="T118" s="291"/>
    </row>
    <row r="119" spans="20:20" x14ac:dyDescent="0.25">
      <c r="T119" s="291"/>
    </row>
    <row r="133" spans="3:14" x14ac:dyDescent="0.25">
      <c r="N133" s="30"/>
    </row>
    <row r="134" spans="3:14" x14ac:dyDescent="0.25">
      <c r="C134" s="30"/>
      <c r="D134" s="30"/>
      <c r="I134" s="30"/>
      <c r="N134" s="30"/>
    </row>
    <row r="135" spans="3:14" x14ac:dyDescent="0.25">
      <c r="C135" s="31"/>
      <c r="D135" s="42"/>
      <c r="E135" s="46"/>
      <c r="I135" s="42"/>
      <c r="N135" s="30"/>
    </row>
    <row r="136" spans="3:14" x14ac:dyDescent="0.25">
      <c r="C136" s="31"/>
      <c r="D136" s="42"/>
      <c r="E136" s="46"/>
      <c r="I136" s="42"/>
      <c r="N136" s="30"/>
    </row>
    <row r="137" spans="3:14" x14ac:dyDescent="0.25">
      <c r="C137" s="31"/>
      <c r="D137" s="42"/>
      <c r="E137" s="46"/>
      <c r="I137" s="42"/>
      <c r="N137" s="30"/>
    </row>
  </sheetData>
  <mergeCells count="5">
    <mergeCell ref="D4:G5"/>
    <mergeCell ref="P4:S5"/>
    <mergeCell ref="E7:F7"/>
    <mergeCell ref="Q7:R7"/>
    <mergeCell ref="J4:K5"/>
  </mergeCells>
  <pageMargins left="0.75" right="0.75" top="1" bottom="1" header="0.5" footer="0.5"/>
  <pageSetup scale="61" orientation="landscape" r:id="rId1"/>
  <headerFooter alignWithMargins="0">
    <oddFooter>&amp;RExhibit JW-9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37"/>
  <sheetViews>
    <sheetView view="pageBreakPreview" topLeftCell="A7" zoomScale="75" zoomScaleNormal="85" zoomScaleSheetLayoutView="75" workbookViewId="0">
      <selection activeCell="A7" sqref="A1:XFD1048576"/>
    </sheetView>
  </sheetViews>
  <sheetFormatPr defaultColWidth="9.140625" defaultRowHeight="15.75" x14ac:dyDescent="0.25"/>
  <cols>
    <col min="1" max="1" width="4.7109375" style="2" customWidth="1"/>
    <col min="2" max="2" width="17.710937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8" style="2" bestFit="1" customWidth="1"/>
    <col min="8" max="8" width="2.7109375" style="2" customWidth="1"/>
    <col min="9" max="9" width="15" style="2" bestFit="1" customWidth="1"/>
    <col min="10" max="11" width="18" style="2" customWidth="1"/>
    <col min="12" max="12" width="2" style="2" customWidth="1"/>
    <col min="13" max="13" width="2.28515625" style="2" customWidth="1"/>
    <col min="14" max="14" width="5.42578125" style="2" customWidth="1"/>
    <col min="15" max="15" width="13.7109375" style="2" customWidth="1"/>
    <col min="16" max="16" width="2.140625" style="2" customWidth="1"/>
    <col min="17" max="17" width="15.7109375" style="2" customWidth="1"/>
    <col min="18" max="18" width="15" style="2" customWidth="1"/>
    <col min="19" max="19" width="1.85546875" style="2" customWidth="1"/>
    <col min="20" max="20" width="16.28515625" style="2" customWidth="1"/>
    <col min="21" max="16384" width="9.140625" style="2"/>
  </cols>
  <sheetData>
    <row r="1" spans="1:21" x14ac:dyDescent="0.25">
      <c r="A1" s="1" t="str">
        <f>'Present and Proposed Rates'!A1</f>
        <v>JACKSON PURCHASE ENERGY CORPORATION</v>
      </c>
      <c r="O1" s="1"/>
    </row>
    <row r="2" spans="1:21" x14ac:dyDescent="0.25">
      <c r="A2" s="1" t="str">
        <f>List!B7</f>
        <v>C-3 Small Commercial Three Phase</v>
      </c>
    </row>
    <row r="3" spans="1:21" ht="16.5" thickBot="1" x14ac:dyDescent="0.3">
      <c r="A3" s="127" t="str">
        <f>List!C7</f>
        <v>C3</v>
      </c>
    </row>
    <row r="4" spans="1:21" x14ac:dyDescent="0.25">
      <c r="D4" s="318" t="s">
        <v>18</v>
      </c>
      <c r="E4" s="319"/>
      <c r="F4" s="319"/>
      <c r="G4" s="320"/>
      <c r="H4" s="3"/>
      <c r="I4" s="3"/>
      <c r="J4" s="318" t="s">
        <v>57</v>
      </c>
      <c r="K4" s="320"/>
      <c r="L4" s="88"/>
      <c r="M4" s="3"/>
      <c r="Q4" s="318" t="s">
        <v>42</v>
      </c>
      <c r="R4" s="319"/>
      <c r="S4" s="319"/>
      <c r="T4" s="320"/>
    </row>
    <row r="5" spans="1:21" ht="16.5" thickBot="1" x14ac:dyDescent="0.3">
      <c r="A5" s="32"/>
      <c r="B5" s="45"/>
      <c r="C5" s="3"/>
      <c r="D5" s="321"/>
      <c r="E5" s="322"/>
      <c r="F5" s="322"/>
      <c r="G5" s="323"/>
      <c r="H5" s="3"/>
      <c r="I5" s="3"/>
      <c r="J5" s="321"/>
      <c r="K5" s="323"/>
      <c r="L5" s="88"/>
      <c r="M5" s="3"/>
      <c r="N5" s="32"/>
      <c r="O5" s="45"/>
      <c r="P5" s="3"/>
      <c r="Q5" s="321"/>
      <c r="R5" s="322"/>
      <c r="S5" s="322"/>
      <c r="T5" s="323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1" ht="16.5" thickBot="1" x14ac:dyDescent="0.3">
      <c r="A7" s="5"/>
      <c r="B7" s="5"/>
      <c r="C7" s="5"/>
      <c r="D7" s="5" t="s">
        <v>3</v>
      </c>
      <c r="E7" s="322" t="s">
        <v>4</v>
      </c>
      <c r="F7" s="322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2" t="s">
        <v>4</v>
      </c>
      <c r="S7" s="322"/>
      <c r="T7" s="5" t="s">
        <v>5</v>
      </c>
      <c r="U7" s="5" t="s">
        <v>27</v>
      </c>
    </row>
    <row r="8" spans="1:21" x14ac:dyDescent="0.25">
      <c r="L8" s="88"/>
    </row>
    <row r="9" spans="1:21" x14ac:dyDescent="0.25">
      <c r="L9" s="88"/>
    </row>
    <row r="10" spans="1:21" x14ac:dyDescent="0.25">
      <c r="A10" s="72" t="s">
        <v>8</v>
      </c>
      <c r="L10" s="88"/>
      <c r="N10" s="72" t="s">
        <v>8</v>
      </c>
    </row>
    <row r="11" spans="1:21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Q11" s="100" t="s">
        <v>45</v>
      </c>
      <c r="R11" s="100" t="s">
        <v>46</v>
      </c>
    </row>
    <row r="12" spans="1:21" x14ac:dyDescent="0.25">
      <c r="B12" s="2" t="s">
        <v>56</v>
      </c>
      <c r="D12" s="7">
        <f>'Billing Determ'!Q8</f>
        <v>6176</v>
      </c>
      <c r="E12" s="54">
        <f>'Present and Proposed Rates'!F12</f>
        <v>32.270000000000003</v>
      </c>
      <c r="G12" s="10">
        <f>D12*E12</f>
        <v>199299.52000000002</v>
      </c>
      <c r="H12" s="10"/>
      <c r="I12" s="7">
        <f>518*12</f>
        <v>6216</v>
      </c>
      <c r="J12" s="54">
        <f>'Present and Proposed Rates'!G12</f>
        <v>32.270000000000003</v>
      </c>
      <c r="K12" s="10">
        <f>J12*I12</f>
        <v>200590.32</v>
      </c>
      <c r="L12" s="89"/>
      <c r="M12" s="10"/>
      <c r="O12" s="2" t="s">
        <v>52</v>
      </c>
      <c r="Q12" s="7">
        <f>518*12</f>
        <v>6216</v>
      </c>
      <c r="R12" s="54">
        <f>'Present and Proposed Rates'!H12</f>
        <v>42.27</v>
      </c>
      <c r="T12" s="10">
        <f>Q12*R12</f>
        <v>262750.32</v>
      </c>
      <c r="U12" s="287">
        <f>T12/K12-1</f>
        <v>0.30988534242330346</v>
      </c>
    </row>
    <row r="13" spans="1:21" x14ac:dyDescent="0.25">
      <c r="D13" s="7"/>
      <c r="E13" s="54"/>
      <c r="G13" s="10"/>
      <c r="H13" s="10"/>
      <c r="I13" s="7"/>
      <c r="J13" s="54"/>
      <c r="K13" s="10"/>
      <c r="L13" s="89"/>
      <c r="M13" s="10"/>
      <c r="Q13" s="7"/>
      <c r="R13" s="54"/>
      <c r="T13" s="10"/>
    </row>
    <row r="14" spans="1:21" x14ac:dyDescent="0.25">
      <c r="D14" s="7"/>
      <c r="G14" s="10"/>
      <c r="H14" s="10"/>
      <c r="I14" s="7"/>
      <c r="K14" s="10"/>
      <c r="L14" s="89"/>
      <c r="M14" s="10"/>
      <c r="Q14" s="7"/>
      <c r="T14" s="10"/>
    </row>
    <row r="15" spans="1:21" x14ac:dyDescent="0.25">
      <c r="A15" s="1" t="s">
        <v>6</v>
      </c>
      <c r="D15" s="7"/>
      <c r="G15" s="10"/>
      <c r="H15" s="10"/>
      <c r="I15" s="7"/>
      <c r="K15" s="10"/>
      <c r="L15" s="89"/>
      <c r="M15" s="10"/>
      <c r="N15" s="1" t="s">
        <v>6</v>
      </c>
      <c r="Q15" s="7"/>
      <c r="T15" s="10"/>
    </row>
    <row r="16" spans="1:21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K16" s="10"/>
      <c r="L16" s="89"/>
      <c r="M16" s="10"/>
      <c r="Q16" s="81" t="s">
        <v>7</v>
      </c>
      <c r="R16" s="82" t="s">
        <v>9</v>
      </c>
      <c r="T16" s="10"/>
    </row>
    <row r="17" spans="1:21" x14ac:dyDescent="0.25">
      <c r="B17" s="2" t="s">
        <v>97</v>
      </c>
      <c r="D17" s="7">
        <f>'Billing Determ'!Q19</f>
        <v>11646814</v>
      </c>
      <c r="E17" s="132">
        <f>'Present and Proposed Rates'!F13</f>
        <v>0.100453</v>
      </c>
      <c r="G17" s="10">
        <f>D17*E17</f>
        <v>1169957.406742</v>
      </c>
      <c r="H17" s="10"/>
      <c r="I17" s="7">
        <f>D17+67846</f>
        <v>11714660</v>
      </c>
      <c r="J17" s="132">
        <f>'Present and Proposed Rates'!G13</f>
        <v>0.100453</v>
      </c>
      <c r="K17" s="10">
        <f>J17*I17</f>
        <v>1176772.74098</v>
      </c>
      <c r="L17" s="89"/>
      <c r="M17" s="10"/>
      <c r="O17" s="2" t="s">
        <v>97</v>
      </c>
      <c r="Q17" s="7">
        <f>D17+67846</f>
        <v>11714660</v>
      </c>
      <c r="R17" s="132">
        <f>'Present and Proposed Rates'!H13</f>
        <v>0.112266</v>
      </c>
      <c r="T17" s="10">
        <f>Q17*R17</f>
        <v>1315158.0195600002</v>
      </c>
      <c r="U17" s="287">
        <f>T17/K17-1</f>
        <v>0.11759728430211158</v>
      </c>
    </row>
    <row r="18" spans="1:21" x14ac:dyDescent="0.25">
      <c r="A18" s="1"/>
      <c r="D18" s="292"/>
      <c r="I18" s="292"/>
    </row>
    <row r="19" spans="1:21" x14ac:dyDescent="0.25">
      <c r="A19" s="1" t="s">
        <v>50</v>
      </c>
      <c r="B19" s="1"/>
      <c r="C19" s="60"/>
      <c r="D19" s="7"/>
      <c r="E19" s="22"/>
      <c r="G19" s="10"/>
      <c r="H19" s="10"/>
      <c r="I19" s="7"/>
      <c r="J19" s="10"/>
      <c r="K19" s="10"/>
      <c r="L19" s="89"/>
      <c r="M19" s="10"/>
      <c r="N19" s="1" t="s">
        <v>50</v>
      </c>
      <c r="O19" s="1"/>
      <c r="P19" s="60"/>
      <c r="Q19" s="7"/>
      <c r="R19" s="22"/>
      <c r="T19" s="10"/>
    </row>
    <row r="20" spans="1:21" x14ac:dyDescent="0.25">
      <c r="A20" s="1"/>
      <c r="B20" s="2" t="s">
        <v>44</v>
      </c>
      <c r="C20" s="60"/>
      <c r="D20" s="7"/>
      <c r="E20" s="173">
        <f>G20/D$17</f>
        <v>1.5830148051647432E-2</v>
      </c>
      <c r="G20" s="10">
        <f>'Billing Determ'!Q75</f>
        <v>184370.78995000003</v>
      </c>
      <c r="H20" s="10"/>
      <c r="I20" s="7"/>
      <c r="J20" s="173">
        <f>K20/D$17</f>
        <v>1.5830148051647432E-2</v>
      </c>
      <c r="K20" s="10">
        <f>G20</f>
        <v>184370.78995000003</v>
      </c>
      <c r="L20" s="89"/>
      <c r="M20" s="10"/>
      <c r="N20" s="1"/>
      <c r="O20" s="2" t="s">
        <v>44</v>
      </c>
      <c r="P20" s="60"/>
      <c r="Q20" s="7"/>
      <c r="R20" s="173">
        <f>T20/Q$17</f>
        <v>1.5738467010566252E-2</v>
      </c>
      <c r="T20" s="10">
        <f>G20</f>
        <v>184370.78995000003</v>
      </c>
      <c r="U20" s="287">
        <f>T20/K20-1</f>
        <v>0</v>
      </c>
    </row>
    <row r="21" spans="1:21" x14ac:dyDescent="0.25">
      <c r="A21" s="1"/>
      <c r="B21" s="2" t="s">
        <v>51</v>
      </c>
      <c r="C21" s="60"/>
      <c r="D21" s="7"/>
      <c r="E21" s="173">
        <f t="shared" ref="E21:E23" si="0">G21/D$17</f>
        <v>5.4887689919320424E-3</v>
      </c>
      <c r="G21" s="10">
        <f>'Billing Determ'!Q86</f>
        <v>63926.671538000002</v>
      </c>
      <c r="H21" s="10"/>
      <c r="I21" s="7"/>
      <c r="J21" s="173">
        <f t="shared" ref="J21:J23" si="1">K21/D$17</f>
        <v>5.4887689919320424E-3</v>
      </c>
      <c r="K21" s="10">
        <f>G21</f>
        <v>63926.671538000002</v>
      </c>
      <c r="L21" s="89"/>
      <c r="M21" s="10"/>
      <c r="N21" s="1"/>
      <c r="O21" s="2" t="s">
        <v>51</v>
      </c>
      <c r="P21" s="60"/>
      <c r="Q21" s="7"/>
      <c r="R21" s="173">
        <f t="shared" ref="R21:R23" si="2">T21/Q$17</f>
        <v>5.4569805302074493E-3</v>
      </c>
      <c r="T21" s="10">
        <f>G21</f>
        <v>63926.671538000002</v>
      </c>
      <c r="U21" s="287">
        <f>T21/K21-1</f>
        <v>0</v>
      </c>
    </row>
    <row r="22" spans="1:21" x14ac:dyDescent="0.25">
      <c r="A22" s="1"/>
      <c r="B22" s="2" t="s">
        <v>119</v>
      </c>
      <c r="C22" s="60"/>
      <c r="D22" s="7"/>
      <c r="E22" s="173">
        <f t="shared" si="0"/>
        <v>-5.4007521032790598E-3</v>
      </c>
      <c r="G22" s="10">
        <f>'Billing Determ'!Q97</f>
        <v>-62901.555206999998</v>
      </c>
      <c r="H22" s="10"/>
      <c r="I22" s="7"/>
      <c r="J22" s="173">
        <f t="shared" si="1"/>
        <v>-5.4007521032790598E-3</v>
      </c>
      <c r="K22" s="10">
        <f>G22</f>
        <v>-62901.555206999998</v>
      </c>
      <c r="L22" s="89"/>
      <c r="M22" s="10"/>
      <c r="N22" s="1"/>
      <c r="O22" s="2" t="s">
        <v>77</v>
      </c>
      <c r="P22" s="60"/>
      <c r="Q22" s="7"/>
      <c r="R22" s="173">
        <f t="shared" si="2"/>
        <v>-5.3694733954719985E-3</v>
      </c>
      <c r="T22" s="10">
        <f>K22</f>
        <v>-62901.555206999998</v>
      </c>
      <c r="U22" s="287">
        <f>T22/K22-1</f>
        <v>0</v>
      </c>
    </row>
    <row r="23" spans="1:21" x14ac:dyDescent="0.25">
      <c r="A23" s="1"/>
      <c r="B23" s="2" t="s">
        <v>118</v>
      </c>
      <c r="C23" s="60"/>
      <c r="D23" s="7"/>
      <c r="E23" s="173">
        <f t="shared" si="0"/>
        <v>5.7769998444209721E-3</v>
      </c>
      <c r="G23" s="10">
        <f>'Billing Determ'!Q108</f>
        <v>67283.642666</v>
      </c>
      <c r="H23" s="10"/>
      <c r="I23" s="7"/>
      <c r="J23" s="173">
        <f t="shared" si="1"/>
        <v>5.7769998444209721E-3</v>
      </c>
      <c r="K23" s="10">
        <f>G23</f>
        <v>67283.642666</v>
      </c>
      <c r="L23" s="89"/>
      <c r="M23" s="10"/>
      <c r="N23" s="1"/>
      <c r="O23" s="2" t="s">
        <v>44</v>
      </c>
      <c r="P23" s="60"/>
      <c r="Q23" s="7"/>
      <c r="R23" s="173">
        <f t="shared" si="2"/>
        <v>5.7435420802652406E-3</v>
      </c>
      <c r="T23" s="10">
        <f>G23</f>
        <v>67283.642666</v>
      </c>
      <c r="U23" s="287">
        <f>T23/K23-1</f>
        <v>0</v>
      </c>
    </row>
    <row r="24" spans="1:21" x14ac:dyDescent="0.25">
      <c r="D24" s="7"/>
      <c r="E24" s="210">
        <f>SUM(E20:E23)</f>
        <v>2.1695164784721385E-2</v>
      </c>
      <c r="G24" s="44"/>
      <c r="H24" s="44"/>
      <c r="I24" s="7"/>
      <c r="J24" s="44"/>
      <c r="K24" s="44"/>
      <c r="L24" s="89"/>
      <c r="M24" s="44"/>
      <c r="N24" s="72"/>
    </row>
    <row r="25" spans="1:21" x14ac:dyDescent="0.25">
      <c r="A25" s="1"/>
      <c r="D25" s="65"/>
      <c r="G25" s="10"/>
      <c r="H25" s="10"/>
      <c r="I25" s="65"/>
      <c r="J25" s="10"/>
      <c r="K25" s="10"/>
      <c r="L25" s="89"/>
      <c r="M25" s="10"/>
      <c r="N25" s="1"/>
      <c r="T25" s="10"/>
    </row>
    <row r="26" spans="1:21" ht="16.5" thickBot="1" x14ac:dyDescent="0.3">
      <c r="A26" s="1" t="s">
        <v>34</v>
      </c>
      <c r="G26" s="17">
        <f>SUM(G12:G23)</f>
        <v>1621936.475689</v>
      </c>
      <c r="H26" s="10"/>
      <c r="J26" s="10"/>
      <c r="K26" s="17">
        <f>SUM(K12:K23)</f>
        <v>1630042.609927</v>
      </c>
      <c r="L26" s="89"/>
      <c r="M26" s="10"/>
      <c r="N26" s="1" t="s">
        <v>34</v>
      </c>
      <c r="T26" s="17">
        <f>SUM(T12:T23)</f>
        <v>1830587.8885070002</v>
      </c>
      <c r="U26" s="287">
        <f>T26/K26-1</f>
        <v>0.12303069708648984</v>
      </c>
    </row>
    <row r="27" spans="1:21" ht="16.5" thickTop="1" x14ac:dyDescent="0.25">
      <c r="A27" s="1"/>
      <c r="B27" s="1"/>
      <c r="G27" s="10"/>
      <c r="H27" s="10"/>
      <c r="J27" s="10"/>
      <c r="K27" s="10"/>
      <c r="L27" s="89"/>
      <c r="M27" s="10"/>
      <c r="N27" s="1"/>
      <c r="O27" s="1"/>
      <c r="T27" s="10"/>
    </row>
    <row r="28" spans="1:21" x14ac:dyDescent="0.25">
      <c r="A28" s="1" t="s">
        <v>15</v>
      </c>
      <c r="B28" s="9"/>
      <c r="G28" s="10">
        <f>'Billing Determ'!Q30</f>
        <v>1628407.99</v>
      </c>
      <c r="H28" s="10"/>
      <c r="J28" s="10"/>
      <c r="K28" s="10"/>
      <c r="L28" s="90"/>
      <c r="M28" s="10"/>
      <c r="N28" s="1" t="s">
        <v>58</v>
      </c>
      <c r="O28" s="9"/>
      <c r="T28" s="64">
        <f>T26-K26</f>
        <v>200545.27858000016</v>
      </c>
    </row>
    <row r="29" spans="1:21" x14ac:dyDescent="0.25">
      <c r="A29" s="9"/>
      <c r="B29" s="9"/>
      <c r="G29" s="9"/>
      <c r="H29" s="9"/>
      <c r="J29" s="9"/>
      <c r="K29" s="9"/>
      <c r="L29" s="288"/>
      <c r="M29" s="9"/>
      <c r="O29" s="9"/>
      <c r="T29" s="9"/>
    </row>
    <row r="30" spans="1:21" x14ac:dyDescent="0.25">
      <c r="A30" s="1" t="s">
        <v>10</v>
      </c>
      <c r="B30" s="9"/>
      <c r="G30" s="38">
        <f>G26-G28</f>
        <v>-6471.5143110000063</v>
      </c>
      <c r="H30" s="38"/>
      <c r="J30" s="38"/>
      <c r="K30" s="38">
        <f>K26-G26</f>
        <v>8106.1342380000278</v>
      </c>
      <c r="L30" s="89"/>
      <c r="M30" s="38"/>
      <c r="N30" s="1" t="s">
        <v>59</v>
      </c>
      <c r="O30" s="9"/>
      <c r="T30" s="287">
        <f>T28/K26</f>
        <v>0.12303069708648991</v>
      </c>
    </row>
    <row r="31" spans="1:21" x14ac:dyDescent="0.25">
      <c r="A31" s="9"/>
      <c r="B31" s="9"/>
      <c r="G31" s="10"/>
      <c r="H31" s="10"/>
      <c r="J31" s="10"/>
      <c r="K31" s="10"/>
      <c r="L31" s="289"/>
      <c r="M31" s="10"/>
      <c r="O31" s="9"/>
      <c r="T31" s="10"/>
    </row>
    <row r="32" spans="1:21" x14ac:dyDescent="0.25">
      <c r="A32" s="1" t="s">
        <v>17</v>
      </c>
      <c r="B32" s="9"/>
      <c r="G32" s="39">
        <f>G30/G28</f>
        <v>-3.9741356900367493E-3</v>
      </c>
      <c r="H32" s="39"/>
      <c r="J32" s="39"/>
      <c r="K32" s="39">
        <f>K30/G28</f>
        <v>4.9779504201524017E-3</v>
      </c>
      <c r="L32" s="289"/>
      <c r="M32" s="39"/>
      <c r="N32" s="1" t="s">
        <v>37</v>
      </c>
      <c r="O32" s="9"/>
      <c r="T32" s="44">
        <f>T28/Q12</f>
        <v>32.262753954311478</v>
      </c>
    </row>
    <row r="33" spans="1:21" x14ac:dyDescent="0.25">
      <c r="A33" s="1"/>
      <c r="B33" s="9"/>
      <c r="L33" s="289"/>
    </row>
    <row r="34" spans="1:21" x14ac:dyDescent="0.25">
      <c r="A34" s="1" t="s">
        <v>161</v>
      </c>
      <c r="B34" s="9"/>
      <c r="D34" s="35">
        <f>D17/D12</f>
        <v>1885.8183290155441</v>
      </c>
      <c r="E34" s="2" t="s">
        <v>7</v>
      </c>
      <c r="G34" s="290">
        <f>G26/D12</f>
        <v>262.6192480066386</v>
      </c>
      <c r="H34" s="39"/>
      <c r="I34" s="35">
        <f>I17/I12</f>
        <v>1884.597812097812</v>
      </c>
      <c r="J34" s="39" t="s">
        <v>7</v>
      </c>
      <c r="K34" s="290">
        <f>K26/I12</f>
        <v>262.23336710537325</v>
      </c>
      <c r="L34" s="289"/>
      <c r="M34" s="39"/>
      <c r="N34" s="1"/>
      <c r="O34" s="9"/>
      <c r="Q34" s="36">
        <f>Q17/Q12</f>
        <v>1884.597812097812</v>
      </c>
      <c r="R34" s="2" t="s">
        <v>7</v>
      </c>
      <c r="T34" s="290">
        <f>T26/Q12</f>
        <v>294.4961210596847</v>
      </c>
      <c r="U34" s="9">
        <f>T34-K34</f>
        <v>32.262753954311449</v>
      </c>
    </row>
    <row r="35" spans="1:21" x14ac:dyDescent="0.25">
      <c r="A35" s="1"/>
      <c r="B35" s="9"/>
      <c r="D35" s="14"/>
      <c r="G35" s="40">
        <f>G12+G17</f>
        <v>1369256.926742</v>
      </c>
      <c r="H35" s="39"/>
      <c r="I35" s="14"/>
      <c r="J35" s="39"/>
      <c r="K35" s="39"/>
      <c r="L35" s="39"/>
      <c r="M35" s="39"/>
      <c r="N35" s="1"/>
      <c r="O35" s="9"/>
      <c r="T35" s="39"/>
    </row>
    <row r="36" spans="1:21" x14ac:dyDescent="0.25">
      <c r="A36" s="1"/>
      <c r="B36" s="9"/>
      <c r="G36" s="39"/>
      <c r="H36" s="39"/>
      <c r="J36" s="39"/>
      <c r="K36" s="39"/>
      <c r="L36" s="39"/>
      <c r="M36" s="39"/>
      <c r="N36" s="1"/>
      <c r="O36" s="9"/>
      <c r="T36" s="39"/>
    </row>
    <row r="37" spans="1:21" x14ac:dyDescent="0.25">
      <c r="A37" s="1"/>
      <c r="B37" s="9"/>
      <c r="G37" s="39"/>
      <c r="H37" s="39"/>
      <c r="J37" s="39"/>
      <c r="K37" s="39"/>
      <c r="L37" s="39"/>
      <c r="M37" s="39"/>
      <c r="N37" s="1"/>
      <c r="O37" s="9"/>
      <c r="T37" s="39"/>
    </row>
    <row r="38" spans="1:21" x14ac:dyDescent="0.25">
      <c r="A38" s="1"/>
      <c r="B38" s="9"/>
      <c r="G38" s="39"/>
      <c r="H38" s="39"/>
      <c r="J38" s="39"/>
      <c r="K38" s="39"/>
      <c r="L38" s="39"/>
      <c r="M38" s="39"/>
      <c r="N38" s="1"/>
      <c r="O38" s="9"/>
      <c r="T38" s="39"/>
    </row>
    <row r="39" spans="1:21" ht="18.75" customHeight="1" x14ac:dyDescent="0.25">
      <c r="A39" s="1"/>
      <c r="B39" s="10"/>
      <c r="G39" s="39"/>
      <c r="H39" s="39"/>
      <c r="J39" s="39"/>
      <c r="K39" s="39"/>
      <c r="L39" s="39"/>
      <c r="M39" s="39"/>
    </row>
    <row r="40" spans="1:21" x14ac:dyDescent="0.25">
      <c r="E40" s="10"/>
    </row>
    <row r="54" ht="16.5" customHeight="1" x14ac:dyDescent="0.25"/>
    <row r="87" ht="15" customHeight="1" x14ac:dyDescent="0.25"/>
    <row r="133" spans="3:15" x14ac:dyDescent="0.25">
      <c r="O133" s="30"/>
    </row>
    <row r="134" spans="3:15" x14ac:dyDescent="0.25">
      <c r="C134" s="30"/>
      <c r="D134" s="30"/>
      <c r="I134" s="30"/>
      <c r="O134" s="30"/>
    </row>
    <row r="135" spans="3:15" x14ac:dyDescent="0.25">
      <c r="C135" s="31"/>
      <c r="D135" s="42"/>
      <c r="E135" s="46"/>
      <c r="I135" s="42"/>
      <c r="O135" s="30"/>
    </row>
    <row r="136" spans="3:15" x14ac:dyDescent="0.25">
      <c r="C136" s="31"/>
      <c r="D136" s="42"/>
      <c r="E136" s="46"/>
      <c r="I136" s="42"/>
      <c r="O136" s="30"/>
    </row>
    <row r="137" spans="3:15" x14ac:dyDescent="0.25">
      <c r="C137" s="31"/>
      <c r="D137" s="42"/>
      <c r="E137" s="46"/>
      <c r="I137" s="42"/>
      <c r="O137" s="30"/>
    </row>
  </sheetData>
  <mergeCells count="5">
    <mergeCell ref="D4:G5"/>
    <mergeCell ref="Q4:T5"/>
    <mergeCell ref="E7:F7"/>
    <mergeCell ref="R7:S7"/>
    <mergeCell ref="J4:K5"/>
  </mergeCells>
  <pageMargins left="0.75" right="0.75" top="1" bottom="1" header="0.5" footer="0.5"/>
  <pageSetup scale="55" orientation="landscape" r:id="rId1"/>
  <headerFooter alignWithMargins="0">
    <oddFooter>&amp;RExhibit JW-9
Page &amp;P of &amp;N</oddFooter>
  </headerFooter>
  <ignoredErrors>
    <ignoredError sqref="T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46"/>
  <sheetViews>
    <sheetView view="pageBreakPreview" topLeftCell="A9" zoomScale="75" zoomScaleNormal="85" zoomScaleSheetLayoutView="75" workbookViewId="0">
      <selection activeCell="W33" sqref="W33"/>
    </sheetView>
  </sheetViews>
  <sheetFormatPr defaultColWidth="9.140625" defaultRowHeight="15.75" x14ac:dyDescent="0.25"/>
  <cols>
    <col min="1" max="1" width="4.7109375" style="2" customWidth="1"/>
    <col min="2" max="2" width="14.7109375" style="2" customWidth="1"/>
    <col min="3" max="3" width="2.42578125" style="2" customWidth="1"/>
    <col min="4" max="4" width="15" style="2" bestFit="1" customWidth="1"/>
    <col min="5" max="5" width="14.5703125" style="2" bestFit="1" customWidth="1"/>
    <col min="6" max="6" width="3.140625" style="2" customWidth="1"/>
    <col min="7" max="7" width="16.28515625" style="2" customWidth="1"/>
    <col min="8" max="8" width="3.28515625" style="2" customWidth="1"/>
    <col min="9" max="9" width="15" style="2" bestFit="1" customWidth="1"/>
    <col min="10" max="10" width="14.5703125" style="2" bestFit="1" customWidth="1"/>
    <col min="11" max="11" width="15.5703125" style="2" customWidth="1"/>
    <col min="12" max="12" width="2" style="2" customWidth="1"/>
    <col min="13" max="14" width="2.85546875" style="2" customWidth="1"/>
    <col min="15" max="15" width="16.5703125" style="2" customWidth="1"/>
    <col min="16" max="16" width="3" style="2" customWidth="1"/>
    <col min="17" max="17" width="16" style="2" customWidth="1"/>
    <col min="18" max="18" width="18" style="2" bestFit="1" customWidth="1"/>
    <col min="19" max="19" width="1.85546875" style="2" customWidth="1"/>
    <col min="20" max="20" width="15.85546875" style="2" customWidth="1"/>
    <col min="21" max="22" width="9.140625" style="2"/>
    <col min="23" max="23" width="11" style="2" bestFit="1" customWidth="1"/>
    <col min="24" max="16384" width="9.140625" style="2"/>
  </cols>
  <sheetData>
    <row r="1" spans="1:21" x14ac:dyDescent="0.25">
      <c r="A1" s="1" t="s">
        <v>76</v>
      </c>
      <c r="O1" s="1"/>
    </row>
    <row r="2" spans="1:21" x14ac:dyDescent="0.25">
      <c r="A2" s="1" t="str">
        <f>List!B8</f>
        <v>D - Commercial and Industrial Demand &lt; 3,000 kW</v>
      </c>
    </row>
    <row r="3" spans="1:21" ht="16.5" thickBot="1" x14ac:dyDescent="0.3">
      <c r="A3" s="127" t="str">
        <f>List!C8</f>
        <v>D</v>
      </c>
    </row>
    <row r="4" spans="1:21" x14ac:dyDescent="0.25">
      <c r="D4" s="318" t="s">
        <v>18</v>
      </c>
      <c r="E4" s="319"/>
      <c r="F4" s="319"/>
      <c r="G4" s="320"/>
      <c r="H4" s="3"/>
      <c r="I4" s="3"/>
      <c r="J4" s="318" t="s">
        <v>57</v>
      </c>
      <c r="K4" s="320"/>
      <c r="L4" s="88"/>
      <c r="M4" s="3"/>
      <c r="Q4" s="318" t="s">
        <v>42</v>
      </c>
      <c r="R4" s="319"/>
      <c r="S4" s="319"/>
      <c r="T4" s="320"/>
    </row>
    <row r="5" spans="1:21" ht="16.5" thickBot="1" x14ac:dyDescent="0.3">
      <c r="A5" s="32"/>
      <c r="B5" s="45"/>
      <c r="C5" s="3"/>
      <c r="D5" s="321"/>
      <c r="E5" s="322"/>
      <c r="F5" s="322"/>
      <c r="G5" s="323"/>
      <c r="H5" s="3"/>
      <c r="I5" s="3"/>
      <c r="J5" s="321"/>
      <c r="K5" s="323"/>
      <c r="L5" s="88"/>
      <c r="M5" s="3"/>
      <c r="N5" s="32"/>
      <c r="O5" s="45"/>
      <c r="P5" s="3"/>
      <c r="Q5" s="321"/>
      <c r="R5" s="322"/>
      <c r="S5" s="322"/>
      <c r="T5" s="323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1" ht="16.5" thickBot="1" x14ac:dyDescent="0.3">
      <c r="A7" s="5"/>
      <c r="B7" s="5"/>
      <c r="C7" s="5"/>
      <c r="D7" s="5" t="s">
        <v>3</v>
      </c>
      <c r="E7" s="322" t="s">
        <v>4</v>
      </c>
      <c r="F7" s="322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2" t="s">
        <v>4</v>
      </c>
      <c r="S7" s="322"/>
      <c r="T7" s="5" t="s">
        <v>5</v>
      </c>
      <c r="U7" s="5" t="s">
        <v>27</v>
      </c>
    </row>
    <row r="8" spans="1:21" x14ac:dyDescent="0.25">
      <c r="L8" s="88"/>
    </row>
    <row r="9" spans="1:21" x14ac:dyDescent="0.25">
      <c r="L9" s="88"/>
    </row>
    <row r="10" spans="1:21" x14ac:dyDescent="0.25">
      <c r="A10" s="72" t="s">
        <v>8</v>
      </c>
      <c r="L10" s="88"/>
      <c r="N10" s="72" t="s">
        <v>8</v>
      </c>
    </row>
    <row r="11" spans="1:21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Q11" s="100" t="s">
        <v>45</v>
      </c>
      <c r="R11" s="100" t="s">
        <v>46</v>
      </c>
    </row>
    <row r="12" spans="1:21" x14ac:dyDescent="0.25">
      <c r="B12" s="2" t="s">
        <v>56</v>
      </c>
      <c r="D12" s="7">
        <f>'Billing Determ'!Q9</f>
        <v>7756</v>
      </c>
      <c r="E12" s="54">
        <f>'Present and Proposed Rates'!F14</f>
        <v>48.42</v>
      </c>
      <c r="G12" s="10">
        <f>D12*E12</f>
        <v>375545.52</v>
      </c>
      <c r="H12" s="10"/>
      <c r="I12" s="7">
        <f>650*12</f>
        <v>7800</v>
      </c>
      <c r="J12" s="54">
        <f>'Present and Proposed Rates'!G14</f>
        <v>48.42</v>
      </c>
      <c r="K12" s="10">
        <f>J12*I12</f>
        <v>377676</v>
      </c>
      <c r="L12" s="89"/>
      <c r="M12" s="10"/>
      <c r="O12" s="2" t="s">
        <v>52</v>
      </c>
      <c r="Q12" s="7">
        <f>650*12</f>
        <v>7800</v>
      </c>
      <c r="R12" s="54">
        <f>'Present and Proposed Rates'!H14</f>
        <v>58.42</v>
      </c>
      <c r="T12" s="10">
        <f>Q12*R12</f>
        <v>455676</v>
      </c>
      <c r="U12" s="287">
        <f>T12/K12-1</f>
        <v>0.20652622883106164</v>
      </c>
    </row>
    <row r="13" spans="1:21" x14ac:dyDescent="0.25">
      <c r="D13" s="7"/>
      <c r="E13" s="54"/>
      <c r="G13" s="10"/>
      <c r="H13" s="10"/>
      <c r="I13" s="7"/>
      <c r="J13" s="54"/>
      <c r="K13" s="10"/>
      <c r="L13" s="89"/>
      <c r="M13" s="10"/>
      <c r="Q13" s="7"/>
      <c r="R13" s="54"/>
      <c r="T13" s="10"/>
    </row>
    <row r="14" spans="1:21" x14ac:dyDescent="0.25">
      <c r="D14" s="7"/>
      <c r="G14" s="10"/>
      <c r="H14" s="10"/>
      <c r="I14" s="7"/>
      <c r="K14" s="10"/>
      <c r="L14" s="89"/>
      <c r="M14" s="10"/>
      <c r="Q14" s="7"/>
      <c r="T14" s="10"/>
    </row>
    <row r="15" spans="1:21" x14ac:dyDescent="0.25">
      <c r="A15" s="1" t="s">
        <v>6</v>
      </c>
      <c r="D15" s="7"/>
      <c r="G15" s="10"/>
      <c r="H15" s="10"/>
      <c r="I15" s="7"/>
      <c r="K15" s="10"/>
      <c r="L15" s="89"/>
      <c r="M15" s="10"/>
      <c r="N15" s="1" t="s">
        <v>6</v>
      </c>
      <c r="Q15" s="7"/>
      <c r="T15" s="10"/>
    </row>
    <row r="16" spans="1:21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K16" s="10"/>
      <c r="L16" s="89"/>
      <c r="M16" s="10"/>
      <c r="Q16" s="81" t="s">
        <v>7</v>
      </c>
      <c r="R16" s="82" t="s">
        <v>9</v>
      </c>
      <c r="T16" s="10"/>
    </row>
    <row r="17" spans="1:21" x14ac:dyDescent="0.25">
      <c r="B17" s="2" t="s">
        <v>125</v>
      </c>
      <c r="D17" s="7">
        <f>D25*200</f>
        <v>120256429</v>
      </c>
      <c r="E17" s="132">
        <f>'Present and Proposed Rates'!F16</f>
        <v>6.2202E-2</v>
      </c>
      <c r="G17" s="10">
        <f>D17*E17</f>
        <v>7480190.3966579996</v>
      </c>
      <c r="H17" s="10"/>
      <c r="I17" s="7">
        <f>D17+1051153</f>
        <v>121307582</v>
      </c>
      <c r="J17" s="132">
        <f>'Present and Proposed Rates'!G16</f>
        <v>6.2202E-2</v>
      </c>
      <c r="K17" s="10">
        <f t="shared" ref="K17:K20" si="0">J17*I17</f>
        <v>7545574.2155640004</v>
      </c>
      <c r="L17" s="89"/>
      <c r="M17" s="10"/>
      <c r="O17" s="2" t="s">
        <v>97</v>
      </c>
      <c r="Q17" s="7">
        <f>D17+1051153</f>
        <v>121307582</v>
      </c>
      <c r="R17" s="132">
        <f>'Present and Proposed Rates'!H16</f>
        <v>6.3376580868937091E-2</v>
      </c>
      <c r="T17" s="10">
        <f>Q17*R17</f>
        <v>7688059.780638217</v>
      </c>
      <c r="U17" s="287">
        <f>T17/K17-1</f>
        <v>1.888332961861483E-2</v>
      </c>
    </row>
    <row r="18" spans="1:21" x14ac:dyDescent="0.25">
      <c r="B18" s="2" t="s">
        <v>126</v>
      </c>
      <c r="D18" s="7">
        <f>D21-D17</f>
        <v>49504808</v>
      </c>
      <c r="E18" s="132">
        <f>'Present and Proposed Rates'!F17</f>
        <v>5.2103999999999998E-2</v>
      </c>
      <c r="G18" s="10">
        <f>D18*E18</f>
        <v>2579398.5160320001</v>
      </c>
      <c r="H18" s="10"/>
      <c r="I18" s="7">
        <f>D18</f>
        <v>49504808</v>
      </c>
      <c r="J18" s="132">
        <f>'Present and Proposed Rates'!G17</f>
        <v>5.2103999999999998E-2</v>
      </c>
      <c r="K18" s="10">
        <f t="shared" si="0"/>
        <v>2579398.5160320001</v>
      </c>
      <c r="L18" s="89"/>
      <c r="M18" s="10"/>
      <c r="O18" s="2" t="s">
        <v>97</v>
      </c>
      <c r="Q18" s="7">
        <f>D18</f>
        <v>49504808</v>
      </c>
      <c r="R18" s="132">
        <f>'Present and Proposed Rates'!H17</f>
        <v>5.3087897006448316E-2</v>
      </c>
      <c r="T18" s="10">
        <f>Q18*R18</f>
        <v>2628106.1484279986</v>
      </c>
      <c r="U18" s="287">
        <f>T18/K18-1</f>
        <v>1.8883329618615052E-2</v>
      </c>
    </row>
    <row r="19" spans="1:21" x14ac:dyDescent="0.25">
      <c r="B19" s="2" t="s">
        <v>127</v>
      </c>
      <c r="D19" s="7">
        <v>0</v>
      </c>
      <c r="E19" s="132">
        <f>'Present and Proposed Rates'!F18</f>
        <v>4.6973000000000001E-2</v>
      </c>
      <c r="G19" s="10">
        <f>D19*E19</f>
        <v>0</v>
      </c>
      <c r="H19" s="10"/>
      <c r="I19" s="7">
        <v>0</v>
      </c>
      <c r="J19" s="132">
        <f>'Present and Proposed Rates'!G18</f>
        <v>4.6973000000000001E-2</v>
      </c>
      <c r="K19" s="10">
        <f t="shared" si="0"/>
        <v>0</v>
      </c>
      <c r="L19" s="89"/>
      <c r="M19" s="10"/>
      <c r="O19" s="2" t="s">
        <v>97</v>
      </c>
      <c r="Q19" s="7">
        <f>D19</f>
        <v>0</v>
      </c>
      <c r="R19" s="132">
        <f>'Present and Proposed Rates'!H18</f>
        <v>4.7860006642175205E-2</v>
      </c>
      <c r="T19" s="10">
        <f>Q19*R19</f>
        <v>0</v>
      </c>
      <c r="U19" s="287">
        <v>0</v>
      </c>
    </row>
    <row r="20" spans="1:21" x14ac:dyDescent="0.25">
      <c r="B20" s="2" t="s">
        <v>128</v>
      </c>
      <c r="D20" s="7">
        <v>0</v>
      </c>
      <c r="E20" s="132">
        <f>'Present and Proposed Rates'!F19</f>
        <v>4.1993000000000003E-2</v>
      </c>
      <c r="G20" s="10">
        <f>D20*E20</f>
        <v>0</v>
      </c>
      <c r="H20" s="10"/>
      <c r="I20" s="7">
        <v>0</v>
      </c>
      <c r="J20" s="132">
        <f>'Present and Proposed Rates'!G19</f>
        <v>4.1993000000000003E-2</v>
      </c>
      <c r="K20" s="10">
        <f t="shared" si="0"/>
        <v>0</v>
      </c>
      <c r="L20" s="89"/>
      <c r="M20" s="10"/>
      <c r="O20" s="2" t="s">
        <v>97</v>
      </c>
      <c r="Q20" s="7">
        <f>D20</f>
        <v>0</v>
      </c>
      <c r="R20" s="132">
        <f>'Present and Proposed Rates'!H19</f>
        <v>4.2785967660674502E-2</v>
      </c>
      <c r="T20" s="10">
        <f>Q20*R20</f>
        <v>0</v>
      </c>
      <c r="U20" s="287">
        <v>0</v>
      </c>
    </row>
    <row r="21" spans="1:21" x14ac:dyDescent="0.25">
      <c r="B21" s="293" t="s">
        <v>129</v>
      </c>
      <c r="D21" s="133">
        <f>'Billing Determ'!Q20</f>
        <v>169761237</v>
      </c>
      <c r="E21" s="294">
        <f>G21/D21</f>
        <v>5.9257278578206868E-2</v>
      </c>
      <c r="G21" s="295">
        <f>SUM(G17:G20)</f>
        <v>10059588.912689999</v>
      </c>
      <c r="H21" s="10"/>
      <c r="I21" s="133">
        <f>(I17+I18)</f>
        <v>170812390</v>
      </c>
      <c r="J21" s="294">
        <f>K21/D21</f>
        <v>5.9642430218601675E-2</v>
      </c>
      <c r="K21" s="295">
        <f>SUM(K17:K20)</f>
        <v>10124972.731596</v>
      </c>
      <c r="L21" s="89"/>
      <c r="M21" s="10"/>
      <c r="O21" s="293" t="s">
        <v>97</v>
      </c>
      <c r="Q21" s="133">
        <f>(Q17+Q18)</f>
        <v>170812390</v>
      </c>
      <c r="R21" s="294">
        <f>T21/Q21</f>
        <v>6.0394716853187376E-2</v>
      </c>
      <c r="T21" s="295">
        <f>SUM(T17:T20)</f>
        <v>10316165.929066215</v>
      </c>
      <c r="U21" s="287">
        <f>T21/K21-1</f>
        <v>1.888332961861483E-2</v>
      </c>
    </row>
    <row r="22" spans="1:21" x14ac:dyDescent="0.25">
      <c r="A22" s="1"/>
      <c r="B22" s="1"/>
      <c r="C22" s="93"/>
      <c r="D22" s="177"/>
      <c r="E22" s="22"/>
      <c r="G22" s="10"/>
      <c r="H22" s="10"/>
      <c r="I22" s="177"/>
      <c r="J22" s="10"/>
      <c r="K22" s="10"/>
      <c r="L22" s="89"/>
      <c r="M22" s="10"/>
      <c r="N22" s="1"/>
      <c r="O22" s="1"/>
      <c r="P22" s="60"/>
      <c r="Q22" s="7"/>
      <c r="R22" s="22"/>
      <c r="T22" s="10"/>
    </row>
    <row r="23" spans="1:21" x14ac:dyDescent="0.25">
      <c r="A23" s="1" t="s">
        <v>47</v>
      </c>
      <c r="D23" s="7"/>
      <c r="G23" s="10"/>
      <c r="H23" s="10"/>
      <c r="I23" s="7"/>
      <c r="K23" s="10"/>
      <c r="L23" s="89"/>
      <c r="M23" s="10"/>
      <c r="N23" s="1" t="s">
        <v>47</v>
      </c>
      <c r="Q23" s="7"/>
      <c r="T23" s="10"/>
    </row>
    <row r="24" spans="1:21" x14ac:dyDescent="0.25">
      <c r="D24" s="81" t="s">
        <v>48</v>
      </c>
      <c r="E24" s="82" t="s">
        <v>49</v>
      </c>
      <c r="G24" s="10"/>
      <c r="H24" s="10"/>
      <c r="I24" s="81" t="s">
        <v>48</v>
      </c>
      <c r="J24" s="82" t="s">
        <v>49</v>
      </c>
      <c r="K24" s="10"/>
      <c r="L24" s="89"/>
      <c r="M24" s="10"/>
      <c r="Q24" s="81" t="s">
        <v>48</v>
      </c>
      <c r="R24" s="82" t="s">
        <v>49</v>
      </c>
      <c r="T24" s="10"/>
    </row>
    <row r="25" spans="1:21" x14ac:dyDescent="0.25">
      <c r="B25" s="2" t="s">
        <v>56</v>
      </c>
      <c r="D25" s="7">
        <f>'Billing Determ'!Q39</f>
        <v>601282.14500000002</v>
      </c>
      <c r="E25" s="61">
        <f>'Present and Proposed Rates'!F15</f>
        <v>9.01</v>
      </c>
      <c r="G25" s="10">
        <f>D25*E25</f>
        <v>5417552.1264500003</v>
      </c>
      <c r="H25" s="10"/>
      <c r="I25" s="7">
        <f>D25</f>
        <v>601282.14500000002</v>
      </c>
      <c r="J25" s="61">
        <f>'Present and Proposed Rates'!G15</f>
        <v>9.01</v>
      </c>
      <c r="K25" s="10">
        <f>J25*D25</f>
        <v>5417552.1264500003</v>
      </c>
      <c r="L25" s="89"/>
      <c r="M25" s="10"/>
      <c r="O25" s="2" t="s">
        <v>56</v>
      </c>
      <c r="Q25" s="7">
        <f>D25</f>
        <v>601282.14500000002</v>
      </c>
      <c r="R25" s="61">
        <f>'Present and Proposed Rates'!H15</f>
        <v>9.1801387998637214</v>
      </c>
      <c r="T25" s="10">
        <f>Q25*R25</f>
        <v>5519853.5489797844</v>
      </c>
      <c r="U25" s="287">
        <f>T25/K25-1</f>
        <v>1.8883329618615052E-2</v>
      </c>
    </row>
    <row r="26" spans="1:21" x14ac:dyDescent="0.25">
      <c r="D26" s="7"/>
      <c r="E26" s="132"/>
      <c r="G26" s="10"/>
      <c r="H26" s="10"/>
      <c r="I26" s="7"/>
      <c r="J26" s="132"/>
      <c r="K26" s="10"/>
      <c r="L26" s="89"/>
      <c r="M26" s="10"/>
      <c r="Q26" s="7"/>
      <c r="R26" s="132"/>
      <c r="T26" s="10"/>
    </row>
    <row r="27" spans="1:21" x14ac:dyDescent="0.25">
      <c r="A27" s="1" t="s">
        <v>50</v>
      </c>
      <c r="B27" s="1"/>
      <c r="C27" s="60"/>
      <c r="D27" s="7"/>
      <c r="E27" s="22"/>
      <c r="G27" s="10"/>
      <c r="H27" s="10"/>
      <c r="I27" s="7"/>
      <c r="J27" s="10"/>
      <c r="K27" s="10"/>
      <c r="L27" s="89"/>
      <c r="M27" s="10"/>
      <c r="N27" s="1" t="s">
        <v>50</v>
      </c>
      <c r="O27" s="1"/>
      <c r="P27" s="60"/>
      <c r="Q27" s="7"/>
      <c r="R27" s="22"/>
      <c r="T27" s="10"/>
    </row>
    <row r="28" spans="1:21" x14ac:dyDescent="0.25">
      <c r="A28" s="1"/>
      <c r="B28" s="2" t="s">
        <v>44</v>
      </c>
      <c r="C28" s="60"/>
      <c r="D28" s="7"/>
      <c r="E28" s="173">
        <f>G28/D$21</f>
        <v>1.5945894212793701E-2</v>
      </c>
      <c r="G28" s="10">
        <f>'Billing Determ'!Q76</f>
        <v>2706994.7266349997</v>
      </c>
      <c r="H28" s="10"/>
      <c r="I28" s="7"/>
      <c r="J28" s="173">
        <f>K28/D$21</f>
        <v>1.5945894212793701E-2</v>
      </c>
      <c r="K28" s="10">
        <f>G28</f>
        <v>2706994.7266349997</v>
      </c>
      <c r="L28" s="89"/>
      <c r="M28" s="10"/>
      <c r="N28" s="1"/>
      <c r="O28" s="2" t="s">
        <v>44</v>
      </c>
      <c r="P28" s="60"/>
      <c r="Q28" s="7"/>
      <c r="R28" s="173">
        <f>T28/Q$21</f>
        <v>1.5847765648820906E-2</v>
      </c>
      <c r="T28" s="10">
        <f>G28</f>
        <v>2706994.7266349997</v>
      </c>
      <c r="U28" s="287">
        <f>T28/K28-1</f>
        <v>0</v>
      </c>
    </row>
    <row r="29" spans="1:21" x14ac:dyDescent="0.25">
      <c r="A29" s="1"/>
      <c r="B29" s="2" t="s">
        <v>51</v>
      </c>
      <c r="C29" s="60"/>
      <c r="D29" s="7"/>
      <c r="E29" s="173">
        <f t="shared" ref="E29:E31" si="1">G29/D$21</f>
        <v>5.4917859943197757E-3</v>
      </c>
      <c r="G29" s="10">
        <f>'Billing Determ'!Q87</f>
        <v>932292.38373500016</v>
      </c>
      <c r="H29" s="10"/>
      <c r="I29" s="7"/>
      <c r="J29" s="173">
        <f t="shared" ref="J29:J31" si="2">K29/D$21</f>
        <v>5.4917859943197757E-3</v>
      </c>
      <c r="K29" s="10">
        <f>G29</f>
        <v>932292.38373500016</v>
      </c>
      <c r="L29" s="89"/>
      <c r="M29" s="10"/>
      <c r="N29" s="1"/>
      <c r="O29" s="2" t="s">
        <v>51</v>
      </c>
      <c r="P29" s="60"/>
      <c r="Q29" s="7"/>
      <c r="R29" s="173">
        <f t="shared" ref="R29:R31" si="3">T29/Q$21</f>
        <v>5.4579903936418208E-3</v>
      </c>
      <c r="T29" s="10">
        <f>G29</f>
        <v>932292.38373500016</v>
      </c>
      <c r="U29" s="287">
        <f>T29/K29-1</f>
        <v>0</v>
      </c>
    </row>
    <row r="30" spans="1:21" x14ac:dyDescent="0.25">
      <c r="A30" s="1"/>
      <c r="B30" s="2" t="s">
        <v>119</v>
      </c>
      <c r="C30" s="60"/>
      <c r="D30" s="7"/>
      <c r="E30" s="173">
        <f t="shared" si="1"/>
        <v>-5.4395170826894955E-3</v>
      </c>
      <c r="G30" s="10">
        <f>'Billing Determ'!Q98</f>
        <v>-923419.14864000003</v>
      </c>
      <c r="H30" s="10"/>
      <c r="I30" s="7"/>
      <c r="J30" s="173">
        <f t="shared" si="2"/>
        <v>-5.4395170826894955E-3</v>
      </c>
      <c r="K30" s="10">
        <f>G30</f>
        <v>-923419.14864000003</v>
      </c>
      <c r="L30" s="89"/>
      <c r="M30" s="10"/>
      <c r="N30" s="1"/>
      <c r="O30" s="2" t="s">
        <v>77</v>
      </c>
      <c r="P30" s="60"/>
      <c r="Q30" s="7"/>
      <c r="R30" s="173">
        <f t="shared" si="3"/>
        <v>-5.4060431368005563E-3</v>
      </c>
      <c r="T30" s="10">
        <f>K30</f>
        <v>-923419.14864000003</v>
      </c>
      <c r="U30" s="287">
        <f>T30/K30-1</f>
        <v>0</v>
      </c>
    </row>
    <row r="31" spans="1:21" x14ac:dyDescent="0.25">
      <c r="A31" s="1"/>
      <c r="B31" s="2" t="s">
        <v>118</v>
      </c>
      <c r="C31" s="60"/>
      <c r="D31" s="7"/>
      <c r="E31" s="173">
        <f t="shared" si="1"/>
        <v>5.8095271035224615E-3</v>
      </c>
      <c r="G31" s="10">
        <f>'Billing Determ'!Q109</f>
        <v>986232.50747900014</v>
      </c>
      <c r="H31" s="10"/>
      <c r="I31" s="7"/>
      <c r="J31" s="173">
        <f t="shared" si="2"/>
        <v>5.8095271035224615E-3</v>
      </c>
      <c r="K31" s="10">
        <f>G31</f>
        <v>986232.50747900014</v>
      </c>
      <c r="L31" s="89"/>
      <c r="M31" s="10"/>
      <c r="N31" s="1"/>
      <c r="O31" s="2" t="s">
        <v>44</v>
      </c>
      <c r="P31" s="60"/>
      <c r="Q31" s="7"/>
      <c r="R31" s="173">
        <f t="shared" si="3"/>
        <v>5.7737761732565189E-3</v>
      </c>
      <c r="T31" s="10">
        <f>G31</f>
        <v>986232.50747900014</v>
      </c>
      <c r="U31" s="287">
        <f>T31/K31-1</f>
        <v>0</v>
      </c>
    </row>
    <row r="32" spans="1:21" x14ac:dyDescent="0.25">
      <c r="D32" s="7"/>
      <c r="E32" s="210">
        <f>SUM(E28:E31)</f>
        <v>2.1807690227946444E-2</v>
      </c>
      <c r="G32" s="44"/>
      <c r="H32" s="44"/>
      <c r="I32" s="7"/>
      <c r="J32" s="44"/>
      <c r="K32" s="44"/>
      <c r="L32" s="89"/>
      <c r="M32" s="44"/>
      <c r="N32" s="72"/>
      <c r="U32" s="287"/>
    </row>
    <row r="33" spans="1:23" x14ac:dyDescent="0.25">
      <c r="B33" s="2" t="s">
        <v>175</v>
      </c>
      <c r="D33" s="7"/>
      <c r="E33" s="173"/>
      <c r="G33" s="44">
        <f>21000*12</f>
        <v>252000</v>
      </c>
      <c r="H33" s="44"/>
      <c r="I33" s="7"/>
      <c r="J33" s="44"/>
      <c r="K33" s="44">
        <f>G33</f>
        <v>252000</v>
      </c>
      <c r="L33" s="89"/>
      <c r="M33" s="44"/>
      <c r="N33" s="72"/>
      <c r="O33" s="2" t="str">
        <f>B33</f>
        <v>Min Bill</v>
      </c>
      <c r="T33" s="44">
        <f>1126.25*-12</f>
        <v>-13515</v>
      </c>
      <c r="U33" s="287"/>
      <c r="W33" s="10">
        <f>G33+T33</f>
        <v>238485</v>
      </c>
    </row>
    <row r="34" spans="1:23" x14ac:dyDescent="0.25">
      <c r="A34" s="1"/>
      <c r="D34" s="65"/>
      <c r="G34" s="10"/>
      <c r="H34" s="10"/>
      <c r="I34" s="65"/>
      <c r="J34" s="10"/>
      <c r="K34" s="10"/>
      <c r="L34" s="89"/>
      <c r="M34" s="10"/>
      <c r="N34" s="1"/>
      <c r="T34" s="10"/>
    </row>
    <row r="35" spans="1:23" ht="16.5" thickBot="1" x14ac:dyDescent="0.3">
      <c r="A35" s="1" t="s">
        <v>34</v>
      </c>
      <c r="G35" s="17">
        <f>SUM(G12:G31)-G21+G33</f>
        <v>19806787.028349001</v>
      </c>
      <c r="H35" s="10"/>
      <c r="J35" s="10"/>
      <c r="K35" s="17">
        <f>SUM(K12:K31)-K21+K33</f>
        <v>19874301.327255007</v>
      </c>
      <c r="L35" s="89"/>
      <c r="M35" s="10"/>
      <c r="N35" s="1" t="s">
        <v>34</v>
      </c>
      <c r="T35" s="17">
        <f>SUM(T12:T31)-T21+T33</f>
        <v>19980280.947255</v>
      </c>
      <c r="U35" s="287">
        <f>T35/K35-1</f>
        <v>5.332495379581248E-3</v>
      </c>
    </row>
    <row r="36" spans="1:23" ht="16.5" thickTop="1" x14ac:dyDescent="0.25">
      <c r="A36" s="1"/>
      <c r="B36" s="1"/>
      <c r="G36" s="10"/>
      <c r="H36" s="10"/>
      <c r="J36" s="10"/>
      <c r="K36" s="10"/>
      <c r="L36" s="89"/>
      <c r="M36" s="10"/>
      <c r="N36" s="1"/>
      <c r="O36" s="1"/>
      <c r="T36" s="10"/>
    </row>
    <row r="37" spans="1:23" x14ac:dyDescent="0.25">
      <c r="A37" s="1" t="s">
        <v>15</v>
      </c>
      <c r="B37" s="9"/>
      <c r="G37" s="10">
        <f>'Billing Determ'!Q31</f>
        <v>19775587.860000003</v>
      </c>
      <c r="H37" s="10"/>
      <c r="J37" s="10"/>
      <c r="K37" s="10"/>
      <c r="L37" s="90"/>
      <c r="M37" s="10"/>
      <c r="N37" s="1" t="s">
        <v>58</v>
      </c>
      <c r="O37" s="9"/>
      <c r="T37" s="64">
        <f>T35-K35</f>
        <v>105979.61999999359</v>
      </c>
    </row>
    <row r="38" spans="1:23" x14ac:dyDescent="0.25">
      <c r="A38" s="9"/>
      <c r="B38" s="9"/>
      <c r="G38" s="9"/>
      <c r="H38" s="9"/>
      <c r="J38" s="9"/>
      <c r="K38" s="9"/>
      <c r="L38" s="288"/>
      <c r="M38" s="9"/>
      <c r="O38" s="9"/>
      <c r="T38" s="9"/>
    </row>
    <row r="39" spans="1:23" x14ac:dyDescent="0.25">
      <c r="A39" s="1" t="s">
        <v>10</v>
      </c>
      <c r="B39" s="9"/>
      <c r="G39" s="38">
        <f>G35-G37</f>
        <v>31199.168348997831</v>
      </c>
      <c r="H39" s="38"/>
      <c r="J39" s="38"/>
      <c r="K39" s="38">
        <f>K35-G35</f>
        <v>67514.298906005919</v>
      </c>
      <c r="L39" s="89"/>
      <c r="M39" s="38"/>
      <c r="N39" s="1" t="s">
        <v>59</v>
      </c>
      <c r="O39" s="9"/>
      <c r="T39" s="287">
        <f>T37/K35</f>
        <v>5.3324953795812887E-3</v>
      </c>
    </row>
    <row r="40" spans="1:23" x14ac:dyDescent="0.25">
      <c r="A40" s="9"/>
      <c r="B40" s="9"/>
      <c r="G40" s="10"/>
      <c r="H40" s="10"/>
      <c r="J40" s="10"/>
      <c r="K40" s="10"/>
      <c r="L40" s="289"/>
      <c r="M40" s="10"/>
      <c r="O40" s="9"/>
      <c r="T40" s="10"/>
    </row>
    <row r="41" spans="1:23" x14ac:dyDescent="0.25">
      <c r="A41" s="1" t="s">
        <v>17</v>
      </c>
      <c r="B41" s="9"/>
      <c r="G41" s="39">
        <f>G39/G37</f>
        <v>1.5776607284633119E-3</v>
      </c>
      <c r="H41" s="39"/>
      <c r="J41" s="39"/>
      <c r="K41" s="39">
        <f>K39/G37</f>
        <v>3.4140223483604651E-3</v>
      </c>
      <c r="L41" s="89"/>
      <c r="M41" s="39"/>
      <c r="N41" s="1" t="s">
        <v>37</v>
      </c>
      <c r="O41" s="9"/>
      <c r="T41" s="44">
        <f>T37/Q12</f>
        <v>13.587130769229947</v>
      </c>
    </row>
    <row r="42" spans="1:23" x14ac:dyDescent="0.25">
      <c r="A42" s="1"/>
      <c r="B42" s="9"/>
      <c r="L42" s="89"/>
    </row>
    <row r="43" spans="1:23" x14ac:dyDescent="0.25">
      <c r="A43" s="1" t="s">
        <v>161</v>
      </c>
      <c r="B43" s="9"/>
      <c r="D43" s="35">
        <f>D21/D12</f>
        <v>21887.730402269211</v>
      </c>
      <c r="E43" s="2" t="s">
        <v>7</v>
      </c>
      <c r="G43" s="290">
        <f>G35/D12</f>
        <v>2553.7373682760444</v>
      </c>
      <c r="H43" s="39"/>
      <c r="I43" s="35">
        <f>I21/I12</f>
        <v>21899.024358974359</v>
      </c>
      <c r="J43" s="39" t="s">
        <v>7</v>
      </c>
      <c r="K43" s="290">
        <f>K35/I12</f>
        <v>2547.9873496480777</v>
      </c>
      <c r="L43" s="89"/>
      <c r="M43" s="39"/>
      <c r="N43" s="1"/>
      <c r="O43" s="9"/>
      <c r="Q43" s="35">
        <f>Q21/Q12</f>
        <v>21899.024358974359</v>
      </c>
      <c r="R43" s="2" t="s">
        <v>7</v>
      </c>
      <c r="T43" s="290">
        <f>T35/Q12</f>
        <v>2561.5744804173078</v>
      </c>
      <c r="U43" s="9">
        <f>T43-K43</f>
        <v>13.587130769230043</v>
      </c>
    </row>
    <row r="44" spans="1:23" x14ac:dyDescent="0.25">
      <c r="A44" s="1"/>
      <c r="B44" s="9"/>
      <c r="D44" s="14"/>
      <c r="G44" s="40">
        <f>G12+G21+G25</f>
        <v>15852686.559139999</v>
      </c>
      <c r="H44" s="39"/>
      <c r="I44" s="14"/>
      <c r="J44" s="39"/>
      <c r="K44" s="39"/>
      <c r="L44" s="39"/>
      <c r="M44" s="39"/>
      <c r="N44" s="1"/>
      <c r="O44" s="9"/>
      <c r="T44" s="39"/>
    </row>
    <row r="45" spans="1:23" x14ac:dyDescent="0.25">
      <c r="A45" s="1"/>
      <c r="B45" s="9"/>
      <c r="G45" s="39"/>
      <c r="H45" s="39"/>
      <c r="J45" s="39"/>
      <c r="K45" s="39"/>
      <c r="L45" s="39"/>
      <c r="M45" s="39"/>
      <c r="N45" s="1"/>
      <c r="O45" s="9"/>
      <c r="T45" s="39"/>
    </row>
    <row r="46" spans="1:23" x14ac:dyDescent="0.25">
      <c r="A46" s="1"/>
      <c r="B46" s="9"/>
      <c r="G46" s="39"/>
      <c r="H46" s="39"/>
      <c r="J46" s="39"/>
      <c r="K46" s="39"/>
      <c r="L46" s="39"/>
      <c r="M46" s="39"/>
      <c r="N46" s="1"/>
      <c r="O46" s="9"/>
      <c r="T46" s="39"/>
    </row>
    <row r="47" spans="1:23" x14ac:dyDescent="0.25">
      <c r="A47" s="1"/>
      <c r="B47" s="9"/>
      <c r="G47" s="39"/>
      <c r="H47" s="39"/>
      <c r="J47" s="39"/>
      <c r="K47" s="39"/>
      <c r="L47" s="39"/>
      <c r="M47" s="39"/>
      <c r="N47" s="1"/>
      <c r="O47" s="9"/>
      <c r="T47" s="39"/>
    </row>
    <row r="48" spans="1:23" ht="18.75" customHeight="1" x14ac:dyDescent="0.25">
      <c r="A48" s="1"/>
      <c r="B48" s="10"/>
      <c r="G48" s="39"/>
      <c r="H48" s="39"/>
      <c r="J48" s="39"/>
      <c r="K48" s="39"/>
      <c r="L48" s="39"/>
      <c r="M48" s="39"/>
    </row>
    <row r="49" spans="5:5" x14ac:dyDescent="0.25">
      <c r="E49" s="10"/>
    </row>
    <row r="63" spans="5:5" ht="16.5" customHeight="1" x14ac:dyDescent="0.25"/>
    <row r="96" ht="15" customHeight="1" x14ac:dyDescent="0.25"/>
    <row r="142" spans="3:15" x14ac:dyDescent="0.25">
      <c r="O142" s="30"/>
    </row>
    <row r="143" spans="3:15" x14ac:dyDescent="0.25">
      <c r="C143" s="30"/>
      <c r="D143" s="30"/>
      <c r="I143" s="30"/>
      <c r="O143" s="30"/>
    </row>
    <row r="144" spans="3:15" x14ac:dyDescent="0.25">
      <c r="C144" s="31"/>
      <c r="D144" s="42"/>
      <c r="E144" s="46"/>
      <c r="I144" s="42"/>
      <c r="O144" s="30"/>
    </row>
    <row r="145" spans="3:15" x14ac:dyDescent="0.25">
      <c r="C145" s="31"/>
      <c r="D145" s="42"/>
      <c r="E145" s="46"/>
      <c r="I145" s="42"/>
      <c r="O145" s="30"/>
    </row>
    <row r="146" spans="3:15" x14ac:dyDescent="0.25">
      <c r="C146" s="31"/>
      <c r="D146" s="42"/>
      <c r="E146" s="46"/>
      <c r="I146" s="42"/>
      <c r="O146" s="30"/>
    </row>
  </sheetData>
  <mergeCells count="5">
    <mergeCell ref="D4:G5"/>
    <mergeCell ref="Q4:T5"/>
    <mergeCell ref="E7:F7"/>
    <mergeCell ref="R7:S7"/>
    <mergeCell ref="J4:K5"/>
  </mergeCells>
  <pageMargins left="0.75" right="0.75" top="1" bottom="1" header="0.5" footer="0.5"/>
  <pageSetup scale="59" orientation="landscape" r:id="rId1"/>
  <headerFooter alignWithMargins="0">
    <oddFooter>&amp;RExhibit JW-9
Page &amp;P of &amp;N</oddFooter>
  </headerFooter>
  <ignoredErrors>
    <ignoredError sqref="T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42"/>
  <sheetViews>
    <sheetView view="pageBreakPreview" zoomScale="75" zoomScaleNormal="85" zoomScaleSheetLayoutView="75" workbookViewId="0">
      <selection activeCell="K22" sqref="K22"/>
    </sheetView>
  </sheetViews>
  <sheetFormatPr defaultColWidth="9.140625"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4.2851562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4.28515625" style="2" bestFit="1" customWidth="1"/>
    <col min="10" max="10" width="13.85546875" style="2" customWidth="1"/>
    <col min="11" max="11" width="14.42578125" style="2" customWidth="1"/>
    <col min="12" max="12" width="2" style="2" customWidth="1"/>
    <col min="13" max="13" width="2.85546875" style="2" customWidth="1"/>
    <col min="14" max="14" width="9.85546875" style="2" customWidth="1"/>
    <col min="15" max="15" width="18.28515625" style="2" customWidth="1"/>
    <col min="16" max="16" width="3.42578125" style="2" customWidth="1"/>
    <col min="17" max="17" width="14.28515625" style="2" bestFit="1" customWidth="1"/>
    <col min="18" max="18" width="14.5703125" style="2" bestFit="1" customWidth="1"/>
    <col min="19" max="19" width="4.28515625" style="2" customWidth="1"/>
    <col min="20" max="20" width="15.5703125" style="2" customWidth="1"/>
    <col min="21" max="21" width="11.42578125" style="2" bestFit="1" customWidth="1"/>
    <col min="22" max="16384" width="9.140625" style="2"/>
  </cols>
  <sheetData>
    <row r="1" spans="1:21" x14ac:dyDescent="0.25">
      <c r="A1" s="1" t="str">
        <f>'Present and Proposed Rates'!A1</f>
        <v>JACKSON PURCHASE ENERGY CORPORATION</v>
      </c>
      <c r="O1" s="1"/>
    </row>
    <row r="2" spans="1:21" x14ac:dyDescent="0.25">
      <c r="A2" s="1" t="str">
        <f>List!B10</f>
        <v>I-E - Large Commercial Existing</v>
      </c>
    </row>
    <row r="3" spans="1:21" ht="16.5" thickBot="1" x14ac:dyDescent="0.3">
      <c r="A3" s="127" t="str">
        <f>List!C10</f>
        <v>I-E</v>
      </c>
    </row>
    <row r="4" spans="1:21" x14ac:dyDescent="0.25">
      <c r="D4" s="318" t="s">
        <v>18</v>
      </c>
      <c r="E4" s="319"/>
      <c r="F4" s="319"/>
      <c r="G4" s="320"/>
      <c r="H4" s="3"/>
      <c r="I4" s="3"/>
      <c r="J4" s="318" t="s">
        <v>57</v>
      </c>
      <c r="K4" s="320"/>
      <c r="L4" s="88"/>
      <c r="M4" s="3"/>
      <c r="Q4" s="318" t="s">
        <v>42</v>
      </c>
      <c r="R4" s="319"/>
      <c r="S4" s="319"/>
      <c r="T4" s="320"/>
    </row>
    <row r="5" spans="1:21" ht="16.5" thickBot="1" x14ac:dyDescent="0.3">
      <c r="A5" s="32"/>
      <c r="B5" s="45"/>
      <c r="C5" s="3"/>
      <c r="D5" s="321"/>
      <c r="E5" s="322"/>
      <c r="F5" s="322"/>
      <c r="G5" s="323"/>
      <c r="H5" s="3"/>
      <c r="I5" s="3"/>
      <c r="J5" s="321"/>
      <c r="K5" s="323"/>
      <c r="L5" s="88"/>
      <c r="M5" s="3"/>
      <c r="N5" s="32"/>
      <c r="O5" s="45"/>
      <c r="P5" s="3"/>
      <c r="Q5" s="321"/>
      <c r="R5" s="322"/>
      <c r="S5" s="322"/>
      <c r="T5" s="323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1" ht="16.5" thickBot="1" x14ac:dyDescent="0.3">
      <c r="A7" s="5"/>
      <c r="B7" s="5"/>
      <c r="C7" s="5"/>
      <c r="D7" s="5" t="s">
        <v>3</v>
      </c>
      <c r="E7" s="322" t="s">
        <v>4</v>
      </c>
      <c r="F7" s="322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2" t="s">
        <v>4</v>
      </c>
      <c r="S7" s="322"/>
      <c r="T7" s="5" t="s">
        <v>5</v>
      </c>
      <c r="U7" s="5" t="s">
        <v>27</v>
      </c>
    </row>
    <row r="8" spans="1:21" x14ac:dyDescent="0.25">
      <c r="L8" s="88"/>
    </row>
    <row r="9" spans="1:21" x14ac:dyDescent="0.25">
      <c r="L9" s="88"/>
    </row>
    <row r="10" spans="1:21" x14ac:dyDescent="0.25">
      <c r="A10" s="72" t="s">
        <v>8</v>
      </c>
      <c r="L10" s="88"/>
      <c r="N10" s="72" t="s">
        <v>8</v>
      </c>
    </row>
    <row r="11" spans="1:21" ht="31.5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Q11" s="100" t="s">
        <v>45</v>
      </c>
      <c r="R11" s="100" t="s">
        <v>46</v>
      </c>
    </row>
    <row r="12" spans="1:21" x14ac:dyDescent="0.25">
      <c r="B12" s="2" t="s">
        <v>56</v>
      </c>
      <c r="D12" s="7">
        <f>'Billing Determ'!Q11</f>
        <v>12</v>
      </c>
      <c r="E12" s="8">
        <f>'Present and Proposed Rates'!F21</f>
        <v>414.97</v>
      </c>
      <c r="G12" s="10">
        <f>D12*E12</f>
        <v>4979.6400000000003</v>
      </c>
      <c r="H12" s="10"/>
      <c r="I12" s="7">
        <f>D12</f>
        <v>12</v>
      </c>
      <c r="J12" s="102">
        <f>'Present and Proposed Rates'!G21</f>
        <v>414.97</v>
      </c>
      <c r="K12" s="10">
        <f>J12*I12</f>
        <v>4979.6400000000003</v>
      </c>
      <c r="L12" s="89"/>
      <c r="M12" s="10"/>
      <c r="O12" s="2" t="s">
        <v>52</v>
      </c>
      <c r="Q12" s="7">
        <f>D12</f>
        <v>12</v>
      </c>
      <c r="R12" s="8">
        <f>'Present and Proposed Rates'!H21</f>
        <v>424.97</v>
      </c>
      <c r="T12" s="10">
        <f>Q12*R12</f>
        <v>5099.6400000000003</v>
      </c>
      <c r="U12" s="172">
        <f>T12/K12-1</f>
        <v>2.409812757548746E-2</v>
      </c>
    </row>
    <row r="13" spans="1:21" x14ac:dyDescent="0.25">
      <c r="D13" s="7"/>
      <c r="E13" s="8"/>
      <c r="G13" s="10"/>
      <c r="H13" s="10"/>
      <c r="I13" s="7"/>
      <c r="J13" s="102"/>
      <c r="K13" s="10"/>
      <c r="L13" s="89"/>
      <c r="M13" s="10"/>
      <c r="Q13" s="7"/>
      <c r="R13" s="8"/>
      <c r="T13" s="10"/>
    </row>
    <row r="14" spans="1:21" x14ac:dyDescent="0.25">
      <c r="D14" s="7"/>
      <c r="G14" s="10"/>
      <c r="H14" s="10"/>
      <c r="I14" s="7"/>
      <c r="J14" s="30"/>
      <c r="K14" s="10"/>
      <c r="L14" s="89"/>
      <c r="M14" s="10"/>
      <c r="Q14" s="7"/>
      <c r="T14" s="10"/>
    </row>
    <row r="15" spans="1:21" x14ac:dyDescent="0.25">
      <c r="A15" s="1" t="s">
        <v>6</v>
      </c>
      <c r="D15" s="7"/>
      <c r="G15" s="10"/>
      <c r="H15" s="10"/>
      <c r="I15" s="7"/>
      <c r="J15" s="30"/>
      <c r="K15" s="10"/>
      <c r="L15" s="89"/>
      <c r="M15" s="10"/>
      <c r="N15" s="1" t="s">
        <v>6</v>
      </c>
      <c r="Q15" s="27"/>
      <c r="R15" s="30"/>
      <c r="T15" s="10"/>
    </row>
    <row r="16" spans="1:21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K16" s="10"/>
      <c r="L16" s="89"/>
      <c r="M16" s="10"/>
      <c r="Q16" s="81" t="s">
        <v>7</v>
      </c>
      <c r="R16" s="82" t="s">
        <v>9</v>
      </c>
      <c r="T16" s="10"/>
    </row>
    <row r="17" spans="1:22" x14ac:dyDescent="0.25">
      <c r="B17" s="2" t="s">
        <v>97</v>
      </c>
      <c r="D17" s="7">
        <f>'Billing Determ'!Q22</f>
        <v>18209134</v>
      </c>
      <c r="E17" s="132">
        <f>'Present and Proposed Rates'!F22</f>
        <v>3.9093999999999997E-2</v>
      </c>
      <c r="G17" s="10">
        <f>D17*E17</f>
        <v>711867.88459599996</v>
      </c>
      <c r="H17" s="10"/>
      <c r="I17" s="7">
        <f>D17</f>
        <v>18209134</v>
      </c>
      <c r="J17" s="101">
        <f>'Present and Proposed Rates'!G22</f>
        <v>3.9093999999999997E-2</v>
      </c>
      <c r="K17" s="10">
        <f>J17*I17</f>
        <v>711867.88459599996</v>
      </c>
      <c r="L17" s="89"/>
      <c r="M17" s="10"/>
      <c r="O17" s="2" t="s">
        <v>97</v>
      </c>
      <c r="Q17" s="7">
        <f>D17</f>
        <v>18209134</v>
      </c>
      <c r="R17" s="22">
        <f>'Present and Proposed Rates'!H22</f>
        <v>4.0071000000000002E-2</v>
      </c>
      <c r="T17" s="10">
        <f>Q17*R17</f>
        <v>729658.20851400006</v>
      </c>
      <c r="U17" s="172">
        <f>T17/K17-1</f>
        <v>2.4991047219522278E-2</v>
      </c>
    </row>
    <row r="18" spans="1:22" x14ac:dyDescent="0.25">
      <c r="A18" s="1"/>
      <c r="C18" s="93"/>
      <c r="D18" s="178"/>
      <c r="I18" s="178"/>
      <c r="U18" s="172"/>
    </row>
    <row r="19" spans="1:22" x14ac:dyDescent="0.25">
      <c r="A19" s="1" t="s">
        <v>47</v>
      </c>
      <c r="D19" s="27"/>
      <c r="E19" s="101"/>
      <c r="G19" s="10"/>
      <c r="H19" s="10"/>
      <c r="I19" s="27"/>
      <c r="J19" s="101"/>
      <c r="K19" s="10"/>
      <c r="L19" s="89"/>
      <c r="M19" s="10"/>
      <c r="N19" s="1" t="s">
        <v>47</v>
      </c>
      <c r="Q19" s="7"/>
      <c r="R19" s="22"/>
      <c r="T19" s="10"/>
    </row>
    <row r="20" spans="1:22" x14ac:dyDescent="0.25">
      <c r="A20" s="1"/>
      <c r="D20" s="81" t="s">
        <v>48</v>
      </c>
      <c r="E20" s="82" t="s">
        <v>49</v>
      </c>
      <c r="G20" s="10"/>
      <c r="H20" s="10"/>
      <c r="I20" s="81" t="s">
        <v>48</v>
      </c>
      <c r="J20" s="82" t="s">
        <v>49</v>
      </c>
      <c r="K20" s="10"/>
      <c r="L20" s="89"/>
      <c r="M20" s="10"/>
      <c r="N20" s="1"/>
      <c r="Q20" s="81" t="s">
        <v>48</v>
      </c>
      <c r="R20" s="82" t="s">
        <v>49</v>
      </c>
      <c r="T20" s="10"/>
    </row>
    <row r="21" spans="1:22" x14ac:dyDescent="0.25">
      <c r="A21" s="1"/>
      <c r="B21" s="2" t="s">
        <v>135</v>
      </c>
      <c r="D21" s="7">
        <f>'Billing Determ'!Q40-'Billing Determ'!Q41</f>
        <v>36000</v>
      </c>
      <c r="E21" s="174"/>
      <c r="G21" s="10">
        <f>'Present and Proposed Rates'!F23*12</f>
        <v>572652.36</v>
      </c>
      <c r="H21" s="10"/>
      <c r="I21" s="7">
        <f>D21</f>
        <v>36000</v>
      </c>
      <c r="J21" s="175"/>
      <c r="K21" s="10">
        <f>G21</f>
        <v>572652.36</v>
      </c>
      <c r="L21" s="95"/>
      <c r="M21" s="10"/>
      <c r="N21" s="1"/>
      <c r="O21" s="2" t="s">
        <v>98</v>
      </c>
      <c r="Q21" s="7">
        <f>D21</f>
        <v>36000</v>
      </c>
      <c r="R21" s="174"/>
      <c r="T21" s="10">
        <f>'Present and Proposed Rates'!H23*12</f>
        <v>586968.72</v>
      </c>
      <c r="U21" s="172">
        <f>T21/K21-1</f>
        <v>2.5000089059267872E-2</v>
      </c>
    </row>
    <row r="22" spans="1:22" x14ac:dyDescent="0.25">
      <c r="A22" s="1"/>
      <c r="B22" s="2" t="s">
        <v>136</v>
      </c>
      <c r="D22" s="7">
        <f>'Billing Determ'!Q41</f>
        <v>25130.800000000003</v>
      </c>
      <c r="E22" s="61">
        <f>'Present and Proposed Rates'!F24</f>
        <v>15.913</v>
      </c>
      <c r="G22" s="10">
        <f>D22*E22</f>
        <v>399906.42040000006</v>
      </c>
      <c r="H22" s="10"/>
      <c r="I22" s="7">
        <f>D22</f>
        <v>25130.800000000003</v>
      </c>
      <c r="J22" s="103">
        <f>'Present and Proposed Rates'!G24</f>
        <v>15.913</v>
      </c>
      <c r="K22" s="10">
        <f>J22*I22</f>
        <v>399906.42040000006</v>
      </c>
      <c r="L22" s="95"/>
      <c r="M22" s="10"/>
      <c r="N22" s="1"/>
      <c r="O22" s="2" t="s">
        <v>98</v>
      </c>
      <c r="Q22" s="7">
        <f>D22</f>
        <v>25130.800000000003</v>
      </c>
      <c r="R22" s="61">
        <f>'Present and Proposed Rates'!H24</f>
        <v>16.309999999999999</v>
      </c>
      <c r="T22" s="10">
        <f>Q22*R22</f>
        <v>409883.348</v>
      </c>
      <c r="U22" s="172">
        <f>T22/K22-1</f>
        <v>2.4948155596053345E-2</v>
      </c>
    </row>
    <row r="23" spans="1:22" x14ac:dyDescent="0.25">
      <c r="A23" s="1"/>
      <c r="B23" s="1"/>
      <c r="C23" s="1"/>
      <c r="D23" s="133">
        <f>SUM(D21:D22)</f>
        <v>61130.8</v>
      </c>
      <c r="E23" s="1"/>
      <c r="F23" s="1"/>
      <c r="G23" s="1"/>
      <c r="H23" s="1"/>
      <c r="I23" s="133">
        <f>SUM(I21:I22)</f>
        <v>61130.8</v>
      </c>
      <c r="J23" s="1"/>
      <c r="K23" s="1"/>
      <c r="L23" s="95"/>
      <c r="M23" s="1"/>
      <c r="N23" s="1"/>
      <c r="O23" s="1"/>
      <c r="P23" s="1"/>
      <c r="Q23" s="133">
        <f>SUM(Q21:Q22)</f>
        <v>61130.8</v>
      </c>
      <c r="R23" s="1"/>
      <c r="S23" s="1"/>
      <c r="T23" s="1"/>
      <c r="U23" s="1"/>
      <c r="V23" s="1"/>
    </row>
    <row r="24" spans="1:22" x14ac:dyDescent="0.25">
      <c r="A24" s="1" t="s">
        <v>50</v>
      </c>
      <c r="B24" s="1"/>
      <c r="C24" s="60"/>
      <c r="D24" s="7"/>
      <c r="E24" s="22"/>
      <c r="G24" s="10"/>
      <c r="H24" s="10"/>
      <c r="I24" s="7"/>
      <c r="J24" s="10"/>
      <c r="K24" s="10"/>
      <c r="L24" s="89"/>
      <c r="M24" s="10"/>
      <c r="N24" s="1" t="s">
        <v>50</v>
      </c>
      <c r="O24" s="1"/>
      <c r="P24" s="60"/>
      <c r="Q24" s="7"/>
      <c r="R24" s="22"/>
      <c r="T24" s="10"/>
    </row>
    <row r="25" spans="1:22" x14ac:dyDescent="0.25">
      <c r="A25" s="1"/>
      <c r="B25" s="2" t="s">
        <v>44</v>
      </c>
      <c r="C25" s="60"/>
      <c r="D25" s="7"/>
      <c r="E25" s="173">
        <f>G25/D$17</f>
        <v>1.6011298060742481E-2</v>
      </c>
      <c r="G25" s="10">
        <f>'Billing Determ'!Q78</f>
        <v>291551.87190199998</v>
      </c>
      <c r="H25" s="10"/>
      <c r="I25" s="7"/>
      <c r="J25" s="173">
        <f>K25/D$17</f>
        <v>1.6011298060742481E-2</v>
      </c>
      <c r="K25" s="10">
        <f>G25</f>
        <v>291551.87190199998</v>
      </c>
      <c r="L25" s="89"/>
      <c r="M25" s="10"/>
      <c r="N25" s="1"/>
      <c r="O25" s="2" t="s">
        <v>44</v>
      </c>
      <c r="P25" s="60"/>
      <c r="Q25" s="7"/>
      <c r="R25" s="173">
        <f>T25/Q$17</f>
        <v>1.6011298060742481E-2</v>
      </c>
      <c r="T25" s="10">
        <f>G25</f>
        <v>291551.87190199998</v>
      </c>
      <c r="U25" s="172">
        <f>T25/K25-1</f>
        <v>0</v>
      </c>
    </row>
    <row r="26" spans="1:22" x14ac:dyDescent="0.25">
      <c r="A26" s="1"/>
      <c r="B26" s="2" t="s">
        <v>51</v>
      </c>
      <c r="C26" s="60"/>
      <c r="D26" s="7"/>
      <c r="E26" s="173">
        <f t="shared" ref="E26:E28" si="0">G26/D$17</f>
        <v>5.5037707701530453E-3</v>
      </c>
      <c r="G26" s="10">
        <f>'Billing Determ'!Q89</f>
        <v>100218.89945900001</v>
      </c>
      <c r="H26" s="10"/>
      <c r="I26" s="7"/>
      <c r="J26" s="173">
        <f t="shared" ref="J26:J28" si="1">K26/D$17</f>
        <v>5.5037707701530453E-3</v>
      </c>
      <c r="K26" s="10">
        <f>G26</f>
        <v>100218.89945900001</v>
      </c>
      <c r="L26" s="89"/>
      <c r="M26" s="10"/>
      <c r="N26" s="1"/>
      <c r="O26" s="2" t="s">
        <v>51</v>
      </c>
      <c r="P26" s="60"/>
      <c r="Q26" s="7"/>
      <c r="R26" s="173">
        <f t="shared" ref="R26:R28" si="2">T26/Q$17</f>
        <v>5.5037707701530453E-3</v>
      </c>
      <c r="T26" s="10">
        <f>G26</f>
        <v>100218.89945900001</v>
      </c>
      <c r="U26" s="172">
        <f>T26/K26-1</f>
        <v>0</v>
      </c>
    </row>
    <row r="27" spans="1:22" x14ac:dyDescent="0.25">
      <c r="A27" s="1"/>
      <c r="B27" s="2" t="s">
        <v>119</v>
      </c>
      <c r="C27" s="60"/>
      <c r="D27" s="7"/>
      <c r="E27" s="173">
        <f t="shared" si="0"/>
        <v>-5.3869129797166643E-3</v>
      </c>
      <c r="G27" s="10">
        <f>'Billing Determ'!Q100</f>
        <v>-98091.020294000016</v>
      </c>
      <c r="H27" s="10"/>
      <c r="I27" s="7"/>
      <c r="J27" s="173">
        <f t="shared" si="1"/>
        <v>-5.3869129797166643E-3</v>
      </c>
      <c r="K27" s="10">
        <f>G27</f>
        <v>-98091.020294000016</v>
      </c>
      <c r="L27" s="89"/>
      <c r="M27" s="10"/>
      <c r="N27" s="1"/>
      <c r="O27" s="2" t="s">
        <v>77</v>
      </c>
      <c r="P27" s="60"/>
      <c r="Q27" s="7"/>
      <c r="R27" s="173">
        <f t="shared" si="2"/>
        <v>-5.3869129797166643E-3</v>
      </c>
      <c r="T27" s="10">
        <f>K27</f>
        <v>-98091.020294000016</v>
      </c>
      <c r="U27" s="172">
        <f>T27/K27-1</f>
        <v>0</v>
      </c>
    </row>
    <row r="28" spans="1:22" x14ac:dyDescent="0.25">
      <c r="A28" s="1"/>
      <c r="B28" s="2" t="s">
        <v>118</v>
      </c>
      <c r="C28" s="60"/>
      <c r="D28" s="7"/>
      <c r="E28" s="173">
        <f t="shared" si="0"/>
        <v>5.7647498079809829E-3</v>
      </c>
      <c r="G28" s="10">
        <f>'Billing Determ'!Q111</f>
        <v>104971.10172999999</v>
      </c>
      <c r="H28" s="10"/>
      <c r="I28" s="7"/>
      <c r="J28" s="173">
        <f t="shared" si="1"/>
        <v>5.7647498079809829E-3</v>
      </c>
      <c r="K28" s="10">
        <f>G28</f>
        <v>104971.10172999999</v>
      </c>
      <c r="L28" s="89"/>
      <c r="M28" s="10"/>
      <c r="N28" s="1"/>
      <c r="O28" s="2" t="s">
        <v>44</v>
      </c>
      <c r="P28" s="60"/>
      <c r="Q28" s="7"/>
      <c r="R28" s="173">
        <f t="shared" si="2"/>
        <v>5.7647498079809829E-3</v>
      </c>
      <c r="T28" s="10">
        <f>G28</f>
        <v>104971.10172999999</v>
      </c>
      <c r="U28" s="172">
        <f>T28/K28-1</f>
        <v>0</v>
      </c>
    </row>
    <row r="29" spans="1:22" x14ac:dyDescent="0.25">
      <c r="D29" s="7"/>
      <c r="E29" s="210">
        <f>SUM(E25:E28)</f>
        <v>2.1892905659159845E-2</v>
      </c>
      <c r="G29" s="28"/>
      <c r="H29" s="28"/>
      <c r="I29" s="7"/>
      <c r="J29" s="28"/>
      <c r="K29" s="28"/>
      <c r="L29" s="89"/>
      <c r="M29" s="28"/>
      <c r="N29" s="72"/>
    </row>
    <row r="30" spans="1:22" x14ac:dyDescent="0.25">
      <c r="A30" s="1"/>
      <c r="D30" s="18"/>
      <c r="G30" s="10"/>
      <c r="H30" s="10"/>
      <c r="I30" s="18"/>
      <c r="J30" s="10"/>
      <c r="K30" s="10"/>
      <c r="L30" s="89"/>
      <c r="M30" s="10"/>
      <c r="N30" s="1"/>
      <c r="T30" s="10"/>
    </row>
    <row r="31" spans="1:22" ht="16.5" thickBot="1" x14ac:dyDescent="0.3">
      <c r="A31" s="1" t="s">
        <v>34</v>
      </c>
      <c r="G31" s="17">
        <f>SUM(G12:G28)</f>
        <v>2088057.1577930001</v>
      </c>
      <c r="H31" s="10"/>
      <c r="J31" s="10"/>
      <c r="K31" s="17">
        <f>SUM(K12:K28)</f>
        <v>2088057.1577930001</v>
      </c>
      <c r="L31" s="89"/>
      <c r="M31" s="10"/>
      <c r="N31" s="1" t="s">
        <v>34</v>
      </c>
      <c r="T31" s="17">
        <f>SUM(T12:T28)</f>
        <v>2130260.7693110006</v>
      </c>
      <c r="U31" s="172">
        <f>T31/K31-1</f>
        <v>2.0211904334366038E-2</v>
      </c>
    </row>
    <row r="32" spans="1:22" ht="16.5" thickTop="1" x14ac:dyDescent="0.25">
      <c r="A32" s="1"/>
      <c r="B32" s="1"/>
      <c r="G32" s="10"/>
      <c r="H32" s="10"/>
      <c r="J32" s="10"/>
      <c r="K32" s="10"/>
      <c r="L32" s="89"/>
      <c r="M32" s="10"/>
      <c r="N32" s="1"/>
      <c r="O32" s="1"/>
      <c r="T32" s="10"/>
    </row>
    <row r="33" spans="1:21" x14ac:dyDescent="0.25">
      <c r="A33" s="1" t="s">
        <v>15</v>
      </c>
      <c r="B33" s="9"/>
      <c r="G33" s="10">
        <f>'Billing Determ'!Q33</f>
        <v>2101023.02</v>
      </c>
      <c r="H33" s="10"/>
      <c r="J33" s="10"/>
      <c r="K33" s="10"/>
      <c r="L33" s="90"/>
      <c r="M33" s="10"/>
      <c r="N33" s="1" t="s">
        <v>58</v>
      </c>
      <c r="O33" s="9"/>
      <c r="T33" s="21">
        <f>T31-K31</f>
        <v>42203.611518000485</v>
      </c>
    </row>
    <row r="34" spans="1:21" x14ac:dyDescent="0.25">
      <c r="A34" s="9"/>
      <c r="B34" s="9"/>
      <c r="G34" s="9"/>
      <c r="H34" s="9"/>
      <c r="J34" s="9"/>
      <c r="K34" s="9"/>
      <c r="L34" s="91"/>
      <c r="M34" s="9"/>
      <c r="O34" s="9"/>
      <c r="T34" s="9"/>
    </row>
    <row r="35" spans="1:21" x14ac:dyDescent="0.25">
      <c r="A35" s="1" t="s">
        <v>10</v>
      </c>
      <c r="B35" s="9"/>
      <c r="G35" s="15">
        <f>G31-G33</f>
        <v>-12965.862206999911</v>
      </c>
      <c r="H35" s="15"/>
      <c r="J35" s="15"/>
      <c r="K35" s="15">
        <f>K31-G31</f>
        <v>0</v>
      </c>
      <c r="L35" s="89"/>
      <c r="M35" s="15"/>
      <c r="N35" s="1" t="s">
        <v>59</v>
      </c>
      <c r="O35" s="9"/>
      <c r="T35" s="67">
        <f>T33/K31</f>
        <v>2.0211904334366093E-2</v>
      </c>
    </row>
    <row r="36" spans="1:21" x14ac:dyDescent="0.25">
      <c r="A36" s="9"/>
      <c r="B36" s="9"/>
      <c r="G36" s="10"/>
      <c r="H36" s="10"/>
      <c r="J36" s="10"/>
      <c r="K36" s="10"/>
      <c r="L36" s="92"/>
      <c r="M36" s="10"/>
      <c r="O36" s="9"/>
      <c r="T36" s="10"/>
    </row>
    <row r="37" spans="1:21" x14ac:dyDescent="0.25">
      <c r="A37" s="1" t="s">
        <v>17</v>
      </c>
      <c r="B37" s="9"/>
      <c r="G37" s="16">
        <f>G35/G33</f>
        <v>-6.1712137770865124E-3</v>
      </c>
      <c r="H37" s="16"/>
      <c r="J37" s="16"/>
      <c r="K37" s="16">
        <f>K35/G33</f>
        <v>0</v>
      </c>
      <c r="L37" s="89"/>
      <c r="M37" s="16"/>
      <c r="N37" s="1" t="s">
        <v>37</v>
      </c>
      <c r="O37" s="9"/>
      <c r="T37" s="28">
        <f>T33/Q12</f>
        <v>3516.9676265000403</v>
      </c>
    </row>
    <row r="38" spans="1:21" x14ac:dyDescent="0.25">
      <c r="A38" s="1"/>
      <c r="B38" s="9"/>
      <c r="L38" s="89"/>
      <c r="M38" s="16"/>
    </row>
    <row r="39" spans="1:21" x14ac:dyDescent="0.25">
      <c r="A39" s="1" t="s">
        <v>161</v>
      </c>
      <c r="B39" s="9"/>
      <c r="D39" s="12">
        <f>D17/D12</f>
        <v>1517427.8333333333</v>
      </c>
      <c r="E39" s="2" t="s">
        <v>7</v>
      </c>
      <c r="G39" s="23">
        <f>G31/D12</f>
        <v>174004.76314941669</v>
      </c>
      <c r="H39" s="16"/>
      <c r="I39" s="12">
        <f>I17/I12</f>
        <v>1517427.8333333333</v>
      </c>
      <c r="J39" s="16" t="s">
        <v>7</v>
      </c>
      <c r="K39" s="23">
        <f>K31/I12</f>
        <v>174004.76314941669</v>
      </c>
      <c r="L39" s="89"/>
      <c r="M39" s="16"/>
      <c r="N39" s="1"/>
      <c r="O39" s="9"/>
      <c r="Q39" s="12">
        <f>Q17/Q12</f>
        <v>1517427.8333333333</v>
      </c>
      <c r="R39" s="2" t="s">
        <v>7</v>
      </c>
      <c r="T39" s="23">
        <f>T31/Q12</f>
        <v>177521.73077591672</v>
      </c>
      <c r="U39" s="9">
        <f>T39-K39</f>
        <v>3516.9676265000307</v>
      </c>
    </row>
    <row r="40" spans="1:21" x14ac:dyDescent="0.25">
      <c r="A40" s="1"/>
      <c r="B40" s="9"/>
      <c r="G40" s="99"/>
      <c r="H40" s="16"/>
      <c r="J40" s="16"/>
      <c r="K40" s="16"/>
      <c r="L40" s="16"/>
      <c r="M40" s="16"/>
      <c r="N40" s="1"/>
      <c r="O40" s="9"/>
      <c r="T40" s="16"/>
    </row>
    <row r="41" spans="1:21" x14ac:dyDescent="0.25">
      <c r="A41" s="1"/>
      <c r="B41" s="9"/>
      <c r="D41" s="19"/>
      <c r="G41" s="99"/>
      <c r="H41" s="16"/>
      <c r="I41" s="19"/>
      <c r="J41" s="16"/>
      <c r="K41" s="16"/>
      <c r="L41" s="16"/>
      <c r="M41" s="16"/>
      <c r="N41" s="1"/>
      <c r="O41" s="9"/>
      <c r="T41" s="16"/>
    </row>
    <row r="42" spans="1:21" x14ac:dyDescent="0.25">
      <c r="A42" s="1"/>
      <c r="B42" s="9"/>
      <c r="G42" s="16"/>
      <c r="H42" s="16"/>
      <c r="J42" s="16"/>
      <c r="K42" s="16"/>
      <c r="L42" s="16"/>
      <c r="M42" s="16"/>
      <c r="N42" s="1"/>
      <c r="O42" s="9"/>
      <c r="T42" s="16"/>
    </row>
    <row r="43" spans="1:21" x14ac:dyDescent="0.25">
      <c r="A43" s="1"/>
      <c r="B43" s="9"/>
      <c r="G43" s="16"/>
      <c r="H43" s="16"/>
      <c r="J43" s="16"/>
      <c r="K43" s="16"/>
      <c r="L43" s="16"/>
      <c r="M43" s="16"/>
      <c r="N43" s="1"/>
      <c r="O43" s="9"/>
      <c r="T43" s="16"/>
    </row>
    <row r="44" spans="1:21" ht="18.75" customHeight="1" x14ac:dyDescent="0.25">
      <c r="A44" s="1"/>
      <c r="B44" s="10"/>
      <c r="G44" s="16"/>
      <c r="H44" s="16"/>
      <c r="J44" s="16"/>
      <c r="K44" s="16"/>
      <c r="L44" s="16"/>
      <c r="M44" s="16"/>
    </row>
    <row r="45" spans="1:21" x14ac:dyDescent="0.25">
      <c r="E45" s="10"/>
    </row>
    <row r="59" ht="16.5" customHeight="1" x14ac:dyDescent="0.25"/>
    <row r="92" ht="15" customHeight="1" x14ac:dyDescent="0.25"/>
    <row r="138" spans="3:15" x14ac:dyDescent="0.25">
      <c r="O138" s="30"/>
    </row>
    <row r="139" spans="3:15" x14ac:dyDescent="0.25">
      <c r="C139" s="30"/>
      <c r="D139" s="30"/>
      <c r="I139" s="30"/>
      <c r="O139" s="30"/>
    </row>
    <row r="140" spans="3:15" x14ac:dyDescent="0.25">
      <c r="C140" s="31"/>
      <c r="D140" s="42"/>
      <c r="E140" s="46"/>
      <c r="I140" s="42"/>
      <c r="O140" s="30"/>
    </row>
    <row r="141" spans="3:15" x14ac:dyDescent="0.25">
      <c r="C141" s="31"/>
      <c r="D141" s="42"/>
      <c r="E141" s="46"/>
      <c r="I141" s="42"/>
      <c r="O141" s="30"/>
    </row>
    <row r="142" spans="3:15" x14ac:dyDescent="0.25">
      <c r="C142" s="31"/>
      <c r="D142" s="42"/>
      <c r="E142" s="46"/>
      <c r="I142" s="42"/>
      <c r="O142" s="30"/>
    </row>
  </sheetData>
  <mergeCells count="5">
    <mergeCell ref="D4:G5"/>
    <mergeCell ref="J4:K5"/>
    <mergeCell ref="Q4:T5"/>
    <mergeCell ref="E7:F7"/>
    <mergeCell ref="R7:S7"/>
  </mergeCells>
  <pageMargins left="0.75" right="0.75" top="1" bottom="1" header="0.5" footer="0.5"/>
  <pageSetup scale="56" orientation="landscape" r:id="rId1"/>
  <headerFooter alignWithMargins="0">
    <oddFooter>&amp;RExhibit JW-9
Page &amp;P of &amp;N</oddFooter>
  </headerFooter>
  <ignoredErrors>
    <ignoredError sqref="T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27"/>
  <sheetViews>
    <sheetView view="pageBreakPreview" zoomScale="85" zoomScaleNormal="100" zoomScaleSheetLayoutView="85" workbookViewId="0">
      <selection activeCell="O28" sqref="O28"/>
    </sheetView>
  </sheetViews>
  <sheetFormatPr defaultColWidth="9.140625" defaultRowHeight="15.75" x14ac:dyDescent="0.25"/>
  <cols>
    <col min="1" max="2" width="4.28515625" style="2" customWidth="1"/>
    <col min="3" max="3" width="34" style="2" bestFit="1" customWidth="1"/>
    <col min="4" max="4" width="12" style="2" bestFit="1" customWidth="1"/>
    <col min="5" max="5" width="7.7109375" style="2" bestFit="1" customWidth="1"/>
    <col min="6" max="6" width="10.85546875" style="2" bestFit="1" customWidth="1"/>
    <col min="7" max="7" width="14.140625" style="2" customWidth="1"/>
    <col min="8" max="8" width="3.28515625" style="2" customWidth="1"/>
    <col min="9" max="9" width="10.85546875" style="2" bestFit="1" customWidth="1"/>
    <col min="10" max="10" width="15.28515625" style="2" customWidth="1"/>
    <col min="11" max="12" width="2" style="2" customWidth="1"/>
    <col min="13" max="13" width="16.42578125" style="2" customWidth="1"/>
    <col min="14" max="14" width="19.42578125" style="2" customWidth="1"/>
    <col min="15" max="15" width="15.28515625" style="2" customWidth="1"/>
    <col min="16" max="16" width="2.7109375" style="2" customWidth="1"/>
    <col min="17" max="17" width="16.7109375" style="2" customWidth="1"/>
    <col min="18" max="18" width="9.140625" style="2"/>
    <col min="19" max="20" width="6.7109375" style="2" customWidth="1"/>
    <col min="21" max="21" width="27.5703125" style="2" customWidth="1"/>
    <col min="22" max="22" width="11.7109375" style="2" customWidth="1"/>
    <col min="23" max="23" width="13" style="2" customWidth="1"/>
    <col min="24" max="24" width="10.5703125" style="2" customWidth="1"/>
    <col min="25" max="25" width="2.7109375" style="2" customWidth="1"/>
    <col min="26" max="26" width="16.7109375" style="2" customWidth="1"/>
    <col min="27" max="16384" width="9.140625" style="2"/>
  </cols>
  <sheetData>
    <row r="1" spans="1:26" x14ac:dyDescent="0.25">
      <c r="A1" s="1" t="str">
        <f>'Present and Proposed Rates'!A1</f>
        <v>JACKSON PURCHASE ENERGY CORPORATION</v>
      </c>
      <c r="B1" s="1"/>
      <c r="C1" s="1"/>
      <c r="D1" s="1"/>
    </row>
    <row r="2" spans="1:26" x14ac:dyDescent="0.25">
      <c r="A2" s="1" t="str">
        <f>List!B11</f>
        <v>OL - Outdoor Lighting</v>
      </c>
      <c r="B2" s="1"/>
      <c r="C2" s="1"/>
      <c r="D2" s="1"/>
    </row>
    <row r="3" spans="1:26" ht="16.5" thickBot="1" x14ac:dyDescent="0.3">
      <c r="A3" s="1" t="str">
        <f>List!C11</f>
        <v>OL</v>
      </c>
      <c r="B3" s="1"/>
      <c r="C3" s="1"/>
      <c r="D3" s="1"/>
    </row>
    <row r="4" spans="1:26" x14ac:dyDescent="0.25">
      <c r="F4" s="318" t="s">
        <v>56</v>
      </c>
      <c r="G4" s="320"/>
      <c r="H4" s="3"/>
      <c r="I4" s="318" t="s">
        <v>57</v>
      </c>
      <c r="J4" s="320"/>
      <c r="K4" s="88"/>
      <c r="L4" s="3"/>
      <c r="M4" s="318" t="s">
        <v>167</v>
      </c>
      <c r="N4" s="319"/>
      <c r="O4" s="320"/>
      <c r="P4" s="1"/>
      <c r="Q4" s="1"/>
      <c r="W4" s="324"/>
      <c r="X4" s="324"/>
      <c r="Y4" s="324"/>
      <c r="Z4" s="324"/>
    </row>
    <row r="5" spans="1:26" ht="16.5" thickBot="1" x14ac:dyDescent="0.3">
      <c r="F5" s="321"/>
      <c r="G5" s="323"/>
      <c r="H5" s="3"/>
      <c r="I5" s="321"/>
      <c r="J5" s="323"/>
      <c r="K5" s="88"/>
      <c r="L5" s="3"/>
      <c r="M5" s="321"/>
      <c r="N5" s="322"/>
      <c r="O5" s="323"/>
      <c r="P5" s="1"/>
      <c r="Q5" s="1"/>
      <c r="S5" s="3"/>
      <c r="T5" s="3"/>
      <c r="U5" s="3"/>
      <c r="V5" s="3"/>
      <c r="W5" s="324"/>
      <c r="X5" s="324"/>
      <c r="Y5" s="324"/>
      <c r="Z5" s="324"/>
    </row>
    <row r="6" spans="1:26" x14ac:dyDescent="0.25">
      <c r="F6" s="4"/>
      <c r="G6" s="4"/>
      <c r="H6" s="4"/>
      <c r="I6" s="4"/>
      <c r="J6" s="4"/>
      <c r="K6" s="88"/>
      <c r="L6" s="4"/>
      <c r="M6" s="4"/>
      <c r="N6" s="4"/>
      <c r="O6" s="4"/>
      <c r="P6" s="4"/>
      <c r="Q6" s="4"/>
      <c r="S6" s="4"/>
      <c r="T6" s="4"/>
      <c r="U6" s="4"/>
      <c r="V6" s="4"/>
      <c r="W6" s="4"/>
      <c r="X6" s="4"/>
      <c r="Y6" s="4"/>
      <c r="Z6" s="4"/>
    </row>
    <row r="7" spans="1:26" ht="16.5" thickBot="1" x14ac:dyDescent="0.3">
      <c r="A7" s="33" t="s">
        <v>2</v>
      </c>
      <c r="B7" s="33"/>
      <c r="C7" s="33"/>
      <c r="D7" s="33"/>
      <c r="E7" s="34"/>
      <c r="F7" s="5" t="s">
        <v>4</v>
      </c>
      <c r="G7" s="5" t="s">
        <v>5</v>
      </c>
      <c r="H7" s="34"/>
      <c r="I7" s="5" t="s">
        <v>4</v>
      </c>
      <c r="J7" s="5" t="s">
        <v>5</v>
      </c>
      <c r="K7" s="87"/>
      <c r="L7" s="4"/>
      <c r="M7" s="5"/>
      <c r="N7" s="5" t="s">
        <v>4</v>
      </c>
      <c r="O7" s="5" t="s">
        <v>5</v>
      </c>
      <c r="P7" s="1"/>
      <c r="Q7" s="4"/>
      <c r="S7" s="4"/>
      <c r="T7" s="4"/>
      <c r="U7" s="4"/>
      <c r="V7" s="4"/>
      <c r="W7" s="4"/>
      <c r="X7" s="324"/>
      <c r="Y7" s="324"/>
      <c r="Z7" s="4"/>
    </row>
    <row r="8" spans="1:26" x14ac:dyDescent="0.25">
      <c r="K8" s="88"/>
    </row>
    <row r="9" spans="1:26" x14ac:dyDescent="0.25">
      <c r="A9" s="1" t="s">
        <v>13</v>
      </c>
      <c r="B9" s="1"/>
      <c r="C9" s="1"/>
      <c r="D9" s="1"/>
      <c r="F9" s="93"/>
      <c r="G9" s="9"/>
      <c r="H9" s="9"/>
      <c r="I9" s="9"/>
      <c r="J9" s="9"/>
      <c r="K9" s="88"/>
      <c r="L9" s="9"/>
      <c r="M9" s="94"/>
      <c r="N9" s="93"/>
      <c r="O9" s="9"/>
      <c r="Q9" s="9"/>
      <c r="S9" s="1"/>
      <c r="W9" s="7"/>
      <c r="Z9" s="9"/>
    </row>
    <row r="10" spans="1:26" x14ac:dyDescent="0.25">
      <c r="F10" s="82" t="s">
        <v>14</v>
      </c>
      <c r="G10" s="9"/>
      <c r="H10" s="9"/>
      <c r="I10" s="128" t="s">
        <v>14</v>
      </c>
      <c r="J10" s="9"/>
      <c r="K10" s="89"/>
      <c r="L10" s="9"/>
      <c r="M10" s="94"/>
      <c r="N10" s="82" t="s">
        <v>14</v>
      </c>
      <c r="O10" s="9"/>
      <c r="Q10" s="9"/>
      <c r="V10" s="30"/>
      <c r="W10" s="59"/>
      <c r="X10" s="60"/>
      <c r="Z10" s="9"/>
    </row>
    <row r="11" spans="1:26" x14ac:dyDescent="0.25">
      <c r="E11" s="1"/>
      <c r="F11" s="13"/>
      <c r="G11" s="44"/>
      <c r="H11" s="44"/>
      <c r="I11" s="54"/>
      <c r="J11" s="44"/>
      <c r="K11" s="89"/>
      <c r="L11" s="44"/>
      <c r="M11" s="94"/>
      <c r="N11" s="54"/>
      <c r="O11" s="44"/>
      <c r="Q11" s="10"/>
      <c r="T11" s="37"/>
      <c r="V11" s="13"/>
      <c r="W11" s="7"/>
      <c r="X11" s="22"/>
      <c r="Z11" s="10"/>
    </row>
    <row r="12" spans="1:26" x14ac:dyDescent="0.25">
      <c r="C12" s="2" t="s">
        <v>144</v>
      </c>
      <c r="E12" s="1"/>
      <c r="F12" s="14">
        <v>10.98</v>
      </c>
      <c r="G12" s="44"/>
      <c r="H12" s="44"/>
      <c r="I12" s="14">
        <v>10.98</v>
      </c>
      <c r="K12" s="89"/>
      <c r="L12" s="44"/>
      <c r="M12" s="35"/>
      <c r="N12" s="14">
        <v>11.32</v>
      </c>
      <c r="O12" s="44"/>
      <c r="Q12" s="10"/>
      <c r="T12" s="37"/>
      <c r="V12" s="13"/>
      <c r="W12" s="7"/>
      <c r="X12" s="22"/>
      <c r="Z12" s="10"/>
    </row>
    <row r="13" spans="1:26" x14ac:dyDescent="0.25">
      <c r="C13" s="2" t="s">
        <v>143</v>
      </c>
      <c r="E13" s="1"/>
      <c r="F13" s="14">
        <v>15.25</v>
      </c>
      <c r="G13" s="44"/>
      <c r="H13" s="44"/>
      <c r="I13" s="14">
        <v>15.25</v>
      </c>
      <c r="K13" s="89"/>
      <c r="L13" s="44"/>
      <c r="M13" s="35"/>
      <c r="N13" s="14">
        <v>15.72</v>
      </c>
      <c r="O13" s="44"/>
      <c r="Q13" s="10"/>
      <c r="T13" s="37"/>
      <c r="V13" s="13"/>
      <c r="W13" s="7"/>
      <c r="X13" s="22"/>
      <c r="Z13" s="10"/>
    </row>
    <row r="14" spans="1:26" x14ac:dyDescent="0.25">
      <c r="C14" s="2" t="s">
        <v>145</v>
      </c>
      <c r="E14" s="1"/>
      <c r="F14" s="14">
        <v>16.010000000000002</v>
      </c>
      <c r="G14" s="44"/>
      <c r="H14" s="44"/>
      <c r="I14" s="14">
        <v>16.010000000000002</v>
      </c>
      <c r="K14" s="89"/>
      <c r="L14" s="44"/>
      <c r="M14" s="35"/>
      <c r="N14" s="14">
        <v>16.5</v>
      </c>
      <c r="O14" s="44"/>
      <c r="Q14" s="10"/>
      <c r="T14" s="37"/>
      <c r="V14" s="13"/>
      <c r="W14" s="7"/>
      <c r="X14" s="22"/>
      <c r="Z14" s="10"/>
    </row>
    <row r="15" spans="1:26" x14ac:dyDescent="0.25">
      <c r="C15" s="2" t="s">
        <v>146</v>
      </c>
      <c r="E15" s="1"/>
      <c r="F15" s="14">
        <v>40.1</v>
      </c>
      <c r="G15" s="44"/>
      <c r="H15" s="44"/>
      <c r="I15" s="14">
        <v>40.1</v>
      </c>
      <c r="K15" s="89"/>
      <c r="L15" s="44"/>
      <c r="M15" s="35"/>
      <c r="N15" s="14">
        <v>41.34</v>
      </c>
      <c r="O15" s="44"/>
      <c r="Q15" s="10"/>
      <c r="T15" s="37"/>
      <c r="V15" s="13"/>
      <c r="W15" s="7"/>
      <c r="X15" s="22"/>
      <c r="Z15" s="10"/>
    </row>
    <row r="16" spans="1:26" x14ac:dyDescent="0.25">
      <c r="C16" s="2" t="s">
        <v>147</v>
      </c>
      <c r="E16" s="1"/>
      <c r="F16" s="14">
        <v>11.19</v>
      </c>
      <c r="G16" s="44"/>
      <c r="H16" s="44"/>
      <c r="I16" s="14">
        <v>11.19</v>
      </c>
      <c r="K16" s="89"/>
      <c r="L16" s="44"/>
      <c r="M16" s="35"/>
      <c r="N16" s="14">
        <v>11.54</v>
      </c>
      <c r="O16" s="44"/>
      <c r="Q16" s="10"/>
      <c r="T16" s="37"/>
      <c r="V16" s="13"/>
      <c r="W16" s="7"/>
      <c r="X16" s="22"/>
      <c r="Z16" s="10"/>
    </row>
    <row r="17" spans="1:26" x14ac:dyDescent="0.25">
      <c r="C17" s="2" t="s">
        <v>148</v>
      </c>
      <c r="E17" s="1"/>
      <c r="F17" s="14">
        <v>13.68</v>
      </c>
      <c r="G17" s="44"/>
      <c r="H17" s="44"/>
      <c r="I17" s="14">
        <v>13.68</v>
      </c>
      <c r="K17" s="89"/>
      <c r="L17" s="44"/>
      <c r="M17" s="35"/>
      <c r="N17" s="14">
        <v>14.1</v>
      </c>
      <c r="O17" s="44"/>
      <c r="Q17" s="10"/>
      <c r="T17" s="37"/>
      <c r="V17" s="13"/>
      <c r="W17" s="7"/>
      <c r="X17" s="22"/>
      <c r="Z17" s="10"/>
    </row>
    <row r="18" spans="1:26" x14ac:dyDescent="0.25">
      <c r="C18" s="2" t="s">
        <v>149</v>
      </c>
      <c r="E18" s="1"/>
      <c r="F18" s="14">
        <v>19.3</v>
      </c>
      <c r="G18" s="44"/>
      <c r="H18" s="44"/>
      <c r="I18" s="14">
        <v>19.3</v>
      </c>
      <c r="K18" s="89"/>
      <c r="L18" s="44"/>
      <c r="M18" s="35"/>
      <c r="N18" s="14">
        <v>19.899999999999999</v>
      </c>
      <c r="O18" s="44"/>
      <c r="Q18" s="10"/>
      <c r="T18" s="37"/>
      <c r="V18" s="13"/>
      <c r="W18" s="7"/>
      <c r="X18" s="22"/>
      <c r="Z18" s="10"/>
    </row>
    <row r="19" spans="1:26" x14ac:dyDescent="0.25">
      <c r="C19" s="2" t="s">
        <v>150</v>
      </c>
      <c r="E19" s="1"/>
      <c r="F19" s="14">
        <v>18.579999999999998</v>
      </c>
      <c r="G19" s="44"/>
      <c r="H19" s="44"/>
      <c r="I19" s="14">
        <v>18.579999999999998</v>
      </c>
      <c r="K19" s="89"/>
      <c r="L19" s="44"/>
      <c r="M19" s="35"/>
      <c r="N19" s="14">
        <v>19.149999999999999</v>
      </c>
      <c r="O19" s="44"/>
      <c r="Q19" s="10"/>
      <c r="T19" s="37"/>
      <c r="V19" s="13"/>
      <c r="W19" s="7"/>
      <c r="X19" s="22"/>
      <c r="Z19" s="10"/>
    </row>
    <row r="20" spans="1:26" x14ac:dyDescent="0.25">
      <c r="C20" s="2" t="s">
        <v>151</v>
      </c>
      <c r="E20" s="1"/>
      <c r="F20" s="14">
        <v>18</v>
      </c>
      <c r="G20" s="44"/>
      <c r="H20" s="44"/>
      <c r="I20" s="14">
        <v>18</v>
      </c>
      <c r="K20" s="89"/>
      <c r="L20" s="44"/>
      <c r="M20" s="35"/>
      <c r="N20" s="14">
        <v>18.559999999999999</v>
      </c>
      <c r="O20" s="44"/>
      <c r="Q20" s="10"/>
      <c r="T20" s="37"/>
      <c r="V20" s="13"/>
      <c r="W20" s="7"/>
      <c r="X20" s="22"/>
      <c r="Z20" s="10"/>
    </row>
    <row r="21" spans="1:26" x14ac:dyDescent="0.25">
      <c r="C21" s="2" t="s">
        <v>152</v>
      </c>
      <c r="E21" s="1"/>
      <c r="F21" s="14">
        <v>27.07</v>
      </c>
      <c r="G21" s="44"/>
      <c r="H21" s="44"/>
      <c r="I21" s="14">
        <v>27.07</v>
      </c>
      <c r="K21" s="89"/>
      <c r="L21" s="44"/>
      <c r="M21" s="35"/>
      <c r="N21" s="14">
        <v>27.91</v>
      </c>
      <c r="O21" s="44"/>
      <c r="Q21" s="10"/>
      <c r="T21" s="37"/>
      <c r="V21" s="13"/>
      <c r="W21" s="7"/>
      <c r="X21" s="22"/>
      <c r="Z21" s="10"/>
    </row>
    <row r="22" spans="1:26" x14ac:dyDescent="0.25">
      <c r="C22" s="2" t="s">
        <v>153</v>
      </c>
      <c r="E22" s="1"/>
      <c r="F22" s="14">
        <v>11.43</v>
      </c>
      <c r="G22" s="44"/>
      <c r="H22" s="44"/>
      <c r="I22" s="14">
        <v>11.43</v>
      </c>
      <c r="K22" s="89"/>
      <c r="L22" s="44"/>
      <c r="M22" s="35"/>
      <c r="N22" s="14">
        <v>11.78</v>
      </c>
      <c r="O22" s="44"/>
      <c r="Q22" s="10"/>
      <c r="T22" s="37"/>
      <c r="V22" s="13"/>
      <c r="W22" s="7"/>
      <c r="X22" s="22"/>
      <c r="Z22" s="10"/>
    </row>
    <row r="23" spans="1:26" x14ac:dyDescent="0.25">
      <c r="C23" s="2" t="s">
        <v>154</v>
      </c>
      <c r="E23" s="1"/>
      <c r="F23" s="14">
        <v>17.68</v>
      </c>
      <c r="G23" s="44"/>
      <c r="H23" s="44"/>
      <c r="I23" s="14">
        <v>17.68</v>
      </c>
      <c r="K23" s="89"/>
      <c r="L23" s="44"/>
      <c r="M23" s="35"/>
      <c r="N23" s="14">
        <v>18.23</v>
      </c>
      <c r="O23" s="44"/>
      <c r="Q23" s="10"/>
      <c r="T23" s="37"/>
      <c r="V23" s="13"/>
      <c r="W23" s="7"/>
      <c r="X23" s="22"/>
      <c r="Z23" s="10"/>
    </row>
    <row r="24" spans="1:26" x14ac:dyDescent="0.25">
      <c r="E24" s="1"/>
      <c r="F24" s="14"/>
      <c r="G24" s="44"/>
      <c r="H24" s="44"/>
      <c r="I24" s="14"/>
      <c r="K24" s="89"/>
      <c r="L24" s="44"/>
      <c r="M24" s="14"/>
      <c r="N24" s="54"/>
      <c r="O24" s="44"/>
      <c r="Q24" s="10"/>
      <c r="T24" s="37"/>
      <c r="V24" s="13"/>
      <c r="W24" s="7"/>
      <c r="X24" s="22"/>
      <c r="Z24" s="10"/>
    </row>
    <row r="25" spans="1:26" ht="16.5" thickBot="1" x14ac:dyDescent="0.3">
      <c r="E25" s="96" t="s">
        <v>36</v>
      </c>
      <c r="F25" s="97"/>
      <c r="G25" s="49">
        <f>G30</f>
        <v>1428385.8800000001</v>
      </c>
      <c r="H25" s="44"/>
      <c r="I25" s="54"/>
      <c r="J25" s="49">
        <f>G25</f>
        <v>1428385.8800000001</v>
      </c>
      <c r="K25" s="89"/>
      <c r="L25" s="44"/>
      <c r="M25" s="54"/>
      <c r="N25" s="54"/>
      <c r="O25" s="49">
        <f>J25</f>
        <v>1428385.8800000001</v>
      </c>
      <c r="Q25" s="10"/>
      <c r="T25" s="37"/>
      <c r="V25" s="13"/>
      <c r="W25" s="7"/>
      <c r="X25" s="22"/>
      <c r="Z25" s="10"/>
    </row>
    <row r="26" spans="1:26" ht="16.5" thickTop="1" x14ac:dyDescent="0.25">
      <c r="E26" s="37"/>
      <c r="F26" s="22"/>
      <c r="G26" s="10"/>
      <c r="H26" s="10"/>
      <c r="I26" s="22"/>
      <c r="J26" s="10"/>
      <c r="K26" s="89"/>
      <c r="L26" s="10"/>
      <c r="M26" s="22"/>
      <c r="N26" s="22"/>
      <c r="O26" s="10"/>
      <c r="Q26" s="10"/>
      <c r="T26" s="37"/>
      <c r="V26" s="13"/>
      <c r="W26" s="7"/>
      <c r="X26" s="22"/>
      <c r="Z26" s="10"/>
    </row>
    <row r="27" spans="1:26" x14ac:dyDescent="0.25">
      <c r="G27" s="10"/>
      <c r="H27" s="10"/>
      <c r="I27" s="10"/>
      <c r="J27" s="10"/>
      <c r="K27" s="89"/>
      <c r="L27" s="10"/>
      <c r="O27" s="10"/>
      <c r="Q27" s="10"/>
      <c r="W27" s="7"/>
      <c r="Z27" s="10"/>
    </row>
    <row r="28" spans="1:26" ht="16.5" thickBot="1" x14ac:dyDescent="0.3">
      <c r="A28" s="1" t="s">
        <v>34</v>
      </c>
      <c r="B28" s="1"/>
      <c r="C28" s="1"/>
      <c r="D28" s="12">
        <f>'Billing Determ'!Q23</f>
        <v>6382739</v>
      </c>
      <c r="E28" s="2" t="s">
        <v>7</v>
      </c>
      <c r="G28" s="49">
        <f>G37+G25</f>
        <v>1428385.8800000001</v>
      </c>
      <c r="H28" s="44"/>
      <c r="I28" s="44"/>
      <c r="J28" s="49">
        <f>J25</f>
        <v>1428385.8800000001</v>
      </c>
      <c r="K28" s="89"/>
      <c r="L28" s="44"/>
      <c r="M28" s="1" t="s">
        <v>34</v>
      </c>
      <c r="O28" s="17">
        <f>'Present and Proposed Rates'!N25</f>
        <v>1428385.8800000001</v>
      </c>
      <c r="Q28" s="44"/>
      <c r="S28" s="1"/>
      <c r="Z28" s="44"/>
    </row>
    <row r="29" spans="1:26" ht="16.5" thickTop="1" x14ac:dyDescent="0.25">
      <c r="A29" s="1"/>
      <c r="B29" s="1"/>
      <c r="C29" s="1"/>
      <c r="D29" s="1"/>
      <c r="G29" s="10"/>
      <c r="H29" s="10"/>
      <c r="I29" s="10"/>
      <c r="J29" s="10"/>
      <c r="K29" s="89"/>
      <c r="L29" s="10"/>
      <c r="M29" s="1"/>
      <c r="O29" s="10"/>
      <c r="Q29" s="10"/>
      <c r="S29" s="1"/>
      <c r="Z29" s="10"/>
    </row>
    <row r="30" spans="1:26" x14ac:dyDescent="0.25">
      <c r="A30" s="1" t="s">
        <v>15</v>
      </c>
      <c r="B30" s="1"/>
      <c r="C30" s="1"/>
      <c r="D30" s="1"/>
      <c r="G30" s="10">
        <f>'Billing Determ'!Q34</f>
        <v>1428385.8800000001</v>
      </c>
      <c r="H30" s="10"/>
      <c r="I30" s="10"/>
      <c r="J30" s="10"/>
      <c r="K30" s="89"/>
      <c r="L30" s="10"/>
      <c r="M30" s="1" t="s">
        <v>58</v>
      </c>
      <c r="O30" s="21">
        <f>O28-J28</f>
        <v>0</v>
      </c>
      <c r="Q30" s="40"/>
      <c r="S30" s="1"/>
      <c r="W30" s="40"/>
      <c r="Z30" s="40"/>
    </row>
    <row r="31" spans="1:26" x14ac:dyDescent="0.25">
      <c r="A31" s="9"/>
      <c r="B31" s="9"/>
      <c r="C31" s="9"/>
      <c r="D31" s="9"/>
      <c r="G31" s="9"/>
      <c r="H31" s="9"/>
      <c r="I31" s="9"/>
      <c r="J31" s="9"/>
      <c r="K31" s="89"/>
      <c r="L31" s="9"/>
      <c r="O31" s="9"/>
      <c r="Q31" s="10"/>
      <c r="S31" s="9"/>
      <c r="W31" s="10"/>
      <c r="Z31" s="10"/>
    </row>
    <row r="32" spans="1:26" x14ac:dyDescent="0.25">
      <c r="A32" s="1" t="s">
        <v>10</v>
      </c>
      <c r="B32" s="1"/>
      <c r="C32" s="1"/>
      <c r="D32" s="1"/>
      <c r="G32" s="38">
        <f>G28-G30</f>
        <v>0</v>
      </c>
      <c r="H32" s="38"/>
      <c r="I32" s="38"/>
      <c r="J32" s="38">
        <f>J28-G28</f>
        <v>0</v>
      </c>
      <c r="K32" s="89"/>
      <c r="L32" s="38"/>
      <c r="M32" s="1" t="s">
        <v>59</v>
      </c>
      <c r="O32" s="18">
        <f>IF(J28=0,0,O30/J28)</f>
        <v>0</v>
      </c>
      <c r="Q32" s="41"/>
      <c r="S32" s="1"/>
      <c r="W32" s="41"/>
      <c r="Z32" s="41"/>
    </row>
    <row r="33" spans="1:26" x14ac:dyDescent="0.25">
      <c r="A33" s="9"/>
      <c r="B33" s="9"/>
      <c r="C33" s="9"/>
      <c r="D33" s="9"/>
      <c r="G33" s="10"/>
      <c r="H33" s="10"/>
      <c r="I33" s="10"/>
      <c r="J33" s="10"/>
      <c r="K33" s="89"/>
      <c r="L33" s="10"/>
      <c r="O33" s="10"/>
    </row>
    <row r="34" spans="1:26" x14ac:dyDescent="0.25">
      <c r="A34" s="1" t="s">
        <v>17</v>
      </c>
      <c r="B34" s="1"/>
      <c r="C34" s="1"/>
      <c r="D34" s="1"/>
      <c r="G34" s="41">
        <f>(G28-G30)/G30</f>
        <v>0</v>
      </c>
      <c r="H34" s="41"/>
      <c r="I34" s="41"/>
      <c r="J34" s="16">
        <f>J32/G30</f>
        <v>0</v>
      </c>
      <c r="K34" s="89"/>
      <c r="L34" s="41"/>
      <c r="O34" s="23"/>
    </row>
    <row r="35" spans="1:26" x14ac:dyDescent="0.25">
      <c r="A35" s="10"/>
      <c r="B35" s="10"/>
      <c r="C35" s="10"/>
      <c r="D35" s="10"/>
      <c r="G35" s="10"/>
      <c r="H35" s="10"/>
      <c r="I35" s="10"/>
      <c r="J35" s="10"/>
      <c r="K35" s="10"/>
      <c r="L35" s="10"/>
      <c r="O35" s="10"/>
      <c r="Q35" s="24"/>
      <c r="S35" s="10"/>
      <c r="T35" s="10"/>
      <c r="U35" s="10"/>
      <c r="Z35" s="24"/>
    </row>
    <row r="36" spans="1:26" x14ac:dyDescent="0.25">
      <c r="G36" s="10"/>
      <c r="H36" s="10"/>
      <c r="I36" s="10"/>
      <c r="J36" s="10"/>
      <c r="K36" s="10"/>
      <c r="L36" s="10"/>
      <c r="M36" s="22"/>
      <c r="N36" s="22"/>
      <c r="O36" s="10"/>
      <c r="Q36" s="10"/>
      <c r="T36" s="37"/>
      <c r="V36" s="13"/>
      <c r="W36" s="7"/>
      <c r="X36" s="22"/>
      <c r="Z36" s="10"/>
    </row>
    <row r="37" spans="1:26" x14ac:dyDescent="0.25">
      <c r="G37" s="10"/>
      <c r="H37" s="10"/>
      <c r="I37" s="10"/>
      <c r="J37" s="10"/>
      <c r="K37" s="10"/>
      <c r="L37" s="10"/>
      <c r="M37" s="22"/>
      <c r="N37" s="22"/>
      <c r="O37" s="10"/>
      <c r="Q37" s="10"/>
      <c r="T37" s="37"/>
      <c r="V37" s="13"/>
      <c r="W37" s="7"/>
      <c r="X37" s="22"/>
      <c r="Z37" s="10"/>
    </row>
    <row r="38" spans="1:26" ht="15" customHeight="1" x14ac:dyDescent="0.25">
      <c r="G38" s="9"/>
      <c r="H38" s="9"/>
      <c r="I38" s="9"/>
      <c r="J38" s="9"/>
      <c r="K38" s="9"/>
      <c r="L38" s="9"/>
      <c r="O38" s="9"/>
      <c r="S38" s="9"/>
      <c r="T38" s="9"/>
      <c r="U38" s="9"/>
    </row>
    <row r="39" spans="1:26" x14ac:dyDescent="0.25">
      <c r="G39" s="9"/>
      <c r="H39" s="9"/>
      <c r="I39" s="9"/>
      <c r="J39" s="9"/>
      <c r="L39" s="9"/>
      <c r="O39" s="9"/>
      <c r="Q39" s="14"/>
      <c r="S39" s="10"/>
      <c r="T39" s="10"/>
      <c r="W39" s="30"/>
      <c r="Z39" s="14"/>
    </row>
    <row r="40" spans="1:26" x14ac:dyDescent="0.25">
      <c r="G40" s="9"/>
      <c r="H40" s="9"/>
      <c r="I40" s="9"/>
      <c r="J40" s="9"/>
      <c r="L40" s="9"/>
      <c r="O40" s="9"/>
      <c r="S40" s="9"/>
      <c r="T40" s="9"/>
      <c r="U40" s="30"/>
      <c r="V40" s="30"/>
      <c r="W40" s="30"/>
    </row>
    <row r="41" spans="1:26" x14ac:dyDescent="0.25">
      <c r="G41" s="9"/>
      <c r="H41" s="9"/>
      <c r="I41" s="9"/>
      <c r="J41" s="9"/>
      <c r="L41" s="9"/>
      <c r="O41" s="9"/>
      <c r="S41" s="15"/>
      <c r="T41" s="15"/>
      <c r="U41" s="31"/>
      <c r="V41" s="42"/>
      <c r="W41" s="26"/>
    </row>
    <row r="42" spans="1:26" x14ac:dyDescent="0.25">
      <c r="G42" s="9"/>
      <c r="H42" s="9"/>
      <c r="I42" s="9"/>
      <c r="J42" s="9"/>
      <c r="L42" s="9"/>
      <c r="O42" s="9"/>
      <c r="S42" s="10"/>
      <c r="T42" s="10"/>
      <c r="U42" s="31"/>
      <c r="V42" s="42"/>
      <c r="W42" s="26"/>
    </row>
    <row r="43" spans="1:26" x14ac:dyDescent="0.25">
      <c r="G43" s="9"/>
      <c r="H43" s="9"/>
      <c r="I43" s="9"/>
      <c r="J43" s="9"/>
      <c r="L43" s="9"/>
      <c r="O43" s="9"/>
      <c r="S43" s="16"/>
      <c r="T43" s="16"/>
      <c r="U43" s="31"/>
      <c r="V43" s="42"/>
      <c r="W43" s="26"/>
    </row>
    <row r="44" spans="1:26" x14ac:dyDescent="0.25">
      <c r="G44" s="9"/>
      <c r="H44" s="9"/>
      <c r="I44" s="9"/>
      <c r="J44" s="9"/>
      <c r="L44" s="9"/>
      <c r="O44" s="9"/>
      <c r="U44" s="31"/>
      <c r="V44" s="42"/>
      <c r="W44" s="26"/>
    </row>
    <row r="45" spans="1:26" x14ac:dyDescent="0.25">
      <c r="G45" s="9"/>
      <c r="H45" s="9"/>
      <c r="I45" s="9"/>
      <c r="J45" s="9"/>
      <c r="L45" s="9"/>
      <c r="O45" s="9"/>
      <c r="U45" s="31"/>
      <c r="V45" s="42"/>
      <c r="W45" s="26"/>
    </row>
    <row r="46" spans="1:26" x14ac:dyDescent="0.25">
      <c r="G46" s="9"/>
      <c r="H46" s="9"/>
      <c r="I46" s="9"/>
      <c r="J46" s="9"/>
      <c r="L46" s="9"/>
      <c r="O46" s="9"/>
      <c r="U46" s="31"/>
      <c r="V46" s="42"/>
      <c r="W46" s="26"/>
    </row>
    <row r="47" spans="1:26" x14ac:dyDescent="0.25">
      <c r="G47" s="9"/>
      <c r="H47" s="9"/>
      <c r="I47" s="9"/>
      <c r="J47" s="9"/>
      <c r="L47" s="9"/>
      <c r="O47" s="9"/>
      <c r="U47" s="31"/>
      <c r="V47" s="42"/>
      <c r="W47" s="26"/>
    </row>
    <row r="48" spans="1:26" x14ac:dyDescent="0.25">
      <c r="G48" s="9"/>
      <c r="H48" s="9"/>
      <c r="I48" s="9"/>
      <c r="J48" s="9"/>
      <c r="L48" s="9"/>
      <c r="O48" s="9"/>
      <c r="U48" s="31"/>
      <c r="V48" s="42"/>
      <c r="W48" s="26"/>
    </row>
    <row r="49" spans="5:23" x14ac:dyDescent="0.25">
      <c r="G49" s="9"/>
      <c r="H49" s="9"/>
      <c r="I49" s="9"/>
      <c r="J49" s="9"/>
      <c r="L49" s="9"/>
      <c r="O49" s="9"/>
      <c r="U49" s="31"/>
      <c r="V49" s="42"/>
      <c r="W49" s="26"/>
    </row>
    <row r="50" spans="5:23" x14ac:dyDescent="0.25">
      <c r="G50" s="9"/>
      <c r="H50" s="9"/>
      <c r="I50" s="9"/>
      <c r="J50" s="9"/>
      <c r="L50" s="9"/>
      <c r="O50" s="9"/>
      <c r="U50" s="31"/>
      <c r="V50" s="42"/>
      <c r="W50" s="26"/>
    </row>
    <row r="51" spans="5:23" x14ac:dyDescent="0.25">
      <c r="G51" s="9"/>
      <c r="H51" s="9"/>
      <c r="I51" s="9"/>
      <c r="J51" s="9"/>
      <c r="L51" s="9"/>
      <c r="O51" s="9"/>
      <c r="U51" s="31"/>
      <c r="V51" s="42"/>
      <c r="W51" s="26"/>
    </row>
    <row r="52" spans="5:23" x14ac:dyDescent="0.25">
      <c r="G52" s="9"/>
      <c r="H52" s="9"/>
      <c r="I52" s="9"/>
      <c r="J52" s="9"/>
      <c r="L52" s="9"/>
      <c r="O52" s="9"/>
      <c r="U52" s="31"/>
      <c r="V52" s="42"/>
      <c r="W52" s="26"/>
    </row>
    <row r="53" spans="5:23" x14ac:dyDescent="0.25">
      <c r="F53" s="26"/>
      <c r="G53" s="9"/>
      <c r="H53" s="9"/>
      <c r="I53" s="9"/>
      <c r="J53" s="9"/>
      <c r="L53" s="9"/>
      <c r="M53" s="26"/>
      <c r="N53" s="26"/>
      <c r="O53" s="9"/>
      <c r="W53" s="26"/>
    </row>
    <row r="54" spans="5:23" x14ac:dyDescent="0.25">
      <c r="G54" s="9"/>
      <c r="H54" s="9"/>
      <c r="I54" s="9"/>
      <c r="J54" s="9"/>
      <c r="L54" s="9"/>
      <c r="O54" s="9"/>
    </row>
    <row r="55" spans="5:23" x14ac:dyDescent="0.25">
      <c r="F55" s="30"/>
      <c r="G55" s="9"/>
      <c r="H55" s="9"/>
      <c r="I55" s="9"/>
      <c r="J55" s="9"/>
      <c r="L55" s="9"/>
      <c r="M55" s="30"/>
      <c r="N55" s="30"/>
      <c r="O55" s="9"/>
      <c r="W55" s="13"/>
    </row>
    <row r="56" spans="5:23" x14ac:dyDescent="0.25">
      <c r="E56" s="30"/>
      <c r="F56" s="30"/>
      <c r="G56" s="9"/>
      <c r="H56" s="9"/>
      <c r="I56" s="9"/>
      <c r="J56" s="9"/>
      <c r="L56" s="9"/>
      <c r="M56" s="30"/>
      <c r="N56" s="30"/>
      <c r="O56" s="9"/>
    </row>
    <row r="57" spans="5:23" x14ac:dyDescent="0.25">
      <c r="E57" s="30"/>
      <c r="F57" s="30"/>
      <c r="G57" s="9"/>
      <c r="H57" s="9"/>
      <c r="I57" s="9"/>
      <c r="J57" s="9"/>
      <c r="L57" s="9"/>
      <c r="M57" s="30"/>
      <c r="N57" s="30"/>
      <c r="O57" s="9"/>
    </row>
    <row r="58" spans="5:23" x14ac:dyDescent="0.25">
      <c r="E58" s="30"/>
      <c r="F58" s="30"/>
      <c r="G58" s="9"/>
      <c r="H58" s="9"/>
      <c r="I58" s="9"/>
      <c r="J58" s="9"/>
      <c r="L58" s="9"/>
      <c r="M58" s="30"/>
      <c r="N58" s="30"/>
      <c r="O58" s="9"/>
    </row>
    <row r="59" spans="5:23" x14ac:dyDescent="0.25">
      <c r="E59" s="30"/>
      <c r="F59" s="30"/>
      <c r="G59" s="9"/>
      <c r="H59" s="9"/>
      <c r="I59" s="9"/>
      <c r="J59" s="9"/>
      <c r="L59" s="9"/>
      <c r="M59" s="30"/>
      <c r="N59" s="30"/>
      <c r="O59" s="9"/>
    </row>
    <row r="60" spans="5:23" x14ac:dyDescent="0.25">
      <c r="E60" s="30"/>
      <c r="F60" s="30"/>
      <c r="G60" s="9"/>
      <c r="H60" s="9"/>
      <c r="I60" s="9"/>
      <c r="J60" s="9"/>
      <c r="L60" s="9"/>
      <c r="M60" s="30"/>
      <c r="N60" s="30"/>
      <c r="O60" s="9"/>
    </row>
    <row r="61" spans="5:23" x14ac:dyDescent="0.25">
      <c r="E61" s="30"/>
      <c r="F61" s="30"/>
      <c r="G61" s="9"/>
      <c r="H61" s="9"/>
      <c r="I61" s="9"/>
      <c r="J61" s="9"/>
      <c r="L61" s="9"/>
      <c r="M61" s="30"/>
      <c r="N61" s="30"/>
      <c r="O61" s="9"/>
    </row>
    <row r="62" spans="5:23" x14ac:dyDescent="0.25">
      <c r="E62" s="30"/>
      <c r="F62" s="30"/>
      <c r="G62" s="9"/>
      <c r="H62" s="9"/>
      <c r="I62" s="9"/>
      <c r="J62" s="9"/>
      <c r="L62" s="9"/>
      <c r="M62" s="30"/>
      <c r="N62" s="30"/>
      <c r="O62" s="9"/>
    </row>
    <row r="63" spans="5:23" x14ac:dyDescent="0.25">
      <c r="E63" s="30"/>
      <c r="F63" s="30"/>
      <c r="G63" s="9"/>
      <c r="H63" s="9"/>
      <c r="I63" s="9"/>
      <c r="J63" s="9"/>
      <c r="L63" s="9"/>
      <c r="M63" s="30"/>
      <c r="N63" s="30"/>
      <c r="O63" s="9"/>
    </row>
    <row r="64" spans="5:23" x14ac:dyDescent="0.25">
      <c r="E64" s="30"/>
      <c r="F64" s="30"/>
      <c r="G64" s="9"/>
      <c r="H64" s="9"/>
      <c r="I64" s="9"/>
      <c r="J64" s="9"/>
      <c r="L64" s="9"/>
      <c r="M64" s="30"/>
      <c r="N64" s="30"/>
      <c r="O64" s="9"/>
    </row>
    <row r="65" spans="5:15" x14ac:dyDescent="0.25">
      <c r="E65" s="30"/>
      <c r="F65" s="30"/>
      <c r="G65" s="9"/>
      <c r="H65" s="9"/>
      <c r="I65" s="9"/>
      <c r="J65" s="9"/>
      <c r="L65" s="9"/>
      <c r="M65" s="30"/>
      <c r="N65" s="30"/>
      <c r="O65" s="9"/>
    </row>
    <row r="66" spans="5:15" x14ac:dyDescent="0.25">
      <c r="E66" s="30"/>
      <c r="F66" s="30"/>
      <c r="G66" s="9"/>
      <c r="H66" s="9"/>
      <c r="I66" s="9"/>
      <c r="J66" s="9"/>
      <c r="L66" s="9"/>
      <c r="M66" s="30"/>
      <c r="N66" s="30"/>
      <c r="O66" s="9"/>
    </row>
    <row r="67" spans="5:15" x14ac:dyDescent="0.25">
      <c r="E67" s="30"/>
      <c r="F67" s="30"/>
      <c r="G67" s="9"/>
      <c r="H67" s="9"/>
      <c r="I67" s="9"/>
      <c r="J67" s="9"/>
      <c r="L67" s="9"/>
      <c r="M67" s="30"/>
      <c r="N67" s="30"/>
      <c r="O67" s="9"/>
    </row>
    <row r="68" spans="5:15" x14ac:dyDescent="0.25">
      <c r="E68" s="30"/>
      <c r="F68" s="30"/>
      <c r="G68" s="9"/>
      <c r="H68" s="9"/>
      <c r="I68" s="9"/>
      <c r="J68" s="9"/>
      <c r="L68" s="9"/>
      <c r="M68" s="30"/>
      <c r="N68" s="30"/>
      <c r="O68" s="9"/>
    </row>
    <row r="69" spans="5:15" x14ac:dyDescent="0.25">
      <c r="E69" s="30"/>
      <c r="F69" s="30"/>
      <c r="G69" s="9"/>
      <c r="H69" s="9"/>
      <c r="I69" s="9"/>
      <c r="J69" s="9"/>
      <c r="L69" s="9"/>
      <c r="M69" s="30"/>
      <c r="N69" s="30"/>
      <c r="O69" s="9"/>
    </row>
    <row r="70" spans="5:15" x14ac:dyDescent="0.25">
      <c r="E70" s="30"/>
      <c r="F70" s="30"/>
      <c r="G70" s="9"/>
      <c r="H70" s="9"/>
      <c r="I70" s="9"/>
      <c r="J70" s="9"/>
      <c r="L70" s="9"/>
      <c r="M70" s="30"/>
      <c r="N70" s="30"/>
      <c r="O70" s="9"/>
    </row>
    <row r="71" spans="5:15" x14ac:dyDescent="0.25">
      <c r="E71" s="30"/>
      <c r="F71" s="30"/>
      <c r="G71" s="9"/>
      <c r="H71" s="9"/>
      <c r="I71" s="9"/>
      <c r="J71" s="9"/>
      <c r="L71" s="9"/>
      <c r="M71" s="30"/>
      <c r="N71" s="30"/>
      <c r="O71" s="9"/>
    </row>
    <row r="72" spans="5:15" x14ac:dyDescent="0.25">
      <c r="E72" s="30"/>
      <c r="F72" s="30"/>
      <c r="G72" s="9"/>
      <c r="H72" s="9"/>
      <c r="I72" s="9"/>
      <c r="J72" s="9"/>
      <c r="L72" s="9"/>
      <c r="M72" s="30"/>
      <c r="N72" s="30"/>
      <c r="O72" s="9"/>
    </row>
    <row r="73" spans="5:15" x14ac:dyDescent="0.25">
      <c r="E73" s="30"/>
      <c r="F73" s="30"/>
      <c r="G73" s="9"/>
      <c r="H73" s="9"/>
      <c r="I73" s="9"/>
      <c r="J73" s="9"/>
      <c r="L73" s="9"/>
      <c r="M73" s="30"/>
      <c r="N73" s="30"/>
      <c r="O73" s="9"/>
    </row>
    <row r="74" spans="5:15" x14ac:dyDescent="0.25">
      <c r="E74" s="30"/>
      <c r="F74" s="30"/>
      <c r="G74" s="9"/>
      <c r="H74" s="9"/>
      <c r="I74" s="9"/>
      <c r="J74" s="9"/>
      <c r="L74" s="9"/>
      <c r="M74" s="30"/>
      <c r="N74" s="30"/>
      <c r="O74" s="9"/>
    </row>
    <row r="75" spans="5:15" x14ac:dyDescent="0.25">
      <c r="E75" s="30"/>
      <c r="F75" s="30"/>
      <c r="G75" s="9"/>
      <c r="H75" s="9"/>
      <c r="I75" s="9"/>
      <c r="J75" s="9"/>
      <c r="L75" s="9"/>
      <c r="M75" s="30"/>
      <c r="N75" s="30"/>
      <c r="O75" s="9"/>
    </row>
    <row r="76" spans="5:15" x14ac:dyDescent="0.25">
      <c r="E76" s="30"/>
      <c r="F76" s="30"/>
      <c r="G76" s="31"/>
      <c r="H76" s="31"/>
      <c r="I76" s="31"/>
      <c r="J76" s="31"/>
      <c r="L76" s="31"/>
      <c r="M76" s="30"/>
      <c r="N76" s="30"/>
      <c r="O76" s="31"/>
    </row>
    <row r="77" spans="5:15" x14ac:dyDescent="0.25">
      <c r="E77" s="30"/>
      <c r="F77" s="30"/>
      <c r="G77" s="31"/>
      <c r="H77" s="31"/>
      <c r="I77" s="31"/>
      <c r="J77" s="31"/>
      <c r="L77" s="31"/>
      <c r="M77" s="30"/>
      <c r="N77" s="30"/>
      <c r="O77" s="31"/>
    </row>
    <row r="78" spans="5:15" x14ac:dyDescent="0.25">
      <c r="E78" s="30"/>
      <c r="F78" s="30"/>
      <c r="G78" s="31"/>
      <c r="H78" s="31"/>
      <c r="I78" s="31"/>
      <c r="J78" s="31"/>
      <c r="L78" s="31"/>
      <c r="M78" s="30"/>
      <c r="N78" s="30"/>
      <c r="O78" s="31"/>
    </row>
    <row r="79" spans="5:15" x14ac:dyDescent="0.25">
      <c r="E79" s="30"/>
      <c r="F79" s="30"/>
      <c r="G79" s="31"/>
      <c r="H79" s="31"/>
      <c r="I79" s="31"/>
      <c r="J79" s="31"/>
      <c r="L79" s="31"/>
      <c r="M79" s="30"/>
      <c r="N79" s="30"/>
      <c r="O79" s="31"/>
    </row>
    <row r="80" spans="5:15" x14ac:dyDescent="0.25">
      <c r="E80" s="30"/>
      <c r="F80" s="30"/>
      <c r="G80" s="31"/>
      <c r="H80" s="31"/>
      <c r="I80" s="31"/>
      <c r="J80" s="31"/>
      <c r="L80" s="31"/>
      <c r="M80" s="30"/>
      <c r="N80" s="30"/>
      <c r="O80" s="31"/>
    </row>
    <row r="81" spans="5:15" x14ac:dyDescent="0.25">
      <c r="E81" s="30"/>
      <c r="F81" s="30"/>
      <c r="G81" s="31"/>
      <c r="H81" s="31"/>
      <c r="I81" s="31"/>
      <c r="J81" s="31"/>
      <c r="L81" s="31"/>
      <c r="M81" s="30"/>
      <c r="N81" s="30"/>
      <c r="O81" s="31"/>
    </row>
    <row r="82" spans="5:15" x14ac:dyDescent="0.25">
      <c r="E82" s="30"/>
      <c r="F82" s="30"/>
      <c r="G82" s="31"/>
      <c r="H82" s="31"/>
      <c r="I82" s="31"/>
      <c r="J82" s="31"/>
      <c r="L82" s="31"/>
      <c r="M82" s="30"/>
      <c r="N82" s="30"/>
      <c r="O82" s="31"/>
    </row>
    <row r="83" spans="5:15" x14ac:dyDescent="0.25">
      <c r="E83" s="30"/>
      <c r="F83" s="30"/>
      <c r="G83" s="31"/>
      <c r="H83" s="31"/>
      <c r="I83" s="31"/>
      <c r="J83" s="31"/>
      <c r="L83" s="31"/>
      <c r="M83" s="30"/>
      <c r="N83" s="30"/>
      <c r="O83" s="31"/>
    </row>
    <row r="84" spans="5:15" x14ac:dyDescent="0.25">
      <c r="E84" s="30"/>
      <c r="F84" s="30"/>
      <c r="G84" s="31"/>
      <c r="H84" s="31"/>
      <c r="I84" s="31"/>
      <c r="J84" s="31"/>
      <c r="L84" s="31"/>
      <c r="M84" s="30"/>
      <c r="N84" s="30"/>
      <c r="O84" s="31"/>
    </row>
    <row r="85" spans="5:15" x14ac:dyDescent="0.25">
      <c r="E85" s="30"/>
      <c r="F85" s="30"/>
      <c r="G85" s="31"/>
      <c r="H85" s="31"/>
      <c r="I85" s="31"/>
      <c r="J85" s="31"/>
      <c r="L85" s="31"/>
      <c r="M85" s="30"/>
      <c r="N85" s="30"/>
      <c r="O85" s="31"/>
    </row>
    <row r="86" spans="5:15" x14ac:dyDescent="0.25">
      <c r="E86" s="30"/>
      <c r="F86" s="30"/>
      <c r="G86" s="31"/>
      <c r="H86" s="31"/>
      <c r="I86" s="31"/>
      <c r="J86" s="31"/>
      <c r="L86" s="31"/>
      <c r="M86" s="30"/>
      <c r="N86" s="30"/>
      <c r="O86" s="31"/>
    </row>
    <row r="87" spans="5:15" x14ac:dyDescent="0.25">
      <c r="E87" s="30"/>
      <c r="F87" s="30"/>
      <c r="G87" s="31"/>
      <c r="H87" s="31"/>
      <c r="I87" s="31"/>
      <c r="J87" s="31"/>
      <c r="L87" s="31"/>
      <c r="M87" s="30"/>
      <c r="N87" s="30"/>
      <c r="O87" s="31"/>
    </row>
    <row r="88" spans="5:15" x14ac:dyDescent="0.25">
      <c r="E88" s="30"/>
      <c r="F88" s="30"/>
      <c r="G88" s="31"/>
      <c r="H88" s="31"/>
      <c r="I88" s="31"/>
      <c r="J88" s="31"/>
      <c r="L88" s="31"/>
      <c r="M88" s="30"/>
      <c r="N88" s="30"/>
      <c r="O88" s="31"/>
    </row>
    <row r="89" spans="5:15" x14ac:dyDescent="0.25">
      <c r="E89" s="30"/>
      <c r="F89" s="30"/>
      <c r="G89" s="31"/>
      <c r="H89" s="31"/>
      <c r="I89" s="31"/>
      <c r="J89" s="31"/>
      <c r="L89" s="31"/>
      <c r="M89" s="30"/>
      <c r="N89" s="30"/>
      <c r="O89" s="31"/>
    </row>
    <row r="90" spans="5:15" x14ac:dyDescent="0.25">
      <c r="E90" s="30"/>
      <c r="F90" s="30"/>
      <c r="G90" s="31"/>
      <c r="H90" s="31"/>
      <c r="I90" s="31"/>
      <c r="J90" s="31"/>
      <c r="L90" s="31"/>
      <c r="M90" s="30"/>
      <c r="N90" s="30"/>
      <c r="O90" s="31"/>
    </row>
    <row r="91" spans="5:15" x14ac:dyDescent="0.25">
      <c r="E91" s="30"/>
      <c r="F91" s="30"/>
      <c r="G91" s="31"/>
      <c r="H91" s="31"/>
      <c r="I91" s="31"/>
      <c r="J91" s="31"/>
      <c r="L91" s="31"/>
      <c r="M91" s="30"/>
      <c r="N91" s="30"/>
      <c r="O91" s="31"/>
    </row>
    <row r="92" spans="5:15" x14ac:dyDescent="0.25">
      <c r="E92" s="30"/>
      <c r="F92" s="30"/>
      <c r="G92" s="31"/>
      <c r="H92" s="31"/>
      <c r="I92" s="31"/>
      <c r="J92" s="31"/>
      <c r="L92" s="31"/>
      <c r="M92" s="30"/>
      <c r="N92" s="30"/>
      <c r="O92" s="31"/>
    </row>
    <row r="93" spans="5:15" x14ac:dyDescent="0.25">
      <c r="E93" s="30"/>
      <c r="F93" s="30"/>
      <c r="G93" s="31"/>
      <c r="H93" s="31"/>
      <c r="I93" s="31"/>
      <c r="J93" s="31"/>
      <c r="L93" s="31"/>
      <c r="M93" s="30"/>
      <c r="N93" s="30"/>
      <c r="O93" s="31"/>
    </row>
    <row r="94" spans="5:15" x14ac:dyDescent="0.25">
      <c r="E94" s="30"/>
      <c r="F94" s="30"/>
      <c r="G94" s="31"/>
      <c r="H94" s="31"/>
      <c r="I94" s="31"/>
      <c r="J94" s="31"/>
      <c r="L94" s="31"/>
      <c r="M94" s="30"/>
      <c r="N94" s="30"/>
      <c r="O94" s="31"/>
    </row>
    <row r="95" spans="5:15" x14ac:dyDescent="0.25">
      <c r="F95" s="26"/>
      <c r="G95" s="31"/>
      <c r="H95" s="31"/>
      <c r="I95" s="31"/>
      <c r="J95" s="31"/>
      <c r="L95" s="31"/>
      <c r="M95" s="26"/>
      <c r="N95" s="26"/>
      <c r="O95" s="31"/>
    </row>
    <row r="96" spans="5:15" x14ac:dyDescent="0.25">
      <c r="F96" s="26"/>
      <c r="G96" s="31"/>
      <c r="H96" s="31"/>
      <c r="I96" s="31"/>
      <c r="J96" s="31"/>
      <c r="L96" s="31"/>
      <c r="M96" s="26"/>
      <c r="N96" s="26"/>
      <c r="O96" s="31"/>
    </row>
    <row r="97" spans="6:15" x14ac:dyDescent="0.25">
      <c r="F97" s="26"/>
      <c r="G97" s="31"/>
      <c r="H97" s="31"/>
      <c r="I97" s="31"/>
      <c r="J97" s="31"/>
      <c r="L97" s="31"/>
      <c r="M97" s="26"/>
      <c r="N97" s="26"/>
      <c r="O97" s="31"/>
    </row>
    <row r="98" spans="6:15" x14ac:dyDescent="0.25">
      <c r="G98" s="24"/>
      <c r="H98" s="24"/>
      <c r="I98" s="24"/>
      <c r="J98" s="24"/>
      <c r="L98" s="24"/>
      <c r="O98" s="24"/>
    </row>
    <row r="99" spans="6:15" x14ac:dyDescent="0.25">
      <c r="F99" s="26"/>
      <c r="M99" s="26"/>
      <c r="N99" s="26"/>
    </row>
    <row r="100" spans="6:15" x14ac:dyDescent="0.25">
      <c r="F100" s="26"/>
      <c r="G100" s="30"/>
      <c r="H100" s="30"/>
      <c r="I100" s="30"/>
      <c r="J100" s="30"/>
      <c r="L100" s="30"/>
      <c r="M100" s="26"/>
      <c r="N100" s="26"/>
      <c r="O100" s="30"/>
    </row>
    <row r="101" spans="6:15" x14ac:dyDescent="0.25">
      <c r="F101" s="26"/>
      <c r="G101" s="31"/>
      <c r="H101" s="31"/>
      <c r="I101" s="31"/>
      <c r="J101" s="31"/>
      <c r="L101" s="31"/>
      <c r="M101" s="26"/>
      <c r="N101" s="26"/>
      <c r="O101" s="31"/>
    </row>
    <row r="102" spans="6:15" x14ac:dyDescent="0.25">
      <c r="F102" s="26"/>
      <c r="G102" s="31"/>
      <c r="H102" s="31"/>
      <c r="I102" s="31"/>
      <c r="J102" s="31"/>
      <c r="L102" s="31"/>
      <c r="M102" s="26"/>
      <c r="N102" s="26"/>
      <c r="O102" s="31"/>
    </row>
    <row r="103" spans="6:15" x14ac:dyDescent="0.25">
      <c r="F103" s="26"/>
      <c r="G103" s="31"/>
      <c r="H103" s="31"/>
      <c r="I103" s="31"/>
      <c r="J103" s="31"/>
      <c r="L103" s="31"/>
      <c r="M103" s="26"/>
      <c r="N103" s="26"/>
      <c r="O103" s="31"/>
    </row>
    <row r="104" spans="6:15" x14ac:dyDescent="0.25">
      <c r="F104" s="13"/>
      <c r="G104" s="31"/>
      <c r="H104" s="31"/>
      <c r="I104" s="31"/>
      <c r="J104" s="31"/>
      <c r="L104" s="31"/>
      <c r="M104" s="13"/>
      <c r="N104" s="13"/>
      <c r="O104" s="31"/>
    </row>
    <row r="105" spans="6:15" x14ac:dyDescent="0.25">
      <c r="G105" s="31"/>
      <c r="H105" s="31"/>
      <c r="I105" s="31"/>
      <c r="J105" s="31"/>
      <c r="L105" s="31"/>
      <c r="O105" s="31"/>
    </row>
    <row r="106" spans="6:15" x14ac:dyDescent="0.25">
      <c r="G106" s="31"/>
      <c r="H106" s="31"/>
      <c r="I106" s="31"/>
      <c r="J106" s="31"/>
      <c r="L106" s="31"/>
      <c r="O106" s="31"/>
    </row>
    <row r="107" spans="6:15" x14ac:dyDescent="0.25">
      <c r="G107" s="31"/>
      <c r="H107" s="31"/>
      <c r="I107" s="31"/>
      <c r="J107" s="31"/>
      <c r="L107" s="31"/>
      <c r="O107" s="31"/>
    </row>
    <row r="108" spans="6:15" x14ac:dyDescent="0.25">
      <c r="G108" s="31"/>
      <c r="H108" s="31"/>
      <c r="I108" s="31"/>
      <c r="J108" s="31"/>
      <c r="L108" s="31"/>
      <c r="O108" s="31"/>
    </row>
    <row r="109" spans="6:15" x14ac:dyDescent="0.25">
      <c r="G109" s="31"/>
      <c r="H109" s="31"/>
      <c r="I109" s="31"/>
      <c r="J109" s="31"/>
      <c r="L109" s="31"/>
      <c r="O109" s="31"/>
    </row>
    <row r="110" spans="6:15" x14ac:dyDescent="0.25">
      <c r="G110" s="31"/>
      <c r="H110" s="31"/>
      <c r="I110" s="31"/>
      <c r="J110" s="31"/>
      <c r="L110" s="31"/>
      <c r="O110" s="31"/>
    </row>
    <row r="111" spans="6:15" x14ac:dyDescent="0.25">
      <c r="G111" s="31"/>
      <c r="H111" s="31"/>
      <c r="I111" s="31"/>
      <c r="J111" s="31"/>
      <c r="L111" s="31"/>
      <c r="O111" s="31"/>
    </row>
    <row r="112" spans="6:15" x14ac:dyDescent="0.25">
      <c r="G112" s="31"/>
      <c r="H112" s="31"/>
      <c r="I112" s="31"/>
      <c r="J112" s="31"/>
      <c r="L112" s="31"/>
      <c r="O112" s="31"/>
    </row>
    <row r="113" spans="7:15" x14ac:dyDescent="0.25">
      <c r="G113" s="26"/>
      <c r="H113" s="26"/>
      <c r="I113" s="26"/>
      <c r="J113" s="26"/>
      <c r="L113" s="26"/>
      <c r="O113" s="26"/>
    </row>
    <row r="114" spans="7:15" x14ac:dyDescent="0.25">
      <c r="G114" s="26"/>
      <c r="H114" s="26"/>
      <c r="I114" s="26"/>
      <c r="J114" s="26"/>
      <c r="L114" s="26"/>
      <c r="O114" s="26"/>
    </row>
    <row r="115" spans="7:15" x14ac:dyDescent="0.25">
      <c r="G115" s="30"/>
      <c r="H115" s="30"/>
      <c r="I115" s="30"/>
      <c r="J115" s="30"/>
      <c r="L115" s="30"/>
      <c r="O115" s="30"/>
    </row>
    <row r="116" spans="7:15" x14ac:dyDescent="0.25">
      <c r="G116" s="31"/>
      <c r="H116" s="31"/>
      <c r="I116" s="31"/>
      <c r="J116" s="31"/>
      <c r="L116" s="31"/>
      <c r="O116" s="31"/>
    </row>
    <row r="117" spans="7:15" x14ac:dyDescent="0.25">
      <c r="G117" s="31"/>
      <c r="H117" s="31"/>
      <c r="I117" s="31"/>
      <c r="J117" s="31"/>
      <c r="L117" s="31"/>
      <c r="O117" s="31"/>
    </row>
    <row r="118" spans="7:15" x14ac:dyDescent="0.25">
      <c r="G118" s="31"/>
      <c r="H118" s="31"/>
      <c r="I118" s="31"/>
      <c r="J118" s="31"/>
      <c r="L118" s="31"/>
      <c r="O118" s="31"/>
    </row>
    <row r="119" spans="7:15" x14ac:dyDescent="0.25">
      <c r="G119" s="31"/>
      <c r="H119" s="31"/>
      <c r="I119" s="31"/>
      <c r="J119" s="31"/>
      <c r="L119" s="31"/>
      <c r="O119" s="31"/>
    </row>
    <row r="120" spans="7:15" x14ac:dyDescent="0.25">
      <c r="G120" s="31"/>
      <c r="H120" s="31"/>
      <c r="I120" s="31"/>
      <c r="J120" s="31"/>
      <c r="L120" s="31"/>
      <c r="O120" s="31"/>
    </row>
    <row r="121" spans="7:15" x14ac:dyDescent="0.25">
      <c r="G121" s="31"/>
      <c r="H121" s="31"/>
      <c r="I121" s="31"/>
      <c r="J121" s="31"/>
      <c r="L121" s="31"/>
      <c r="O121" s="31"/>
    </row>
    <row r="122" spans="7:15" x14ac:dyDescent="0.25">
      <c r="G122" s="31"/>
      <c r="H122" s="31"/>
      <c r="I122" s="31"/>
      <c r="J122" s="31"/>
      <c r="L122" s="31"/>
      <c r="O122" s="31"/>
    </row>
    <row r="123" spans="7:15" x14ac:dyDescent="0.25">
      <c r="G123" s="31"/>
      <c r="H123" s="31"/>
      <c r="I123" s="31"/>
      <c r="J123" s="31"/>
      <c r="L123" s="31"/>
      <c r="O123" s="31"/>
    </row>
    <row r="124" spans="7:15" x14ac:dyDescent="0.25">
      <c r="G124" s="31"/>
      <c r="H124" s="31"/>
      <c r="I124" s="31"/>
      <c r="J124" s="31"/>
      <c r="L124" s="31"/>
      <c r="O124" s="31"/>
    </row>
    <row r="125" spans="7:15" x14ac:dyDescent="0.25">
      <c r="G125" s="31"/>
      <c r="H125" s="31"/>
      <c r="I125" s="31"/>
      <c r="J125" s="31"/>
      <c r="L125" s="31"/>
      <c r="O125" s="31"/>
    </row>
    <row r="126" spans="7:15" x14ac:dyDescent="0.25">
      <c r="G126" s="31"/>
      <c r="H126" s="31"/>
      <c r="I126" s="31"/>
      <c r="J126" s="31"/>
      <c r="L126" s="31"/>
      <c r="O126" s="31"/>
    </row>
    <row r="127" spans="7:15" x14ac:dyDescent="0.25">
      <c r="G127" s="31"/>
      <c r="H127" s="31"/>
      <c r="I127" s="31"/>
      <c r="J127" s="31"/>
      <c r="L127" s="31"/>
      <c r="O127" s="31"/>
    </row>
  </sheetData>
  <mergeCells count="5">
    <mergeCell ref="F4:G5"/>
    <mergeCell ref="W4:Z5"/>
    <mergeCell ref="X7:Y7"/>
    <mergeCell ref="M4:O5"/>
    <mergeCell ref="I4:J5"/>
  </mergeCells>
  <pageMargins left="0.75" right="0.75" top="1" bottom="1" header="0.5" footer="0.5"/>
  <pageSetup scale="72" orientation="landscape" r:id="rId1"/>
  <headerFooter alignWithMargins="0">
    <oddFooter>&amp;RExhibit JW-9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9"/>
  <sheetViews>
    <sheetView topLeftCell="A11" zoomScale="135" zoomScaleNormal="135" workbookViewId="0">
      <selection activeCell="H4" sqref="H4"/>
    </sheetView>
  </sheetViews>
  <sheetFormatPr defaultColWidth="9.140625" defaultRowHeight="12.75" x14ac:dyDescent="0.2"/>
  <cols>
    <col min="1" max="1" width="3.42578125" style="136" customWidth="1"/>
    <col min="2" max="2" width="5.28515625" style="135" customWidth="1"/>
    <col min="3" max="7" width="9.140625" style="136"/>
    <col min="8" max="8" width="10.5703125" style="136" customWidth="1"/>
    <col min="9" max="11" width="9.140625" style="136"/>
    <col min="12" max="12" width="8.28515625" style="136" bestFit="1" customWidth="1"/>
    <col min="13" max="13" width="7.7109375" style="136" customWidth="1"/>
    <col min="14" max="16384" width="9.140625" style="136"/>
  </cols>
  <sheetData>
    <row r="1" spans="1:13" ht="18.75" x14ac:dyDescent="0.3">
      <c r="A1" s="134" t="str">
        <f>'Present and Proposed Rates'!A1</f>
        <v>JACKSON PURCHASE ENERGY CORPORATION</v>
      </c>
    </row>
    <row r="2" spans="1:13" ht="18.75" x14ac:dyDescent="0.3">
      <c r="A2" s="70" t="s">
        <v>166</v>
      </c>
      <c r="I2" s="137"/>
      <c r="J2" s="137"/>
    </row>
    <row r="3" spans="1:13" ht="18.75" x14ac:dyDescent="0.3">
      <c r="A3" s="134" t="s">
        <v>99</v>
      </c>
    </row>
    <row r="4" spans="1:13" ht="33.75" customHeight="1" thickBot="1" x14ac:dyDescent="0.25"/>
    <row r="5" spans="1:13" ht="21" customHeight="1" thickTop="1" x14ac:dyDescent="0.2">
      <c r="B5" s="138"/>
      <c r="C5" s="139" t="s">
        <v>53</v>
      </c>
      <c r="D5" s="325" t="s">
        <v>73</v>
      </c>
      <c r="E5" s="325"/>
      <c r="F5" s="325"/>
      <c r="G5" s="326"/>
      <c r="H5" s="327" t="s">
        <v>74</v>
      </c>
      <c r="I5" s="325"/>
      <c r="J5" s="325"/>
      <c r="K5" s="326"/>
      <c r="L5" s="327" t="s">
        <v>27</v>
      </c>
      <c r="M5" s="328"/>
    </row>
    <row r="6" spans="1:13" ht="23.25" customHeight="1" x14ac:dyDescent="0.2">
      <c r="B6" s="140" t="s">
        <v>70</v>
      </c>
      <c r="C6" s="141" t="s">
        <v>7</v>
      </c>
      <c r="D6" s="142" t="s">
        <v>62</v>
      </c>
      <c r="E6" s="142" t="s">
        <v>71</v>
      </c>
      <c r="F6" s="142" t="s">
        <v>160</v>
      </c>
      <c r="G6" s="142" t="s">
        <v>36</v>
      </c>
      <c r="H6" s="142" t="s">
        <v>72</v>
      </c>
      <c r="I6" s="142" t="s">
        <v>63</v>
      </c>
      <c r="J6" s="142" t="s">
        <v>160</v>
      </c>
      <c r="K6" s="142" t="s">
        <v>36</v>
      </c>
      <c r="L6" s="142" t="s">
        <v>31</v>
      </c>
      <c r="M6" s="143" t="s">
        <v>32</v>
      </c>
    </row>
    <row r="7" spans="1:13" s="144" customFormat="1" ht="18" customHeight="1" thickBot="1" x14ac:dyDescent="0.25">
      <c r="B7" s="145"/>
      <c r="C7" s="146"/>
      <c r="D7" s="147">
        <f>'Present and Proposed Rates'!F8</f>
        <v>20.350000000000001</v>
      </c>
      <c r="E7" s="148">
        <f>'Present and Proposed Rates'!F9</f>
        <v>0.114521</v>
      </c>
      <c r="F7" s="148">
        <f>'R'!E22</f>
        <v>2.2656260279342304E-2</v>
      </c>
      <c r="G7" s="148"/>
      <c r="H7" s="147">
        <f>'Present and Proposed Rates'!H8</f>
        <v>30.35</v>
      </c>
      <c r="I7" s="148">
        <f>'Present and Proposed Rates'!H9</f>
        <v>0.11536299999999999</v>
      </c>
      <c r="J7" s="148">
        <f>F7</f>
        <v>2.2656260279342304E-2</v>
      </c>
      <c r="K7" s="146"/>
      <c r="L7" s="146"/>
      <c r="M7" s="149"/>
    </row>
    <row r="8" spans="1:13" ht="13.5" thickTop="1" x14ac:dyDescent="0.2">
      <c r="B8" s="150">
        <v>1</v>
      </c>
      <c r="C8" s="151">
        <v>0</v>
      </c>
      <c r="D8" s="152">
        <f t="shared" ref="D8:D12" si="0">D$7</f>
        <v>20.350000000000001</v>
      </c>
      <c r="E8" s="153">
        <f t="shared" ref="E8:E12" si="1">$E$7*C8</f>
        <v>0</v>
      </c>
      <c r="F8" s="153">
        <f>$F$7*C8</f>
        <v>0</v>
      </c>
      <c r="G8" s="154">
        <f>E8+D8+F8</f>
        <v>20.350000000000001</v>
      </c>
      <c r="H8" s="155">
        <f t="shared" ref="H8:H12" si="2">$H$7</f>
        <v>30.35</v>
      </c>
      <c r="I8" s="153">
        <f t="shared" ref="I8:I12" si="3">$I$7*C8</f>
        <v>0</v>
      </c>
      <c r="J8" s="153">
        <f>$J$7*C8</f>
        <v>0</v>
      </c>
      <c r="K8" s="156">
        <f>H8+I8+J8</f>
        <v>30.35</v>
      </c>
      <c r="L8" s="155">
        <f t="shared" ref="L8:L12" si="4">K8-G8</f>
        <v>10</v>
      </c>
      <c r="M8" s="157">
        <f t="shared" ref="M8:M12" si="5">L8/G8</f>
        <v>0.49140049140049136</v>
      </c>
    </row>
    <row r="9" spans="1:13" x14ac:dyDescent="0.2">
      <c r="B9" s="150">
        <v>2</v>
      </c>
      <c r="C9" s="151">
        <f>C8+100</f>
        <v>100</v>
      </c>
      <c r="D9" s="152">
        <f t="shared" si="0"/>
        <v>20.350000000000001</v>
      </c>
      <c r="E9" s="153">
        <f t="shared" si="1"/>
        <v>11.4521</v>
      </c>
      <c r="F9" s="153">
        <f t="shared" ref="F9:F38" si="6">$F$7*C9</f>
        <v>2.2656260279342302</v>
      </c>
      <c r="G9" s="154">
        <f t="shared" ref="G9:G38" si="7">E9+D9+F9</f>
        <v>34.067726027934235</v>
      </c>
      <c r="H9" s="155">
        <f t="shared" si="2"/>
        <v>30.35</v>
      </c>
      <c r="I9" s="153">
        <f t="shared" si="3"/>
        <v>11.536299999999999</v>
      </c>
      <c r="J9" s="153">
        <f t="shared" ref="J9:J38" si="8">$J$7*C9</f>
        <v>2.2656260279342302</v>
      </c>
      <c r="K9" s="156">
        <f t="shared" ref="K9:K38" si="9">H9+I9+J9</f>
        <v>44.15192602793423</v>
      </c>
      <c r="L9" s="155">
        <f t="shared" si="4"/>
        <v>10.084199999999996</v>
      </c>
      <c r="M9" s="157">
        <f t="shared" si="5"/>
        <v>0.29600449386411459</v>
      </c>
    </row>
    <row r="10" spans="1:13" x14ac:dyDescent="0.2">
      <c r="B10" s="150">
        <v>3</v>
      </c>
      <c r="C10" s="151">
        <f t="shared" ref="C10:C13" si="10">C9+100</f>
        <v>200</v>
      </c>
      <c r="D10" s="152">
        <f t="shared" si="0"/>
        <v>20.350000000000001</v>
      </c>
      <c r="E10" s="153">
        <f t="shared" si="1"/>
        <v>22.904199999999999</v>
      </c>
      <c r="F10" s="153">
        <f t="shared" si="6"/>
        <v>4.5312520558684604</v>
      </c>
      <c r="G10" s="154">
        <f t="shared" si="7"/>
        <v>47.785452055868461</v>
      </c>
      <c r="H10" s="155">
        <f t="shared" si="2"/>
        <v>30.35</v>
      </c>
      <c r="I10" s="153">
        <f t="shared" si="3"/>
        <v>23.072599999999998</v>
      </c>
      <c r="J10" s="153">
        <f t="shared" si="8"/>
        <v>4.5312520558684604</v>
      </c>
      <c r="K10" s="156">
        <f t="shared" si="9"/>
        <v>57.953852055868467</v>
      </c>
      <c r="L10" s="155">
        <f t="shared" si="4"/>
        <v>10.168400000000005</v>
      </c>
      <c r="M10" s="157">
        <f t="shared" si="5"/>
        <v>0.21279279702348738</v>
      </c>
    </row>
    <row r="11" spans="1:13" x14ac:dyDescent="0.2">
      <c r="B11" s="150">
        <v>4</v>
      </c>
      <c r="C11" s="151">
        <f t="shared" si="10"/>
        <v>300</v>
      </c>
      <c r="D11" s="152">
        <f t="shared" si="0"/>
        <v>20.350000000000001</v>
      </c>
      <c r="E11" s="153">
        <f t="shared" si="1"/>
        <v>34.356299999999997</v>
      </c>
      <c r="F11" s="153">
        <f t="shared" si="6"/>
        <v>6.7968780838026914</v>
      </c>
      <c r="G11" s="154">
        <f t="shared" si="7"/>
        <v>61.503178083802688</v>
      </c>
      <c r="H11" s="155">
        <f t="shared" si="2"/>
        <v>30.35</v>
      </c>
      <c r="I11" s="153">
        <f t="shared" si="3"/>
        <v>34.608899999999998</v>
      </c>
      <c r="J11" s="153">
        <f t="shared" si="8"/>
        <v>6.7968780838026914</v>
      </c>
      <c r="K11" s="156">
        <f t="shared" si="9"/>
        <v>71.755778083802696</v>
      </c>
      <c r="L11" s="155">
        <f t="shared" si="4"/>
        <v>10.252600000000008</v>
      </c>
      <c r="M11" s="157">
        <f t="shared" si="5"/>
        <v>0.16670032865667644</v>
      </c>
    </row>
    <row r="12" spans="1:13" x14ac:dyDescent="0.2">
      <c r="B12" s="150">
        <v>5</v>
      </c>
      <c r="C12" s="151">
        <f t="shared" si="10"/>
        <v>400</v>
      </c>
      <c r="D12" s="152">
        <f t="shared" si="0"/>
        <v>20.350000000000001</v>
      </c>
      <c r="E12" s="153">
        <f t="shared" si="1"/>
        <v>45.808399999999999</v>
      </c>
      <c r="F12" s="153">
        <f t="shared" si="6"/>
        <v>9.0625041117369207</v>
      </c>
      <c r="G12" s="154">
        <f t="shared" si="7"/>
        <v>75.220904111736928</v>
      </c>
      <c r="H12" s="155">
        <f t="shared" si="2"/>
        <v>30.35</v>
      </c>
      <c r="I12" s="153">
        <f t="shared" si="3"/>
        <v>46.145199999999996</v>
      </c>
      <c r="J12" s="153">
        <f t="shared" si="8"/>
        <v>9.0625041117369207</v>
      </c>
      <c r="K12" s="156">
        <f t="shared" si="9"/>
        <v>85.557704111736911</v>
      </c>
      <c r="L12" s="155">
        <f t="shared" si="4"/>
        <v>10.336799999999982</v>
      </c>
      <c r="M12" s="157">
        <f t="shared" si="5"/>
        <v>0.1374192469774782</v>
      </c>
    </row>
    <row r="13" spans="1:13" x14ac:dyDescent="0.2">
      <c r="B13" s="150">
        <v>6</v>
      </c>
      <c r="C13" s="151">
        <f t="shared" si="10"/>
        <v>500</v>
      </c>
      <c r="D13" s="152">
        <f t="shared" ref="D13:D38" si="11">D$7</f>
        <v>20.350000000000001</v>
      </c>
      <c r="E13" s="153">
        <f t="shared" ref="E13:E38" si="12">$E$7*C13</f>
        <v>57.2605</v>
      </c>
      <c r="F13" s="153">
        <f t="shared" si="6"/>
        <v>11.328130139671153</v>
      </c>
      <c r="G13" s="154">
        <f t="shared" si="7"/>
        <v>88.938630139671147</v>
      </c>
      <c r="H13" s="155">
        <f t="shared" ref="H13:H38" si="13">$H$7</f>
        <v>30.35</v>
      </c>
      <c r="I13" s="153">
        <f t="shared" ref="I13:I38" si="14">$I$7*C13</f>
        <v>57.6815</v>
      </c>
      <c r="J13" s="153">
        <f t="shared" si="8"/>
        <v>11.328130139671153</v>
      </c>
      <c r="K13" s="156">
        <f t="shared" si="9"/>
        <v>99.35963013967114</v>
      </c>
      <c r="L13" s="155">
        <f t="shared" ref="L13:L38" si="15">K13-G13</f>
        <v>10.420999999999992</v>
      </c>
      <c r="M13" s="157">
        <f t="shared" ref="M13:M38" si="16">L13/G13</f>
        <v>0.11717068256655885</v>
      </c>
    </row>
    <row r="14" spans="1:13" x14ac:dyDescent="0.2">
      <c r="B14" s="150">
        <v>7</v>
      </c>
      <c r="C14" s="151">
        <f t="shared" ref="C14:C37" si="17">C13+100</f>
        <v>600</v>
      </c>
      <c r="D14" s="152">
        <f t="shared" si="11"/>
        <v>20.350000000000001</v>
      </c>
      <c r="E14" s="153">
        <f t="shared" si="12"/>
        <v>68.712599999999995</v>
      </c>
      <c r="F14" s="153">
        <f t="shared" si="6"/>
        <v>13.593756167605383</v>
      </c>
      <c r="G14" s="154">
        <f t="shared" si="7"/>
        <v>102.65635616760538</v>
      </c>
      <c r="H14" s="155">
        <f t="shared" si="13"/>
        <v>30.35</v>
      </c>
      <c r="I14" s="153">
        <f t="shared" si="14"/>
        <v>69.217799999999997</v>
      </c>
      <c r="J14" s="153">
        <f t="shared" si="8"/>
        <v>13.593756167605383</v>
      </c>
      <c r="K14" s="156">
        <f t="shared" si="9"/>
        <v>113.16155616760538</v>
      </c>
      <c r="L14" s="155">
        <f t="shared" si="15"/>
        <v>10.505200000000002</v>
      </c>
      <c r="M14" s="157">
        <f t="shared" si="16"/>
        <v>0.10233365367896295</v>
      </c>
    </row>
    <row r="15" spans="1:13" x14ac:dyDescent="0.2">
      <c r="B15" s="150">
        <v>8</v>
      </c>
      <c r="C15" s="151">
        <f t="shared" si="17"/>
        <v>700</v>
      </c>
      <c r="D15" s="152">
        <f t="shared" si="11"/>
        <v>20.350000000000001</v>
      </c>
      <c r="E15" s="153">
        <f t="shared" si="12"/>
        <v>80.164699999999996</v>
      </c>
      <c r="F15" s="153">
        <f t="shared" si="6"/>
        <v>15.859382195539613</v>
      </c>
      <c r="G15" s="154">
        <f t="shared" si="7"/>
        <v>116.37408219553961</v>
      </c>
      <c r="H15" s="155">
        <f t="shared" si="13"/>
        <v>30.35</v>
      </c>
      <c r="I15" s="153">
        <f t="shared" si="14"/>
        <v>80.754099999999994</v>
      </c>
      <c r="J15" s="153">
        <f t="shared" si="8"/>
        <v>15.859382195539613</v>
      </c>
      <c r="K15" s="156">
        <f t="shared" si="9"/>
        <v>126.9634821955396</v>
      </c>
      <c r="L15" s="155">
        <f t="shared" si="15"/>
        <v>10.589399999999983</v>
      </c>
      <c r="M15" s="157">
        <f t="shared" si="16"/>
        <v>9.0994487777845218E-2</v>
      </c>
    </row>
    <row r="16" spans="1:13" x14ac:dyDescent="0.2">
      <c r="B16" s="150">
        <v>9</v>
      </c>
      <c r="C16" s="151">
        <f t="shared" si="17"/>
        <v>800</v>
      </c>
      <c r="D16" s="152">
        <f t="shared" si="11"/>
        <v>20.350000000000001</v>
      </c>
      <c r="E16" s="153">
        <f t="shared" si="12"/>
        <v>91.616799999999998</v>
      </c>
      <c r="F16" s="153">
        <f t="shared" si="6"/>
        <v>18.125008223473841</v>
      </c>
      <c r="G16" s="154">
        <f t="shared" si="7"/>
        <v>130.09180822347383</v>
      </c>
      <c r="H16" s="155">
        <f t="shared" si="13"/>
        <v>30.35</v>
      </c>
      <c r="I16" s="153">
        <f t="shared" si="14"/>
        <v>92.290399999999991</v>
      </c>
      <c r="J16" s="153">
        <f t="shared" si="8"/>
        <v>18.125008223473841</v>
      </c>
      <c r="K16" s="156">
        <f t="shared" si="9"/>
        <v>140.76540822347386</v>
      </c>
      <c r="L16" s="155">
        <f t="shared" si="15"/>
        <v>10.673600000000022</v>
      </c>
      <c r="M16" s="157">
        <f t="shared" si="16"/>
        <v>8.204667262111337E-2</v>
      </c>
    </row>
    <row r="17" spans="2:13" x14ac:dyDescent="0.2">
      <c r="B17" s="150">
        <v>10</v>
      </c>
      <c r="C17" s="151">
        <f t="shared" si="17"/>
        <v>900</v>
      </c>
      <c r="D17" s="152">
        <f t="shared" si="11"/>
        <v>20.350000000000001</v>
      </c>
      <c r="E17" s="153">
        <f t="shared" si="12"/>
        <v>103.0689</v>
      </c>
      <c r="F17" s="153">
        <f t="shared" si="6"/>
        <v>20.390634251408073</v>
      </c>
      <c r="G17" s="154">
        <f t="shared" si="7"/>
        <v>143.80953425140808</v>
      </c>
      <c r="H17" s="155">
        <f t="shared" si="13"/>
        <v>30.35</v>
      </c>
      <c r="I17" s="153">
        <f t="shared" si="14"/>
        <v>103.82669999999999</v>
      </c>
      <c r="J17" s="153">
        <f t="shared" si="8"/>
        <v>20.390634251408073</v>
      </c>
      <c r="K17" s="156">
        <f t="shared" si="9"/>
        <v>154.56733425140806</v>
      </c>
      <c r="L17" s="155">
        <f t="shared" si="15"/>
        <v>10.757799999999975</v>
      </c>
      <c r="M17" s="157">
        <f t="shared" si="16"/>
        <v>7.4805888608144508E-2</v>
      </c>
    </row>
    <row r="18" spans="2:13" x14ac:dyDescent="0.2">
      <c r="B18" s="150">
        <v>11</v>
      </c>
      <c r="C18" s="151">
        <f t="shared" si="17"/>
        <v>1000</v>
      </c>
      <c r="D18" s="152">
        <f t="shared" si="11"/>
        <v>20.350000000000001</v>
      </c>
      <c r="E18" s="153">
        <f t="shared" si="12"/>
        <v>114.521</v>
      </c>
      <c r="F18" s="153">
        <f t="shared" si="6"/>
        <v>22.656260279342305</v>
      </c>
      <c r="G18" s="154">
        <f t="shared" si="7"/>
        <v>157.52726027934233</v>
      </c>
      <c r="H18" s="155">
        <f t="shared" si="13"/>
        <v>30.35</v>
      </c>
      <c r="I18" s="153">
        <f t="shared" si="14"/>
        <v>115.363</v>
      </c>
      <c r="J18" s="153">
        <f t="shared" si="8"/>
        <v>22.656260279342305</v>
      </c>
      <c r="K18" s="156">
        <f t="shared" si="9"/>
        <v>168.36926027934231</v>
      </c>
      <c r="L18" s="155">
        <f t="shared" si="15"/>
        <v>10.841999999999985</v>
      </c>
      <c r="M18" s="157">
        <f t="shared" si="16"/>
        <v>6.8826182724018165E-2</v>
      </c>
    </row>
    <row r="19" spans="2:13" x14ac:dyDescent="0.2">
      <c r="B19" s="211">
        <v>12</v>
      </c>
      <c r="C19" s="212">
        <f t="shared" si="17"/>
        <v>1100</v>
      </c>
      <c r="D19" s="213">
        <f t="shared" si="11"/>
        <v>20.350000000000001</v>
      </c>
      <c r="E19" s="214">
        <f t="shared" si="12"/>
        <v>125.9731</v>
      </c>
      <c r="F19" s="214">
        <f t="shared" si="6"/>
        <v>24.921886307276534</v>
      </c>
      <c r="G19" s="215">
        <f t="shared" si="7"/>
        <v>171.24498630727655</v>
      </c>
      <c r="H19" s="216">
        <f t="shared" si="13"/>
        <v>30.35</v>
      </c>
      <c r="I19" s="214">
        <f t="shared" si="14"/>
        <v>126.8993</v>
      </c>
      <c r="J19" s="214">
        <f t="shared" si="8"/>
        <v>24.921886307276534</v>
      </c>
      <c r="K19" s="217">
        <f t="shared" si="9"/>
        <v>182.17118630727654</v>
      </c>
      <c r="L19" s="216">
        <f t="shared" si="15"/>
        <v>10.926199999999994</v>
      </c>
      <c r="M19" s="218">
        <f t="shared" si="16"/>
        <v>6.3804495743860018E-2</v>
      </c>
    </row>
    <row r="20" spans="2:13" x14ac:dyDescent="0.2">
      <c r="B20" s="150">
        <v>13</v>
      </c>
      <c r="C20" s="151">
        <f t="shared" si="17"/>
        <v>1200</v>
      </c>
      <c r="D20" s="152">
        <f t="shared" si="11"/>
        <v>20.350000000000001</v>
      </c>
      <c r="E20" s="153">
        <f t="shared" si="12"/>
        <v>137.42519999999999</v>
      </c>
      <c r="F20" s="153">
        <f t="shared" si="6"/>
        <v>27.187512335210766</v>
      </c>
      <c r="G20" s="154">
        <f t="shared" si="7"/>
        <v>184.96271233521074</v>
      </c>
      <c r="H20" s="155">
        <f t="shared" si="13"/>
        <v>30.35</v>
      </c>
      <c r="I20" s="153">
        <f t="shared" si="14"/>
        <v>138.43559999999999</v>
      </c>
      <c r="J20" s="153">
        <f t="shared" si="8"/>
        <v>27.187512335210766</v>
      </c>
      <c r="K20" s="156">
        <f t="shared" si="9"/>
        <v>195.97311233521074</v>
      </c>
      <c r="L20" s="155">
        <f t="shared" si="15"/>
        <v>11.010400000000004</v>
      </c>
      <c r="M20" s="157">
        <f t="shared" si="16"/>
        <v>5.9527673772677425E-2</v>
      </c>
    </row>
    <row r="21" spans="2:13" x14ac:dyDescent="0.2">
      <c r="B21" s="150">
        <v>14</v>
      </c>
      <c r="C21" s="151">
        <f t="shared" si="17"/>
        <v>1300</v>
      </c>
      <c r="D21" s="152">
        <f t="shared" si="11"/>
        <v>20.350000000000001</v>
      </c>
      <c r="E21" s="153">
        <f t="shared" si="12"/>
        <v>148.87729999999999</v>
      </c>
      <c r="F21" s="153">
        <f t="shared" si="6"/>
        <v>29.453138363144994</v>
      </c>
      <c r="G21" s="154">
        <f t="shared" si="7"/>
        <v>198.68043836314499</v>
      </c>
      <c r="H21" s="155">
        <f t="shared" si="13"/>
        <v>30.35</v>
      </c>
      <c r="I21" s="153">
        <f t="shared" si="14"/>
        <v>149.97190000000001</v>
      </c>
      <c r="J21" s="153">
        <f t="shared" si="8"/>
        <v>29.453138363144994</v>
      </c>
      <c r="K21" s="156">
        <f t="shared" si="9"/>
        <v>209.775038363145</v>
      </c>
      <c r="L21" s="155">
        <f t="shared" si="15"/>
        <v>11.094600000000014</v>
      </c>
      <c r="M21" s="157">
        <f t="shared" si="16"/>
        <v>5.5841431050808729E-2</v>
      </c>
    </row>
    <row r="22" spans="2:13" x14ac:dyDescent="0.2">
      <c r="B22" s="150">
        <v>15</v>
      </c>
      <c r="C22" s="151">
        <f t="shared" si="17"/>
        <v>1400</v>
      </c>
      <c r="D22" s="152">
        <f t="shared" si="11"/>
        <v>20.350000000000001</v>
      </c>
      <c r="E22" s="153">
        <f t="shared" si="12"/>
        <v>160.32939999999999</v>
      </c>
      <c r="F22" s="153">
        <f t="shared" si="6"/>
        <v>31.718764391079226</v>
      </c>
      <c r="G22" s="154">
        <f t="shared" si="7"/>
        <v>212.39816439107921</v>
      </c>
      <c r="H22" s="155">
        <f t="shared" si="13"/>
        <v>30.35</v>
      </c>
      <c r="I22" s="153">
        <f t="shared" si="14"/>
        <v>161.50819999999999</v>
      </c>
      <c r="J22" s="153">
        <f t="shared" si="8"/>
        <v>31.718764391079226</v>
      </c>
      <c r="K22" s="156">
        <f t="shared" si="9"/>
        <v>223.5769643910792</v>
      </c>
      <c r="L22" s="155">
        <f t="shared" si="15"/>
        <v>11.178799999999995</v>
      </c>
      <c r="M22" s="157">
        <f t="shared" si="16"/>
        <v>5.2631339974374601E-2</v>
      </c>
    </row>
    <row r="23" spans="2:13" x14ac:dyDescent="0.2">
      <c r="B23" s="150">
        <v>16</v>
      </c>
      <c r="C23" s="151">
        <f t="shared" si="17"/>
        <v>1500</v>
      </c>
      <c r="D23" s="152">
        <f t="shared" si="11"/>
        <v>20.350000000000001</v>
      </c>
      <c r="E23" s="153">
        <f t="shared" si="12"/>
        <v>171.78149999999999</v>
      </c>
      <c r="F23" s="153">
        <f t="shared" si="6"/>
        <v>33.984390419013458</v>
      </c>
      <c r="G23" s="154">
        <f t="shared" si="7"/>
        <v>226.11589041901345</v>
      </c>
      <c r="H23" s="155">
        <f t="shared" si="13"/>
        <v>30.35</v>
      </c>
      <c r="I23" s="153">
        <f t="shared" si="14"/>
        <v>173.0445</v>
      </c>
      <c r="J23" s="153">
        <f t="shared" si="8"/>
        <v>33.984390419013458</v>
      </c>
      <c r="K23" s="156">
        <f t="shared" si="9"/>
        <v>237.37889041901346</v>
      </c>
      <c r="L23" s="155">
        <f t="shared" si="15"/>
        <v>11.263000000000005</v>
      </c>
      <c r="M23" s="157">
        <f t="shared" si="16"/>
        <v>4.9810740762750619E-2</v>
      </c>
    </row>
    <row r="24" spans="2:13" x14ac:dyDescent="0.2">
      <c r="B24" s="150">
        <v>17</v>
      </c>
      <c r="C24" s="151">
        <f t="shared" si="17"/>
        <v>1600</v>
      </c>
      <c r="D24" s="152">
        <f t="shared" si="11"/>
        <v>20.350000000000001</v>
      </c>
      <c r="E24" s="153">
        <f t="shared" si="12"/>
        <v>183.2336</v>
      </c>
      <c r="F24" s="153">
        <f t="shared" si="6"/>
        <v>36.250016446947683</v>
      </c>
      <c r="G24" s="154">
        <f t="shared" si="7"/>
        <v>239.83361644694767</v>
      </c>
      <c r="H24" s="155">
        <f t="shared" si="13"/>
        <v>30.35</v>
      </c>
      <c r="I24" s="153">
        <f t="shared" si="14"/>
        <v>184.58079999999998</v>
      </c>
      <c r="J24" s="153">
        <f t="shared" si="8"/>
        <v>36.250016446947683</v>
      </c>
      <c r="K24" s="156">
        <f t="shared" si="9"/>
        <v>251.18081644694766</v>
      </c>
      <c r="L24" s="155">
        <f t="shared" si="15"/>
        <v>11.347199999999987</v>
      </c>
      <c r="M24" s="157">
        <f t="shared" si="16"/>
        <v>4.7312800299244291E-2</v>
      </c>
    </row>
    <row r="25" spans="2:13" x14ac:dyDescent="0.2">
      <c r="B25" s="150">
        <v>18</v>
      </c>
      <c r="C25" s="151">
        <f t="shared" si="17"/>
        <v>1700</v>
      </c>
      <c r="D25" s="152">
        <f t="shared" si="11"/>
        <v>20.350000000000001</v>
      </c>
      <c r="E25" s="153">
        <f t="shared" si="12"/>
        <v>194.6857</v>
      </c>
      <c r="F25" s="153">
        <f t="shared" si="6"/>
        <v>38.515642474881915</v>
      </c>
      <c r="G25" s="154">
        <f t="shared" si="7"/>
        <v>253.55134247488189</v>
      </c>
      <c r="H25" s="155">
        <f t="shared" si="13"/>
        <v>30.35</v>
      </c>
      <c r="I25" s="153">
        <f t="shared" si="14"/>
        <v>196.11709999999999</v>
      </c>
      <c r="J25" s="153">
        <f t="shared" si="8"/>
        <v>38.515642474881915</v>
      </c>
      <c r="K25" s="156">
        <f t="shared" si="9"/>
        <v>264.98274247488189</v>
      </c>
      <c r="L25" s="155">
        <f t="shared" si="15"/>
        <v>11.431399999999996</v>
      </c>
      <c r="M25" s="157">
        <f t="shared" si="16"/>
        <v>4.5085148784540355E-2</v>
      </c>
    </row>
    <row r="26" spans="2:13" x14ac:dyDescent="0.2">
      <c r="B26" s="150">
        <v>19</v>
      </c>
      <c r="C26" s="151">
        <f t="shared" si="17"/>
        <v>1800</v>
      </c>
      <c r="D26" s="152">
        <f t="shared" si="11"/>
        <v>20.350000000000001</v>
      </c>
      <c r="E26" s="153">
        <f t="shared" si="12"/>
        <v>206.1378</v>
      </c>
      <c r="F26" s="153">
        <f t="shared" si="6"/>
        <v>40.781268502816147</v>
      </c>
      <c r="G26" s="154">
        <f t="shared" si="7"/>
        <v>267.26906850281614</v>
      </c>
      <c r="H26" s="155">
        <f t="shared" si="13"/>
        <v>30.35</v>
      </c>
      <c r="I26" s="153">
        <f t="shared" si="14"/>
        <v>207.65339999999998</v>
      </c>
      <c r="J26" s="153">
        <f t="shared" si="8"/>
        <v>40.781268502816147</v>
      </c>
      <c r="K26" s="156">
        <f t="shared" si="9"/>
        <v>278.78466850281609</v>
      </c>
      <c r="L26" s="155">
        <f t="shared" si="15"/>
        <v>11.515599999999949</v>
      </c>
      <c r="M26" s="157">
        <f t="shared" si="16"/>
        <v>4.3086168049703111E-2</v>
      </c>
    </row>
    <row r="27" spans="2:13" x14ac:dyDescent="0.2">
      <c r="B27" s="150">
        <v>20</v>
      </c>
      <c r="C27" s="151">
        <f t="shared" si="17"/>
        <v>1900</v>
      </c>
      <c r="D27" s="152">
        <f t="shared" si="11"/>
        <v>20.350000000000001</v>
      </c>
      <c r="E27" s="153">
        <f t="shared" si="12"/>
        <v>217.5899</v>
      </c>
      <c r="F27" s="153">
        <f t="shared" si="6"/>
        <v>43.046894530750379</v>
      </c>
      <c r="G27" s="154">
        <f t="shared" si="7"/>
        <v>280.98679453075039</v>
      </c>
      <c r="H27" s="155">
        <f t="shared" si="13"/>
        <v>30.35</v>
      </c>
      <c r="I27" s="153">
        <f t="shared" si="14"/>
        <v>219.18969999999999</v>
      </c>
      <c r="J27" s="153">
        <f t="shared" si="8"/>
        <v>43.046894530750379</v>
      </c>
      <c r="K27" s="156">
        <f t="shared" si="9"/>
        <v>292.58659453075035</v>
      </c>
      <c r="L27" s="155">
        <f t="shared" si="15"/>
        <v>11.599799999999959</v>
      </c>
      <c r="M27" s="157">
        <f t="shared" si="16"/>
        <v>4.1282367092630431E-2</v>
      </c>
    </row>
    <row r="28" spans="2:13" x14ac:dyDescent="0.2">
      <c r="B28" s="150">
        <v>21</v>
      </c>
      <c r="C28" s="151">
        <f t="shared" si="17"/>
        <v>2000</v>
      </c>
      <c r="D28" s="152">
        <f t="shared" si="11"/>
        <v>20.350000000000001</v>
      </c>
      <c r="E28" s="153">
        <f t="shared" si="12"/>
        <v>229.042</v>
      </c>
      <c r="F28" s="153">
        <f t="shared" si="6"/>
        <v>45.312520558684611</v>
      </c>
      <c r="G28" s="154">
        <f t="shared" si="7"/>
        <v>294.70452055868464</v>
      </c>
      <c r="H28" s="155">
        <f t="shared" si="13"/>
        <v>30.35</v>
      </c>
      <c r="I28" s="153">
        <f t="shared" si="14"/>
        <v>230.726</v>
      </c>
      <c r="J28" s="153">
        <f t="shared" si="8"/>
        <v>45.312520558684611</v>
      </c>
      <c r="K28" s="156">
        <f t="shared" si="9"/>
        <v>306.3885205586846</v>
      </c>
      <c r="L28" s="155">
        <f t="shared" si="15"/>
        <v>11.683999999999969</v>
      </c>
      <c r="M28" s="157">
        <f t="shared" si="16"/>
        <v>3.9646490586062552E-2</v>
      </c>
    </row>
    <row r="29" spans="2:13" x14ac:dyDescent="0.2">
      <c r="B29" s="150">
        <v>22</v>
      </c>
      <c r="C29" s="151">
        <f>C28+100</f>
        <v>2100</v>
      </c>
      <c r="D29" s="152">
        <f t="shared" si="11"/>
        <v>20.350000000000001</v>
      </c>
      <c r="E29" s="153">
        <f t="shared" si="12"/>
        <v>240.4941</v>
      </c>
      <c r="F29" s="153">
        <f t="shared" si="6"/>
        <v>47.578146586618836</v>
      </c>
      <c r="G29" s="154">
        <f t="shared" si="7"/>
        <v>308.42224658661888</v>
      </c>
      <c r="H29" s="155">
        <f t="shared" si="13"/>
        <v>30.35</v>
      </c>
      <c r="I29" s="153">
        <f t="shared" si="14"/>
        <v>242.26229999999998</v>
      </c>
      <c r="J29" s="153">
        <f t="shared" si="8"/>
        <v>47.578146586618836</v>
      </c>
      <c r="K29" s="156">
        <f t="shared" si="9"/>
        <v>320.19044658661886</v>
      </c>
      <c r="L29" s="155">
        <f t="shared" si="15"/>
        <v>11.768199999999979</v>
      </c>
      <c r="M29" s="157">
        <f t="shared" si="16"/>
        <v>3.8156132154023907E-2</v>
      </c>
    </row>
    <row r="30" spans="2:13" x14ac:dyDescent="0.2">
      <c r="B30" s="150">
        <v>23</v>
      </c>
      <c r="C30" s="151">
        <f t="shared" si="17"/>
        <v>2200</v>
      </c>
      <c r="D30" s="152">
        <f t="shared" si="11"/>
        <v>20.350000000000001</v>
      </c>
      <c r="E30" s="153">
        <f t="shared" si="12"/>
        <v>251.9462</v>
      </c>
      <c r="F30" s="153">
        <f t="shared" si="6"/>
        <v>49.843772614553068</v>
      </c>
      <c r="G30" s="154">
        <f t="shared" si="7"/>
        <v>322.13997261455307</v>
      </c>
      <c r="H30" s="155">
        <f t="shared" si="13"/>
        <v>30.35</v>
      </c>
      <c r="I30" s="153">
        <f t="shared" si="14"/>
        <v>253.79859999999999</v>
      </c>
      <c r="J30" s="153">
        <f t="shared" si="8"/>
        <v>49.843772614553068</v>
      </c>
      <c r="K30" s="156">
        <f t="shared" si="9"/>
        <v>333.99237261455306</v>
      </c>
      <c r="L30" s="155">
        <f t="shared" si="15"/>
        <v>11.852399999999989</v>
      </c>
      <c r="M30" s="157">
        <f t="shared" si="16"/>
        <v>3.6792701954381869E-2</v>
      </c>
    </row>
    <row r="31" spans="2:13" x14ac:dyDescent="0.2">
      <c r="B31" s="150">
        <v>24</v>
      </c>
      <c r="C31" s="151">
        <f t="shared" si="17"/>
        <v>2300</v>
      </c>
      <c r="D31" s="152">
        <f t="shared" si="11"/>
        <v>20.350000000000001</v>
      </c>
      <c r="E31" s="153">
        <f t="shared" si="12"/>
        <v>263.39830000000001</v>
      </c>
      <c r="F31" s="153">
        <f t="shared" si="6"/>
        <v>52.109398642487299</v>
      </c>
      <c r="G31" s="154">
        <f t="shared" si="7"/>
        <v>335.85769864248732</v>
      </c>
      <c r="H31" s="155">
        <f t="shared" si="13"/>
        <v>30.35</v>
      </c>
      <c r="I31" s="153">
        <f t="shared" si="14"/>
        <v>265.3349</v>
      </c>
      <c r="J31" s="153">
        <f t="shared" si="8"/>
        <v>52.109398642487299</v>
      </c>
      <c r="K31" s="156">
        <f t="shared" si="9"/>
        <v>347.79429864248732</v>
      </c>
      <c r="L31" s="155">
        <f t="shared" si="15"/>
        <v>11.936599999999999</v>
      </c>
      <c r="M31" s="157">
        <f t="shared" si="16"/>
        <v>3.554064726890846E-2</v>
      </c>
    </row>
    <row r="32" spans="2:13" x14ac:dyDescent="0.2">
      <c r="B32" s="150">
        <v>25</v>
      </c>
      <c r="C32" s="151">
        <f t="shared" si="17"/>
        <v>2400</v>
      </c>
      <c r="D32" s="152">
        <f t="shared" si="11"/>
        <v>20.350000000000001</v>
      </c>
      <c r="E32" s="153">
        <f t="shared" si="12"/>
        <v>274.85039999999998</v>
      </c>
      <c r="F32" s="153">
        <f t="shared" si="6"/>
        <v>54.375024670421531</v>
      </c>
      <c r="G32" s="154">
        <f t="shared" si="7"/>
        <v>349.57542467042151</v>
      </c>
      <c r="H32" s="155">
        <f t="shared" si="13"/>
        <v>30.35</v>
      </c>
      <c r="I32" s="153">
        <f t="shared" si="14"/>
        <v>276.87119999999999</v>
      </c>
      <c r="J32" s="153">
        <f t="shared" si="8"/>
        <v>54.375024670421531</v>
      </c>
      <c r="K32" s="156">
        <f t="shared" si="9"/>
        <v>361.59622467042152</v>
      </c>
      <c r="L32" s="155">
        <f t="shared" si="15"/>
        <v>12.020800000000008</v>
      </c>
      <c r="M32" s="157">
        <f t="shared" si="16"/>
        <v>3.4386856602786585E-2</v>
      </c>
    </row>
    <row r="33" spans="2:13" x14ac:dyDescent="0.2">
      <c r="B33" s="150">
        <v>26</v>
      </c>
      <c r="C33" s="151">
        <f t="shared" si="17"/>
        <v>2500</v>
      </c>
      <c r="D33" s="152">
        <f t="shared" si="11"/>
        <v>20.350000000000001</v>
      </c>
      <c r="E33" s="153">
        <f t="shared" si="12"/>
        <v>286.30250000000001</v>
      </c>
      <c r="F33" s="153">
        <f t="shared" si="6"/>
        <v>56.640650698355756</v>
      </c>
      <c r="G33" s="154">
        <f t="shared" si="7"/>
        <v>363.29315069835582</v>
      </c>
      <c r="H33" s="155">
        <f t="shared" si="13"/>
        <v>30.35</v>
      </c>
      <c r="I33" s="153">
        <f t="shared" si="14"/>
        <v>288.40749999999997</v>
      </c>
      <c r="J33" s="153">
        <f t="shared" si="8"/>
        <v>56.640650698355756</v>
      </c>
      <c r="K33" s="156">
        <f t="shared" si="9"/>
        <v>375.39815069835572</v>
      </c>
      <c r="L33" s="155">
        <f t="shared" si="15"/>
        <v>12.104999999999905</v>
      </c>
      <c r="M33" s="157">
        <f t="shared" si="16"/>
        <v>3.332019878913365E-2</v>
      </c>
    </row>
    <row r="34" spans="2:13" x14ac:dyDescent="0.2">
      <c r="B34" s="150">
        <v>27</v>
      </c>
      <c r="C34" s="151">
        <f t="shared" si="17"/>
        <v>2600</v>
      </c>
      <c r="D34" s="152">
        <f t="shared" si="11"/>
        <v>20.350000000000001</v>
      </c>
      <c r="E34" s="153">
        <f t="shared" si="12"/>
        <v>297.75459999999998</v>
      </c>
      <c r="F34" s="153">
        <f t="shared" si="6"/>
        <v>58.906276726289988</v>
      </c>
      <c r="G34" s="154">
        <f t="shared" si="7"/>
        <v>377.01087672629001</v>
      </c>
      <c r="H34" s="155">
        <f t="shared" si="13"/>
        <v>30.35</v>
      </c>
      <c r="I34" s="153">
        <f t="shared" si="14"/>
        <v>299.94380000000001</v>
      </c>
      <c r="J34" s="153">
        <f t="shared" si="8"/>
        <v>58.906276726289988</v>
      </c>
      <c r="K34" s="156">
        <f t="shared" si="9"/>
        <v>389.20007672629004</v>
      </c>
      <c r="L34" s="155">
        <f t="shared" si="15"/>
        <v>12.189200000000028</v>
      </c>
      <c r="M34" s="157">
        <f t="shared" si="16"/>
        <v>3.2331162712977618E-2</v>
      </c>
    </row>
    <row r="35" spans="2:13" x14ac:dyDescent="0.2">
      <c r="B35" s="150">
        <v>28</v>
      </c>
      <c r="C35" s="151">
        <f>C34+100</f>
        <v>2700</v>
      </c>
      <c r="D35" s="152">
        <f t="shared" si="11"/>
        <v>20.350000000000001</v>
      </c>
      <c r="E35" s="153">
        <f t="shared" si="12"/>
        <v>309.20670000000001</v>
      </c>
      <c r="F35" s="153">
        <f t="shared" si="6"/>
        <v>61.17190275422422</v>
      </c>
      <c r="G35" s="154">
        <f t="shared" si="7"/>
        <v>390.72860275422426</v>
      </c>
      <c r="H35" s="155">
        <f t="shared" si="13"/>
        <v>30.35</v>
      </c>
      <c r="I35" s="153">
        <f t="shared" si="14"/>
        <v>311.48009999999999</v>
      </c>
      <c r="J35" s="153">
        <f t="shared" si="8"/>
        <v>61.17190275422422</v>
      </c>
      <c r="K35" s="156">
        <f t="shared" si="9"/>
        <v>403.00200275422424</v>
      </c>
      <c r="L35" s="155">
        <f t="shared" si="15"/>
        <v>12.273399999999981</v>
      </c>
      <c r="M35" s="157">
        <f t="shared" si="16"/>
        <v>3.1411572926797436E-2</v>
      </c>
    </row>
    <row r="36" spans="2:13" x14ac:dyDescent="0.2">
      <c r="B36" s="150">
        <v>29</v>
      </c>
      <c r="C36" s="151">
        <f t="shared" si="17"/>
        <v>2800</v>
      </c>
      <c r="D36" s="152">
        <f t="shared" si="11"/>
        <v>20.350000000000001</v>
      </c>
      <c r="E36" s="153">
        <f t="shared" si="12"/>
        <v>320.65879999999999</v>
      </c>
      <c r="F36" s="153">
        <f t="shared" si="6"/>
        <v>63.437528782158452</v>
      </c>
      <c r="G36" s="154">
        <f t="shared" si="7"/>
        <v>404.44632878215845</v>
      </c>
      <c r="H36" s="155">
        <f t="shared" si="13"/>
        <v>30.35</v>
      </c>
      <c r="I36" s="153">
        <f t="shared" si="14"/>
        <v>323.01639999999998</v>
      </c>
      <c r="J36" s="153">
        <f t="shared" si="8"/>
        <v>63.437528782158452</v>
      </c>
      <c r="K36" s="156">
        <f t="shared" si="9"/>
        <v>416.80392878215844</v>
      </c>
      <c r="L36" s="155">
        <f t="shared" si="15"/>
        <v>12.357599999999991</v>
      </c>
      <c r="M36" s="157">
        <f t="shared" si="16"/>
        <v>3.0554363139382087E-2</v>
      </c>
    </row>
    <row r="37" spans="2:13" x14ac:dyDescent="0.2">
      <c r="B37" s="150">
        <v>30</v>
      </c>
      <c r="C37" s="151">
        <f t="shared" si="17"/>
        <v>2900</v>
      </c>
      <c r="D37" s="152">
        <f t="shared" si="11"/>
        <v>20.350000000000001</v>
      </c>
      <c r="E37" s="153">
        <f t="shared" si="12"/>
        <v>332.11090000000002</v>
      </c>
      <c r="F37" s="153">
        <f t="shared" si="6"/>
        <v>65.703154810092684</v>
      </c>
      <c r="G37" s="154">
        <f t="shared" si="7"/>
        <v>418.16405481009269</v>
      </c>
      <c r="H37" s="155">
        <f t="shared" si="13"/>
        <v>30.35</v>
      </c>
      <c r="I37" s="153">
        <f t="shared" si="14"/>
        <v>334.55269999999996</v>
      </c>
      <c r="J37" s="153">
        <f t="shared" si="8"/>
        <v>65.703154810092684</v>
      </c>
      <c r="K37" s="156">
        <f t="shared" si="9"/>
        <v>430.60585481009264</v>
      </c>
      <c r="L37" s="155">
        <f t="shared" si="15"/>
        <v>12.441799999999944</v>
      </c>
      <c r="M37" s="157">
        <f t="shared" si="16"/>
        <v>2.9753394288397961E-2</v>
      </c>
    </row>
    <row r="38" spans="2:13" ht="13.5" thickBot="1" x14ac:dyDescent="0.25">
      <c r="B38" s="158">
        <v>31</v>
      </c>
      <c r="C38" s="159">
        <f>C37+100</f>
        <v>3000</v>
      </c>
      <c r="D38" s="160">
        <f t="shared" si="11"/>
        <v>20.350000000000001</v>
      </c>
      <c r="E38" s="161">
        <f t="shared" si="12"/>
        <v>343.56299999999999</v>
      </c>
      <c r="F38" s="161">
        <f t="shared" si="6"/>
        <v>67.968780838026916</v>
      </c>
      <c r="G38" s="162">
        <f t="shared" si="7"/>
        <v>431.88178083802694</v>
      </c>
      <c r="H38" s="163">
        <f t="shared" si="13"/>
        <v>30.35</v>
      </c>
      <c r="I38" s="161">
        <f t="shared" si="14"/>
        <v>346.089</v>
      </c>
      <c r="J38" s="161">
        <f t="shared" si="8"/>
        <v>67.968780838026916</v>
      </c>
      <c r="K38" s="164">
        <f t="shared" si="9"/>
        <v>444.40778083802695</v>
      </c>
      <c r="L38" s="163">
        <f t="shared" si="15"/>
        <v>12.52600000000001</v>
      </c>
      <c r="M38" s="165">
        <f t="shared" si="16"/>
        <v>2.9003307283985116E-2</v>
      </c>
    </row>
    <row r="39" spans="2:13" ht="13.5" thickTop="1" x14ac:dyDescent="0.2">
      <c r="D39" s="153"/>
      <c r="E39" s="166"/>
      <c r="F39" s="166"/>
      <c r="G39" s="153"/>
      <c r="H39" s="167"/>
      <c r="I39" s="166"/>
      <c r="J39" s="166"/>
      <c r="K39" s="167"/>
      <c r="L39" s="167"/>
      <c r="M39" s="168"/>
    </row>
  </sheetData>
  <mergeCells count="3">
    <mergeCell ref="D5:G5"/>
    <mergeCell ref="H5:K5"/>
    <mergeCell ref="L5:M5"/>
  </mergeCells>
  <printOptions horizontalCentered="1"/>
  <pageMargins left="1" right="0.75" top="0.75" bottom="0.75" header="0.3" footer="0.3"/>
  <pageSetup scale="89" orientation="landscape" r:id="rId1"/>
  <headerFooter>
    <oddFooter>&amp;RExhibit JW-9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0"/>
  <sheetViews>
    <sheetView view="pageBreakPreview" zoomScale="85" zoomScaleNormal="75" zoomScaleSheetLayoutView="85" workbookViewId="0">
      <selection activeCell="L5" sqref="L5"/>
    </sheetView>
  </sheetViews>
  <sheetFormatPr defaultColWidth="9.140625" defaultRowHeight="15.75" x14ac:dyDescent="0.25"/>
  <cols>
    <col min="1" max="1" width="47.85546875" style="2" customWidth="1"/>
    <col min="2" max="2" width="11.140625" style="45" bestFit="1" customWidth="1"/>
    <col min="3" max="4" width="14.85546875" style="2" bestFit="1" customWidth="1"/>
    <col min="5" max="5" width="18.5703125" style="2" bestFit="1" customWidth="1"/>
    <col min="6" max="6" width="15.140625" style="2" customWidth="1"/>
    <col min="7" max="7" width="12" style="2" bestFit="1" customWidth="1"/>
    <col min="8" max="8" width="19.140625" style="2" hidden="1" customWidth="1"/>
    <col min="9" max="9" width="15.85546875" style="2" hidden="1" customWidth="1"/>
    <col min="10" max="10" width="15.7109375" style="2" hidden="1" customWidth="1"/>
    <col min="11" max="11" width="4.5703125" style="2" customWidth="1"/>
    <col min="12" max="12" width="20" style="2" customWidth="1"/>
    <col min="13" max="13" width="18.140625" style="2" bestFit="1" customWidth="1"/>
    <col min="14" max="14" width="15.140625" style="2" customWidth="1"/>
    <col min="15" max="16" width="9.140625" style="2"/>
    <col min="17" max="17" width="10.7109375" style="2" customWidth="1"/>
    <col min="18" max="16384" width="9.140625" style="2"/>
  </cols>
  <sheetData>
    <row r="1" spans="1:14" ht="18.75" x14ac:dyDescent="0.3">
      <c r="A1" s="62" t="str">
        <f>'Present and Proposed Rates'!A1</f>
        <v>JACKSON PURCHASE ENERGY CORPORATION</v>
      </c>
      <c r="B1" s="66"/>
    </row>
    <row r="2" spans="1:14" x14ac:dyDescent="0.25">
      <c r="A2" s="1" t="s">
        <v>75</v>
      </c>
    </row>
    <row r="5" spans="1:14" ht="57" customHeight="1" x14ac:dyDescent="0.25">
      <c r="A5" s="206" t="s">
        <v>11</v>
      </c>
      <c r="B5" s="207" t="s">
        <v>35</v>
      </c>
      <c r="C5" s="208" t="s">
        <v>7</v>
      </c>
      <c r="D5" s="208" t="s">
        <v>15</v>
      </c>
      <c r="E5" s="208" t="s">
        <v>19</v>
      </c>
      <c r="F5" s="208" t="s">
        <v>10</v>
      </c>
      <c r="G5" s="208" t="s">
        <v>16</v>
      </c>
      <c r="H5" s="20" t="s">
        <v>12</v>
      </c>
      <c r="I5" s="20" t="s">
        <v>10</v>
      </c>
      <c r="J5" s="20" t="s">
        <v>16</v>
      </c>
    </row>
    <row r="7" spans="1:14" x14ac:dyDescent="0.25">
      <c r="A7" s="2" t="str">
        <f>List!B5</f>
        <v>R - Residential</v>
      </c>
      <c r="B7" s="45" t="str">
        <f>List!C5</f>
        <v>R</v>
      </c>
      <c r="C7" s="27">
        <f>'R'!D15</f>
        <v>328446062</v>
      </c>
      <c r="D7" s="63">
        <f>'R'!G25</f>
        <v>51072587.209999993</v>
      </c>
      <c r="E7" s="64">
        <f>'R'!G23</f>
        <v>51044254.534699</v>
      </c>
      <c r="F7" s="64">
        <f t="shared" ref="F7:F13" si="0">E7-D7</f>
        <v>-28332.675300993025</v>
      </c>
      <c r="G7" s="65">
        <f t="shared" ref="G7:G13" si="1">F7/D7</f>
        <v>-5.5475308475160814E-4</v>
      </c>
      <c r="H7" s="64">
        <v>0</v>
      </c>
      <c r="I7" s="64">
        <f t="shared" ref="I7:I11" si="2">H7-E7</f>
        <v>-51044254.534699</v>
      </c>
      <c r="J7" s="65">
        <f t="shared" ref="J7:J15" si="3">I7/E7</f>
        <v>-1</v>
      </c>
      <c r="M7" s="176"/>
      <c r="N7" s="19"/>
    </row>
    <row r="8" spans="1:14" x14ac:dyDescent="0.25">
      <c r="A8" s="2" t="str">
        <f>List!B6</f>
        <v>C-1 Small Commercial Single Phase</v>
      </c>
      <c r="B8" s="45" t="str">
        <f>List!C6</f>
        <v>C1</v>
      </c>
      <c r="C8" s="27">
        <f>'C-1'!D17</f>
        <v>37317394</v>
      </c>
      <c r="D8" s="63">
        <f>'C-1'!G28</f>
        <v>6279828.9400000004</v>
      </c>
      <c r="E8" s="64">
        <f>'C-1'!G26</f>
        <v>6319638.1651440002</v>
      </c>
      <c r="F8" s="64">
        <f t="shared" si="0"/>
        <v>39809.225143999793</v>
      </c>
      <c r="G8" s="65">
        <f t="shared" si="1"/>
        <v>6.3392212629281887E-3</v>
      </c>
      <c r="H8" s="35">
        <v>0</v>
      </c>
      <c r="I8" s="35">
        <f t="shared" si="2"/>
        <v>-6319638.1651440002</v>
      </c>
      <c r="J8" s="65">
        <f t="shared" si="3"/>
        <v>-1</v>
      </c>
      <c r="M8" s="176"/>
      <c r="N8" s="19"/>
    </row>
    <row r="9" spans="1:14" x14ac:dyDescent="0.25">
      <c r="A9" s="2" t="str">
        <f>List!B7</f>
        <v>C-3 Small Commercial Three Phase</v>
      </c>
      <c r="B9" s="45" t="str">
        <f>List!C7</f>
        <v>C3</v>
      </c>
      <c r="C9" s="27">
        <f>'C-3'!D17</f>
        <v>11646814</v>
      </c>
      <c r="D9" s="63">
        <f>'C-3'!G28</f>
        <v>1628407.99</v>
      </c>
      <c r="E9" s="64">
        <f>'C-3'!G26</f>
        <v>1621936.475689</v>
      </c>
      <c r="F9" s="64">
        <f t="shared" si="0"/>
        <v>-6471.5143110000063</v>
      </c>
      <c r="G9" s="65">
        <f t="shared" si="1"/>
        <v>-3.9741356900367493E-3</v>
      </c>
      <c r="H9" s="35">
        <v>0</v>
      </c>
      <c r="I9" s="35">
        <f>H9-E9</f>
        <v>-1621936.475689</v>
      </c>
      <c r="J9" s="65">
        <f>I9/E9</f>
        <v>-1</v>
      </c>
      <c r="M9" s="176"/>
      <c r="N9" s="19"/>
    </row>
    <row r="10" spans="1:14" x14ac:dyDescent="0.25">
      <c r="A10" s="2" t="str">
        <f>List!B8</f>
        <v>D - Commercial and Industrial Demand &lt; 3,000 kW</v>
      </c>
      <c r="B10" s="45" t="str">
        <f>List!C8</f>
        <v>D</v>
      </c>
      <c r="C10" s="27">
        <f>D!D21</f>
        <v>169761237</v>
      </c>
      <c r="D10" s="129">
        <f>D!G37</f>
        <v>19775587.860000003</v>
      </c>
      <c r="E10" s="44">
        <f>D!G35</f>
        <v>19806787.028349001</v>
      </c>
      <c r="F10" s="44">
        <f t="shared" si="0"/>
        <v>31199.168348997831</v>
      </c>
      <c r="G10" s="65">
        <f t="shared" si="1"/>
        <v>1.5776607284633119E-3</v>
      </c>
      <c r="H10" s="36">
        <v>0</v>
      </c>
      <c r="I10" s="36">
        <f t="shared" si="2"/>
        <v>-19806787.028349001</v>
      </c>
      <c r="J10" s="39">
        <f t="shared" si="3"/>
        <v>-1</v>
      </c>
      <c r="M10" s="176"/>
      <c r="N10" s="19"/>
    </row>
    <row r="11" spans="1:14" x14ac:dyDescent="0.25">
      <c r="A11" s="2" t="str">
        <f>List!B9</f>
        <v>D - Com &amp; Ind - DIRECT SERVED</v>
      </c>
      <c r="B11" s="45" t="str">
        <f>List!C9</f>
        <v>D</v>
      </c>
      <c r="C11" s="27">
        <f>'Billing Determ'!Q21</f>
        <v>65082407</v>
      </c>
      <c r="D11" s="129">
        <f>'Billing Determ'!Q32</f>
        <v>12887923.620000001</v>
      </c>
      <c r="E11" s="44">
        <f>D11</f>
        <v>12887923.620000001</v>
      </c>
      <c r="F11" s="44">
        <f t="shared" si="0"/>
        <v>0</v>
      </c>
      <c r="G11" s="65">
        <f t="shared" si="1"/>
        <v>0</v>
      </c>
      <c r="H11" s="36">
        <v>0</v>
      </c>
      <c r="I11" s="36">
        <f t="shared" si="2"/>
        <v>-12887923.620000001</v>
      </c>
      <c r="J11" s="39">
        <f t="shared" si="3"/>
        <v>-1</v>
      </c>
      <c r="M11" s="176"/>
      <c r="N11" s="19"/>
    </row>
    <row r="12" spans="1:14" x14ac:dyDescent="0.25">
      <c r="A12" s="2" t="str">
        <f>List!B10</f>
        <v>I-E - Large Commercial Existing</v>
      </c>
      <c r="B12" s="45" t="str">
        <f>List!C10</f>
        <v>I-E</v>
      </c>
      <c r="C12" s="27">
        <f>'I-E'!D17</f>
        <v>18209134</v>
      </c>
      <c r="D12" s="129">
        <f>'I-E'!G33</f>
        <v>2101023.02</v>
      </c>
      <c r="E12" s="44">
        <f>'I-E'!G31</f>
        <v>2088057.1577930001</v>
      </c>
      <c r="F12" s="44">
        <f t="shared" si="0"/>
        <v>-12965.862206999911</v>
      </c>
      <c r="G12" s="65">
        <f t="shared" si="1"/>
        <v>-6.1712137770865124E-3</v>
      </c>
      <c r="H12" s="64">
        <v>0</v>
      </c>
      <c r="I12" s="64">
        <f t="shared" ref="I12:I13" si="4">H12-E12</f>
        <v>-2088057.1577930001</v>
      </c>
      <c r="J12" s="65">
        <f t="shared" ref="J12:J13" si="5">I12/E12</f>
        <v>-1</v>
      </c>
      <c r="M12" s="176"/>
      <c r="N12" s="19"/>
    </row>
    <row r="13" spans="1:14" x14ac:dyDescent="0.25">
      <c r="A13" s="2" t="str">
        <f>List!B11</f>
        <v>OL - Outdoor Lighting</v>
      </c>
      <c r="B13" s="45" t="str">
        <f>List!C11</f>
        <v>OL</v>
      </c>
      <c r="C13" s="27">
        <f>Lighting!D28</f>
        <v>6382739</v>
      </c>
      <c r="D13" s="63">
        <f>Lighting!G30</f>
        <v>1428385.8800000001</v>
      </c>
      <c r="E13" s="64">
        <f>Lighting!G28</f>
        <v>1428385.8800000001</v>
      </c>
      <c r="F13" s="64">
        <f t="shared" si="0"/>
        <v>0</v>
      </c>
      <c r="G13" s="65">
        <f t="shared" si="1"/>
        <v>0</v>
      </c>
      <c r="H13" s="35">
        <v>0</v>
      </c>
      <c r="I13" s="35">
        <f t="shared" si="4"/>
        <v>-1428385.8800000001</v>
      </c>
      <c r="J13" s="65">
        <f t="shared" si="5"/>
        <v>-1</v>
      </c>
      <c r="M13" s="7"/>
      <c r="N13" s="19"/>
    </row>
    <row r="14" spans="1:14" x14ac:dyDescent="0.25">
      <c r="C14" s="27"/>
      <c r="D14" s="51"/>
      <c r="E14" s="36"/>
      <c r="F14" s="64"/>
      <c r="G14" s="65"/>
      <c r="H14" s="36">
        <v>0</v>
      </c>
      <c r="I14" s="36">
        <f t="shared" ref="I14" si="6">H14-E14</f>
        <v>0</v>
      </c>
      <c r="J14" s="39" t="e">
        <f t="shared" ref="J14" si="7">I14/E14</f>
        <v>#DIV/0!</v>
      </c>
    </row>
    <row r="15" spans="1:14" ht="16.5" thickBot="1" x14ac:dyDescent="0.3">
      <c r="A15" s="2" t="s">
        <v>33</v>
      </c>
      <c r="C15" s="47">
        <f>SUM(C7:C14)</f>
        <v>636845787</v>
      </c>
      <c r="D15" s="49">
        <f>SUM(D7:D14)</f>
        <v>95173744.519999996</v>
      </c>
      <c r="E15" s="106">
        <f>SUM(E7:E14)</f>
        <v>95196982.861674011</v>
      </c>
      <c r="F15" s="17">
        <f>SUM(F7:F14)</f>
        <v>23238.341674004681</v>
      </c>
      <c r="G15" s="48">
        <f>F15/D15</f>
        <v>2.4416756733913449E-4</v>
      </c>
      <c r="H15" s="49">
        <f>SUM(H7:H14)</f>
        <v>0</v>
      </c>
      <c r="I15" s="17">
        <f>SUM(I7:I14)</f>
        <v>-95196982.861674011</v>
      </c>
      <c r="J15" s="48">
        <f t="shared" si="3"/>
        <v>-1</v>
      </c>
    </row>
    <row r="16" spans="1:14" ht="16.5" thickTop="1" x14ac:dyDescent="0.25">
      <c r="E16" s="10"/>
      <c r="H16" s="10"/>
    </row>
    <row r="17" spans="1:12" ht="15.75" customHeight="1" x14ac:dyDescent="0.25">
      <c r="C17" s="35"/>
      <c r="D17" s="12"/>
      <c r="E17" s="12"/>
      <c r="H17" s="32"/>
    </row>
    <row r="18" spans="1:12" ht="15.75" customHeight="1" x14ac:dyDescent="0.25">
      <c r="C18" s="35"/>
      <c r="D18" s="12"/>
      <c r="E18" s="12"/>
      <c r="G18" s="13"/>
      <c r="H18" s="56"/>
    </row>
    <row r="19" spans="1:12" ht="15.75" customHeight="1" x14ac:dyDescent="0.25">
      <c r="C19" s="35"/>
      <c r="D19" s="12"/>
      <c r="E19" s="12"/>
      <c r="F19" s="13"/>
      <c r="H19" s="57"/>
    </row>
    <row r="20" spans="1:12" ht="15.75" customHeight="1" x14ac:dyDescent="0.25">
      <c r="C20" s="35"/>
      <c r="D20" s="12"/>
      <c r="E20" s="12"/>
      <c r="F20" s="55"/>
      <c r="G20" s="18"/>
      <c r="H20" s="7"/>
      <c r="L20" s="12"/>
    </row>
    <row r="21" spans="1:12" ht="15.75" customHeight="1" x14ac:dyDescent="0.25">
      <c r="C21" s="13"/>
      <c r="D21" s="13"/>
      <c r="F21" s="13"/>
    </row>
    <row r="22" spans="1:12" x14ac:dyDescent="0.25">
      <c r="A22" s="30"/>
      <c r="C22" s="35"/>
      <c r="D22" s="35"/>
      <c r="E22" s="32"/>
    </row>
    <row r="23" spans="1:12" x14ac:dyDescent="0.25">
      <c r="A23" s="1"/>
      <c r="B23" s="3"/>
      <c r="C23" s="98"/>
      <c r="D23" s="104"/>
      <c r="E23" s="53"/>
      <c r="F23" s="53"/>
      <c r="G23" s="53"/>
      <c r="H23" s="53"/>
      <c r="I23" s="53"/>
      <c r="J23" s="53"/>
    </row>
    <row r="24" spans="1:12" x14ac:dyDescent="0.25">
      <c r="C24" s="4"/>
      <c r="D24" s="4"/>
      <c r="E24" s="4"/>
      <c r="F24" s="4"/>
      <c r="G24" s="4"/>
      <c r="H24" s="4"/>
    </row>
    <row r="25" spans="1:12" x14ac:dyDescent="0.25">
      <c r="A25" s="30"/>
      <c r="C25" s="27"/>
      <c r="D25" s="29"/>
      <c r="E25" s="16"/>
      <c r="F25" s="28"/>
      <c r="G25" s="28"/>
      <c r="H25" s="16"/>
      <c r="I25" s="28"/>
      <c r="J25" s="16"/>
    </row>
    <row r="26" spans="1:12" x14ac:dyDescent="0.25">
      <c r="A26" s="30"/>
      <c r="C26" s="27"/>
      <c r="D26" s="25"/>
      <c r="E26" s="36"/>
      <c r="F26" s="44"/>
      <c r="G26" s="39"/>
      <c r="H26" s="36"/>
      <c r="I26" s="44"/>
      <c r="J26" s="39"/>
    </row>
    <row r="27" spans="1:12" x14ac:dyDescent="0.25">
      <c r="A27" s="30"/>
      <c r="C27" s="27"/>
      <c r="D27" s="29"/>
      <c r="E27" s="16"/>
      <c r="F27" s="36"/>
      <c r="G27" s="36"/>
      <c r="H27" s="16"/>
      <c r="I27" s="44"/>
      <c r="J27" s="39"/>
    </row>
    <row r="28" spans="1:12" x14ac:dyDescent="0.25">
      <c r="A28" s="30"/>
      <c r="C28" s="27"/>
      <c r="D28" s="25"/>
      <c r="E28" s="36"/>
      <c r="F28" s="36"/>
      <c r="G28" s="36"/>
      <c r="H28" s="36"/>
      <c r="I28" s="44"/>
      <c r="J28" s="39"/>
    </row>
    <row r="29" spans="1:12" x14ac:dyDescent="0.25">
      <c r="A29" s="30"/>
      <c r="C29" s="27"/>
      <c r="D29" s="29"/>
      <c r="E29" s="16"/>
      <c r="F29" s="36"/>
      <c r="G29" s="36"/>
      <c r="H29" s="16"/>
      <c r="I29" s="44"/>
      <c r="J29" s="39"/>
    </row>
    <row r="30" spans="1:12" x14ac:dyDescent="0.25">
      <c r="A30" s="30"/>
      <c r="C30" s="27"/>
      <c r="D30" s="25"/>
      <c r="E30" s="36"/>
      <c r="F30" s="36"/>
      <c r="G30" s="36"/>
      <c r="H30" s="36"/>
      <c r="I30" s="44"/>
      <c r="J30" s="39"/>
    </row>
    <row r="31" spans="1:12" x14ac:dyDescent="0.25">
      <c r="A31" s="30"/>
      <c r="C31" s="29"/>
      <c r="D31" s="29"/>
      <c r="E31" s="16"/>
      <c r="F31" s="36"/>
      <c r="G31" s="36"/>
      <c r="H31" s="16"/>
      <c r="I31" s="44"/>
      <c r="J31" s="39"/>
    </row>
    <row r="32" spans="1:12" x14ac:dyDescent="0.25">
      <c r="A32" s="30"/>
      <c r="C32" s="7"/>
      <c r="D32" s="23"/>
      <c r="E32" s="24"/>
      <c r="F32" s="26"/>
      <c r="G32" s="26"/>
      <c r="H32" s="24"/>
      <c r="I32" s="10"/>
      <c r="J32" s="16"/>
    </row>
    <row r="33" spans="1:8" x14ac:dyDescent="0.25">
      <c r="A33" s="30"/>
      <c r="C33" s="7"/>
      <c r="D33" s="29"/>
      <c r="E33" s="16"/>
      <c r="F33" s="12"/>
      <c r="G33" s="12"/>
      <c r="H33" s="16"/>
    </row>
    <row r="34" spans="1:8" x14ac:dyDescent="0.25">
      <c r="C34" s="7"/>
      <c r="E34" s="19"/>
      <c r="F34" s="14"/>
      <c r="H34" s="43"/>
    </row>
    <row r="35" spans="1:8" x14ac:dyDescent="0.25">
      <c r="C35" s="7"/>
      <c r="F35" s="7"/>
      <c r="G35" s="7"/>
    </row>
    <row r="37" spans="1:8" x14ac:dyDescent="0.25">
      <c r="G37" s="18"/>
    </row>
    <row r="39" spans="1:8" x14ac:dyDescent="0.25">
      <c r="A39" s="30"/>
      <c r="C39" s="8"/>
    </row>
    <row r="40" spans="1:8" x14ac:dyDescent="0.25">
      <c r="A40" s="30"/>
    </row>
  </sheetData>
  <phoneticPr fontId="0" type="noConversion"/>
  <pageMargins left="0.75" right="0.35" top="1" bottom="1" header="0.5" footer="0.5"/>
  <pageSetup scale="91" orientation="landscape" r:id="rId1"/>
  <headerFooter alignWithMargins="0">
    <oddFooter>&amp;RExhibit JW-6
Page &amp;P of &amp;N</oddFooter>
  </headerFooter>
  <ignoredErrors>
    <ignoredError sqref="G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312768-FCE6-4F2E-81F9-53C9A2A91EA3}"/>
</file>

<file path=customXml/itemProps2.xml><?xml version="1.0" encoding="utf-8"?>
<ds:datastoreItem xmlns:ds="http://schemas.openxmlformats.org/officeDocument/2006/customXml" ds:itemID="{A2DED178-46A6-4F0B-9A74-C1C4D0C268B4}"/>
</file>

<file path=customXml/itemProps3.xml><?xml version="1.0" encoding="utf-8"?>
<ds:datastoreItem xmlns:ds="http://schemas.openxmlformats.org/officeDocument/2006/customXml" ds:itemID="{24F6BAFA-08C2-4267-BA40-D79467570E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Present and Proposed Rates</vt:lpstr>
      <vt:lpstr>R</vt:lpstr>
      <vt:lpstr>C-1</vt:lpstr>
      <vt:lpstr>C-3</vt:lpstr>
      <vt:lpstr>D</vt:lpstr>
      <vt:lpstr>I-E</vt:lpstr>
      <vt:lpstr>Lighting</vt:lpstr>
      <vt:lpstr>Incr-R</vt:lpstr>
      <vt:lpstr>Summary</vt:lpstr>
      <vt:lpstr>Notice Tables</vt:lpstr>
      <vt:lpstr>Billing Determ</vt:lpstr>
      <vt:lpstr>List</vt:lpstr>
      <vt:lpstr>'C-1'!Print_Area</vt:lpstr>
      <vt:lpstr>'C-3'!Print_Area</vt:lpstr>
      <vt:lpstr>D!Print_Area</vt:lpstr>
      <vt:lpstr>'I-E'!Print_Area</vt:lpstr>
      <vt:lpstr>'Incr-R'!Print_Area</vt:lpstr>
      <vt:lpstr>Lighting!Print_Area</vt:lpstr>
      <vt:lpstr>'Notice Tables'!Print_Area</vt:lpstr>
      <vt:lpstr>'Present and Proposed Rates'!Print_Area</vt:lpstr>
      <vt:lpstr>'R'!Print_Area</vt:lpstr>
      <vt:lpstr>Summary!Print_Area</vt:lpstr>
      <vt:lpstr>'Incr-R'!Print_Titles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2024-12-15T17:27:52Z</cp:lastPrinted>
  <dcterms:created xsi:type="dcterms:W3CDTF">2000-07-10T18:54:31Z</dcterms:created>
  <dcterms:modified xsi:type="dcterms:W3CDTF">2025-01-06T01:36:58Z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