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x-19\home\Monica.Braun\"/>
    </mc:Choice>
  </mc:AlternateContent>
  <xr:revisionPtr revIDLastSave="0" documentId="8_{834DAA1B-4B3B-4655-8C53-856E8BCE296A}" xr6:coauthVersionLast="47" xr6:coauthVersionMax="47" xr10:uidLastSave="{00000000-0000-0000-0000-000000000000}"/>
  <bookViews>
    <workbookView xWindow="-120" yWindow="-120" windowWidth="19440" windowHeight="15000" tabRatio="948" xr2:uid="{00000000-000D-0000-FFFF-FFFF00000000}"/>
  </bookViews>
  <sheets>
    <sheet name="Sch I Summary" sheetId="5" r:id="rId1"/>
    <sheet name="Sch II 2023" sheetId="34" r:id="rId2"/>
    <sheet name="Schedule III" sheetId="26" r:id="rId3"/>
    <sheet name="Schedule IV 2023 " sheetId="46" r:id="rId4"/>
    <sheet name="Schedule IV 2023 Monthly" sheetId="45" r:id="rId5"/>
    <sheet name="Tax Rates" sheetId="4" r:id="rId6"/>
  </sheets>
  <definedNames>
    <definedName name="_2019_Capital_Actual_Query" localSheetId="3">#REF!</definedName>
    <definedName name="_2019_Capital_Actual_Query">#REF!</definedName>
    <definedName name="_2021_Capital_Budget_Prep_Query">#REF!</definedName>
    <definedName name="_xlnm.Print_Area" localSheetId="0">'Sch I Summary'!$A$1:$I$33</definedName>
    <definedName name="_xlnm.Print_Area" localSheetId="2">'Schedule III'!$A$1:$E$38</definedName>
    <definedName name="_xlnm.Print_Area" localSheetId="3">'Schedule IV 2023 '!$A$1:$G$129</definedName>
    <definedName name="_xlnm.Print_Titles" localSheetId="3">'Schedule IV 2023 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5" l="1"/>
  <c r="D25" i="45"/>
  <c r="D22" i="45"/>
  <c r="R19" i="45"/>
  <c r="R26" i="45" s="1"/>
  <c r="I18" i="45"/>
  <c r="J18" i="45" s="1"/>
  <c r="J16" i="45"/>
  <c r="K16" i="45" s="1"/>
  <c r="D14" i="45"/>
  <c r="E14" i="45" s="1"/>
  <c r="F14" i="45" s="1"/>
  <c r="G14" i="45" s="1"/>
  <c r="H14" i="45" s="1"/>
  <c r="I14" i="45" s="1"/>
  <c r="J14" i="45" s="1"/>
  <c r="K14" i="45" s="1"/>
  <c r="L14" i="45" s="1"/>
  <c r="M14" i="45" s="1"/>
  <c r="N14" i="45" s="1"/>
  <c r="O14" i="45" s="1"/>
  <c r="P14" i="45" s="1"/>
  <c r="D12" i="45"/>
  <c r="D11" i="45"/>
  <c r="E11" i="45" s="1"/>
  <c r="D10" i="45"/>
  <c r="D19" i="45" s="1"/>
  <c r="D26" i="45" s="1"/>
  <c r="I9" i="45"/>
  <c r="L6" i="45"/>
  <c r="M6" i="45" s="1"/>
  <c r="M124" i="46"/>
  <c r="G121" i="46"/>
  <c r="E120" i="46"/>
  <c r="E121" i="46" s="1"/>
  <c r="J119" i="46"/>
  <c r="N119" i="46" s="1"/>
  <c r="O119" i="46" s="1"/>
  <c r="G117" i="46"/>
  <c r="F117" i="46"/>
  <c r="E117" i="46"/>
  <c r="D117" i="46"/>
  <c r="L116" i="46"/>
  <c r="N116" i="46" s="1"/>
  <c r="O116" i="46" s="1"/>
  <c r="J115" i="46"/>
  <c r="N115" i="46" s="1"/>
  <c r="O115" i="46" s="1"/>
  <c r="G113" i="46"/>
  <c r="F113" i="46"/>
  <c r="E113" i="46"/>
  <c r="D113" i="46"/>
  <c r="N112" i="46"/>
  <c r="O112" i="46" s="1"/>
  <c r="L112" i="46"/>
  <c r="N111" i="46"/>
  <c r="O111" i="46" s="1"/>
  <c r="J111" i="46"/>
  <c r="G109" i="46"/>
  <c r="F109" i="46"/>
  <c r="E109" i="46"/>
  <c r="D109" i="46"/>
  <c r="N108" i="46"/>
  <c r="O108" i="46" s="1"/>
  <c r="L108" i="46"/>
  <c r="O107" i="46"/>
  <c r="N107" i="46"/>
  <c r="J107" i="46"/>
  <c r="G105" i="46"/>
  <c r="F105" i="46"/>
  <c r="E105" i="46"/>
  <c r="D105" i="46"/>
  <c r="L104" i="46"/>
  <c r="N104" i="46" s="1"/>
  <c r="O104" i="46" s="1"/>
  <c r="J103" i="46"/>
  <c r="N103" i="46" s="1"/>
  <c r="O103" i="46" s="1"/>
  <c r="F101" i="46"/>
  <c r="D101" i="46"/>
  <c r="G100" i="46"/>
  <c r="G101" i="46" s="1"/>
  <c r="E100" i="46"/>
  <c r="E101" i="46" s="1"/>
  <c r="O99" i="46"/>
  <c r="N99" i="46"/>
  <c r="J99" i="46"/>
  <c r="G97" i="46"/>
  <c r="F97" i="46"/>
  <c r="E97" i="46"/>
  <c r="D97" i="46"/>
  <c r="L96" i="46"/>
  <c r="N96" i="46" s="1"/>
  <c r="O96" i="46" s="1"/>
  <c r="J95" i="46"/>
  <c r="N95" i="46" s="1"/>
  <c r="O95" i="46" s="1"/>
  <c r="G93" i="46"/>
  <c r="F93" i="46"/>
  <c r="E93" i="46"/>
  <c r="D93" i="46"/>
  <c r="L92" i="46"/>
  <c r="N92" i="46" s="1"/>
  <c r="O92" i="46" s="1"/>
  <c r="J91" i="46"/>
  <c r="N91" i="46" s="1"/>
  <c r="O91" i="46" s="1"/>
  <c r="G89" i="46"/>
  <c r="F89" i="46"/>
  <c r="E89" i="46"/>
  <c r="D89" i="46"/>
  <c r="L88" i="46"/>
  <c r="N88" i="46" s="1"/>
  <c r="O88" i="46" s="1"/>
  <c r="J87" i="46"/>
  <c r="N87" i="46" s="1"/>
  <c r="O87" i="46" s="1"/>
  <c r="G85" i="46"/>
  <c r="F85" i="46"/>
  <c r="E85" i="46"/>
  <c r="D85" i="46"/>
  <c r="O84" i="46"/>
  <c r="N84" i="46"/>
  <c r="L84" i="46"/>
  <c r="N83" i="46"/>
  <c r="O83" i="46" s="1"/>
  <c r="J83" i="46"/>
  <c r="G81" i="46"/>
  <c r="F81" i="46"/>
  <c r="E81" i="46"/>
  <c r="D81" i="46"/>
  <c r="N80" i="46"/>
  <c r="O80" i="46" s="1"/>
  <c r="L80" i="46"/>
  <c r="J79" i="46"/>
  <c r="N79" i="46" s="1"/>
  <c r="O79" i="46" s="1"/>
  <c r="G77" i="46"/>
  <c r="F77" i="46"/>
  <c r="E77" i="46"/>
  <c r="D77" i="46"/>
  <c r="L76" i="46"/>
  <c r="N76" i="46" s="1"/>
  <c r="O76" i="46" s="1"/>
  <c r="O75" i="46"/>
  <c r="N75" i="46"/>
  <c r="J75" i="46"/>
  <c r="G73" i="46"/>
  <c r="F73" i="46"/>
  <c r="E73" i="46"/>
  <c r="D73" i="46"/>
  <c r="L72" i="46"/>
  <c r="N72" i="46" s="1"/>
  <c r="O72" i="46" s="1"/>
  <c r="J71" i="46"/>
  <c r="N71" i="46" s="1"/>
  <c r="O71" i="46" s="1"/>
  <c r="F69" i="46"/>
  <c r="D69" i="46"/>
  <c r="G68" i="46"/>
  <c r="G69" i="46" s="1"/>
  <c r="E68" i="46"/>
  <c r="E69" i="46" s="1"/>
  <c r="K67" i="46"/>
  <c r="N67" i="46" s="1"/>
  <c r="O67" i="46" s="1"/>
  <c r="G65" i="46"/>
  <c r="F65" i="46"/>
  <c r="E65" i="46"/>
  <c r="D65" i="46"/>
  <c r="L64" i="46"/>
  <c r="N64" i="46" s="1"/>
  <c r="O64" i="46" s="1"/>
  <c r="J63" i="46"/>
  <c r="N63" i="46" s="1"/>
  <c r="O63" i="46" s="1"/>
  <c r="G61" i="46"/>
  <c r="F61" i="46"/>
  <c r="E61" i="46"/>
  <c r="D61" i="46"/>
  <c r="L60" i="46"/>
  <c r="N60" i="46" s="1"/>
  <c r="O60" i="46" s="1"/>
  <c r="J59" i="46"/>
  <c r="N59" i="46" s="1"/>
  <c r="O59" i="46" s="1"/>
  <c r="G57" i="46"/>
  <c r="F57" i="46"/>
  <c r="E57" i="46"/>
  <c r="D57" i="46"/>
  <c r="O56" i="46"/>
  <c r="N56" i="46"/>
  <c r="L56" i="46"/>
  <c r="J55" i="46"/>
  <c r="N55" i="46" s="1"/>
  <c r="G55" i="46"/>
  <c r="F55" i="46"/>
  <c r="J54" i="46"/>
  <c r="N54" i="46" s="1"/>
  <c r="O54" i="46" s="1"/>
  <c r="G52" i="46"/>
  <c r="F52" i="46"/>
  <c r="E52" i="46"/>
  <c r="D52" i="46"/>
  <c r="L51" i="46"/>
  <c r="N51" i="46" s="1"/>
  <c r="O51" i="46" s="1"/>
  <c r="J50" i="46"/>
  <c r="N50" i="46" s="1"/>
  <c r="O50" i="46" s="1"/>
  <c r="J49" i="46"/>
  <c r="N49" i="46" s="1"/>
  <c r="O49" i="46" s="1"/>
  <c r="G47" i="46"/>
  <c r="E47" i="46"/>
  <c r="D47" i="46"/>
  <c r="N46" i="46"/>
  <c r="O46" i="46" s="1"/>
  <c r="L46" i="46"/>
  <c r="J45" i="46"/>
  <c r="N45" i="46" s="1"/>
  <c r="O45" i="46" s="1"/>
  <c r="G45" i="46"/>
  <c r="F45" i="46"/>
  <c r="F47" i="46" s="1"/>
  <c r="O44" i="46"/>
  <c r="N44" i="46"/>
  <c r="J44" i="46"/>
  <c r="E42" i="46"/>
  <c r="D42" i="46"/>
  <c r="L41" i="46"/>
  <c r="N41" i="46" s="1"/>
  <c r="O41" i="46" s="1"/>
  <c r="G41" i="46"/>
  <c r="N40" i="46"/>
  <c r="O40" i="46" s="1"/>
  <c r="J40" i="46"/>
  <c r="G40" i="46"/>
  <c r="F40" i="46"/>
  <c r="N39" i="46"/>
  <c r="O39" i="46" s="1"/>
  <c r="J39" i="46"/>
  <c r="J38" i="46"/>
  <c r="N38" i="46" s="1"/>
  <c r="O38" i="46" s="1"/>
  <c r="G38" i="46"/>
  <c r="G42" i="46" s="1"/>
  <c r="F38" i="46"/>
  <c r="F42" i="46" s="1"/>
  <c r="G36" i="46"/>
  <c r="F36" i="46"/>
  <c r="D36" i="46"/>
  <c r="G35" i="46"/>
  <c r="E35" i="46"/>
  <c r="L35" i="46" s="1"/>
  <c r="N35" i="46" s="1"/>
  <c r="O35" i="46" s="1"/>
  <c r="J34" i="46"/>
  <c r="N34" i="46" s="1"/>
  <c r="O34" i="46" s="1"/>
  <c r="G32" i="46"/>
  <c r="F32" i="46"/>
  <c r="E32" i="46"/>
  <c r="D32" i="46"/>
  <c r="N31" i="46"/>
  <c r="O31" i="46" s="1"/>
  <c r="L31" i="46"/>
  <c r="J30" i="46"/>
  <c r="N30" i="46" s="1"/>
  <c r="O30" i="46" s="1"/>
  <c r="J29" i="46"/>
  <c r="N29" i="46" s="1"/>
  <c r="O29" i="46" s="1"/>
  <c r="G27" i="46"/>
  <c r="F27" i="46"/>
  <c r="E27" i="46"/>
  <c r="D27" i="46"/>
  <c r="L26" i="46"/>
  <c r="N26" i="46" s="1"/>
  <c r="O26" i="46" s="1"/>
  <c r="J25" i="46"/>
  <c r="N25" i="46" s="1"/>
  <c r="O25" i="46" s="1"/>
  <c r="N24" i="46"/>
  <c r="O24" i="46" s="1"/>
  <c r="J24" i="46"/>
  <c r="G22" i="46"/>
  <c r="F22" i="46"/>
  <c r="E22" i="46"/>
  <c r="D22" i="46"/>
  <c r="L21" i="46"/>
  <c r="N21" i="46" s="1"/>
  <c r="O21" i="46" s="1"/>
  <c r="K20" i="46"/>
  <c r="N20" i="46" s="1"/>
  <c r="O20" i="46" s="1"/>
  <c r="G18" i="46"/>
  <c r="F18" i="46"/>
  <c r="E18" i="46"/>
  <c r="D18" i="46"/>
  <c r="N17" i="46"/>
  <c r="O17" i="46" s="1"/>
  <c r="L17" i="46"/>
  <c r="K16" i="46"/>
  <c r="N16" i="46" s="1"/>
  <c r="O16" i="46" s="1"/>
  <c r="G14" i="46"/>
  <c r="F14" i="46"/>
  <c r="F124" i="46" s="1"/>
  <c r="E14" i="46"/>
  <c r="D14" i="46"/>
  <c r="D124" i="46" s="1"/>
  <c r="L13" i="46"/>
  <c r="N13" i="46" s="1"/>
  <c r="O13" i="46" s="1"/>
  <c r="J12" i="46"/>
  <c r="N12" i="46" s="1"/>
  <c r="O12" i="46" s="1"/>
  <c r="J11" i="46"/>
  <c r="N11" i="46" s="1"/>
  <c r="O11" i="46" s="1"/>
  <c r="I8" i="46"/>
  <c r="I124" i="46" s="1"/>
  <c r="L16" i="45" l="1"/>
  <c r="M16" i="45" s="1"/>
  <c r="N16" i="45" s="1"/>
  <c r="O16" i="45" s="1"/>
  <c r="P16" i="45" s="1"/>
  <c r="Q16" i="45"/>
  <c r="K18" i="45"/>
  <c r="L18" i="45" s="1"/>
  <c r="M18" i="45" s="1"/>
  <c r="N18" i="45" s="1"/>
  <c r="O18" i="45" s="1"/>
  <c r="P18" i="45" s="1"/>
  <c r="N6" i="45"/>
  <c r="E10" i="45"/>
  <c r="F11" i="45"/>
  <c r="G11" i="45" s="1"/>
  <c r="H11" i="45" s="1"/>
  <c r="I11" i="45" s="1"/>
  <c r="J11" i="45" s="1"/>
  <c r="K11" i="45" s="1"/>
  <c r="L11" i="45" s="1"/>
  <c r="M11" i="45" s="1"/>
  <c r="N11" i="45" s="1"/>
  <c r="O11" i="45" s="1"/>
  <c r="P11" i="45" s="1"/>
  <c r="E12" i="45"/>
  <c r="F12" i="45" s="1"/>
  <c r="G12" i="45" s="1"/>
  <c r="H12" i="45" s="1"/>
  <c r="I12" i="45" s="1"/>
  <c r="J12" i="45" s="1"/>
  <c r="K12" i="45" s="1"/>
  <c r="L12" i="45" s="1"/>
  <c r="M12" i="45" s="1"/>
  <c r="N12" i="45" s="1"/>
  <c r="O12" i="45" s="1"/>
  <c r="P12" i="45" s="1"/>
  <c r="Q14" i="45"/>
  <c r="E25" i="45"/>
  <c r="F25" i="45" s="1"/>
  <c r="G25" i="45" s="1"/>
  <c r="H25" i="45" s="1"/>
  <c r="I25" i="45" s="1"/>
  <c r="J25" i="45" s="1"/>
  <c r="K25" i="45" s="1"/>
  <c r="L25" i="45" s="1"/>
  <c r="M25" i="45" s="1"/>
  <c r="N25" i="45" s="1"/>
  <c r="O25" i="45" s="1"/>
  <c r="J9" i="45"/>
  <c r="E22" i="45"/>
  <c r="F22" i="45" s="1"/>
  <c r="G22" i="45" s="1"/>
  <c r="H22" i="45" s="1"/>
  <c r="I22" i="45" s="1"/>
  <c r="J22" i="45" s="1"/>
  <c r="K22" i="45" s="1"/>
  <c r="L22" i="45" s="1"/>
  <c r="M22" i="45" s="1"/>
  <c r="N22" i="45" s="1"/>
  <c r="O22" i="45" s="1"/>
  <c r="P22" i="45" s="1"/>
  <c r="E124" i="46"/>
  <c r="G124" i="46"/>
  <c r="E36" i="46"/>
  <c r="J124" i="46"/>
  <c r="N8" i="46"/>
  <c r="L100" i="46"/>
  <c r="N100" i="46" s="1"/>
  <c r="O100" i="46" s="1"/>
  <c r="L68" i="46"/>
  <c r="N68" i="46" s="1"/>
  <c r="O68" i="46" s="1"/>
  <c r="K124" i="46"/>
  <c r="L120" i="46"/>
  <c r="N120" i="46" s="1"/>
  <c r="O120" i="46" s="1"/>
  <c r="L124" i="46"/>
  <c r="Q25" i="45" l="1"/>
  <c r="C8" i="34" s="1"/>
  <c r="Q22" i="45"/>
  <c r="C7" i="34" s="1"/>
  <c r="K9" i="45"/>
  <c r="Q18" i="45"/>
  <c r="P25" i="45"/>
  <c r="O6" i="45"/>
  <c r="E19" i="45"/>
  <c r="E26" i="45" s="1"/>
  <c r="F10" i="45"/>
  <c r="Q12" i="45"/>
  <c r="Q11" i="45"/>
  <c r="N124" i="46"/>
  <c r="O124" i="46" s="1"/>
  <c r="P6" i="45" l="1"/>
  <c r="P7" i="34"/>
  <c r="G7" i="34"/>
  <c r="P8" i="34"/>
  <c r="G8" i="34"/>
  <c r="Q6" i="45"/>
  <c r="L9" i="45"/>
  <c r="F19" i="45"/>
  <c r="F26" i="45" s="1"/>
  <c r="G10" i="45"/>
  <c r="C11" i="34" l="1"/>
  <c r="H10" i="45"/>
  <c r="G19" i="45"/>
  <c r="G26" i="45" s="1"/>
  <c r="M9" i="45"/>
  <c r="N9" i="45" l="1"/>
  <c r="H19" i="45"/>
  <c r="H26" i="45" s="1"/>
  <c r="I10" i="45"/>
  <c r="J10" i="45" l="1"/>
  <c r="I19" i="45"/>
  <c r="I26" i="45" s="1"/>
  <c r="O9" i="45"/>
  <c r="Q9" i="45" s="1"/>
  <c r="P9" i="45" l="1"/>
  <c r="K10" i="45"/>
  <c r="J19" i="45"/>
  <c r="J26" i="45" s="1"/>
  <c r="L10" i="45" l="1"/>
  <c r="K19" i="45"/>
  <c r="K26" i="45" s="1"/>
  <c r="M10" i="45" l="1"/>
  <c r="L19" i="45"/>
  <c r="L26" i="45" s="1"/>
  <c r="N10" i="45" l="1"/>
  <c r="M19" i="45"/>
  <c r="M26" i="45" s="1"/>
  <c r="O10" i="45" l="1"/>
  <c r="N19" i="45"/>
  <c r="N26" i="45" s="1"/>
  <c r="P10" i="45" l="1"/>
  <c r="P19" i="45" s="1"/>
  <c r="P26" i="45" s="1"/>
  <c r="Q10" i="45"/>
  <c r="O19" i="45"/>
  <c r="O26" i="45" s="1"/>
  <c r="Q19" i="45" l="1"/>
  <c r="Q26" i="45" s="1"/>
  <c r="C6" i="34" l="1"/>
  <c r="P6" i="34" l="1"/>
  <c r="G6" i="34"/>
  <c r="E17" i="26" l="1"/>
  <c r="E21" i="26" s="1"/>
  <c r="E36" i="26" s="1"/>
  <c r="C33" i="5" l="1"/>
  <c r="F14" i="5" s="1"/>
  <c r="E32" i="5"/>
  <c r="E31" i="5"/>
  <c r="E30" i="5"/>
  <c r="E33" i="5" s="1"/>
  <c r="F15" i="5" s="1"/>
  <c r="H12" i="5" l="1"/>
  <c r="H16" i="5" s="1"/>
  <c r="H18" i="5" s="1"/>
  <c r="H20" i="5" s="1"/>
  <c r="C20" i="34" l="1"/>
  <c r="E20" i="34" s="1"/>
  <c r="C17" i="26" l="1"/>
  <c r="G36" i="34" l="1"/>
  <c r="E36" i="34"/>
  <c r="G35" i="34"/>
  <c r="G34" i="34"/>
  <c r="G33" i="34"/>
  <c r="G32" i="34"/>
  <c r="L25" i="34"/>
  <c r="M24" i="34"/>
  <c r="G24" i="34"/>
  <c r="N24" i="34" s="1"/>
  <c r="P24" i="34" s="1"/>
  <c r="C24" i="34"/>
  <c r="C23" i="34"/>
  <c r="E23" i="34" s="1"/>
  <c r="M23" i="34" s="1"/>
  <c r="C22" i="34"/>
  <c r="C21" i="34"/>
  <c r="E21" i="34" s="1"/>
  <c r="M20" i="34"/>
  <c r="F20" i="34"/>
  <c r="C19" i="34"/>
  <c r="K18" i="34"/>
  <c r="K20" i="34" s="1"/>
  <c r="F12" i="34"/>
  <c r="C12" i="34"/>
  <c r="P11" i="34"/>
  <c r="P10" i="34"/>
  <c r="G10" i="34"/>
  <c r="H10" i="34" s="1"/>
  <c r="J10" i="34" s="1"/>
  <c r="D35" i="34" s="1"/>
  <c r="P9" i="34"/>
  <c r="G9" i="34"/>
  <c r="H9" i="34" s="1"/>
  <c r="J9" i="34" s="1"/>
  <c r="D34" i="34" s="1"/>
  <c r="H8" i="34"/>
  <c r="J8" i="34" s="1"/>
  <c r="D33" i="34" s="1"/>
  <c r="H7" i="34"/>
  <c r="J7" i="34" s="1"/>
  <c r="D32" i="34" s="1"/>
  <c r="F8" i="5" l="1"/>
  <c r="I8" i="5" s="1"/>
  <c r="H24" i="34"/>
  <c r="K23" i="34"/>
  <c r="P12" i="34"/>
  <c r="G11" i="34" s="1"/>
  <c r="H11" i="34" s="1"/>
  <c r="J11" i="34" s="1"/>
  <c r="D36" i="34" s="1"/>
  <c r="F36" i="34" s="1"/>
  <c r="H36" i="34" s="1"/>
  <c r="M21" i="34"/>
  <c r="F21" i="34"/>
  <c r="E19" i="34"/>
  <c r="F19" i="34" s="1"/>
  <c r="K19" i="34"/>
  <c r="G20" i="34"/>
  <c r="N20" i="34" s="1"/>
  <c r="E22" i="34"/>
  <c r="M22" i="34" s="1"/>
  <c r="K22" i="34"/>
  <c r="F23" i="34"/>
  <c r="C25" i="34"/>
  <c r="H6" i="34"/>
  <c r="K21" i="34"/>
  <c r="H20" i="34" l="1"/>
  <c r="O20" i="34" s="1"/>
  <c r="P20" i="34" s="1"/>
  <c r="R20" i="34" s="1"/>
  <c r="E32" i="34" s="1"/>
  <c r="F32" i="34" s="1"/>
  <c r="H32" i="34" s="1"/>
  <c r="G12" i="34"/>
  <c r="C8" i="26" s="1"/>
  <c r="G19" i="34"/>
  <c r="H19" i="34" s="1"/>
  <c r="O19" i="34" s="1"/>
  <c r="M19" i="34"/>
  <c r="E25" i="34"/>
  <c r="J6" i="34"/>
  <c r="H12" i="34"/>
  <c r="F10" i="5" s="1"/>
  <c r="I10" i="5" s="1"/>
  <c r="F22" i="34"/>
  <c r="F25" i="34" s="1"/>
  <c r="G21" i="34"/>
  <c r="N21" i="34" s="1"/>
  <c r="G23" i="34"/>
  <c r="N23" i="34" s="1"/>
  <c r="C19" i="26" l="1"/>
  <c r="H23" i="34"/>
  <c r="O23" i="34" s="1"/>
  <c r="P23" i="34" s="1"/>
  <c r="R23" i="34" s="1"/>
  <c r="E35" i="34" s="1"/>
  <c r="F35" i="34" s="1"/>
  <c r="H35" i="34" s="1"/>
  <c r="D31" i="34"/>
  <c r="D37" i="34" s="1"/>
  <c r="J12" i="34"/>
  <c r="N19" i="34"/>
  <c r="H21" i="34"/>
  <c r="O21" i="34" s="1"/>
  <c r="G22" i="34"/>
  <c r="N22" i="34" s="1"/>
  <c r="M25" i="34"/>
  <c r="P21" i="34" l="1"/>
  <c r="R21" i="34" s="1"/>
  <c r="E33" i="34" s="1"/>
  <c r="F33" i="34" s="1"/>
  <c r="H33" i="34" s="1"/>
  <c r="H22" i="34"/>
  <c r="O22" i="34" s="1"/>
  <c r="O25" i="34" s="1"/>
  <c r="N25" i="34"/>
  <c r="P19" i="34"/>
  <c r="G25" i="34"/>
  <c r="H25" i="34" l="1"/>
  <c r="P22" i="34"/>
  <c r="R22" i="34" s="1"/>
  <c r="E34" i="34" s="1"/>
  <c r="F34" i="34" s="1"/>
  <c r="H34" i="34" s="1"/>
  <c r="R19" i="34"/>
  <c r="P25" i="34" l="1"/>
  <c r="E31" i="34"/>
  <c r="R25" i="34"/>
  <c r="E37" i="34" l="1"/>
  <c r="F31" i="34"/>
  <c r="F37" i="34" l="1"/>
  <c r="H31" i="34"/>
  <c r="H37" i="34" s="1"/>
  <c r="F11" i="5" l="1"/>
  <c r="I11" i="5" s="1"/>
  <c r="I12" i="5" s="1"/>
  <c r="W4" i="4"/>
  <c r="W3" i="4"/>
  <c r="W2" i="4"/>
  <c r="F12" i="5" l="1"/>
  <c r="F18" i="5" s="1"/>
  <c r="F27" i="5"/>
  <c r="C27" i="5"/>
  <c r="D24" i="5" l="1"/>
  <c r="D23" i="5"/>
  <c r="D26" i="5"/>
  <c r="D25" i="5"/>
  <c r="D27" i="5" l="1"/>
  <c r="C21" i="26" l="1"/>
  <c r="C36" i="26" s="1"/>
  <c r="G19" i="5" l="1"/>
  <c r="I19" i="5" s="1"/>
  <c r="G18" i="5" l="1"/>
  <c r="G20" i="5" l="1"/>
  <c r="I20" i="5" s="1"/>
  <c r="I18" i="5"/>
  <c r="E25" i="5" l="1"/>
  <c r="G25" i="5" s="1"/>
  <c r="I25" i="5" s="1"/>
  <c r="E26" i="5"/>
  <c r="G26" i="5" s="1"/>
  <c r="I26" i="5" s="1"/>
  <c r="E23" i="5"/>
  <c r="G23" i="5" s="1"/>
  <c r="I23" i="5" s="1"/>
  <c r="E24" i="5"/>
  <c r="G24" i="5" s="1"/>
  <c r="I24" i="5" s="1"/>
  <c r="E2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Allison Cascio</author>
    <author xml:space="preserve"> </author>
  </authors>
  <commentList>
    <comment ref="B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Allison Cascio:</t>
        </r>
        <r>
          <rPr>
            <sz val="9"/>
            <color indexed="81"/>
            <rFont val="Tahoma"/>
            <family val="2"/>
          </rPr>
          <t xml:space="preserve">
Created tab,
Deleted #s entered in C6-C11</t>
        </r>
      </text>
    </comment>
    <comment ref="G6" authorId="1" shapeId="0" xr:uid="{00000000-0006-0000-0300-000002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7" authorId="1" shapeId="0" xr:uid="{00000000-0006-0000-0300-000003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8" authorId="1" shapeId="0" xr:uid="{00000000-0006-0000-0300-000004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9" authorId="1" shapeId="0" xr:uid="{00000000-0006-0000-0300-000005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  <comment ref="G10" authorId="1" shapeId="0" xr:uid="{00000000-0006-0000-0300-000006000000}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Calculating a half year-of depr expense</t>
        </r>
      </text>
    </comment>
  </commentList>
</comments>
</file>

<file path=xl/sharedStrings.xml><?xml version="1.0" encoding="utf-8"?>
<sst xmlns="http://schemas.openxmlformats.org/spreadsheetml/2006/main" count="386" uniqueCount="167">
  <si>
    <t>Transmission Mains</t>
  </si>
  <si>
    <t>Services</t>
  </si>
  <si>
    <t>Depreciation</t>
  </si>
  <si>
    <t>Income Taxes</t>
  </si>
  <si>
    <t>Residential</t>
  </si>
  <si>
    <t>Small Non-Residential</t>
  </si>
  <si>
    <t>Large Non-Residential</t>
  </si>
  <si>
    <t>Interruptible</t>
  </si>
  <si>
    <t>Rate</t>
  </si>
  <si>
    <t>Tax</t>
  </si>
  <si>
    <t>Depr</t>
  </si>
  <si>
    <t>Expense</t>
  </si>
  <si>
    <t>Storage Lines</t>
  </si>
  <si>
    <t>Gathering Lines</t>
  </si>
  <si>
    <t>Tax Life</t>
  </si>
  <si>
    <t>Investment</t>
  </si>
  <si>
    <t>Beginning</t>
  </si>
  <si>
    <t>Ending</t>
  </si>
  <si>
    <t>MACRS</t>
  </si>
  <si>
    <t>Year</t>
  </si>
  <si>
    <t xml:space="preserve">Calendar Year </t>
  </si>
  <si>
    <t>YEAR</t>
  </si>
  <si>
    <t>Bonus</t>
  </si>
  <si>
    <t>Qualifying Tax</t>
  </si>
  <si>
    <t>Percentage</t>
  </si>
  <si>
    <t>Additions</t>
  </si>
  <si>
    <t>Depreciable</t>
  </si>
  <si>
    <t>Base</t>
  </si>
  <si>
    <t>Book</t>
  </si>
  <si>
    <t xml:space="preserve"> Book Depreciation Reserve</t>
  </si>
  <si>
    <t>Tax Depreciation Reserve</t>
  </si>
  <si>
    <t>Book Depr</t>
  </si>
  <si>
    <t>Net Book Value</t>
  </si>
  <si>
    <t>Deferred</t>
  </si>
  <si>
    <t>Timing</t>
  </si>
  <si>
    <t>Difference</t>
  </si>
  <si>
    <t>Net Book</t>
  </si>
  <si>
    <t>Value</t>
  </si>
  <si>
    <t>Less:</t>
  </si>
  <si>
    <t>Accumulated depreciation</t>
  </si>
  <si>
    <t>Accumulated deferred income taxes</t>
  </si>
  <si>
    <t>PRP Worksheet</t>
  </si>
  <si>
    <t>Distribution Mains</t>
  </si>
  <si>
    <t xml:space="preserve">Cumulative </t>
  </si>
  <si>
    <t>Delta Natural Gas Company, Inc.</t>
  </si>
  <si>
    <t>Pipe Replacement Program Filing</t>
  </si>
  <si>
    <t>Return, grossed up for income taxes</t>
  </si>
  <si>
    <t>Current Year PRP Adjustment</t>
  </si>
  <si>
    <t>Statutory</t>
  </si>
  <si>
    <t>various</t>
  </si>
  <si>
    <t>Cost of Removal</t>
  </si>
  <si>
    <t>NA</t>
  </si>
  <si>
    <t xml:space="preserve"> </t>
  </si>
  <si>
    <t>Total</t>
  </si>
  <si>
    <t>COR</t>
  </si>
  <si>
    <t>A</t>
  </si>
  <si>
    <t>Cost of Service Impact from PRP</t>
  </si>
  <si>
    <t>Increased property tax expense</t>
  </si>
  <si>
    <t>Average ad valorem tax rate</t>
  </si>
  <si>
    <t>Cost of Service Items (Schedule III)</t>
  </si>
  <si>
    <t>DELTA NATURAL GAS</t>
  </si>
  <si>
    <t>FOOTAGE</t>
  </si>
  <si>
    <t xml:space="preserve">( A )    Represents cost of removal incurred.  No pipe installed. </t>
  </si>
  <si>
    <t>Increased depreciation expense (Schedule II)</t>
  </si>
  <si>
    <t>Owingsville</t>
  </si>
  <si>
    <t>Berea</t>
  </si>
  <si>
    <t>Corbin</t>
  </si>
  <si>
    <t xml:space="preserve">PLANT </t>
  </si>
  <si>
    <t>DISTRICT BRANCH</t>
  </si>
  <si>
    <t>CLASSIFICATION</t>
  </si>
  <si>
    <t>SIZE AND PIPE INSTALLED</t>
  </si>
  <si>
    <t>TOTAL COST</t>
  </si>
  <si>
    <t>(A)</t>
  </si>
  <si>
    <t>Nicholasville</t>
  </si>
  <si>
    <t>Net Book Value, PSC Report Page 110</t>
  </si>
  <si>
    <t>PRP Net Book Value</t>
  </si>
  <si>
    <t>PRP Property Tax</t>
  </si>
  <si>
    <t>Total increased cost of service</t>
  </si>
  <si>
    <t>Property tax expense for current year is based on plant balances at the end of the prior year</t>
  </si>
  <si>
    <t>Schedule III</t>
  </si>
  <si>
    <t>Schedule IV</t>
  </si>
  <si>
    <t>2" Plastic</t>
  </si>
  <si>
    <t>(C)</t>
  </si>
  <si>
    <t xml:space="preserve">( C )    Delta does not track the footage of each individual service line. </t>
  </si>
  <si>
    <t>( B )    Charges relating to footage reported in prior year.</t>
  </si>
  <si>
    <t>Net PRP Rate Base, as of December 31, 2023</t>
  </si>
  <si>
    <t>Tax expansion factor, w PSC (per Case No. 2021-00185)</t>
  </si>
  <si>
    <t>Cost of Removal and Replacement Projects for 2023</t>
  </si>
  <si>
    <t>2023 Property Tax Expense</t>
  </si>
  <si>
    <t>Forecasted Period Ending December 31, 2023</t>
  </si>
  <si>
    <t>(C) (D)</t>
  </si>
  <si>
    <t>4" Steel</t>
  </si>
  <si>
    <t>1</t>
  </si>
  <si>
    <t>6" Steel</t>
  </si>
  <si>
    <t>4" Plastic</t>
  </si>
  <si>
    <t>Transmission</t>
  </si>
  <si>
    <t>Check Total</t>
  </si>
  <si>
    <t>Vintage 2023</t>
  </si>
  <si>
    <t>Months</t>
  </si>
  <si>
    <t>Classification</t>
  </si>
  <si>
    <t>13 Month
Average</t>
  </si>
  <si>
    <t>Cumulative Total</t>
  </si>
  <si>
    <t>Original Estimate</t>
  </si>
  <si>
    <t>Increase (Decrease)</t>
  </si>
  <si>
    <r>
      <t xml:space="preserve">Rates Effective: </t>
    </r>
    <r>
      <rPr>
        <b/>
        <u/>
        <sz val="11"/>
        <rFont val="Calibri"/>
        <family val="2"/>
        <scheme val="minor"/>
      </rPr>
      <t>January 1, 2023</t>
    </r>
  </si>
  <si>
    <t>Original Version utilized in Order 2022-00341 dated 8/11/2023 with 2023 Estimates replaced with Actuals--Changes highlighted</t>
  </si>
  <si>
    <t>Eligible expenditures under the PRP (Schedule II)</t>
  </si>
  <si>
    <t>WACC, per Case No. 2021-00185</t>
  </si>
  <si>
    <t>Weighted Cost of Capital</t>
  </si>
  <si>
    <t>Gross Revenue Conversion Factor</t>
  </si>
  <si>
    <t>Pretax Weighted Average Cost of Capital</t>
  </si>
  <si>
    <t>Equity</t>
  </si>
  <si>
    <t>Long-term debt</t>
  </si>
  <si>
    <t>Short-term debt</t>
  </si>
  <si>
    <t>WACC, gross up for income taxes, PSC assessment, and bad debt</t>
  </si>
  <si>
    <t>8a</t>
  </si>
  <si>
    <t>Calculated Net Revenue @ Approved Rates per Case No. 2021-00185</t>
  </si>
  <si>
    <t xml:space="preserve"> Class Allocation</t>
  </si>
  <si>
    <t>Current PRP Rate</t>
  </si>
  <si>
    <t>New PRP Rate</t>
  </si>
  <si>
    <t>Estimated 7 Months Usage (Volumes for June and July, 2022 plus Aug - Dec, 2021)</t>
  </si>
  <si>
    <t>( D )    These projects are not yet complete.  Footages will be reported in the year projects are closed to plant.</t>
  </si>
  <si>
    <t>(D)</t>
  </si>
  <si>
    <t>Engineering Services</t>
  </si>
  <si>
    <t>Barbourville</t>
  </si>
  <si>
    <t>13</t>
  </si>
  <si>
    <t>2</t>
  </si>
  <si>
    <t>1" Aldyl-A Retirement Only</t>
  </si>
  <si>
    <t>Stanton</t>
  </si>
  <si>
    <t>(C  )</t>
  </si>
  <si>
    <t>0</t>
  </si>
  <si>
    <t>17</t>
  </si>
  <si>
    <t>379</t>
  </si>
  <si>
    <t>3</t>
  </si>
  <si>
    <t>Pineville</t>
  </si>
  <si>
    <t>Beattyville</t>
  </si>
  <si>
    <t>52</t>
  </si>
  <si>
    <t>36</t>
  </si>
  <si>
    <t>37</t>
  </si>
  <si>
    <t xml:space="preserve">2" </t>
  </si>
  <si>
    <t>2" Steel</t>
  </si>
  <si>
    <t>Clearfield</t>
  </si>
  <si>
    <t>21</t>
  </si>
  <si>
    <t>16</t>
  </si>
  <si>
    <t>Williamsburg</t>
  </si>
  <si>
    <t>43</t>
  </si>
  <si>
    <t>Manchester</t>
  </si>
  <si>
    <t>Dist</t>
  </si>
  <si>
    <t>Cost of Removal and Replacement Projects for 01/01/2023 - 12/31/2023</t>
  </si>
  <si>
    <t>December 31, 2022</t>
  </si>
  <si>
    <t>Allocated PRP True-Up</t>
  </si>
  <si>
    <t>PRP True-Up Per MCF</t>
  </si>
  <si>
    <t>Subtotal</t>
  </si>
  <si>
    <t>ORIGINAL ESTIMATE</t>
  </si>
  <si>
    <t>2023 Total</t>
  </si>
  <si>
    <t>Retirement Only</t>
  </si>
  <si>
    <t>1" Aldyl-A</t>
  </si>
  <si>
    <t>Engineering Services Only</t>
  </si>
  <si>
    <t xml:space="preserve">Aldyl-A Replacement </t>
  </si>
  <si>
    <t>Operating expense reductions</t>
  </si>
  <si>
    <t>Maintenance of Transmission and Distribution Mains, per Case</t>
  </si>
  <si>
    <t>887 Distribution Main Maintenance</t>
  </si>
  <si>
    <t>863 Transmission Main Maintenance</t>
  </si>
  <si>
    <t>Decrease in Operating Expense</t>
  </si>
  <si>
    <t xml:space="preserve">  Current Year Actual Expense (Calendar 2023)</t>
  </si>
  <si>
    <t>Schedule II 2023</t>
  </si>
  <si>
    <t>Under 2" 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</si>
</sst>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0%"/>
    <numFmt numFmtId="168" formatCode="_(* #,##0.00000_);_(* \(#,##0.00000\);_(* &quot;-&quot;??_);_(@_)"/>
    <numFmt numFmtId="169" formatCode="0.000%"/>
    <numFmt numFmtId="170" formatCode="_(&quot;$&quot;* #,##0.00000_);_(&quot;$&quot;* \(#,##0.00000\);_(&quot;$&quot;* &quot;-&quot;??_);_(@_)"/>
    <numFmt numFmtId="171" formatCode="0.00000"/>
    <numFmt numFmtId="172" formatCode="0.0000%"/>
    <numFmt numFmtId="173" formatCode="[$-409]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232">
    <xf numFmtId="0" fontId="0" fillId="0" borderId="0" xfId="0"/>
    <xf numFmtId="169" fontId="0" fillId="0" borderId="0" xfId="2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3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165" fontId="0" fillId="0" borderId="0" xfId="3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9" fontId="0" fillId="0" borderId="0" xfId="0" applyNumberFormat="1"/>
    <xf numFmtId="44" fontId="0" fillId="0" borderId="0" xfId="0" applyNumberFormat="1"/>
    <xf numFmtId="15" fontId="0" fillId="0" borderId="0" xfId="0" quotePrefix="1" applyNumberFormat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" fontId="13" fillId="0" borderId="0" xfId="1" quotePrefix="1" applyNumberFormat="1" applyFont="1" applyFill="1" applyBorder="1" applyAlignment="1">
      <alignment horizontal="center" vertical="center"/>
    </xf>
    <xf numFmtId="1" fontId="13" fillId="0" borderId="1" xfId="1" quotePrefix="1" applyNumberFormat="1" applyFont="1" applyFill="1" applyBorder="1" applyAlignment="1">
      <alignment horizontal="center" vertical="center"/>
    </xf>
    <xf numFmtId="164" fontId="13" fillId="0" borderId="1" xfId="1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vertical="center"/>
    </xf>
    <xf numFmtId="165" fontId="5" fillId="0" borderId="0" xfId="3" applyNumberFormat="1" applyFont="1" applyFill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1" xfId="1" applyNumberFormat="1" applyFont="1" applyFill="1" applyBorder="1" applyAlignment="1">
      <alignment vertical="center"/>
    </xf>
    <xf numFmtId="165" fontId="5" fillId="0" borderId="1" xfId="3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8" fontId="5" fillId="0" borderId="0" xfId="1" applyNumberFormat="1" applyFont="1" applyFill="1" applyBorder="1" applyAlignment="1">
      <alignment vertical="center"/>
    </xf>
    <xf numFmtId="168" fontId="5" fillId="0" borderId="1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13" fillId="0" borderId="0" xfId="3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5" fillId="0" borderId="0" xfId="2" applyNumberFormat="1" applyFont="1" applyFill="1" applyAlignment="1">
      <alignment vertical="center"/>
    </xf>
    <xf numFmtId="171" fontId="5" fillId="0" borderId="0" xfId="0" applyNumberFormat="1" applyFont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5" fontId="13" fillId="2" borderId="0" xfId="3" applyNumberFormat="1" applyFont="1" applyFill="1" applyAlignment="1">
      <alignment vertical="center"/>
    </xf>
    <xf numFmtId="165" fontId="13" fillId="2" borderId="0" xfId="0" applyNumberFormat="1" applyFont="1" applyFill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70" fontId="13" fillId="2" borderId="0" xfId="0" applyNumberFormat="1" applyFont="1" applyFill="1" applyAlignment="1">
      <alignment vertical="center"/>
    </xf>
    <xf numFmtId="166" fontId="5" fillId="2" borderId="0" xfId="0" applyNumberFormat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wrapText="1"/>
    </xf>
    <xf numFmtId="172" fontId="5" fillId="0" borderId="0" xfId="2" applyNumberFormat="1" applyFont="1" applyFill="1" applyAlignment="1">
      <alignment vertical="center"/>
    </xf>
    <xf numFmtId="168" fontId="5" fillId="0" borderId="0" xfId="1" applyNumberFormat="1" applyFont="1" applyFill="1" applyAlignment="1">
      <alignment vertical="center"/>
    </xf>
    <xf numFmtId="172" fontId="15" fillId="0" borderId="0" xfId="2" applyNumberFormat="1" applyFont="1" applyFill="1" applyAlignment="1">
      <alignment vertical="center"/>
    </xf>
    <xf numFmtId="17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70" fontId="13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5" fontId="13" fillId="0" borderId="1" xfId="0" quotePrefix="1" applyNumberFormat="1" applyFont="1" applyBorder="1" applyAlignment="1">
      <alignment horizontal="center" wrapText="1"/>
    </xf>
    <xf numFmtId="164" fontId="5" fillId="2" borderId="0" xfId="1" applyNumberFormat="1" applyFont="1" applyFill="1" applyBorder="1" applyAlignment="1">
      <alignment vertical="center"/>
    </xf>
    <xf numFmtId="164" fontId="5" fillId="0" borderId="1" xfId="1" applyNumberFormat="1" applyFont="1" applyFill="1" applyBorder="1"/>
    <xf numFmtId="165" fontId="0" fillId="0" borderId="1" xfId="3" applyNumberFormat="1" applyFont="1" applyFill="1" applyBorder="1" applyAlignment="1">
      <alignment vertical="center"/>
    </xf>
    <xf numFmtId="169" fontId="0" fillId="0" borderId="0" xfId="2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2" fillId="2" borderId="0" xfId="3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0" xfId="3" applyNumberFormat="1" applyFont="1" applyFill="1" applyBorder="1" applyAlignment="1">
      <alignment vertical="center"/>
    </xf>
    <xf numFmtId="165" fontId="2" fillId="0" borderId="0" xfId="3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9" fontId="2" fillId="2" borderId="0" xfId="2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164" fontId="13" fillId="0" borderId="0" xfId="1" applyNumberFormat="1" applyFont="1" applyFill="1" applyAlignment="1">
      <alignment vertical="center"/>
    </xf>
    <xf numFmtId="164" fontId="13" fillId="2" borderId="0" xfId="1" applyNumberFormat="1" applyFont="1" applyFill="1" applyAlignment="1">
      <alignment vertical="center"/>
    </xf>
    <xf numFmtId="164" fontId="13" fillId="2" borderId="1" xfId="1" applyNumberFormat="1" applyFont="1" applyFill="1" applyBorder="1" applyAlignment="1">
      <alignment vertical="center"/>
    </xf>
    <xf numFmtId="168" fontId="13" fillId="0" borderId="1" xfId="1" applyNumberFormat="1" applyFont="1" applyFill="1" applyBorder="1" applyAlignment="1">
      <alignment vertical="center"/>
    </xf>
    <xf numFmtId="165" fontId="13" fillId="0" borderId="0" xfId="0" applyNumberFormat="1" applyFont="1" applyAlignment="1">
      <alignment vertical="center"/>
    </xf>
    <xf numFmtId="165" fontId="13" fillId="2" borderId="1" xfId="1" applyNumberFormat="1" applyFont="1" applyFill="1" applyBorder="1" applyAlignment="1">
      <alignment vertical="center"/>
    </xf>
    <xf numFmtId="165" fontId="13" fillId="0" borderId="1" xfId="3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69" fontId="13" fillId="2" borderId="0" xfId="2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5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64" fontId="5" fillId="2" borderId="0" xfId="1" applyNumberFormat="1" applyFont="1" applyFill="1"/>
    <xf numFmtId="10" fontId="5" fillId="0" borderId="0" xfId="0" applyNumberFormat="1" applyFont="1"/>
    <xf numFmtId="164" fontId="5" fillId="0" borderId="0" xfId="1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10" fontId="5" fillId="0" borderId="0" xfId="2" applyNumberFormat="1" applyFont="1" applyFill="1"/>
    <xf numFmtId="165" fontId="5" fillId="2" borderId="0" xfId="3" applyNumberFormat="1" applyFont="1" applyFill="1"/>
    <xf numFmtId="164" fontId="5" fillId="2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0" fontId="5" fillId="0" borderId="1" xfId="2" applyNumberFormat="1" applyFont="1" applyFill="1" applyBorder="1"/>
    <xf numFmtId="164" fontId="5" fillId="0" borderId="0" xfId="0" applyNumberFormat="1" applyFont="1"/>
    <xf numFmtId="9" fontId="13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64" fontId="13" fillId="0" borderId="1" xfId="1" applyNumberFormat="1" applyFont="1" applyFill="1" applyBorder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1" applyNumberFormat="1" applyFont="1" applyFill="1" applyAlignment="1">
      <alignment horizontal="right"/>
    </xf>
    <xf numFmtId="0" fontId="10" fillId="0" borderId="0" xfId="0" applyFont="1"/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/>
    <xf numFmtId="43" fontId="10" fillId="0" borderId="0" xfId="1" applyFont="1" applyFill="1"/>
    <xf numFmtId="43" fontId="17" fillId="0" borderId="0" xfId="1" applyFont="1" applyFill="1" applyAlignment="1">
      <alignment horizontal="center"/>
    </xf>
    <xf numFmtId="43" fontId="20" fillId="0" borderId="0" xfId="1" applyFont="1" applyFill="1" applyAlignment="1">
      <alignment horizontal="center"/>
    </xf>
    <xf numFmtId="0" fontId="17" fillId="0" borderId="0" xfId="0" applyFont="1"/>
    <xf numFmtId="164" fontId="17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vertical="center"/>
    </xf>
    <xf numFmtId="164" fontId="17" fillId="0" borderId="0" xfId="1" applyNumberFormat="1" applyFont="1"/>
    <xf numFmtId="49" fontId="10" fillId="0" borderId="0" xfId="0" applyNumberFormat="1" applyFont="1" applyAlignment="1">
      <alignment vertical="center"/>
    </xf>
    <xf numFmtId="164" fontId="10" fillId="2" borderId="0" xfId="1" applyNumberFormat="1" applyFont="1" applyFill="1" applyBorder="1"/>
    <xf numFmtId="165" fontId="10" fillId="2" borderId="0" xfId="3" applyNumberFormat="1" applyFont="1" applyFill="1" applyBorder="1"/>
    <xf numFmtId="164" fontId="10" fillId="0" borderId="0" xfId="1" applyNumberFormat="1" applyFont="1" applyFill="1" applyBorder="1"/>
    <xf numFmtId="165" fontId="10" fillId="0" borderId="0" xfId="3" applyNumberFormat="1" applyFont="1" applyFill="1" applyBorder="1"/>
    <xf numFmtId="165" fontId="10" fillId="2" borderId="0" xfId="0" applyNumberFormat="1" applyFont="1" applyFill="1"/>
    <xf numFmtId="164" fontId="10" fillId="2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164" fontId="10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/>
    <xf numFmtId="164" fontId="10" fillId="2" borderId="3" xfId="1" applyNumberFormat="1" applyFont="1" applyFill="1" applyBorder="1"/>
    <xf numFmtId="165" fontId="10" fillId="2" borderId="3" xfId="3" applyNumberFormat="1" applyFont="1" applyFill="1" applyBorder="1"/>
    <xf numFmtId="164" fontId="10" fillId="0" borderId="3" xfId="1" applyNumberFormat="1" applyFont="1" applyFill="1" applyBorder="1"/>
    <xf numFmtId="165" fontId="10" fillId="0" borderId="3" xfId="3" applyNumberFormat="1" applyFont="1" applyFill="1" applyBorder="1"/>
    <xf numFmtId="164" fontId="10" fillId="2" borderId="0" xfId="1" applyNumberFormat="1" applyFont="1" applyFill="1" applyBorder="1" applyAlignment="1">
      <alignment horizontal="right"/>
    </xf>
    <xf numFmtId="165" fontId="10" fillId="2" borderId="0" xfId="1" applyNumberFormat="1" applyFont="1" applyFill="1" applyBorder="1"/>
    <xf numFmtId="164" fontId="10" fillId="0" borderId="0" xfId="1" applyNumberFormat="1" applyFont="1" applyFill="1" applyBorder="1" applyAlignment="1">
      <alignment horizontal="right"/>
    </xf>
    <xf numFmtId="165" fontId="10" fillId="0" borderId="0" xfId="1" applyNumberFormat="1" applyFont="1" applyFill="1" applyBorder="1"/>
    <xf numFmtId="165" fontId="10" fillId="2" borderId="0" xfId="1" applyNumberFormat="1" applyFont="1" applyFill="1"/>
    <xf numFmtId="165" fontId="10" fillId="0" borderId="0" xfId="1" applyNumberFormat="1" applyFont="1" applyFill="1"/>
    <xf numFmtId="164" fontId="10" fillId="2" borderId="0" xfId="1" applyNumberFormat="1" applyFont="1" applyFill="1"/>
    <xf numFmtId="164" fontId="10" fillId="2" borderId="0" xfId="1" applyNumberFormat="1" applyFont="1" applyFill="1" applyBorder="1" applyAlignment="1"/>
    <xf numFmtId="164" fontId="10" fillId="0" borderId="0" xfId="1" applyNumberFormat="1" applyFont="1" applyFill="1" applyBorder="1" applyAlignment="1"/>
    <xf numFmtId="164" fontId="10" fillId="2" borderId="2" xfId="1" applyNumberFormat="1" applyFont="1" applyFill="1" applyBorder="1"/>
    <xf numFmtId="165" fontId="10" fillId="2" borderId="2" xfId="3" applyNumberFormat="1" applyFont="1" applyFill="1" applyBorder="1"/>
    <xf numFmtId="164" fontId="10" fillId="0" borderId="2" xfId="1" applyNumberFormat="1" applyFont="1" applyFill="1" applyBorder="1"/>
    <xf numFmtId="165" fontId="10" fillId="0" borderId="2" xfId="3" applyNumberFormat="1" applyFont="1" applyFill="1" applyBorder="1"/>
    <xf numFmtId="164" fontId="21" fillId="2" borderId="0" xfId="1" applyNumberFormat="1" applyFont="1" applyFill="1" applyBorder="1" applyAlignment="1">
      <alignment horizontal="right"/>
    </xf>
    <xf numFmtId="165" fontId="21" fillId="2" borderId="0" xfId="1" applyNumberFormat="1" applyFont="1" applyFill="1" applyBorder="1"/>
    <xf numFmtId="164" fontId="21" fillId="0" borderId="0" xfId="1" applyNumberFormat="1" applyFont="1" applyFill="1" applyBorder="1" applyAlignment="1">
      <alignment horizontal="right"/>
    </xf>
    <xf numFmtId="165" fontId="21" fillId="0" borderId="0" xfId="1" applyNumberFormat="1" applyFont="1" applyFill="1" applyBorder="1"/>
    <xf numFmtId="164" fontId="21" fillId="2" borderId="3" xfId="1" applyNumberFormat="1" applyFont="1" applyFill="1" applyBorder="1"/>
    <xf numFmtId="165" fontId="21" fillId="2" borderId="3" xfId="3" applyNumberFormat="1" applyFont="1" applyFill="1" applyBorder="1"/>
    <xf numFmtId="164" fontId="21" fillId="0" borderId="3" xfId="1" applyNumberFormat="1" applyFont="1" applyFill="1" applyBorder="1"/>
    <xf numFmtId="165" fontId="21" fillId="0" borderId="3" xfId="3" applyNumberFormat="1" applyFont="1" applyFill="1" applyBorder="1"/>
    <xf numFmtId="164" fontId="21" fillId="2" borderId="0" xfId="1" applyNumberFormat="1" applyFont="1" applyFill="1" applyBorder="1"/>
    <xf numFmtId="165" fontId="21" fillId="2" borderId="0" xfId="3" applyNumberFormat="1" applyFont="1" applyFill="1" applyBorder="1"/>
    <xf numFmtId="164" fontId="21" fillId="0" borderId="0" xfId="1" applyNumberFormat="1" applyFont="1" applyFill="1" applyBorder="1"/>
    <xf numFmtId="165" fontId="21" fillId="0" borderId="0" xfId="3" applyNumberFormat="1" applyFont="1" applyFill="1" applyBorder="1"/>
    <xf numFmtId="0" fontId="10" fillId="2" borderId="0" xfId="0" applyFont="1" applyFill="1"/>
    <xf numFmtId="164" fontId="10" fillId="2" borderId="1" xfId="1" quotePrefix="1" applyNumberFormat="1" applyFont="1" applyFill="1" applyBorder="1" applyAlignment="1">
      <alignment horizontal="right"/>
    </xf>
    <xf numFmtId="164" fontId="10" fillId="0" borderId="1" xfId="1" quotePrefix="1" applyNumberFormat="1" applyFont="1" applyFill="1" applyBorder="1" applyAlignment="1">
      <alignment horizontal="right"/>
    </xf>
    <xf numFmtId="165" fontId="10" fillId="2" borderId="1" xfId="1" applyNumberFormat="1" applyFont="1" applyFill="1" applyBorder="1"/>
    <xf numFmtId="165" fontId="10" fillId="0" borderId="1" xfId="1" applyNumberFormat="1" applyFont="1" applyFill="1" applyBorder="1"/>
    <xf numFmtId="164" fontId="10" fillId="2" borderId="1" xfId="1" applyNumberFormat="1" applyFont="1" applyFill="1" applyBorder="1"/>
    <xf numFmtId="165" fontId="10" fillId="2" borderId="1" xfId="3" applyNumberFormat="1" applyFont="1" applyFill="1" applyBorder="1"/>
    <xf numFmtId="164" fontId="10" fillId="0" borderId="1" xfId="1" applyNumberFormat="1" applyFont="1" applyFill="1" applyBorder="1"/>
    <xf numFmtId="165" fontId="10" fillId="0" borderId="1" xfId="3" applyNumberFormat="1" applyFont="1" applyFill="1" applyBorder="1"/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43" fontId="10" fillId="0" borderId="0" xfId="1" applyFont="1"/>
    <xf numFmtId="164" fontId="10" fillId="0" borderId="0" xfId="1" applyNumberFormat="1" applyFont="1" applyBorder="1"/>
    <xf numFmtId="0" fontId="16" fillId="0" borderId="0" xfId="0" applyFont="1" applyAlignment="1">
      <alignment horizontal="left"/>
    </xf>
    <xf numFmtId="49" fontId="18" fillId="0" borderId="0" xfId="0" applyNumberFormat="1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0" xfId="0" quotePrefix="1" applyNumberFormat="1" applyFont="1" applyAlignment="1">
      <alignment horizontal="left" vertical="center"/>
    </xf>
    <xf numFmtId="165" fontId="10" fillId="0" borderId="0" xfId="0" applyNumberFormat="1" applyFont="1"/>
    <xf numFmtId="43" fontId="10" fillId="0" borderId="0" xfId="0" applyNumberFormat="1" applyFont="1"/>
    <xf numFmtId="49" fontId="10" fillId="0" borderId="0" xfId="0" quotePrefix="1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1" fillId="0" borderId="0" xfId="0" quotePrefix="1" applyNumberFormat="1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/>
    <xf numFmtId="164" fontId="1" fillId="0" borderId="0" xfId="1" applyNumberFormat="1" applyFont="1" applyFill="1"/>
    <xf numFmtId="164" fontId="0" fillId="0" borderId="0" xfId="1" applyNumberFormat="1" applyFont="1" applyAlignment="1">
      <alignment horizontal="center"/>
    </xf>
    <xf numFmtId="0" fontId="0" fillId="0" borderId="1" xfId="0" applyBorder="1"/>
    <xf numFmtId="173" fontId="0" fillId="0" borderId="1" xfId="1" applyNumberFormat="1" applyFont="1" applyBorder="1" applyAlignment="1">
      <alignment horizontal="center"/>
    </xf>
    <xf numFmtId="173" fontId="2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164" fontId="0" fillId="2" borderId="0" xfId="1" applyNumberFormat="1" applyFont="1" applyFill="1"/>
    <xf numFmtId="164" fontId="2" fillId="2" borderId="4" xfId="1" applyNumberFormat="1" applyFont="1" applyFill="1" applyBorder="1"/>
    <xf numFmtId="164" fontId="2" fillId="2" borderId="0" xfId="1" applyNumberFormat="1" applyFont="1" applyFill="1" applyBorder="1"/>
    <xf numFmtId="164" fontId="2" fillId="2" borderId="0" xfId="1" applyNumberFormat="1" applyFont="1" applyFill="1"/>
    <xf numFmtId="164" fontId="2" fillId="0" borderId="5" xfId="1" applyNumberFormat="1" applyFont="1" applyFill="1" applyBorder="1"/>
    <xf numFmtId="164" fontId="2" fillId="0" borderId="0" xfId="1" applyNumberFormat="1" applyFont="1" applyFill="1" applyBorder="1"/>
    <xf numFmtId="164" fontId="2" fillId="2" borderId="5" xfId="1" applyNumberFormat="1" applyFont="1" applyFill="1" applyBorder="1"/>
    <xf numFmtId="164" fontId="2" fillId="0" borderId="0" xfId="1" applyNumberFormat="1" applyFont="1" applyFill="1"/>
    <xf numFmtId="164" fontId="1" fillId="2" borderId="0" xfId="1" applyNumberFormat="1" applyFont="1" applyFill="1"/>
    <xf numFmtId="164" fontId="1" fillId="2" borderId="1" xfId="1" applyNumberFormat="1" applyFont="1" applyFill="1" applyBorder="1"/>
    <xf numFmtId="164" fontId="2" fillId="2" borderId="6" xfId="1" applyNumberFormat="1" applyFont="1" applyFill="1" applyBorder="1"/>
    <xf numFmtId="164" fontId="2" fillId="2" borderId="1" xfId="1" applyNumberFormat="1" applyFont="1" applyFill="1" applyBorder="1"/>
    <xf numFmtId="164" fontId="0" fillId="0" borderId="1" xfId="1" applyNumberFormat="1" applyFont="1" applyFill="1" applyBorder="1"/>
    <xf numFmtId="164" fontId="0" fillId="2" borderId="1" xfId="1" applyNumberFormat="1" applyFont="1" applyFill="1" applyBorder="1"/>
    <xf numFmtId="164" fontId="2" fillId="2" borderId="7" xfId="1" applyNumberFormat="1" applyFont="1" applyFill="1" applyBorder="1"/>
    <xf numFmtId="3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44" fontId="2" fillId="2" borderId="0" xfId="3" applyFont="1" applyFill="1" applyAlignment="1">
      <alignment vertical="center"/>
    </xf>
    <xf numFmtId="165" fontId="2" fillId="2" borderId="1" xfId="3" applyNumberFormat="1" applyFont="1" applyFill="1" applyBorder="1" applyAlignment="1">
      <alignment vertical="center"/>
    </xf>
    <xf numFmtId="165" fontId="2" fillId="2" borderId="0" xfId="3" applyNumberFormat="1" applyFont="1" applyFill="1" applyAlignment="1">
      <alignment vertical="center"/>
    </xf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/>
    </xf>
  </cellXfs>
  <cellStyles count="6">
    <cellStyle name="Comma" xfId="1" builtinId="3"/>
    <cellStyle name="Comma 2" xfId="5" xr:uid="{00000000-0005-0000-0000-000001000000}"/>
    <cellStyle name="Currency" xfId="3" builtinId="4"/>
    <cellStyle name="Normal" xfId="0" builtinId="0"/>
    <cellStyle name="Normal 2" xfId="4" xr:uid="{00000000-0005-0000-0000-000005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="110" zoomScaleNormal="110" workbookViewId="0">
      <selection activeCell="B5" sqref="B5"/>
    </sheetView>
  </sheetViews>
  <sheetFormatPr defaultColWidth="9.140625" defaultRowHeight="15" x14ac:dyDescent="0.25"/>
  <cols>
    <col min="1" max="1" width="9.140625" style="18"/>
    <col min="2" max="2" width="33.7109375" style="18" customWidth="1"/>
    <col min="3" max="3" width="17.85546875" style="18" customWidth="1"/>
    <col min="4" max="5" width="12.7109375" style="18" customWidth="1"/>
    <col min="6" max="6" width="18.42578125" style="18" customWidth="1"/>
    <col min="7" max="8" width="12.7109375" style="18" customWidth="1"/>
    <col min="9" max="9" width="13.7109375" style="18" bestFit="1" customWidth="1"/>
    <col min="10" max="16384" width="9.140625" style="18"/>
  </cols>
  <sheetData>
    <row r="1" spans="1:9" x14ac:dyDescent="0.25">
      <c r="A1" s="17" t="s">
        <v>45</v>
      </c>
    </row>
    <row r="2" spans="1:9" x14ac:dyDescent="0.25">
      <c r="A2" s="17" t="s">
        <v>89</v>
      </c>
    </row>
    <row r="3" spans="1:9" x14ac:dyDescent="0.25">
      <c r="A3" s="17" t="s">
        <v>104</v>
      </c>
    </row>
    <row r="5" spans="1:9" x14ac:dyDescent="0.25">
      <c r="A5" s="42" t="s">
        <v>105</v>
      </c>
      <c r="B5" s="42"/>
      <c r="C5" s="42"/>
      <c r="D5" s="42"/>
      <c r="E5" s="42"/>
      <c r="F5" s="42"/>
      <c r="G5" s="42"/>
    </row>
    <row r="7" spans="1:9" ht="30" x14ac:dyDescent="0.25">
      <c r="E7" s="19"/>
      <c r="F7" s="20">
        <v>2023</v>
      </c>
      <c r="G7" s="21" t="s">
        <v>53</v>
      </c>
      <c r="H7" s="22" t="s">
        <v>102</v>
      </c>
      <c r="I7" s="22" t="s">
        <v>103</v>
      </c>
    </row>
    <row r="8" spans="1:9" x14ac:dyDescent="0.25">
      <c r="A8" s="18">
        <v>1</v>
      </c>
      <c r="B8" s="18" t="s">
        <v>106</v>
      </c>
      <c r="E8" s="23"/>
      <c r="F8" s="45">
        <f>'Sch II 2023'!C12</f>
        <v>3161600.9390769233</v>
      </c>
      <c r="G8" s="17"/>
      <c r="H8" s="24">
        <v>3647933</v>
      </c>
      <c r="I8" s="80">
        <f>+F8-H8</f>
        <v>-486332.0609230767</v>
      </c>
    </row>
    <row r="9" spans="1:9" x14ac:dyDescent="0.25">
      <c r="A9" s="18">
        <v>2</v>
      </c>
      <c r="B9" s="18" t="s">
        <v>38</v>
      </c>
      <c r="E9" s="25"/>
      <c r="F9" s="76"/>
      <c r="G9" s="17"/>
      <c r="I9" s="17"/>
    </row>
    <row r="10" spans="1:9" x14ac:dyDescent="0.25">
      <c r="A10" s="18">
        <v>3</v>
      </c>
      <c r="B10" s="27" t="s">
        <v>39</v>
      </c>
      <c r="E10" s="25"/>
      <c r="F10" s="77">
        <f>ROUND('Sch II 2023'!H12,0)</f>
        <v>-96976</v>
      </c>
      <c r="G10" s="17"/>
      <c r="H10" s="24">
        <v>-54907</v>
      </c>
      <c r="I10" s="34">
        <f t="shared" ref="I10:I11" si="0">+F10-H10</f>
        <v>-42069</v>
      </c>
    </row>
    <row r="11" spans="1:9" x14ac:dyDescent="0.25">
      <c r="A11" s="18">
        <v>4</v>
      </c>
      <c r="B11" s="27" t="s">
        <v>40</v>
      </c>
      <c r="E11" s="25"/>
      <c r="F11" s="78">
        <f>+'Sch II 2023'!H37</f>
        <v>-764624</v>
      </c>
      <c r="G11" s="17"/>
      <c r="H11" s="29">
        <v>-610932</v>
      </c>
      <c r="I11" s="82">
        <f t="shared" si="0"/>
        <v>-153692</v>
      </c>
    </row>
    <row r="12" spans="1:9" x14ac:dyDescent="0.25">
      <c r="A12" s="18">
        <v>5</v>
      </c>
      <c r="B12" s="18" t="s">
        <v>85</v>
      </c>
      <c r="E12" s="25"/>
      <c r="F12" s="77">
        <f t="shared" ref="F12:I12" si="1">SUM(F8:F11)</f>
        <v>2300000.9390769233</v>
      </c>
      <c r="G12" s="17"/>
      <c r="H12" s="26">
        <f t="shared" si="1"/>
        <v>2982094</v>
      </c>
      <c r="I12" s="76">
        <f t="shared" si="1"/>
        <v>-682093.0609230767</v>
      </c>
    </row>
    <row r="13" spans="1:9" x14ac:dyDescent="0.25">
      <c r="E13" s="25"/>
      <c r="F13" s="76"/>
      <c r="G13" s="17"/>
      <c r="I13" s="17"/>
    </row>
    <row r="14" spans="1:9" x14ac:dyDescent="0.25">
      <c r="A14" s="18">
        <v>6</v>
      </c>
      <c r="B14" s="18" t="s">
        <v>107</v>
      </c>
      <c r="E14" s="30"/>
      <c r="F14" s="84">
        <f>+C33</f>
        <v>6.691699999999999E-2</v>
      </c>
      <c r="G14" s="17"/>
      <c r="H14" s="30">
        <v>6.6917500000000005E-2</v>
      </c>
      <c r="I14" s="17"/>
    </row>
    <row r="15" spans="1:9" x14ac:dyDescent="0.25">
      <c r="A15" s="18">
        <v>7</v>
      </c>
      <c r="B15" s="18" t="s">
        <v>114</v>
      </c>
      <c r="E15" s="30"/>
      <c r="F15" s="84">
        <f>+E33</f>
        <v>8.3148778400000012E-2</v>
      </c>
      <c r="G15" s="17"/>
      <c r="H15" s="30"/>
      <c r="I15" s="17"/>
    </row>
    <row r="16" spans="1:9" x14ac:dyDescent="0.25">
      <c r="A16" s="18">
        <v>8</v>
      </c>
      <c r="B16" s="18" t="s">
        <v>152</v>
      </c>
      <c r="E16" s="25"/>
      <c r="F16" s="77"/>
      <c r="G16" s="17"/>
      <c r="H16" s="24">
        <f t="shared" ref="H16" si="2">ROUND(H12*H14,0)</f>
        <v>199554</v>
      </c>
      <c r="I16" s="34"/>
    </row>
    <row r="17" spans="1:9" x14ac:dyDescent="0.25">
      <c r="A17" s="58" t="s">
        <v>115</v>
      </c>
      <c r="B17" s="18" t="s">
        <v>86</v>
      </c>
      <c r="E17" s="31"/>
      <c r="F17" s="79"/>
      <c r="G17" s="17"/>
      <c r="H17" s="32">
        <v>1.339844</v>
      </c>
      <c r="I17" s="83"/>
    </row>
    <row r="18" spans="1:9" x14ac:dyDescent="0.25">
      <c r="A18" s="18">
        <v>9</v>
      </c>
      <c r="B18" s="18" t="s">
        <v>46</v>
      </c>
      <c r="E18" s="23"/>
      <c r="F18" s="45">
        <f>+F15*F12</f>
        <v>191242.26840309903</v>
      </c>
      <c r="G18" s="45">
        <f>E18+F18</f>
        <v>191242.26840309903</v>
      </c>
      <c r="H18" s="24">
        <f t="shared" ref="H18" si="3">ROUND(H16*H17,0)</f>
        <v>267371</v>
      </c>
      <c r="I18" s="34">
        <f>+G18-H18</f>
        <v>-76128.731596900965</v>
      </c>
    </row>
    <row r="19" spans="1:9" x14ac:dyDescent="0.25">
      <c r="A19" s="18">
        <v>10</v>
      </c>
      <c r="B19" s="18" t="s">
        <v>59</v>
      </c>
      <c r="E19" s="33"/>
      <c r="F19" s="80"/>
      <c r="G19" s="81">
        <f>'Schedule III'!C36</f>
        <v>144358.6250945077</v>
      </c>
      <c r="H19" s="29">
        <v>118248</v>
      </c>
      <c r="I19" s="82">
        <f>+G19-H19</f>
        <v>26110.625094507704</v>
      </c>
    </row>
    <row r="20" spans="1:9" x14ac:dyDescent="0.25">
      <c r="A20" s="18">
        <v>11</v>
      </c>
      <c r="B20" s="18" t="s">
        <v>47</v>
      </c>
      <c r="E20" s="23"/>
      <c r="F20" s="34"/>
      <c r="G20" s="45">
        <f>G18+G19</f>
        <v>335600.89349760674</v>
      </c>
      <c r="H20" s="24">
        <f>H18+H19</f>
        <v>385619</v>
      </c>
      <c r="I20" s="34">
        <f>+G20-H20</f>
        <v>-50018.106502393261</v>
      </c>
    </row>
    <row r="21" spans="1:9" x14ac:dyDescent="0.25">
      <c r="E21" s="24"/>
      <c r="F21" s="24"/>
      <c r="G21" s="34"/>
    </row>
    <row r="22" spans="1:9" s="60" customFormat="1" ht="75" x14ac:dyDescent="0.25">
      <c r="C22" s="61" t="s">
        <v>116</v>
      </c>
      <c r="D22" s="61" t="s">
        <v>117</v>
      </c>
      <c r="E22" s="61" t="s">
        <v>150</v>
      </c>
      <c r="F22" s="62" t="s">
        <v>120</v>
      </c>
      <c r="G22" s="61" t="s">
        <v>151</v>
      </c>
      <c r="H22" s="61" t="s">
        <v>118</v>
      </c>
      <c r="I22" s="61" t="s">
        <v>119</v>
      </c>
    </row>
    <row r="23" spans="1:9" x14ac:dyDescent="0.25">
      <c r="A23" s="18">
        <v>12</v>
      </c>
      <c r="B23" s="27" t="s">
        <v>4</v>
      </c>
      <c r="C23" s="24">
        <v>17392991</v>
      </c>
      <c r="D23" s="37">
        <f>C23/C27</f>
        <v>0.51393343008827819</v>
      </c>
      <c r="E23" s="46">
        <f>ROUND(D23*I$20,0)</f>
        <v>-25706</v>
      </c>
      <c r="F23" s="43">
        <v>585698</v>
      </c>
      <c r="G23" s="48">
        <f>E23/F23</f>
        <v>-4.388951302548412E-2</v>
      </c>
      <c r="H23" s="38">
        <v>0.37189</v>
      </c>
      <c r="I23" s="59">
        <f>+H23+G23</f>
        <v>0.32800048697451589</v>
      </c>
    </row>
    <row r="24" spans="1:9" x14ac:dyDescent="0.25">
      <c r="A24" s="18">
        <v>13</v>
      </c>
      <c r="B24" s="27" t="s">
        <v>5</v>
      </c>
      <c r="C24" s="26">
        <v>5243155</v>
      </c>
      <c r="D24" s="37">
        <f>C24/C27</f>
        <v>0.15492635128912022</v>
      </c>
      <c r="E24" s="46">
        <f t="shared" ref="E24:E26" si="4">ROUND(D24*I$20,0)</f>
        <v>-7749</v>
      </c>
      <c r="F24" s="43">
        <v>313333</v>
      </c>
      <c r="G24" s="48">
        <f>E24/F24</f>
        <v>-2.4730877373273803E-2</v>
      </c>
      <c r="H24" s="38">
        <v>0.23741000000000001</v>
      </c>
      <c r="I24" s="59">
        <f t="shared" ref="I24:I26" si="5">+H24+G24</f>
        <v>0.2126791226267262</v>
      </c>
    </row>
    <row r="25" spans="1:9" x14ac:dyDescent="0.25">
      <c r="A25" s="18">
        <v>14</v>
      </c>
      <c r="B25" s="27" t="s">
        <v>6</v>
      </c>
      <c r="C25" s="25">
        <v>9236757</v>
      </c>
      <c r="D25" s="39">
        <f>C25/C27</f>
        <v>0.27293052746947977</v>
      </c>
      <c r="E25" s="46">
        <f t="shared" si="4"/>
        <v>-13651</v>
      </c>
      <c r="F25" s="63">
        <v>1037346</v>
      </c>
      <c r="G25" s="48">
        <f>E25/F25</f>
        <v>-1.3159543681664556E-2</v>
      </c>
      <c r="H25" s="38">
        <v>0.15284</v>
      </c>
      <c r="I25" s="59">
        <f t="shared" si="5"/>
        <v>0.13968045631833545</v>
      </c>
    </row>
    <row r="26" spans="1:9" x14ac:dyDescent="0.25">
      <c r="A26" s="18">
        <v>15</v>
      </c>
      <c r="B26" s="27" t="s">
        <v>7</v>
      </c>
      <c r="C26" s="28">
        <v>1969984</v>
      </c>
      <c r="D26" s="40">
        <f>C26/C27</f>
        <v>5.820969115312178E-2</v>
      </c>
      <c r="E26" s="47">
        <f t="shared" si="4"/>
        <v>-2912</v>
      </c>
      <c r="F26" s="44">
        <v>745969</v>
      </c>
      <c r="G26" s="48">
        <f>E26/F26</f>
        <v>-3.9036474706053469E-3</v>
      </c>
      <c r="H26" s="38">
        <v>5.0509999999999999E-2</v>
      </c>
      <c r="I26" s="59">
        <f t="shared" si="5"/>
        <v>4.660635252939465E-2</v>
      </c>
    </row>
    <row r="27" spans="1:9" x14ac:dyDescent="0.25">
      <c r="A27" s="18">
        <v>16</v>
      </c>
      <c r="B27" s="18" t="s">
        <v>53</v>
      </c>
      <c r="C27" s="24">
        <f>SUM(C23:C26)</f>
        <v>33842887</v>
      </c>
      <c r="D27" s="37">
        <f>SUM(D23:D26)</f>
        <v>1</v>
      </c>
      <c r="E27" s="46">
        <f>SUM(E23:E26)</f>
        <v>-50018</v>
      </c>
      <c r="F27" s="43">
        <f>SUM(F23:F26)</f>
        <v>2682346</v>
      </c>
      <c r="G27" s="41"/>
      <c r="I27" s="25"/>
    </row>
    <row r="29" spans="1:9" ht="60" x14ac:dyDescent="0.25">
      <c r="C29" s="53" t="s">
        <v>108</v>
      </c>
      <c r="D29" s="53" t="s">
        <v>109</v>
      </c>
      <c r="E29" s="53" t="s">
        <v>110</v>
      </c>
    </row>
    <row r="30" spans="1:9" x14ac:dyDescent="0.25">
      <c r="A30" s="18">
        <v>17</v>
      </c>
      <c r="B30" s="18" t="s">
        <v>111</v>
      </c>
      <c r="C30" s="54">
        <v>4.7445000000000001E-2</v>
      </c>
      <c r="D30" s="55">
        <v>1.3398399999999999</v>
      </c>
      <c r="E30" s="54">
        <f>+C30*D30</f>
        <v>6.3568708799999998E-2</v>
      </c>
    </row>
    <row r="31" spans="1:9" x14ac:dyDescent="0.25">
      <c r="A31" s="18">
        <v>18</v>
      </c>
      <c r="B31" s="18" t="s">
        <v>112</v>
      </c>
      <c r="C31" s="54">
        <v>1.9296000000000001E-2</v>
      </c>
      <c r="D31" s="55">
        <v>1.0055499999999999</v>
      </c>
      <c r="E31" s="54">
        <f t="shared" ref="E31:E32" si="6">+C31*D31</f>
        <v>1.9403092800000001E-2</v>
      </c>
    </row>
    <row r="32" spans="1:9" x14ac:dyDescent="0.25">
      <c r="A32" s="18">
        <v>19</v>
      </c>
      <c r="B32" s="18" t="s">
        <v>113</v>
      </c>
      <c r="C32" s="56">
        <v>1.76E-4</v>
      </c>
      <c r="D32" s="55">
        <v>1.0055499999999999</v>
      </c>
      <c r="E32" s="56">
        <f t="shared" si="6"/>
        <v>1.769768E-4</v>
      </c>
    </row>
    <row r="33" spans="1:5" x14ac:dyDescent="0.25">
      <c r="A33" s="18">
        <v>20</v>
      </c>
      <c r="B33" s="18" t="s">
        <v>53</v>
      </c>
      <c r="C33" s="57">
        <f>SUM(C30:C32)</f>
        <v>6.691699999999999E-2</v>
      </c>
      <c r="D33" s="54"/>
      <c r="E33" s="57">
        <f>SUM(E30:E32)</f>
        <v>8.3148778400000012E-2</v>
      </c>
    </row>
  </sheetData>
  <pageMargins left="0.7" right="0.7" top="0.75" bottom="0.75" header="0.3" footer="0.3"/>
  <pageSetup scale="84" orientation="landscape" r:id="rId1"/>
  <headerFooter>
    <oddHeader>&amp;L&amp;"-,Bold"Delta Natural Gas Company, Inc.&amp;RSchedule 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1"/>
  <sheetViews>
    <sheetView topLeftCell="A6" zoomScaleNormal="100" workbookViewId="0">
      <selection activeCell="M34" sqref="M34"/>
    </sheetView>
  </sheetViews>
  <sheetFormatPr defaultColWidth="9.140625" defaultRowHeight="15" x14ac:dyDescent="0.25"/>
  <cols>
    <col min="1" max="1" width="3" style="87" customWidth="1"/>
    <col min="2" max="2" width="18.5703125" style="87" bestFit="1" customWidth="1"/>
    <col min="3" max="3" width="11.140625" style="87" bestFit="1" customWidth="1"/>
    <col min="4" max="4" width="13.7109375" style="87" bestFit="1" customWidth="1"/>
    <col min="5" max="5" width="14" style="87" bestFit="1" customWidth="1"/>
    <col min="6" max="6" width="12.7109375" style="87" customWidth="1"/>
    <col min="7" max="7" width="12.5703125" style="87" bestFit="1" customWidth="1"/>
    <col min="8" max="8" width="13.28515625" style="87" bestFit="1" customWidth="1"/>
    <col min="9" max="9" width="2.7109375" style="87" customWidth="1"/>
    <col min="10" max="10" width="10.7109375" style="87" customWidth="1"/>
    <col min="11" max="11" width="8.140625" style="87" bestFit="1" customWidth="1"/>
    <col min="12" max="12" width="9.85546875" style="87" bestFit="1" customWidth="1"/>
    <col min="13" max="14" width="11.28515625" style="87" bestFit="1" customWidth="1"/>
    <col min="15" max="15" width="8.42578125" style="87" bestFit="1" customWidth="1"/>
    <col min="16" max="16" width="11.28515625" style="87" bestFit="1" customWidth="1"/>
    <col min="17" max="17" width="2.7109375" style="87" customWidth="1"/>
    <col min="18" max="18" width="9.140625" style="87" bestFit="1" customWidth="1"/>
    <col min="19" max="16384" width="9.140625" style="87"/>
  </cols>
  <sheetData>
    <row r="1" spans="1:18" x14ac:dyDescent="0.25">
      <c r="A1" s="85" t="s">
        <v>20</v>
      </c>
      <c r="B1" s="86"/>
      <c r="C1" s="85">
        <v>2023</v>
      </c>
      <c r="R1" s="228" t="s">
        <v>165</v>
      </c>
    </row>
    <row r="2" spans="1:18" x14ac:dyDescent="0.25">
      <c r="A2" s="85" t="s">
        <v>41</v>
      </c>
      <c r="D2" s="88"/>
      <c r="F2" s="229" t="s">
        <v>29</v>
      </c>
      <c r="G2" s="229"/>
      <c r="H2" s="229"/>
    </row>
    <row r="3" spans="1:18" x14ac:dyDescent="0.25">
      <c r="D3" s="88" t="s">
        <v>31</v>
      </c>
      <c r="G3" s="88"/>
      <c r="J3" s="88" t="s">
        <v>28</v>
      </c>
    </row>
    <row r="4" spans="1:18" x14ac:dyDescent="0.25">
      <c r="C4" s="88">
        <v>2023</v>
      </c>
      <c r="D4" s="88" t="s">
        <v>19</v>
      </c>
      <c r="F4" s="88"/>
      <c r="G4" s="88" t="s">
        <v>2</v>
      </c>
      <c r="H4" s="88"/>
      <c r="J4" s="88" t="s">
        <v>36</v>
      </c>
      <c r="O4" s="88" t="s">
        <v>54</v>
      </c>
      <c r="P4" s="88" t="s">
        <v>54</v>
      </c>
    </row>
    <row r="5" spans="1:18" x14ac:dyDescent="0.25">
      <c r="C5" s="89" t="s">
        <v>15</v>
      </c>
      <c r="D5" s="89">
        <v>1</v>
      </c>
      <c r="F5" s="89" t="s">
        <v>16</v>
      </c>
      <c r="G5" s="89" t="s">
        <v>11</v>
      </c>
      <c r="H5" s="89" t="s">
        <v>17</v>
      </c>
      <c r="J5" s="89" t="s">
        <v>37</v>
      </c>
      <c r="O5" s="89" t="s">
        <v>8</v>
      </c>
      <c r="P5" s="89" t="s">
        <v>10</v>
      </c>
    </row>
    <row r="6" spans="1:18" x14ac:dyDescent="0.25">
      <c r="A6" s="87">
        <v>1</v>
      </c>
      <c r="B6" s="87" t="s">
        <v>42</v>
      </c>
      <c r="C6" s="90">
        <f>+'Schedule IV 2023 Monthly'!Q19</f>
        <v>2581885.019230769</v>
      </c>
      <c r="D6" s="91">
        <v>3.1E-2</v>
      </c>
      <c r="F6" s="92">
        <v>0</v>
      </c>
      <c r="G6" s="90">
        <f>ROUND(IF(D$5=1,-D6*C6,-D6*C6),0)</f>
        <v>-80038</v>
      </c>
      <c r="H6" s="90">
        <f t="shared" ref="H6:H11" si="0">SUM(F6:G6)</f>
        <v>-80038</v>
      </c>
      <c r="I6" s="93"/>
      <c r="J6" s="94">
        <f t="shared" ref="J6:J11" si="1">C6+H6</f>
        <v>2501847.019230769</v>
      </c>
      <c r="O6" s="95">
        <v>1E-4</v>
      </c>
      <c r="P6" s="96">
        <f>ROUND(IF(D$5=1,-O6*C6,-O6*C6),0)</f>
        <v>-258</v>
      </c>
    </row>
    <row r="7" spans="1:18" x14ac:dyDescent="0.25">
      <c r="A7" s="87">
        <v>2</v>
      </c>
      <c r="B7" s="87" t="s">
        <v>0</v>
      </c>
      <c r="C7" s="90">
        <f>+'Schedule IV 2023 Monthly'!Q22</f>
        <v>259059.28461538468</v>
      </c>
      <c r="D7" s="91">
        <v>2.9000000000000001E-2</v>
      </c>
      <c r="F7" s="92">
        <v>0</v>
      </c>
      <c r="G7" s="90">
        <f>ROUND(IF(D$5=1,-D7*C7,-D7*C7),0)</f>
        <v>-7513</v>
      </c>
      <c r="H7" s="90">
        <f t="shared" si="0"/>
        <v>-7513</v>
      </c>
      <c r="I7" s="93"/>
      <c r="J7" s="94">
        <f t="shared" si="1"/>
        <v>251546.28461538468</v>
      </c>
      <c r="O7" s="95">
        <v>2.0000000000000001E-4</v>
      </c>
      <c r="P7" s="94">
        <f>ROUND(IF(D$5=1,-O7*C7,-O7*C7),0)</f>
        <v>-52</v>
      </c>
    </row>
    <row r="8" spans="1:18" x14ac:dyDescent="0.25">
      <c r="A8" s="87">
        <v>3</v>
      </c>
      <c r="B8" s="87" t="s">
        <v>1</v>
      </c>
      <c r="C8" s="90">
        <f>+'Schedule IV 2023 Monthly'!Q25</f>
        <v>258937.09676923073</v>
      </c>
      <c r="D8" s="91">
        <v>3.1E-2</v>
      </c>
      <c r="F8" s="92">
        <v>0</v>
      </c>
      <c r="G8" s="90">
        <f>ROUND(IF(D$5=1,-D8*C8,-D8*C8),0)</f>
        <v>-8027</v>
      </c>
      <c r="H8" s="90">
        <f t="shared" si="0"/>
        <v>-8027</v>
      </c>
      <c r="I8" s="93"/>
      <c r="J8" s="94">
        <f t="shared" si="1"/>
        <v>250910.09676923073</v>
      </c>
      <c r="O8" s="95">
        <v>4.1999999999999997E-3</v>
      </c>
      <c r="P8" s="94">
        <f>ROUND(IF(D$5=1,-O8*C8,-O8*C8),0)</f>
        <v>-1088</v>
      </c>
    </row>
    <row r="9" spans="1:18" x14ac:dyDescent="0.25">
      <c r="A9" s="87">
        <v>4</v>
      </c>
      <c r="B9" s="87" t="s">
        <v>13</v>
      </c>
      <c r="C9" s="92"/>
      <c r="D9" s="91">
        <v>2.2499999999999999E-2</v>
      </c>
      <c r="F9" s="92">
        <v>0</v>
      </c>
      <c r="G9" s="90">
        <f>ROUND(IF(D$5=1,-0.5*D9*C9,-D9*C9),0)</f>
        <v>0</v>
      </c>
      <c r="H9" s="90">
        <f t="shared" si="0"/>
        <v>0</v>
      </c>
      <c r="I9" s="93"/>
      <c r="J9" s="94">
        <f t="shared" si="1"/>
        <v>0</v>
      </c>
      <c r="O9" s="95">
        <v>0</v>
      </c>
      <c r="P9" s="94">
        <f>IF(D$5=1,-0.5*O9*C9,-O9*C9)</f>
        <v>0</v>
      </c>
    </row>
    <row r="10" spans="1:18" x14ac:dyDescent="0.25">
      <c r="A10" s="87">
        <v>5</v>
      </c>
      <c r="B10" s="87" t="s">
        <v>12</v>
      </c>
      <c r="C10" s="92"/>
      <c r="D10" s="91">
        <v>2.1000000000000001E-2</v>
      </c>
      <c r="F10" s="92">
        <v>0</v>
      </c>
      <c r="G10" s="90">
        <f>ROUND(IF(D$5=1,-0.5*D10*C10,-D10*C10),0)</f>
        <v>0</v>
      </c>
      <c r="H10" s="90">
        <f t="shared" si="0"/>
        <v>0</v>
      </c>
      <c r="I10" s="93"/>
      <c r="J10" s="94">
        <f t="shared" si="1"/>
        <v>0</v>
      </c>
      <c r="O10" s="95">
        <v>0</v>
      </c>
      <c r="P10" s="94">
        <f>IF(D$5=1,-0.5*O10*C10,-O10*C10)</f>
        <v>0</v>
      </c>
    </row>
    <row r="11" spans="1:18" x14ac:dyDescent="0.25">
      <c r="A11" s="87">
        <v>6</v>
      </c>
      <c r="B11" s="87" t="s">
        <v>50</v>
      </c>
      <c r="C11" s="97">
        <f>+'Schedule IV 2023 Monthly'!Q6</f>
        <v>61719.538461538461</v>
      </c>
      <c r="D11" s="98" t="s">
        <v>49</v>
      </c>
      <c r="F11" s="64">
        <v>0</v>
      </c>
      <c r="G11" s="97">
        <f>P12</f>
        <v>-1398</v>
      </c>
      <c r="H11" s="97">
        <f t="shared" si="0"/>
        <v>-1398</v>
      </c>
      <c r="I11" s="93"/>
      <c r="J11" s="99">
        <f t="shared" si="1"/>
        <v>60321.538461538461</v>
      </c>
      <c r="O11" s="100">
        <v>0</v>
      </c>
      <c r="P11" s="99">
        <f>IF(D$5=1,-0.5*O11*C11,-O11*C11)</f>
        <v>0</v>
      </c>
    </row>
    <row r="12" spans="1:18" x14ac:dyDescent="0.25">
      <c r="C12" s="90">
        <f>SUM(C6:C11)</f>
        <v>3161600.9390769233</v>
      </c>
      <c r="D12" s="92"/>
      <c r="F12" s="92">
        <f>SUM(F5:F11)</f>
        <v>0</v>
      </c>
      <c r="G12" s="90">
        <f>SUM(G5:G11)</f>
        <v>-96976</v>
      </c>
      <c r="H12" s="90">
        <f>SUM(H5:H11)</f>
        <v>-96976</v>
      </c>
      <c r="I12" s="93"/>
      <c r="J12" s="94">
        <f>SUM(J6:J11)</f>
        <v>3064624.9390769233</v>
      </c>
      <c r="O12" s="101"/>
      <c r="P12" s="96">
        <f>SUM(P5:P11)</f>
        <v>-1398</v>
      </c>
    </row>
    <row r="13" spans="1:18" x14ac:dyDescent="0.25">
      <c r="C13" s="92"/>
      <c r="D13" s="92"/>
      <c r="E13" s="92"/>
      <c r="F13" s="92"/>
      <c r="M13" s="88"/>
    </row>
    <row r="14" spans="1:18" x14ac:dyDescent="0.25">
      <c r="M14" s="88"/>
    </row>
    <row r="15" spans="1:18" x14ac:dyDescent="0.25">
      <c r="D15" s="88"/>
    </row>
    <row r="16" spans="1:18" x14ac:dyDescent="0.25">
      <c r="A16" s="18"/>
      <c r="B16" s="18"/>
      <c r="C16" s="18"/>
      <c r="D16" s="35" t="s">
        <v>23</v>
      </c>
      <c r="E16" s="18"/>
      <c r="F16" s="18"/>
      <c r="G16" s="102">
        <v>0</v>
      </c>
      <c r="H16" s="18"/>
      <c r="I16" s="18"/>
      <c r="J16" s="103"/>
      <c r="K16" s="35" t="s">
        <v>18</v>
      </c>
      <c r="L16" s="230" t="s">
        <v>30</v>
      </c>
      <c r="M16" s="230"/>
      <c r="N16" s="230"/>
      <c r="O16" s="230"/>
      <c r="P16" s="230"/>
      <c r="Q16" s="18"/>
      <c r="R16" s="35" t="s">
        <v>9</v>
      </c>
    </row>
    <row r="17" spans="1:18" x14ac:dyDescent="0.25">
      <c r="A17" s="18"/>
      <c r="B17" s="18"/>
      <c r="C17" s="35" t="s">
        <v>28</v>
      </c>
      <c r="D17" s="35" t="s">
        <v>11</v>
      </c>
      <c r="E17" s="35" t="s">
        <v>9</v>
      </c>
      <c r="F17" s="35" t="s">
        <v>9</v>
      </c>
      <c r="G17" s="35" t="s">
        <v>22</v>
      </c>
      <c r="H17" s="35" t="s">
        <v>26</v>
      </c>
      <c r="I17" s="18"/>
      <c r="J17" s="35"/>
      <c r="K17" s="35" t="s">
        <v>21</v>
      </c>
      <c r="L17" s="35"/>
      <c r="M17" s="35" t="s">
        <v>9</v>
      </c>
      <c r="N17" s="35" t="s">
        <v>22</v>
      </c>
      <c r="O17" s="35" t="s">
        <v>18</v>
      </c>
      <c r="P17" s="35"/>
      <c r="Q17" s="18"/>
      <c r="R17" s="35" t="s">
        <v>36</v>
      </c>
    </row>
    <row r="18" spans="1:18" x14ac:dyDescent="0.25">
      <c r="A18" s="18"/>
      <c r="B18" s="18"/>
      <c r="C18" s="36" t="s">
        <v>15</v>
      </c>
      <c r="D18" s="36" t="s">
        <v>24</v>
      </c>
      <c r="E18" s="36" t="s">
        <v>11</v>
      </c>
      <c r="F18" s="36" t="s">
        <v>25</v>
      </c>
      <c r="G18" s="36" t="s">
        <v>2</v>
      </c>
      <c r="H18" s="36" t="s">
        <v>27</v>
      </c>
      <c r="I18" s="18"/>
      <c r="J18" s="36" t="s">
        <v>14</v>
      </c>
      <c r="K18" s="36">
        <f>D5</f>
        <v>1</v>
      </c>
      <c r="L18" s="36" t="s">
        <v>16</v>
      </c>
      <c r="M18" s="36" t="s">
        <v>11</v>
      </c>
      <c r="N18" s="36" t="s">
        <v>10</v>
      </c>
      <c r="O18" s="36" t="s">
        <v>10</v>
      </c>
      <c r="P18" s="36" t="s">
        <v>17</v>
      </c>
      <c r="Q18" s="18"/>
      <c r="R18" s="36" t="s">
        <v>37</v>
      </c>
    </row>
    <row r="19" spans="1:18" x14ac:dyDescent="0.25">
      <c r="A19" s="18">
        <v>7</v>
      </c>
      <c r="B19" s="18" t="s">
        <v>42</v>
      </c>
      <c r="C19" s="43">
        <f t="shared" ref="C19:C24" si="2">C6</f>
        <v>2581885.019230769</v>
      </c>
      <c r="D19" s="49">
        <v>1</v>
      </c>
      <c r="E19" s="43">
        <f>ROUND(C19*-D19,0)</f>
        <v>-2581885</v>
      </c>
      <c r="F19" s="43">
        <f>C19+E19</f>
        <v>1.9230769015848637E-2</v>
      </c>
      <c r="G19" s="43">
        <f t="shared" ref="G19:G24" si="3">ROUND(F19*-$G$16,0)</f>
        <v>0</v>
      </c>
      <c r="H19" s="77">
        <f t="shared" ref="H19:H24" si="4">F19+G19</f>
        <v>1.9230769015848637E-2</v>
      </c>
      <c r="I19" s="18"/>
      <c r="J19" s="18">
        <v>15</v>
      </c>
      <c r="K19" s="105">
        <f>IFERROR(VLOOKUP(J19,'Tax Rates'!$A$1:$AA$12,$K$18+1,FALSE),0)</f>
        <v>0.05</v>
      </c>
      <c r="L19" s="76">
        <v>0</v>
      </c>
      <c r="M19" s="104">
        <f t="shared" ref="M19:M24" si="5">E19</f>
        <v>-2581885</v>
      </c>
      <c r="N19" s="104">
        <f t="shared" ref="N19:N24" si="6">G19</f>
        <v>0</v>
      </c>
      <c r="O19" s="43">
        <f>ROUND(K19*-H19,0)</f>
        <v>0</v>
      </c>
      <c r="P19" s="77">
        <f t="shared" ref="P19:P24" si="7">SUM(L19:O19)</f>
        <v>-2581885</v>
      </c>
      <c r="Q19" s="42"/>
      <c r="R19" s="104">
        <f>C19+P19</f>
        <v>1.9230769015848637E-2</v>
      </c>
    </row>
    <row r="20" spans="1:18" x14ac:dyDescent="0.25">
      <c r="A20" s="18">
        <v>8</v>
      </c>
      <c r="B20" s="18" t="s">
        <v>0</v>
      </c>
      <c r="C20" s="63">
        <f t="shared" si="2"/>
        <v>259059.28461538468</v>
      </c>
      <c r="D20" s="49">
        <v>1</v>
      </c>
      <c r="E20" s="43">
        <f>ROUND(C20*-D20,0)</f>
        <v>-259059</v>
      </c>
      <c r="F20" s="43">
        <f>C20+E20</f>
        <v>0.28461538467672653</v>
      </c>
      <c r="G20" s="43">
        <f t="shared" si="3"/>
        <v>0</v>
      </c>
      <c r="H20" s="77">
        <f t="shared" si="4"/>
        <v>0.28461538467672653</v>
      </c>
      <c r="I20" s="18"/>
      <c r="J20" s="18">
        <v>15</v>
      </c>
      <c r="K20" s="105">
        <f>IFERROR(VLOOKUP(J20,'Tax Rates'!$A$1:$AA$12,$K$18+1,FALSE),0)</f>
        <v>0.05</v>
      </c>
      <c r="L20" s="76">
        <v>0</v>
      </c>
      <c r="M20" s="104">
        <f t="shared" si="5"/>
        <v>-259059</v>
      </c>
      <c r="N20" s="104">
        <f t="shared" si="6"/>
        <v>0</v>
      </c>
      <c r="O20" s="43">
        <f>ROUND(K20*-H20,0)</f>
        <v>0</v>
      </c>
      <c r="P20" s="77">
        <f t="shared" si="7"/>
        <v>-259059</v>
      </c>
      <c r="Q20" s="42"/>
      <c r="R20" s="104">
        <f>C20+P20</f>
        <v>0.28461538467672653</v>
      </c>
    </row>
    <row r="21" spans="1:18" x14ac:dyDescent="0.25">
      <c r="A21" s="18">
        <v>9</v>
      </c>
      <c r="B21" s="18" t="s">
        <v>1</v>
      </c>
      <c r="C21" s="63">
        <f t="shared" si="2"/>
        <v>258937.09676923073</v>
      </c>
      <c r="D21" s="15">
        <v>1</v>
      </c>
      <c r="E21" s="43">
        <f>ROUND(C21*-D21,0)</f>
        <v>-258937</v>
      </c>
      <c r="F21" s="43">
        <f>C21+E21</f>
        <v>9.6769230731297284E-2</v>
      </c>
      <c r="G21" s="63">
        <f t="shared" si="3"/>
        <v>0</v>
      </c>
      <c r="H21" s="77">
        <f t="shared" si="4"/>
        <v>9.6769230731297284E-2</v>
      </c>
      <c r="I21" s="18"/>
      <c r="J21" s="18">
        <v>20</v>
      </c>
      <c r="K21" s="105">
        <f>IFERROR(VLOOKUP(J21,'Tax Rates'!$A$1:$AA$12,$K$18+1,FALSE),0)</f>
        <v>3.7499999999999999E-2</v>
      </c>
      <c r="L21" s="76">
        <v>0</v>
      </c>
      <c r="M21" s="104">
        <f t="shared" si="5"/>
        <v>-258937</v>
      </c>
      <c r="N21" s="104">
        <f t="shared" si="6"/>
        <v>0</v>
      </c>
      <c r="O21" s="43">
        <f>ROUND(K21*-H21,0)</f>
        <v>0</v>
      </c>
      <c r="P21" s="77">
        <f t="shared" si="7"/>
        <v>-258937</v>
      </c>
      <c r="Q21" s="42"/>
      <c r="R21" s="104">
        <f>C21+P21</f>
        <v>9.6769230731297284E-2</v>
      </c>
    </row>
    <row r="22" spans="1:18" x14ac:dyDescent="0.25">
      <c r="A22" s="18">
        <v>10</v>
      </c>
      <c r="B22" s="18" t="s">
        <v>13</v>
      </c>
      <c r="C22" s="25">
        <f t="shared" si="2"/>
        <v>0</v>
      </c>
      <c r="D22" s="15">
        <v>0</v>
      </c>
      <c r="E22" s="43">
        <f>ROUND(C22*-D22,0)</f>
        <v>0</v>
      </c>
      <c r="F22" s="43">
        <f>C22+E22</f>
        <v>0</v>
      </c>
      <c r="G22" s="63">
        <f t="shared" si="3"/>
        <v>0</v>
      </c>
      <c r="H22" s="77">
        <f t="shared" si="4"/>
        <v>0</v>
      </c>
      <c r="I22" s="18"/>
      <c r="J22" s="18">
        <v>7</v>
      </c>
      <c r="K22" s="105">
        <f>IFERROR(VLOOKUP(J22,'Tax Rates'!$A$1:$AA$12,$K$18+1,FALSE),0)</f>
        <v>0.14285999999999999</v>
      </c>
      <c r="L22" s="76">
        <v>0</v>
      </c>
      <c r="M22" s="104">
        <f t="shared" si="5"/>
        <v>0</v>
      </c>
      <c r="N22" s="104">
        <f t="shared" si="6"/>
        <v>0</v>
      </c>
      <c r="O22" s="43">
        <f>ROUND(K22*-H22,0)</f>
        <v>0</v>
      </c>
      <c r="P22" s="77">
        <f t="shared" si="7"/>
        <v>0</v>
      </c>
      <c r="Q22" s="42"/>
      <c r="R22" s="104">
        <f>C22+P22</f>
        <v>0</v>
      </c>
    </row>
    <row r="23" spans="1:18" x14ac:dyDescent="0.25">
      <c r="A23" s="18">
        <v>11</v>
      </c>
      <c r="B23" s="18" t="s">
        <v>12</v>
      </c>
      <c r="C23" s="25">
        <f t="shared" si="2"/>
        <v>0</v>
      </c>
      <c r="D23" s="15">
        <v>0</v>
      </c>
      <c r="E23" s="43">
        <f>ROUND(C23*-D23,0)</f>
        <v>0</v>
      </c>
      <c r="F23" s="43">
        <f>C23+E23</f>
        <v>0</v>
      </c>
      <c r="G23" s="63">
        <f t="shared" si="3"/>
        <v>0</v>
      </c>
      <c r="H23" s="77">
        <f t="shared" si="4"/>
        <v>0</v>
      </c>
      <c r="I23" s="18"/>
      <c r="J23" s="18">
        <v>15</v>
      </c>
      <c r="K23" s="105">
        <f>IFERROR(VLOOKUP(J23,'Tax Rates'!$A$1:$AA$12,$K$18+1,FALSE),0)</f>
        <v>0.05</v>
      </c>
      <c r="L23" s="76">
        <v>0</v>
      </c>
      <c r="M23" s="104">
        <f t="shared" si="5"/>
        <v>0</v>
      </c>
      <c r="N23" s="104">
        <f t="shared" si="6"/>
        <v>0</v>
      </c>
      <c r="O23" s="43">
        <f>ROUND(K23*-H23,0)</f>
        <v>0</v>
      </c>
      <c r="P23" s="77">
        <f t="shared" si="7"/>
        <v>0</v>
      </c>
      <c r="Q23" s="42"/>
      <c r="R23" s="104">
        <f>C23+P23</f>
        <v>0</v>
      </c>
    </row>
    <row r="24" spans="1:18" x14ac:dyDescent="0.25">
      <c r="A24" s="18">
        <v>12</v>
      </c>
      <c r="B24" s="18" t="s">
        <v>50</v>
      </c>
      <c r="C24" s="44">
        <f t="shared" si="2"/>
        <v>61719.538461538461</v>
      </c>
      <c r="D24" s="106" t="s">
        <v>51</v>
      </c>
      <c r="E24" s="44">
        <v>0</v>
      </c>
      <c r="F24" s="44">
        <v>0</v>
      </c>
      <c r="G24" s="44">
        <f t="shared" si="3"/>
        <v>0</v>
      </c>
      <c r="H24" s="78">
        <f t="shared" si="4"/>
        <v>0</v>
      </c>
      <c r="I24" s="18"/>
      <c r="J24" s="108" t="s">
        <v>51</v>
      </c>
      <c r="K24" s="109" t="s">
        <v>51</v>
      </c>
      <c r="L24" s="110">
        <v>0</v>
      </c>
      <c r="M24" s="107">
        <f t="shared" si="5"/>
        <v>0</v>
      </c>
      <c r="N24" s="111">
        <f t="shared" si="6"/>
        <v>0</v>
      </c>
      <c r="O24" s="44">
        <v>0</v>
      </c>
      <c r="P24" s="78">
        <f t="shared" si="7"/>
        <v>0</v>
      </c>
      <c r="Q24" s="42"/>
      <c r="R24" s="112" t="s">
        <v>51</v>
      </c>
    </row>
    <row r="25" spans="1:18" x14ac:dyDescent="0.25">
      <c r="A25" s="18"/>
      <c r="B25" s="18"/>
      <c r="C25" s="43">
        <f>SUM(C18:C24)</f>
        <v>3161600.9390769233</v>
      </c>
      <c r="D25" s="18"/>
      <c r="E25" s="43">
        <f>SUM(E19:E24)</f>
        <v>-3099881</v>
      </c>
      <c r="F25" s="43">
        <f>SUM(F19:F24)</f>
        <v>0.40061538442387246</v>
      </c>
      <c r="G25" s="43">
        <f>SUM(G19:G24)</f>
        <v>0</v>
      </c>
      <c r="H25" s="77">
        <f>SUM(H19:H24)</f>
        <v>0.40061538442387246</v>
      </c>
      <c r="I25" s="18"/>
      <c r="J25" s="18"/>
      <c r="K25" s="18"/>
      <c r="L25" s="76">
        <f>SUM(L19:L24)</f>
        <v>0</v>
      </c>
      <c r="M25" s="43">
        <f>SUM(M19:M24)</f>
        <v>-3099881</v>
      </c>
      <c r="N25" s="43">
        <f>SUM(N19:N24)</f>
        <v>0</v>
      </c>
      <c r="O25" s="43">
        <f>SUM(O19:O24)</f>
        <v>0</v>
      </c>
      <c r="P25" s="77">
        <f>SUM(P19:P24)</f>
        <v>-3099881</v>
      </c>
      <c r="Q25" s="42"/>
      <c r="R25" s="104">
        <f>SUM(R19:R24)</f>
        <v>0.40061538442387246</v>
      </c>
    </row>
    <row r="26" spans="1:18" x14ac:dyDescent="0.25">
      <c r="A26" s="18"/>
      <c r="B26" s="18"/>
      <c r="C26" s="26"/>
      <c r="D26" s="18"/>
      <c r="E26" s="26"/>
      <c r="F26" s="26"/>
      <c r="G26" s="26"/>
      <c r="H26" s="76"/>
      <c r="I26" s="18"/>
      <c r="J26" s="76"/>
      <c r="K26" s="26"/>
      <c r="L26" s="26"/>
      <c r="M26" s="26"/>
      <c r="N26" s="76"/>
      <c r="O26" s="18"/>
      <c r="P26" s="18"/>
      <c r="Q26" s="18"/>
      <c r="R26" s="18"/>
    </row>
    <row r="27" spans="1:18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8"/>
      <c r="B28" s="18"/>
      <c r="C28" s="18"/>
      <c r="D28" s="18"/>
      <c r="E28" s="26"/>
      <c r="F28" s="35" t="s">
        <v>43</v>
      </c>
      <c r="G28" s="35"/>
      <c r="H28" s="113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8"/>
      <c r="B29" s="18"/>
      <c r="C29" s="18"/>
      <c r="D29" s="230" t="s">
        <v>32</v>
      </c>
      <c r="E29" s="230"/>
      <c r="F29" s="35" t="s">
        <v>34</v>
      </c>
      <c r="G29" s="35" t="s">
        <v>48</v>
      </c>
      <c r="H29" s="35" t="s">
        <v>33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8"/>
      <c r="B30" s="18"/>
      <c r="C30" s="18"/>
      <c r="D30" s="36" t="s">
        <v>28</v>
      </c>
      <c r="E30" s="36" t="s">
        <v>9</v>
      </c>
      <c r="F30" s="36" t="s">
        <v>35</v>
      </c>
      <c r="G30" s="36" t="s">
        <v>8</v>
      </c>
      <c r="H30" s="36" t="s">
        <v>3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8">
        <v>13</v>
      </c>
      <c r="B31" s="18" t="s">
        <v>42</v>
      </c>
      <c r="C31" s="18"/>
      <c r="D31" s="104">
        <f t="shared" ref="D31:D36" si="8">J6</f>
        <v>2501847.019230769</v>
      </c>
      <c r="E31" s="104">
        <f t="shared" ref="E31:E36" si="9">R19</f>
        <v>1.9230769015848637E-2</v>
      </c>
      <c r="F31" s="104">
        <f>E31-D31</f>
        <v>-2501847</v>
      </c>
      <c r="G31" s="113">
        <v>0.2495</v>
      </c>
      <c r="H31" s="104">
        <f>ROUND(F31*G31,0)</f>
        <v>-624211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8">
        <v>14</v>
      </c>
      <c r="B32" s="18" t="s">
        <v>0</v>
      </c>
      <c r="C32" s="18"/>
      <c r="D32" s="104">
        <f t="shared" si="8"/>
        <v>251546.28461538468</v>
      </c>
      <c r="E32" s="104">
        <f t="shared" si="9"/>
        <v>0.28461538467672653</v>
      </c>
      <c r="F32" s="104">
        <f>E32-D32</f>
        <v>-251546</v>
      </c>
      <c r="G32" s="113">
        <f>G31</f>
        <v>0.2495</v>
      </c>
      <c r="H32" s="104">
        <f t="shared" ref="H32:H36" si="10">ROUND(F32*G32,0)</f>
        <v>-62761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8">
        <v>15</v>
      </c>
      <c r="B33" s="18" t="s">
        <v>1</v>
      </c>
      <c r="C33" s="18"/>
      <c r="D33" s="104">
        <f t="shared" si="8"/>
        <v>250910.09676923073</v>
      </c>
      <c r="E33" s="104">
        <f t="shared" si="9"/>
        <v>9.6769230731297284E-2</v>
      </c>
      <c r="F33" s="104">
        <f>E33-D33</f>
        <v>-250910</v>
      </c>
      <c r="G33" s="113">
        <f>G31</f>
        <v>0.2495</v>
      </c>
      <c r="H33" s="104">
        <f t="shared" si="10"/>
        <v>-62602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8">
        <v>16</v>
      </c>
      <c r="B34" s="18" t="s">
        <v>13</v>
      </c>
      <c r="C34" s="18"/>
      <c r="D34" s="104">
        <f t="shared" si="8"/>
        <v>0</v>
      </c>
      <c r="E34" s="104">
        <f t="shared" si="9"/>
        <v>0</v>
      </c>
      <c r="F34" s="104">
        <f>E34-D34</f>
        <v>0</v>
      </c>
      <c r="G34" s="113">
        <f>G31</f>
        <v>0.2495</v>
      </c>
      <c r="H34" s="104">
        <f t="shared" si="10"/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8">
        <v>17</v>
      </c>
      <c r="B35" s="18" t="s">
        <v>12</v>
      </c>
      <c r="C35" s="18"/>
      <c r="D35" s="104">
        <f t="shared" si="8"/>
        <v>0</v>
      </c>
      <c r="E35" s="104">
        <f t="shared" si="9"/>
        <v>0</v>
      </c>
      <c r="F35" s="104">
        <f>E35-D35</f>
        <v>0</v>
      </c>
      <c r="G35" s="113">
        <f>G31</f>
        <v>0.2495</v>
      </c>
      <c r="H35" s="104">
        <f t="shared" si="10"/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8">
        <v>18</v>
      </c>
      <c r="B36" s="18" t="s">
        <v>50</v>
      </c>
      <c r="C36" s="18"/>
      <c r="D36" s="107">
        <f t="shared" si="8"/>
        <v>60321.538461538461</v>
      </c>
      <c r="E36" s="112" t="str">
        <f t="shared" si="9"/>
        <v>NA</v>
      </c>
      <c r="F36" s="107">
        <f>-D36</f>
        <v>-60321.538461538461</v>
      </c>
      <c r="G36" s="114">
        <f>G31</f>
        <v>0.2495</v>
      </c>
      <c r="H36" s="107">
        <f t="shared" si="10"/>
        <v>-15050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8"/>
      <c r="B37" s="18"/>
      <c r="C37" s="18"/>
      <c r="D37" s="104">
        <f>SUM(D31:D36)</f>
        <v>3064624.9390769233</v>
      </c>
      <c r="E37" s="104">
        <f>SUM(E31:E36)</f>
        <v>0.40061538442387246</v>
      </c>
      <c r="F37" s="104">
        <f>SUM(F31:F36)</f>
        <v>-3064624.5384615385</v>
      </c>
      <c r="G37" s="18"/>
      <c r="H37" s="104">
        <f>SUM(H31:H36)</f>
        <v>-764624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9" spans="1:18" x14ac:dyDescent="0.25">
      <c r="B39" s="101"/>
      <c r="D39" s="101"/>
    </row>
    <row r="40" spans="1:18" x14ac:dyDescent="0.25">
      <c r="A40" s="115"/>
      <c r="B40" s="18"/>
      <c r="C40" s="18"/>
      <c r="D40" s="18"/>
    </row>
    <row r="41" spans="1:18" x14ac:dyDescent="0.25">
      <c r="A41" s="115"/>
      <c r="C41" s="18"/>
      <c r="D41" s="18"/>
    </row>
  </sheetData>
  <mergeCells count="3">
    <mergeCell ref="F2:H2"/>
    <mergeCell ref="L16:P16"/>
    <mergeCell ref="D29:E29"/>
  </mergeCells>
  <pageMargins left="0.7" right="0.7" top="0.75" bottom="0.75" header="0.3" footer="0.3"/>
  <pageSetup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8"/>
  <sheetViews>
    <sheetView view="pageBreakPreview" topLeftCell="A21" zoomScaleNormal="80" zoomScaleSheetLayoutView="100" workbookViewId="0">
      <selection activeCell="J33" sqref="J33"/>
    </sheetView>
  </sheetViews>
  <sheetFormatPr defaultColWidth="9.140625" defaultRowHeight="15" x14ac:dyDescent="0.25"/>
  <cols>
    <col min="1" max="1" width="4.7109375" style="4" customWidth="1"/>
    <col min="2" max="2" width="56.42578125" style="4" customWidth="1"/>
    <col min="3" max="3" width="13.42578125" style="4" customWidth="1"/>
    <col min="4" max="4" width="2.7109375" style="4" customWidth="1"/>
    <col min="5" max="5" width="13.7109375" style="4" bestFit="1" customWidth="1"/>
    <col min="6" max="16384" width="9.140625" style="4"/>
  </cols>
  <sheetData>
    <row r="1" spans="1:5" x14ac:dyDescent="0.25">
      <c r="A1" s="3" t="s">
        <v>44</v>
      </c>
      <c r="E1" s="8" t="s">
        <v>79</v>
      </c>
    </row>
    <row r="2" spans="1:5" x14ac:dyDescent="0.25">
      <c r="A2" s="3" t="s">
        <v>56</v>
      </c>
    </row>
    <row r="3" spans="1:5" x14ac:dyDescent="0.25">
      <c r="A3" s="9"/>
      <c r="B3" s="9"/>
      <c r="C3" s="9"/>
      <c r="D3" s="9"/>
      <c r="E3" s="9"/>
    </row>
    <row r="5" spans="1:5" x14ac:dyDescent="0.25">
      <c r="A5" s="3" t="s">
        <v>63</v>
      </c>
    </row>
    <row r="6" spans="1:5" x14ac:dyDescent="0.25">
      <c r="B6" s="3"/>
    </row>
    <row r="7" spans="1:5" ht="30" x14ac:dyDescent="0.25">
      <c r="B7" s="3"/>
      <c r="E7" s="75" t="s">
        <v>102</v>
      </c>
    </row>
    <row r="8" spans="1:5" x14ac:dyDescent="0.25">
      <c r="B8" s="4" t="s">
        <v>97</v>
      </c>
      <c r="C8" s="68">
        <f>-'Sch II 2023'!G12</f>
        <v>96976</v>
      </c>
      <c r="E8" s="5">
        <v>54907</v>
      </c>
    </row>
    <row r="9" spans="1:5" x14ac:dyDescent="0.25">
      <c r="A9" s="9"/>
      <c r="B9" s="9"/>
      <c r="C9" s="69"/>
      <c r="D9" s="9"/>
      <c r="E9" s="9"/>
    </row>
    <row r="10" spans="1:5" x14ac:dyDescent="0.25">
      <c r="C10" s="70"/>
      <c r="D10" s="10"/>
      <c r="E10" s="10"/>
    </row>
    <row r="11" spans="1:5" x14ac:dyDescent="0.25">
      <c r="A11" s="3" t="s">
        <v>57</v>
      </c>
      <c r="C11" s="71"/>
      <c r="D11" s="5"/>
      <c r="E11" s="5"/>
    </row>
    <row r="12" spans="1:5" x14ac:dyDescent="0.25">
      <c r="A12" s="7" t="s">
        <v>55</v>
      </c>
      <c r="B12" s="14" t="s">
        <v>149</v>
      </c>
      <c r="C12" s="3"/>
      <c r="D12" s="3"/>
      <c r="E12" s="5"/>
    </row>
    <row r="13" spans="1:5" x14ac:dyDescent="0.25">
      <c r="B13" s="6" t="s">
        <v>74</v>
      </c>
      <c r="C13" s="227">
        <v>178608968</v>
      </c>
      <c r="E13" s="5">
        <v>168871482</v>
      </c>
    </row>
    <row r="14" spans="1:5" x14ac:dyDescent="0.25">
      <c r="C14" s="72"/>
      <c r="E14" s="5"/>
    </row>
    <row r="15" spans="1:5" x14ac:dyDescent="0.25">
      <c r="B15" s="4" t="s">
        <v>88</v>
      </c>
      <c r="C15" s="50">
        <v>2761500</v>
      </c>
      <c r="E15" s="5">
        <v>2977000</v>
      </c>
    </row>
    <row r="16" spans="1:5" x14ac:dyDescent="0.25">
      <c r="C16" s="72"/>
      <c r="E16" s="5"/>
    </row>
    <row r="17" spans="1:5" x14ac:dyDescent="0.25">
      <c r="B17" s="4" t="s">
        <v>58</v>
      </c>
      <c r="C17" s="73">
        <f>C15/C13</f>
        <v>1.5461149744731742E-2</v>
      </c>
      <c r="E17" s="66">
        <f>E15/E13</f>
        <v>1.7628790632630321E-2</v>
      </c>
    </row>
    <row r="18" spans="1:5" x14ac:dyDescent="0.25">
      <c r="C18" s="72"/>
      <c r="E18" s="5"/>
    </row>
    <row r="19" spans="1:5" x14ac:dyDescent="0.25">
      <c r="B19" s="4" t="s">
        <v>75</v>
      </c>
      <c r="C19" s="51">
        <f>SUM('Sch I Summary'!E8:F10)</f>
        <v>3064624.9390769233</v>
      </c>
      <c r="E19" s="65">
        <v>3593026</v>
      </c>
    </row>
    <row r="20" spans="1:5" x14ac:dyDescent="0.25">
      <c r="C20" s="72"/>
      <c r="E20" s="10"/>
    </row>
    <row r="21" spans="1:5" x14ac:dyDescent="0.25">
      <c r="B21" s="4" t="s">
        <v>76</v>
      </c>
      <c r="C21" s="52">
        <f>C17*C19</f>
        <v>47382.625094507704</v>
      </c>
      <c r="E21" s="67">
        <f>E17*E19</f>
        <v>63340.703091597192</v>
      </c>
    </row>
    <row r="22" spans="1:5" x14ac:dyDescent="0.25">
      <c r="A22" s="9"/>
      <c r="B22" s="9"/>
      <c r="C22" s="74"/>
      <c r="D22" s="9"/>
      <c r="E22" s="65"/>
    </row>
    <row r="23" spans="1:5" x14ac:dyDescent="0.25">
      <c r="C23" s="72"/>
      <c r="E23" s="5"/>
    </row>
    <row r="24" spans="1:5" x14ac:dyDescent="0.25">
      <c r="A24" s="3" t="s">
        <v>159</v>
      </c>
      <c r="B24" s="3"/>
      <c r="C24" s="72"/>
      <c r="E24" s="5"/>
    </row>
    <row r="25" spans="1:5" x14ac:dyDescent="0.25">
      <c r="C25" s="72"/>
      <c r="E25" s="5"/>
    </row>
    <row r="26" spans="1:5" x14ac:dyDescent="0.25">
      <c r="B26" s="4" t="s">
        <v>160</v>
      </c>
      <c r="C26" s="226">
        <v>90819</v>
      </c>
      <c r="E26" s="5"/>
    </row>
    <row r="27" spans="1:5" x14ac:dyDescent="0.25">
      <c r="C27" s="72"/>
      <c r="E27" s="5"/>
    </row>
    <row r="28" spans="1:5" x14ac:dyDescent="0.25">
      <c r="B28" s="4" t="s">
        <v>161</v>
      </c>
      <c r="C28" s="222">
        <v>163775</v>
      </c>
      <c r="E28" s="5"/>
    </row>
    <row r="29" spans="1:5" x14ac:dyDescent="0.25">
      <c r="B29" s="4" t="s">
        <v>162</v>
      </c>
      <c r="C29" s="223">
        <v>10565</v>
      </c>
      <c r="E29" s="5"/>
    </row>
    <row r="30" spans="1:5" x14ac:dyDescent="0.25">
      <c r="B30" s="4" t="s">
        <v>164</v>
      </c>
      <c r="C30" s="224">
        <v>174340</v>
      </c>
      <c r="E30" s="5"/>
    </row>
    <row r="31" spans="1:5" x14ac:dyDescent="0.25">
      <c r="C31" s="72"/>
      <c r="E31" s="5"/>
    </row>
    <row r="32" spans="1:5" x14ac:dyDescent="0.25">
      <c r="B32" s="4" t="s">
        <v>163</v>
      </c>
      <c r="C32" s="225">
        <v>0</v>
      </c>
      <c r="E32" s="5"/>
    </row>
    <row r="33" spans="1:5" x14ac:dyDescent="0.25">
      <c r="A33" s="9"/>
      <c r="B33" s="9"/>
      <c r="C33" s="74"/>
      <c r="D33" s="9"/>
      <c r="E33" s="65"/>
    </row>
    <row r="34" spans="1:5" x14ac:dyDescent="0.25">
      <c r="C34" s="72"/>
      <c r="E34" s="5"/>
    </row>
    <row r="35" spans="1:5" x14ac:dyDescent="0.25">
      <c r="C35" s="72"/>
      <c r="E35" s="5"/>
    </row>
    <row r="36" spans="1:5" x14ac:dyDescent="0.25">
      <c r="A36" s="3" t="s">
        <v>77</v>
      </c>
      <c r="B36" s="3"/>
      <c r="C36" s="52">
        <f>+C21+C8</f>
        <v>144358.6250945077</v>
      </c>
      <c r="E36" s="67">
        <f>+E21+E8</f>
        <v>118247.70309159718</v>
      </c>
    </row>
    <row r="38" spans="1:5" x14ac:dyDescent="0.25">
      <c r="A38" s="7" t="s">
        <v>55</v>
      </c>
      <c r="B38" s="11" t="s">
        <v>78</v>
      </c>
    </row>
  </sheetData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0228-7322-4D27-8260-0422838B5984}">
  <dimension ref="A1:O129"/>
  <sheetViews>
    <sheetView view="pageBreakPreview" topLeftCell="A86" zoomScaleNormal="100" zoomScaleSheetLayoutView="100" workbookViewId="0">
      <selection activeCell="K12" sqref="K12"/>
    </sheetView>
  </sheetViews>
  <sheetFormatPr defaultColWidth="9.140625" defaultRowHeight="12" x14ac:dyDescent="0.2"/>
  <cols>
    <col min="1" max="1" width="14.140625" style="117" customWidth="1"/>
    <col min="2" max="2" width="17" style="117" bestFit="1" customWidth="1"/>
    <col min="3" max="3" width="21.85546875" style="117" bestFit="1" customWidth="1"/>
    <col min="4" max="4" width="8" style="117" bestFit="1" customWidth="1"/>
    <col min="5" max="5" width="10.85546875" style="117" bestFit="1" customWidth="1"/>
    <col min="6" max="6" width="8" style="117" bestFit="1" customWidth="1"/>
    <col min="7" max="7" width="9.85546875" style="117" bestFit="1" customWidth="1"/>
    <col min="8" max="8" width="9.140625" style="117"/>
    <col min="9" max="9" width="9.140625" style="118" bestFit="1" customWidth="1"/>
    <col min="10" max="10" width="10.7109375" style="118" bestFit="1" customWidth="1"/>
    <col min="11" max="11" width="14.28515625" style="118" bestFit="1" customWidth="1"/>
    <col min="12" max="12" width="9.85546875" style="118" bestFit="1" customWidth="1"/>
    <col min="13" max="13" width="12.7109375" style="119" bestFit="1" customWidth="1"/>
    <col min="14" max="14" width="10.7109375" style="119" bestFit="1" customWidth="1"/>
    <col min="15" max="15" width="9.140625" style="119" bestFit="1" customWidth="1"/>
    <col min="16" max="16384" width="9.140625" style="117"/>
  </cols>
  <sheetData>
    <row r="1" spans="1:15" x14ac:dyDescent="0.2">
      <c r="A1" s="179" t="s">
        <v>60</v>
      </c>
      <c r="B1" s="176"/>
      <c r="C1" s="175"/>
      <c r="E1" s="116"/>
      <c r="F1" s="175"/>
      <c r="G1" s="175"/>
    </row>
    <row r="2" spans="1:15" x14ac:dyDescent="0.2">
      <c r="A2" s="179" t="s">
        <v>148</v>
      </c>
      <c r="B2" s="176"/>
      <c r="C2" s="175"/>
      <c r="E2" s="120"/>
      <c r="F2" s="175"/>
      <c r="G2" s="175"/>
    </row>
    <row r="3" spans="1:15" x14ac:dyDescent="0.2">
      <c r="A3" s="179"/>
      <c r="B3" s="176"/>
      <c r="C3" s="175"/>
      <c r="E3" s="120"/>
      <c r="F3" s="175"/>
      <c r="G3" s="175"/>
    </row>
    <row r="4" spans="1:15" x14ac:dyDescent="0.2">
      <c r="A4" s="180"/>
      <c r="B4" s="176"/>
      <c r="C4" s="175"/>
      <c r="E4" s="120"/>
      <c r="F4" s="175"/>
      <c r="G4" s="175"/>
    </row>
    <row r="5" spans="1:15" x14ac:dyDescent="0.2">
      <c r="A5" s="175"/>
      <c r="B5" s="181" t="s">
        <v>67</v>
      </c>
      <c r="C5" s="176" t="s">
        <v>52</v>
      </c>
      <c r="D5" s="182"/>
      <c r="E5" s="121"/>
      <c r="F5" s="231" t="s">
        <v>153</v>
      </c>
      <c r="G5" s="231"/>
    </row>
    <row r="6" spans="1:15" ht="14.25" x14ac:dyDescent="0.35">
      <c r="A6" s="183" t="s">
        <v>68</v>
      </c>
      <c r="B6" s="184" t="s">
        <v>69</v>
      </c>
      <c r="C6" s="184" t="s">
        <v>70</v>
      </c>
      <c r="D6" s="185" t="s">
        <v>61</v>
      </c>
      <c r="E6" s="122" t="s">
        <v>71</v>
      </c>
      <c r="F6" s="184" t="s">
        <v>61</v>
      </c>
      <c r="G6" s="184" t="s">
        <v>71</v>
      </c>
      <c r="H6" s="123"/>
      <c r="I6" s="124" t="s">
        <v>54</v>
      </c>
      <c r="J6" s="124" t="s">
        <v>147</v>
      </c>
      <c r="K6" s="124" t="s">
        <v>95</v>
      </c>
      <c r="L6" s="124" t="s">
        <v>1</v>
      </c>
      <c r="M6" s="125" t="s">
        <v>96</v>
      </c>
      <c r="N6" s="126"/>
      <c r="O6" s="126"/>
    </row>
    <row r="7" spans="1:15" x14ac:dyDescent="0.2">
      <c r="A7" s="175"/>
      <c r="B7" s="176"/>
      <c r="C7" s="175"/>
      <c r="E7" s="120"/>
      <c r="F7" s="175"/>
      <c r="G7" s="175"/>
    </row>
    <row r="8" spans="1:15" x14ac:dyDescent="0.2">
      <c r="A8" s="127" t="s">
        <v>50</v>
      </c>
      <c r="B8" s="186"/>
      <c r="C8" s="127" t="s">
        <v>72</v>
      </c>
      <c r="D8" s="128"/>
      <c r="E8" s="129">
        <v>162314</v>
      </c>
      <c r="F8" s="130"/>
      <c r="G8" s="131">
        <v>340000</v>
      </c>
      <c r="I8" s="118">
        <f>+E8</f>
        <v>162314</v>
      </c>
      <c r="N8" s="119">
        <f>SUM(I8:M8)</f>
        <v>162314</v>
      </c>
    </row>
    <row r="9" spans="1:15" x14ac:dyDescent="0.2">
      <c r="A9" s="127"/>
      <c r="B9" s="186"/>
      <c r="C9" s="127"/>
      <c r="D9" s="128"/>
      <c r="E9" s="129"/>
      <c r="F9" s="130"/>
      <c r="G9" s="131"/>
    </row>
    <row r="10" spans="1:15" x14ac:dyDescent="0.2">
      <c r="A10" s="127"/>
      <c r="B10" s="186"/>
      <c r="C10" s="127"/>
      <c r="D10" s="128"/>
      <c r="E10" s="129"/>
      <c r="F10" s="130"/>
      <c r="G10" s="131"/>
    </row>
    <row r="11" spans="1:15" x14ac:dyDescent="0.2">
      <c r="A11" s="127" t="s">
        <v>146</v>
      </c>
      <c r="B11" s="187" t="s">
        <v>42</v>
      </c>
      <c r="C11" s="127" t="s">
        <v>94</v>
      </c>
      <c r="D11" s="128">
        <v>1237</v>
      </c>
      <c r="E11" s="132">
        <v>163627</v>
      </c>
      <c r="F11" s="130">
        <v>0</v>
      </c>
      <c r="G11" s="188">
        <v>0</v>
      </c>
      <c r="J11" s="118">
        <f>E11</f>
        <v>163627</v>
      </c>
      <c r="N11" s="119">
        <f>SUM(I11:M11)</f>
        <v>163627</v>
      </c>
      <c r="O11" s="119">
        <f>+N11-E11</f>
        <v>0</v>
      </c>
    </row>
    <row r="12" spans="1:15" x14ac:dyDescent="0.2">
      <c r="A12" s="127"/>
      <c r="B12" s="187" t="s">
        <v>42</v>
      </c>
      <c r="C12" s="127" t="s">
        <v>81</v>
      </c>
      <c r="D12" s="128">
        <v>82</v>
      </c>
      <c r="E12" s="129">
        <v>10847</v>
      </c>
      <c r="F12" s="130">
        <v>0</v>
      </c>
      <c r="G12" s="131">
        <v>0</v>
      </c>
      <c r="J12" s="118">
        <f>E12</f>
        <v>10847</v>
      </c>
      <c r="N12" s="119">
        <f>SUM(I12:M12)</f>
        <v>10847</v>
      </c>
      <c r="O12" s="119">
        <f>+N12-E12</f>
        <v>0</v>
      </c>
    </row>
    <row r="13" spans="1:15" x14ac:dyDescent="0.2">
      <c r="A13" s="127"/>
      <c r="B13" s="187" t="s">
        <v>1</v>
      </c>
      <c r="C13" s="127" t="s">
        <v>145</v>
      </c>
      <c r="D13" s="133" t="s">
        <v>82</v>
      </c>
      <c r="E13" s="132">
        <v>63481</v>
      </c>
      <c r="F13" s="134" t="s">
        <v>82</v>
      </c>
      <c r="G13" s="188">
        <v>0</v>
      </c>
      <c r="H13" s="189"/>
      <c r="I13" s="135"/>
      <c r="K13" s="135"/>
      <c r="L13" s="135">
        <f>E13</f>
        <v>63481</v>
      </c>
      <c r="M13" s="136"/>
      <c r="N13" s="119">
        <f>SUM(I13:M13)</f>
        <v>63481</v>
      </c>
      <c r="O13" s="119">
        <f>+N13-E13</f>
        <v>0</v>
      </c>
    </row>
    <row r="14" spans="1:15" x14ac:dyDescent="0.2">
      <c r="A14" s="127"/>
      <c r="B14" s="190"/>
      <c r="C14" s="127"/>
      <c r="D14" s="137">
        <f>SUM(D11:D12)</f>
        <v>1319</v>
      </c>
      <c r="E14" s="138">
        <f>SUM(E11:E13)</f>
        <v>237955</v>
      </c>
      <c r="F14" s="139">
        <f>SUM(F11:F12)</f>
        <v>0</v>
      </c>
      <c r="G14" s="140">
        <f>SUM(G11:G13)</f>
        <v>0</v>
      </c>
      <c r="H14" s="189"/>
      <c r="I14" s="135"/>
      <c r="K14" s="135"/>
      <c r="L14" s="135"/>
      <c r="M14" s="136"/>
    </row>
    <row r="15" spans="1:15" x14ac:dyDescent="0.2">
      <c r="A15" s="127"/>
      <c r="B15" s="190"/>
      <c r="C15" s="127"/>
      <c r="D15" s="141"/>
      <c r="E15" s="142"/>
      <c r="F15" s="143"/>
      <c r="G15" s="144"/>
      <c r="H15" s="189"/>
      <c r="I15" s="135"/>
      <c r="K15" s="135"/>
      <c r="L15" s="135"/>
      <c r="M15" s="136"/>
    </row>
    <row r="16" spans="1:15" x14ac:dyDescent="0.2">
      <c r="A16" s="127" t="s">
        <v>144</v>
      </c>
      <c r="B16" s="190" t="s">
        <v>0</v>
      </c>
      <c r="C16" s="127" t="s">
        <v>91</v>
      </c>
      <c r="D16" s="128">
        <v>361</v>
      </c>
      <c r="E16" s="132">
        <v>257675.89</v>
      </c>
      <c r="F16" s="130">
        <v>0</v>
      </c>
      <c r="G16" s="188">
        <v>0</v>
      </c>
      <c r="H16" s="189"/>
      <c r="I16" s="135"/>
      <c r="K16" s="135">
        <f>E16</f>
        <v>257675.89</v>
      </c>
      <c r="L16" s="135"/>
      <c r="M16" s="136"/>
      <c r="N16" s="119">
        <f>SUM(I16:M16)</f>
        <v>257675.89</v>
      </c>
      <c r="O16" s="119">
        <f>+N16-E16</f>
        <v>0</v>
      </c>
    </row>
    <row r="17" spans="1:15" x14ac:dyDescent="0.2">
      <c r="A17" s="127"/>
      <c r="B17" s="187" t="s">
        <v>1</v>
      </c>
      <c r="C17" s="127"/>
      <c r="D17" s="133" t="s">
        <v>82</v>
      </c>
      <c r="E17" s="145">
        <v>8139</v>
      </c>
      <c r="F17" s="134" t="s">
        <v>82</v>
      </c>
      <c r="G17" s="146">
        <v>0</v>
      </c>
      <c r="H17" s="189"/>
      <c r="I17" s="135"/>
      <c r="J17" s="135"/>
      <c r="K17" s="135"/>
      <c r="L17" s="135">
        <f>E17</f>
        <v>8139</v>
      </c>
      <c r="M17" s="136"/>
      <c r="N17" s="119">
        <f>SUM(I17:M17)</f>
        <v>8139</v>
      </c>
      <c r="O17" s="119">
        <f>+N17-E17</f>
        <v>0</v>
      </c>
    </row>
    <row r="18" spans="1:15" x14ac:dyDescent="0.2">
      <c r="A18" s="127"/>
      <c r="D18" s="137">
        <f>SUM(D16:D16)</f>
        <v>361</v>
      </c>
      <c r="E18" s="138">
        <f>SUM(E16:E17)</f>
        <v>265814.89</v>
      </c>
      <c r="F18" s="139">
        <f>SUM(F16:F16)</f>
        <v>0</v>
      </c>
      <c r="G18" s="140">
        <f>SUM(G16:G17)</f>
        <v>0</v>
      </c>
      <c r="H18" s="189"/>
      <c r="I18" s="135"/>
      <c r="J18" s="135"/>
      <c r="K18" s="135"/>
      <c r="L18" s="135"/>
      <c r="M18" s="136"/>
    </row>
    <row r="19" spans="1:15" x14ac:dyDescent="0.2">
      <c r="A19" s="127"/>
      <c r="B19" s="190"/>
      <c r="C19" s="127"/>
      <c r="D19" s="147"/>
      <c r="E19" s="145"/>
      <c r="F19" s="136"/>
      <c r="G19" s="146"/>
      <c r="H19" s="189"/>
      <c r="I19" s="135"/>
      <c r="J19" s="135"/>
      <c r="K19" s="135"/>
      <c r="L19" s="135"/>
      <c r="M19" s="136"/>
    </row>
    <row r="20" spans="1:15" x14ac:dyDescent="0.2">
      <c r="A20" s="127" t="s">
        <v>144</v>
      </c>
      <c r="B20" s="190" t="s">
        <v>0</v>
      </c>
      <c r="C20" s="127" t="s">
        <v>91</v>
      </c>
      <c r="D20" s="128">
        <v>214</v>
      </c>
      <c r="E20" s="129">
        <v>3562.64</v>
      </c>
      <c r="F20" s="130">
        <v>0</v>
      </c>
      <c r="G20" s="131">
        <v>0</v>
      </c>
      <c r="H20" s="189"/>
      <c r="I20" s="135"/>
      <c r="K20" s="135">
        <f>E20</f>
        <v>3562.64</v>
      </c>
      <c r="L20" s="135"/>
      <c r="M20" s="136"/>
      <c r="N20" s="119">
        <f>SUM(I20:M20)</f>
        <v>3562.64</v>
      </c>
      <c r="O20" s="119">
        <f>+N20-E20</f>
        <v>0</v>
      </c>
    </row>
    <row r="21" spans="1:15" x14ac:dyDescent="0.2">
      <c r="A21" s="127"/>
      <c r="B21" s="187" t="s">
        <v>1</v>
      </c>
      <c r="C21" s="127" t="s">
        <v>126</v>
      </c>
      <c r="D21" s="133" t="s">
        <v>82</v>
      </c>
      <c r="E21" s="142">
        <v>0</v>
      </c>
      <c r="F21" s="134" t="s">
        <v>82</v>
      </c>
      <c r="G21" s="144">
        <v>0</v>
      </c>
      <c r="H21" s="189"/>
      <c r="I21" s="135"/>
      <c r="K21" s="135"/>
      <c r="L21" s="135">
        <f>E21</f>
        <v>0</v>
      </c>
      <c r="M21" s="136"/>
      <c r="N21" s="119">
        <f>SUM(I21:M21)</f>
        <v>0</v>
      </c>
      <c r="O21" s="119">
        <f>+N21-E21</f>
        <v>0</v>
      </c>
    </row>
    <row r="22" spans="1:15" x14ac:dyDescent="0.2">
      <c r="A22" s="127"/>
      <c r="C22" s="127"/>
      <c r="D22" s="137">
        <f>SUM(D20:D20)</f>
        <v>214</v>
      </c>
      <c r="E22" s="138">
        <f>SUM(E20:E21)</f>
        <v>3562.64</v>
      </c>
      <c r="F22" s="139">
        <f>SUM(F20:F20)</f>
        <v>0</v>
      </c>
      <c r="G22" s="140">
        <f>SUM(G20:G21)</f>
        <v>0</v>
      </c>
      <c r="H22" s="189"/>
      <c r="I22" s="135"/>
      <c r="J22" s="135"/>
      <c r="K22" s="135"/>
      <c r="L22" s="135"/>
      <c r="M22" s="136"/>
    </row>
    <row r="23" spans="1:15" x14ac:dyDescent="0.2">
      <c r="A23" s="127"/>
      <c r="B23" s="190"/>
      <c r="C23" s="127"/>
      <c r="D23" s="141"/>
      <c r="E23" s="142"/>
      <c r="F23" s="143"/>
      <c r="G23" s="144"/>
      <c r="H23" s="189"/>
      <c r="I23" s="135"/>
      <c r="J23" s="135"/>
      <c r="K23" s="135"/>
      <c r="L23" s="135"/>
      <c r="M23" s="136"/>
    </row>
    <row r="24" spans="1:15" x14ac:dyDescent="0.2">
      <c r="A24" s="127" t="s">
        <v>66</v>
      </c>
      <c r="B24" s="187" t="s">
        <v>42</v>
      </c>
      <c r="C24" s="127" t="s">
        <v>94</v>
      </c>
      <c r="D24" s="148">
        <v>3151</v>
      </c>
      <c r="E24" s="132">
        <v>329889</v>
      </c>
      <c r="F24" s="149">
        <v>0</v>
      </c>
      <c r="G24" s="188">
        <v>0</v>
      </c>
      <c r="H24" s="189"/>
      <c r="I24" s="135"/>
      <c r="J24" s="135">
        <f>E24</f>
        <v>329889</v>
      </c>
      <c r="K24" s="135"/>
      <c r="L24" s="135"/>
      <c r="M24" s="136"/>
      <c r="N24" s="119">
        <f>SUM(I24:M24)</f>
        <v>329889</v>
      </c>
      <c r="O24" s="119">
        <f>+N24-E24</f>
        <v>0</v>
      </c>
    </row>
    <row r="25" spans="1:15" x14ac:dyDescent="0.2">
      <c r="A25" s="127"/>
      <c r="B25" s="187" t="s">
        <v>42</v>
      </c>
      <c r="C25" s="127" t="s">
        <v>81</v>
      </c>
      <c r="D25" s="128">
        <v>1283</v>
      </c>
      <c r="E25" s="129">
        <v>134322</v>
      </c>
      <c r="F25" s="130">
        <v>0</v>
      </c>
      <c r="G25" s="131">
        <v>0</v>
      </c>
      <c r="H25" s="189"/>
      <c r="I25" s="135"/>
      <c r="J25" s="135">
        <f>E25</f>
        <v>134322</v>
      </c>
      <c r="K25" s="135"/>
      <c r="L25" s="135"/>
      <c r="M25" s="136"/>
      <c r="N25" s="119">
        <f>SUM(I25:M25)</f>
        <v>134322</v>
      </c>
      <c r="O25" s="119">
        <f>+N25-E25</f>
        <v>0</v>
      </c>
    </row>
    <row r="26" spans="1:15" x14ac:dyDescent="0.2">
      <c r="A26" s="127"/>
      <c r="B26" s="187" t="s">
        <v>1</v>
      </c>
      <c r="C26" s="127" t="s">
        <v>143</v>
      </c>
      <c r="D26" s="133" t="s">
        <v>90</v>
      </c>
      <c r="E26" s="142">
        <v>27671</v>
      </c>
      <c r="F26" s="134" t="s">
        <v>90</v>
      </c>
      <c r="G26" s="144">
        <v>0</v>
      </c>
      <c r="H26" s="189"/>
      <c r="I26" s="135"/>
      <c r="J26" s="135"/>
      <c r="K26" s="135"/>
      <c r="L26" s="135">
        <f>E26</f>
        <v>27671</v>
      </c>
      <c r="M26" s="136"/>
      <c r="N26" s="119">
        <f>SUM(I26:M26)</f>
        <v>27671</v>
      </c>
      <c r="O26" s="119">
        <f>+N26-E26</f>
        <v>0</v>
      </c>
    </row>
    <row r="27" spans="1:15" x14ac:dyDescent="0.2">
      <c r="A27" s="127"/>
      <c r="B27" s="187"/>
      <c r="C27" s="127"/>
      <c r="D27" s="137">
        <f>SUM(D24:D25)</f>
        <v>4434</v>
      </c>
      <c r="E27" s="138">
        <f>SUM(E24:E26)</f>
        <v>491882</v>
      </c>
      <c r="F27" s="139">
        <f>SUM(F24:F25)</f>
        <v>0</v>
      </c>
      <c r="G27" s="140">
        <f>SUM(G24:G26)</f>
        <v>0</v>
      </c>
      <c r="H27" s="189"/>
      <c r="I27" s="135"/>
      <c r="J27" s="135"/>
      <c r="K27" s="135"/>
      <c r="L27" s="135"/>
      <c r="M27" s="136"/>
    </row>
    <row r="28" spans="1:15" x14ac:dyDescent="0.2">
      <c r="A28" s="127"/>
      <c r="B28" s="190"/>
      <c r="C28" s="127"/>
      <c r="D28" s="141"/>
      <c r="E28" s="142"/>
      <c r="F28" s="143"/>
      <c r="G28" s="144"/>
      <c r="H28" s="189"/>
      <c r="I28" s="135"/>
      <c r="J28" s="135"/>
      <c r="K28" s="135"/>
      <c r="L28" s="135"/>
      <c r="M28" s="136"/>
    </row>
    <row r="29" spans="1:15" x14ac:dyDescent="0.2">
      <c r="A29" s="127" t="s">
        <v>66</v>
      </c>
      <c r="B29" s="187" t="s">
        <v>42</v>
      </c>
      <c r="C29" s="127" t="s">
        <v>94</v>
      </c>
      <c r="D29" s="128">
        <v>5075</v>
      </c>
      <c r="E29" s="132">
        <v>416937</v>
      </c>
      <c r="F29" s="130">
        <v>0</v>
      </c>
      <c r="G29" s="188">
        <v>0</v>
      </c>
      <c r="H29" s="189"/>
      <c r="I29" s="135"/>
      <c r="J29" s="135">
        <f>E29</f>
        <v>416937</v>
      </c>
      <c r="K29" s="135"/>
      <c r="L29" s="135"/>
      <c r="M29" s="136"/>
      <c r="N29" s="119">
        <f>SUM(I29:M29)</f>
        <v>416937</v>
      </c>
      <c r="O29" s="119">
        <f>+N29-E29</f>
        <v>0</v>
      </c>
    </row>
    <row r="30" spans="1:15" x14ac:dyDescent="0.2">
      <c r="A30" s="127"/>
      <c r="B30" s="187" t="s">
        <v>42</v>
      </c>
      <c r="C30" s="127" t="s">
        <v>81</v>
      </c>
      <c r="D30" s="128">
        <v>1661</v>
      </c>
      <c r="E30" s="129">
        <v>136460</v>
      </c>
      <c r="F30" s="130">
        <v>0</v>
      </c>
      <c r="G30" s="131">
        <v>0</v>
      </c>
      <c r="H30" s="189"/>
      <c r="I30" s="135"/>
      <c r="J30" s="135">
        <f>E30</f>
        <v>136460</v>
      </c>
      <c r="K30" s="135"/>
      <c r="L30" s="135"/>
      <c r="M30" s="136"/>
      <c r="N30" s="119">
        <f>SUM(I30:M30)</f>
        <v>136460</v>
      </c>
      <c r="O30" s="119">
        <f>+N30-E30</f>
        <v>0</v>
      </c>
    </row>
    <row r="31" spans="1:15" x14ac:dyDescent="0.2">
      <c r="A31" s="127"/>
      <c r="B31" s="187" t="s">
        <v>1</v>
      </c>
      <c r="C31" s="127" t="s">
        <v>142</v>
      </c>
      <c r="D31" s="133" t="s">
        <v>90</v>
      </c>
      <c r="E31" s="142">
        <v>17905</v>
      </c>
      <c r="F31" s="134" t="s">
        <v>90</v>
      </c>
      <c r="G31" s="144">
        <v>0</v>
      </c>
      <c r="H31" s="189"/>
      <c r="I31" s="135"/>
      <c r="J31" s="135"/>
      <c r="K31" s="135"/>
      <c r="L31" s="135">
        <f>E31</f>
        <v>17905</v>
      </c>
      <c r="M31" s="136"/>
      <c r="N31" s="119">
        <f>SUM(I31:M31)</f>
        <v>17905</v>
      </c>
      <c r="O31" s="119">
        <f>+N31-E31</f>
        <v>0</v>
      </c>
    </row>
    <row r="32" spans="1:15" x14ac:dyDescent="0.2">
      <c r="A32" s="127"/>
      <c r="B32" s="190"/>
      <c r="C32" s="127"/>
      <c r="D32" s="137">
        <f>SUM(D29:D30)</f>
        <v>6736</v>
      </c>
      <c r="E32" s="138">
        <f>SUM(E29:E31)</f>
        <v>571302</v>
      </c>
      <c r="F32" s="139">
        <f>SUM(F29:F30)</f>
        <v>0</v>
      </c>
      <c r="G32" s="140">
        <f>SUM(G29:G31)</f>
        <v>0</v>
      </c>
      <c r="H32" s="189"/>
      <c r="I32" s="135"/>
      <c r="J32" s="135"/>
      <c r="K32" s="135"/>
      <c r="L32" s="135"/>
      <c r="M32" s="136"/>
    </row>
    <row r="33" spans="1:15" x14ac:dyDescent="0.2">
      <c r="A33" s="127"/>
      <c r="B33" s="190"/>
      <c r="C33" s="127"/>
      <c r="D33" s="141"/>
      <c r="E33" s="142"/>
      <c r="F33" s="143"/>
      <c r="G33" s="144"/>
      <c r="H33" s="189"/>
      <c r="I33" s="135"/>
      <c r="J33" s="135"/>
      <c r="K33" s="135"/>
      <c r="L33" s="135"/>
      <c r="M33" s="136"/>
    </row>
    <row r="34" spans="1:15" x14ac:dyDescent="0.2">
      <c r="A34" s="127" t="s">
        <v>141</v>
      </c>
      <c r="B34" s="187" t="s">
        <v>42</v>
      </c>
      <c r="C34" s="127" t="s">
        <v>81</v>
      </c>
      <c r="D34" s="128">
        <v>170</v>
      </c>
      <c r="E34" s="129">
        <v>7964.92</v>
      </c>
      <c r="F34" s="130">
        <v>0</v>
      </c>
      <c r="G34" s="131">
        <v>0</v>
      </c>
      <c r="H34" s="189"/>
      <c r="I34" s="135"/>
      <c r="J34" s="135">
        <f>E34</f>
        <v>7964.92</v>
      </c>
      <c r="K34" s="135"/>
      <c r="L34" s="135"/>
      <c r="M34" s="136"/>
      <c r="N34" s="119">
        <f>SUM(I34:M34)</f>
        <v>7964.92</v>
      </c>
      <c r="O34" s="119">
        <f>+N34-E34</f>
        <v>0</v>
      </c>
    </row>
    <row r="35" spans="1:15" x14ac:dyDescent="0.2">
      <c r="A35" s="127"/>
      <c r="B35" s="187" t="s">
        <v>1</v>
      </c>
      <c r="C35" s="127" t="s">
        <v>130</v>
      </c>
      <c r="D35" s="133" t="s">
        <v>82</v>
      </c>
      <c r="E35" s="142">
        <f>C35*1500</f>
        <v>0</v>
      </c>
      <c r="F35" s="134" t="s">
        <v>82</v>
      </c>
      <c r="G35" s="144">
        <f>A35*1500</f>
        <v>0</v>
      </c>
      <c r="H35" s="189"/>
      <c r="I35" s="135"/>
      <c r="J35" s="135"/>
      <c r="K35" s="135"/>
      <c r="L35" s="135">
        <f>E35</f>
        <v>0</v>
      </c>
      <c r="M35" s="136"/>
      <c r="N35" s="119">
        <f>SUM(I35:M35)</f>
        <v>0</v>
      </c>
      <c r="O35" s="119">
        <f>+N35-E35</f>
        <v>0</v>
      </c>
    </row>
    <row r="36" spans="1:15" x14ac:dyDescent="0.2">
      <c r="A36" s="127"/>
      <c r="B36" s="187"/>
      <c r="C36" s="127"/>
      <c r="D36" s="137">
        <f>SUM(D34)</f>
        <v>170</v>
      </c>
      <c r="E36" s="138">
        <f>SUM(E34:E35)</f>
        <v>7964.92</v>
      </c>
      <c r="F36" s="139">
        <f>SUM(F34)</f>
        <v>0</v>
      </c>
      <c r="G36" s="140">
        <f>SUM(G34:G35)</f>
        <v>0</v>
      </c>
      <c r="H36" s="189"/>
      <c r="I36" s="135"/>
      <c r="J36" s="135"/>
      <c r="K36" s="135"/>
      <c r="L36" s="135"/>
      <c r="M36" s="136"/>
    </row>
    <row r="37" spans="1:15" x14ac:dyDescent="0.2">
      <c r="A37" s="127"/>
      <c r="B37" s="190"/>
      <c r="C37" s="127"/>
      <c r="D37" s="128"/>
      <c r="E37" s="142"/>
      <c r="F37" s="130"/>
      <c r="G37" s="144"/>
      <c r="H37" s="189"/>
      <c r="I37" s="135"/>
      <c r="J37" s="135"/>
      <c r="K37" s="135"/>
      <c r="L37" s="135"/>
      <c r="M37" s="136"/>
    </row>
    <row r="38" spans="1:15" x14ac:dyDescent="0.2">
      <c r="A38" s="127" t="s">
        <v>65</v>
      </c>
      <c r="B38" s="187" t="s">
        <v>42</v>
      </c>
      <c r="C38" s="127" t="s">
        <v>91</v>
      </c>
      <c r="D38" s="128">
        <v>7701</v>
      </c>
      <c r="E38" s="132">
        <v>663091.46</v>
      </c>
      <c r="F38" s="130">
        <f>328+7550</f>
        <v>7878</v>
      </c>
      <c r="G38" s="188">
        <f>943750+37064</f>
        <v>980814</v>
      </c>
      <c r="H38" s="189"/>
      <c r="I38" s="135"/>
      <c r="J38" s="135">
        <f>E38</f>
        <v>663091.46</v>
      </c>
      <c r="K38" s="135"/>
      <c r="L38" s="135"/>
      <c r="M38" s="136"/>
      <c r="N38" s="119">
        <f>SUM(I38:M38)</f>
        <v>663091.46</v>
      </c>
      <c r="O38" s="119">
        <f>+N38-E38</f>
        <v>0</v>
      </c>
    </row>
    <row r="39" spans="1:15" x14ac:dyDescent="0.2">
      <c r="A39" s="127"/>
      <c r="B39" s="187" t="s">
        <v>42</v>
      </c>
      <c r="C39" s="127" t="s">
        <v>140</v>
      </c>
      <c r="D39" s="128">
        <v>75</v>
      </c>
      <c r="E39" s="142">
        <v>6457.84</v>
      </c>
      <c r="F39" s="130">
        <v>40</v>
      </c>
      <c r="G39" s="144">
        <v>2480</v>
      </c>
      <c r="H39" s="189"/>
      <c r="I39" s="135"/>
      <c r="J39" s="135">
        <f>E39</f>
        <v>6457.84</v>
      </c>
      <c r="K39" s="135"/>
      <c r="L39" s="135"/>
      <c r="M39" s="136"/>
      <c r="N39" s="119">
        <f>SUM(I39:M39)</f>
        <v>6457.84</v>
      </c>
      <c r="O39" s="119">
        <f>+N39-E39</f>
        <v>0</v>
      </c>
    </row>
    <row r="40" spans="1:15" x14ac:dyDescent="0.2">
      <c r="A40" s="127"/>
      <c r="B40" s="187" t="s">
        <v>42</v>
      </c>
      <c r="C40" s="127" t="s">
        <v>139</v>
      </c>
      <c r="D40" s="128">
        <v>228</v>
      </c>
      <c r="E40" s="129">
        <v>19631.849999999999</v>
      </c>
      <c r="F40" s="130">
        <f>170+170</f>
        <v>340</v>
      </c>
      <c r="G40" s="131">
        <f>10540+10540</f>
        <v>21080</v>
      </c>
      <c r="H40" s="189"/>
      <c r="I40" s="135"/>
      <c r="J40" s="135">
        <f>E40</f>
        <v>19631.849999999999</v>
      </c>
      <c r="K40" s="135"/>
      <c r="L40" s="135"/>
      <c r="M40" s="136"/>
      <c r="N40" s="119">
        <f>SUM(I40:M40)</f>
        <v>19631.849999999999</v>
      </c>
      <c r="O40" s="119">
        <f>+N40-E40</f>
        <v>0</v>
      </c>
    </row>
    <row r="41" spans="1:15" x14ac:dyDescent="0.2">
      <c r="A41" s="127"/>
      <c r="B41" s="187" t="s">
        <v>1</v>
      </c>
      <c r="C41" s="127" t="s">
        <v>126</v>
      </c>
      <c r="D41" s="133" t="s">
        <v>82</v>
      </c>
      <c r="E41" s="142">
        <v>3255</v>
      </c>
      <c r="F41" s="134" t="s">
        <v>82</v>
      </c>
      <c r="G41" s="144">
        <f>1500+37500</f>
        <v>39000</v>
      </c>
      <c r="H41" s="189"/>
      <c r="I41" s="135"/>
      <c r="J41" s="135"/>
      <c r="K41" s="135"/>
      <c r="L41" s="135">
        <f>E41</f>
        <v>3255</v>
      </c>
      <c r="M41" s="136"/>
      <c r="N41" s="119">
        <f>SUM(I41:M41)</f>
        <v>3255</v>
      </c>
      <c r="O41" s="119">
        <f>+N41-E41</f>
        <v>0</v>
      </c>
    </row>
    <row r="42" spans="1:15" x14ac:dyDescent="0.2">
      <c r="A42" s="127"/>
      <c r="B42" s="187"/>
      <c r="C42" s="127"/>
      <c r="D42" s="137">
        <f>SUM(D38:D40)</f>
        <v>8004</v>
      </c>
      <c r="E42" s="138">
        <f>SUM(E38:E41)</f>
        <v>692436.14999999991</v>
      </c>
      <c r="F42" s="139">
        <f>SUM(F38:F40)</f>
        <v>8258</v>
      </c>
      <c r="G42" s="140">
        <f>SUM(G38:G41)</f>
        <v>1043374</v>
      </c>
      <c r="H42" s="189"/>
      <c r="I42" s="135"/>
      <c r="J42" s="135"/>
      <c r="K42" s="135"/>
      <c r="L42" s="135"/>
      <c r="M42" s="136"/>
    </row>
    <row r="43" spans="1:15" x14ac:dyDescent="0.2">
      <c r="A43" s="127"/>
      <c r="B43" s="190"/>
      <c r="C43" s="127"/>
      <c r="D43" s="141"/>
      <c r="E43" s="142"/>
      <c r="F43" s="143"/>
      <c r="G43" s="144"/>
      <c r="H43" s="189"/>
      <c r="I43" s="135"/>
      <c r="J43" s="135"/>
      <c r="K43" s="135"/>
      <c r="L43" s="135"/>
      <c r="M43" s="136"/>
    </row>
    <row r="44" spans="1:15" x14ac:dyDescent="0.2">
      <c r="A44" s="127" t="s">
        <v>64</v>
      </c>
      <c r="B44" s="187" t="s">
        <v>42</v>
      </c>
      <c r="C44" s="127" t="s">
        <v>94</v>
      </c>
      <c r="D44" s="128">
        <v>7267</v>
      </c>
      <c r="E44" s="132">
        <v>276329</v>
      </c>
      <c r="F44" s="130">
        <v>2022</v>
      </c>
      <c r="G44" s="188">
        <v>125364</v>
      </c>
      <c r="H44" s="189"/>
      <c r="I44" s="135"/>
      <c r="J44" s="135">
        <f>E44</f>
        <v>276329</v>
      </c>
      <c r="K44" s="135"/>
      <c r="L44" s="135"/>
      <c r="M44" s="136"/>
      <c r="N44" s="119">
        <f>SUM(I44:M44)</f>
        <v>276329</v>
      </c>
      <c r="O44" s="119">
        <f>+N44-E44</f>
        <v>0</v>
      </c>
    </row>
    <row r="45" spans="1:15" x14ac:dyDescent="0.2">
      <c r="A45" s="127"/>
      <c r="B45" s="187" t="s">
        <v>42</v>
      </c>
      <c r="C45" s="127" t="s">
        <v>81</v>
      </c>
      <c r="D45" s="128">
        <v>8992</v>
      </c>
      <c r="E45" s="129">
        <v>341922</v>
      </c>
      <c r="F45" s="130">
        <f>19836+35</f>
        <v>19871</v>
      </c>
      <c r="G45" s="131">
        <f>1229832+2170</f>
        <v>1232002</v>
      </c>
      <c r="H45" s="189"/>
      <c r="I45" s="135"/>
      <c r="J45" s="135">
        <f>E45</f>
        <v>341922</v>
      </c>
      <c r="K45" s="135"/>
      <c r="L45" s="135"/>
      <c r="M45" s="136"/>
      <c r="N45" s="119">
        <f>SUM(I45:M45)</f>
        <v>341922</v>
      </c>
      <c r="O45" s="119">
        <f>+N45-E45</f>
        <v>0</v>
      </c>
    </row>
    <row r="46" spans="1:15" x14ac:dyDescent="0.2">
      <c r="A46" s="127"/>
      <c r="B46" s="187" t="s">
        <v>1</v>
      </c>
      <c r="C46" s="127" t="s">
        <v>138</v>
      </c>
      <c r="D46" s="141" t="s">
        <v>82</v>
      </c>
      <c r="E46" s="142">
        <v>61853</v>
      </c>
      <c r="F46" s="143" t="s">
        <v>82</v>
      </c>
      <c r="G46" s="144">
        <v>201000</v>
      </c>
      <c r="H46" s="189"/>
      <c r="I46" s="135"/>
      <c r="J46" s="135"/>
      <c r="K46" s="135"/>
      <c r="L46" s="135">
        <f>E46</f>
        <v>61853</v>
      </c>
      <c r="M46" s="136"/>
      <c r="N46" s="119">
        <f>SUM(I46:M46)</f>
        <v>61853</v>
      </c>
      <c r="O46" s="119">
        <f>+N46-E46</f>
        <v>0</v>
      </c>
    </row>
    <row r="47" spans="1:15" x14ac:dyDescent="0.2">
      <c r="A47" s="127"/>
      <c r="B47" s="187"/>
      <c r="C47" s="127"/>
      <c r="D47" s="137">
        <f>SUM(D44:D45)</f>
        <v>16259</v>
      </c>
      <c r="E47" s="138">
        <f>SUM(E44:E46)</f>
        <v>680104</v>
      </c>
      <c r="F47" s="139">
        <f>SUM(F44:F45)</f>
        <v>21893</v>
      </c>
      <c r="G47" s="140">
        <f>SUM(G44:G46)</f>
        <v>1558366</v>
      </c>
      <c r="H47" s="189"/>
      <c r="I47" s="135"/>
      <c r="J47" s="135"/>
      <c r="K47" s="135"/>
      <c r="L47" s="135"/>
      <c r="M47" s="136"/>
    </row>
    <row r="48" spans="1:15" x14ac:dyDescent="0.2">
      <c r="A48" s="127"/>
      <c r="B48" s="190"/>
      <c r="C48" s="127"/>
      <c r="D48" s="141"/>
      <c r="E48" s="142"/>
      <c r="F48" s="143"/>
      <c r="G48" s="144"/>
      <c r="H48" s="189"/>
      <c r="I48" s="135"/>
      <c r="J48" s="135"/>
      <c r="K48" s="135"/>
      <c r="L48" s="135"/>
      <c r="M48" s="136"/>
    </row>
    <row r="49" spans="1:15" x14ac:dyDescent="0.2">
      <c r="A49" s="127" t="s">
        <v>64</v>
      </c>
      <c r="B49" s="187" t="s">
        <v>42</v>
      </c>
      <c r="C49" s="127" t="s">
        <v>94</v>
      </c>
      <c r="D49" s="128">
        <v>9685</v>
      </c>
      <c r="E49" s="132">
        <v>590493</v>
      </c>
      <c r="F49" s="130">
        <v>16549</v>
      </c>
      <c r="G49" s="188">
        <v>1026038</v>
      </c>
      <c r="H49" s="189"/>
      <c r="I49" s="135"/>
      <c r="J49" s="135">
        <f>E49</f>
        <v>590493</v>
      </c>
      <c r="K49" s="135"/>
      <c r="L49" s="135"/>
      <c r="M49" s="136"/>
      <c r="N49" s="119">
        <f>SUM(I49:M49)</f>
        <v>590493</v>
      </c>
      <c r="O49" s="119">
        <f>+N49-E49</f>
        <v>0</v>
      </c>
    </row>
    <row r="50" spans="1:15" x14ac:dyDescent="0.2">
      <c r="A50" s="127"/>
      <c r="B50" s="187" t="s">
        <v>42</v>
      </c>
      <c r="C50" s="127" t="s">
        <v>81</v>
      </c>
      <c r="D50" s="128">
        <v>3409</v>
      </c>
      <c r="E50" s="129">
        <v>207846</v>
      </c>
      <c r="F50" s="130">
        <v>12584</v>
      </c>
      <c r="G50" s="131">
        <v>780208</v>
      </c>
      <c r="H50" s="189"/>
      <c r="I50" s="135"/>
      <c r="J50" s="135">
        <f>E50</f>
        <v>207846</v>
      </c>
      <c r="K50" s="135"/>
      <c r="L50" s="135"/>
      <c r="M50" s="136"/>
      <c r="N50" s="119">
        <f>SUM(I50:M50)</f>
        <v>207846</v>
      </c>
      <c r="O50" s="119">
        <f>+N50-E50</f>
        <v>0</v>
      </c>
    </row>
    <row r="51" spans="1:15" x14ac:dyDescent="0.2">
      <c r="A51" s="127"/>
      <c r="B51" s="187" t="s">
        <v>1</v>
      </c>
      <c r="C51" s="127" t="s">
        <v>137</v>
      </c>
      <c r="D51" s="133" t="s">
        <v>82</v>
      </c>
      <c r="E51" s="142">
        <v>60226</v>
      </c>
      <c r="F51" s="134" t="s">
        <v>82</v>
      </c>
      <c r="G51" s="144">
        <v>136500</v>
      </c>
      <c r="H51" s="189"/>
      <c r="I51" s="135"/>
      <c r="J51" s="135"/>
      <c r="K51" s="135"/>
      <c r="L51" s="135">
        <f>E51</f>
        <v>60226</v>
      </c>
      <c r="M51" s="136"/>
      <c r="N51" s="119">
        <f>SUM(I51:M51)</f>
        <v>60226</v>
      </c>
      <c r="O51" s="119">
        <f>+N51-E51</f>
        <v>0</v>
      </c>
    </row>
    <row r="52" spans="1:15" x14ac:dyDescent="0.2">
      <c r="A52" s="127"/>
      <c r="B52" s="187"/>
      <c r="C52" s="127"/>
      <c r="D52" s="137">
        <f>SUM(D49:D50)</f>
        <v>13094</v>
      </c>
      <c r="E52" s="138">
        <f>SUM(E49:E51)</f>
        <v>858565</v>
      </c>
      <c r="F52" s="139">
        <f>SUM(F49:F50)</f>
        <v>29133</v>
      </c>
      <c r="G52" s="140">
        <f>SUM(G49:G51)</f>
        <v>1942746</v>
      </c>
      <c r="H52" s="189"/>
      <c r="I52" s="135"/>
      <c r="J52" s="135"/>
      <c r="K52" s="135"/>
      <c r="L52" s="135"/>
      <c r="M52" s="136"/>
    </row>
    <row r="53" spans="1:15" x14ac:dyDescent="0.2">
      <c r="A53" s="127"/>
      <c r="B53" s="187"/>
      <c r="C53" s="127"/>
      <c r="D53" s="150"/>
      <c r="E53" s="151"/>
      <c r="F53" s="152"/>
      <c r="G53" s="153"/>
      <c r="H53" s="189"/>
      <c r="I53" s="135"/>
      <c r="J53" s="135"/>
      <c r="K53" s="135"/>
      <c r="L53" s="135"/>
      <c r="M53" s="136"/>
    </row>
    <row r="54" spans="1:15" x14ac:dyDescent="0.2">
      <c r="A54" s="127" t="s">
        <v>66</v>
      </c>
      <c r="B54" s="187" t="s">
        <v>42</v>
      </c>
      <c r="C54" s="127" t="s">
        <v>94</v>
      </c>
      <c r="D54" s="128">
        <v>3798</v>
      </c>
      <c r="E54" s="132">
        <v>208452</v>
      </c>
      <c r="F54" s="130">
        <v>6854</v>
      </c>
      <c r="G54" s="188">
        <v>424948</v>
      </c>
      <c r="H54" s="189"/>
      <c r="I54" s="135"/>
      <c r="J54" s="135">
        <f>E54</f>
        <v>208452</v>
      </c>
      <c r="K54" s="135"/>
      <c r="L54" s="135"/>
      <c r="M54" s="136"/>
      <c r="N54" s="119">
        <f>SUM(I54:M54)</f>
        <v>208452</v>
      </c>
      <c r="O54" s="119">
        <f>+N54-E54</f>
        <v>0</v>
      </c>
    </row>
    <row r="55" spans="1:15" x14ac:dyDescent="0.2">
      <c r="A55" s="127"/>
      <c r="B55" s="187" t="s">
        <v>42</v>
      </c>
      <c r="C55" s="127" t="s">
        <v>81</v>
      </c>
      <c r="D55" s="128">
        <v>6063</v>
      </c>
      <c r="E55" s="129">
        <v>332766</v>
      </c>
      <c r="F55" s="130">
        <f>2927+3213</f>
        <v>6140</v>
      </c>
      <c r="G55" s="131">
        <f>181474+199206</f>
        <v>380680</v>
      </c>
      <c r="H55" s="189"/>
      <c r="I55" s="135"/>
      <c r="J55" s="135">
        <f>E55</f>
        <v>332766</v>
      </c>
      <c r="K55" s="135"/>
      <c r="L55" s="135"/>
      <c r="M55" s="136"/>
      <c r="N55" s="119">
        <f>SUM(I55:M55)</f>
        <v>332766</v>
      </c>
    </row>
    <row r="56" spans="1:15" x14ac:dyDescent="0.2">
      <c r="A56" s="127"/>
      <c r="B56" s="187" t="s">
        <v>1</v>
      </c>
      <c r="C56" s="127" t="s">
        <v>136</v>
      </c>
      <c r="D56" s="133" t="s">
        <v>90</v>
      </c>
      <c r="E56" s="142">
        <v>94408</v>
      </c>
      <c r="F56" s="134" t="s">
        <v>90</v>
      </c>
      <c r="G56" s="144">
        <v>37500</v>
      </c>
      <c r="H56" s="189"/>
      <c r="I56" s="135"/>
      <c r="J56" s="135"/>
      <c r="K56" s="135"/>
      <c r="L56" s="135">
        <f>E56</f>
        <v>94408</v>
      </c>
      <c r="M56" s="136"/>
      <c r="N56" s="119">
        <f>SUM(I56:M56)</f>
        <v>94408</v>
      </c>
      <c r="O56" s="119">
        <f>+N56-E56</f>
        <v>0</v>
      </c>
    </row>
    <row r="57" spans="1:15" x14ac:dyDescent="0.2">
      <c r="A57" s="127"/>
      <c r="B57" s="187"/>
      <c r="C57" s="127"/>
      <c r="D57" s="137">
        <f>SUM(D54:D55)</f>
        <v>9861</v>
      </c>
      <c r="E57" s="138">
        <f>SUM(E54:E56)</f>
        <v>635626</v>
      </c>
      <c r="F57" s="139">
        <f>SUM(F54:F55)</f>
        <v>12994</v>
      </c>
      <c r="G57" s="140">
        <f>SUM(G54:G56)</f>
        <v>843128</v>
      </c>
      <c r="H57" s="189"/>
      <c r="I57" s="135"/>
      <c r="J57" s="135"/>
      <c r="K57" s="135"/>
      <c r="L57" s="135"/>
      <c r="M57" s="136"/>
    </row>
    <row r="58" spans="1:15" x14ac:dyDescent="0.2">
      <c r="A58" s="127"/>
      <c r="B58" s="190"/>
      <c r="C58" s="127"/>
      <c r="D58" s="141"/>
      <c r="E58" s="142"/>
      <c r="F58" s="143"/>
      <c r="G58" s="144"/>
      <c r="H58" s="189"/>
      <c r="I58" s="135"/>
      <c r="J58" s="135"/>
      <c r="K58" s="135"/>
      <c r="L58" s="135"/>
      <c r="M58" s="136"/>
    </row>
    <row r="59" spans="1:15" x14ac:dyDescent="0.2">
      <c r="A59" s="127" t="s">
        <v>128</v>
      </c>
      <c r="B59" s="187" t="s">
        <v>42</v>
      </c>
      <c r="C59" s="127" t="s">
        <v>94</v>
      </c>
      <c r="D59" s="166">
        <v>1341</v>
      </c>
      <c r="E59" s="132">
        <v>19912</v>
      </c>
      <c r="F59" s="117">
        <v>0</v>
      </c>
      <c r="G59" s="188">
        <v>0</v>
      </c>
      <c r="H59" s="189"/>
      <c r="I59" s="135"/>
      <c r="J59" s="135">
        <f>E59</f>
        <v>19912</v>
      </c>
      <c r="K59" s="135"/>
      <c r="L59" s="135"/>
      <c r="M59" s="136"/>
      <c r="N59" s="119">
        <f>SUM(I59:M59)</f>
        <v>19912</v>
      </c>
      <c r="O59" s="119">
        <f>+N59-E59</f>
        <v>0</v>
      </c>
    </row>
    <row r="60" spans="1:15" x14ac:dyDescent="0.2">
      <c r="A60" s="127"/>
      <c r="B60" s="187" t="s">
        <v>1</v>
      </c>
      <c r="C60" s="127" t="s">
        <v>133</v>
      </c>
      <c r="D60" s="133" t="s">
        <v>82</v>
      </c>
      <c r="E60" s="129">
        <v>0</v>
      </c>
      <c r="F60" s="134" t="s">
        <v>82</v>
      </c>
      <c r="G60" s="131">
        <v>0</v>
      </c>
      <c r="H60" s="189"/>
      <c r="I60" s="135"/>
      <c r="J60" s="135"/>
      <c r="K60" s="135"/>
      <c r="L60" s="135">
        <f>E60</f>
        <v>0</v>
      </c>
      <c r="M60" s="136"/>
      <c r="N60" s="119">
        <f>SUM(I60:M60)</f>
        <v>0</v>
      </c>
      <c r="O60" s="119">
        <f>+N60-E60</f>
        <v>0</v>
      </c>
    </row>
    <row r="61" spans="1:15" x14ac:dyDescent="0.2">
      <c r="A61" s="127"/>
      <c r="B61" s="190"/>
      <c r="C61" s="127"/>
      <c r="D61" s="137">
        <f>SUM(D59)</f>
        <v>1341</v>
      </c>
      <c r="E61" s="138">
        <f>SUM(E59:E60)</f>
        <v>19912</v>
      </c>
      <c r="F61" s="139">
        <f>SUM(F59)</f>
        <v>0</v>
      </c>
      <c r="G61" s="140">
        <f>SUM(G59:G60)</f>
        <v>0</v>
      </c>
      <c r="H61" s="189"/>
      <c r="I61" s="135"/>
      <c r="J61" s="135"/>
      <c r="K61" s="135"/>
      <c r="L61" s="135"/>
      <c r="M61" s="136"/>
    </row>
    <row r="62" spans="1:15" x14ac:dyDescent="0.2">
      <c r="A62" s="127"/>
      <c r="B62" s="190"/>
      <c r="C62" s="127"/>
      <c r="D62" s="141"/>
      <c r="E62" s="142"/>
      <c r="F62" s="143"/>
      <c r="G62" s="144"/>
      <c r="H62" s="189"/>
      <c r="I62" s="135"/>
      <c r="J62" s="135"/>
      <c r="K62" s="135"/>
      <c r="L62" s="135"/>
      <c r="M62" s="136"/>
    </row>
    <row r="63" spans="1:15" x14ac:dyDescent="0.2">
      <c r="A63" s="127" t="s">
        <v>66</v>
      </c>
      <c r="B63" s="187" t="s">
        <v>42</v>
      </c>
      <c r="C63" s="127" t="s">
        <v>94</v>
      </c>
      <c r="D63" s="166">
        <v>487</v>
      </c>
      <c r="E63" s="132">
        <v>28015.21</v>
      </c>
      <c r="F63" s="117">
        <v>0</v>
      </c>
      <c r="G63" s="188">
        <v>0</v>
      </c>
      <c r="H63" s="189"/>
      <c r="I63" s="135"/>
      <c r="J63" s="135">
        <f>E63</f>
        <v>28015.21</v>
      </c>
      <c r="K63" s="135"/>
      <c r="L63" s="135"/>
      <c r="M63" s="136"/>
      <c r="N63" s="119">
        <f>SUM(I63:M63)</f>
        <v>28015.21</v>
      </c>
      <c r="O63" s="119">
        <f>+N63-E63</f>
        <v>0</v>
      </c>
    </row>
    <row r="64" spans="1:15" x14ac:dyDescent="0.2">
      <c r="A64" s="127"/>
      <c r="B64" s="187" t="s">
        <v>1</v>
      </c>
      <c r="C64" s="127" t="s">
        <v>130</v>
      </c>
      <c r="D64" s="133" t="s">
        <v>82</v>
      </c>
      <c r="E64" s="129">
        <v>1628</v>
      </c>
      <c r="F64" s="134" t="s">
        <v>82</v>
      </c>
      <c r="G64" s="131">
        <v>0</v>
      </c>
      <c r="H64" s="189"/>
      <c r="I64" s="135"/>
      <c r="J64" s="135"/>
      <c r="K64" s="135"/>
      <c r="L64" s="135">
        <f>E64</f>
        <v>1628</v>
      </c>
      <c r="M64" s="136"/>
      <c r="N64" s="119">
        <f>SUM(I64:M64)</f>
        <v>1628</v>
      </c>
      <c r="O64" s="119">
        <f>+N64-E64</f>
        <v>0</v>
      </c>
    </row>
    <row r="65" spans="1:15" x14ac:dyDescent="0.2">
      <c r="A65" s="127"/>
      <c r="B65" s="190"/>
      <c r="C65" s="127"/>
      <c r="D65" s="137">
        <f>SUM(D63)</f>
        <v>487</v>
      </c>
      <c r="E65" s="138">
        <f>SUM(E63:E64)</f>
        <v>29643.21</v>
      </c>
      <c r="F65" s="139">
        <f>SUM(F63)</f>
        <v>0</v>
      </c>
      <c r="G65" s="140">
        <f>SUM(G63:G64)</f>
        <v>0</v>
      </c>
      <c r="H65" s="189"/>
      <c r="I65" s="135"/>
      <c r="J65" s="135"/>
      <c r="K65" s="135"/>
      <c r="L65" s="135"/>
      <c r="M65" s="136"/>
    </row>
    <row r="66" spans="1:15" x14ac:dyDescent="0.2">
      <c r="A66" s="127"/>
      <c r="B66" s="190"/>
      <c r="C66" s="127"/>
      <c r="D66" s="141"/>
      <c r="E66" s="142"/>
      <c r="F66" s="143"/>
      <c r="G66" s="144"/>
      <c r="H66" s="189"/>
      <c r="I66" s="135"/>
      <c r="J66" s="135"/>
      <c r="K66" s="135"/>
      <c r="L66" s="135"/>
      <c r="M66" s="136"/>
    </row>
    <row r="67" spans="1:15" x14ac:dyDescent="0.2">
      <c r="A67" s="127" t="s">
        <v>135</v>
      </c>
      <c r="B67" s="190" t="s">
        <v>0</v>
      </c>
      <c r="C67" s="127" t="s">
        <v>91</v>
      </c>
      <c r="D67" s="128">
        <v>1062</v>
      </c>
      <c r="E67" s="132">
        <v>150053</v>
      </c>
      <c r="F67" s="130">
        <v>0</v>
      </c>
      <c r="G67" s="188">
        <v>0</v>
      </c>
      <c r="H67" s="189"/>
      <c r="I67" s="135"/>
      <c r="J67" s="135"/>
      <c r="K67" s="135">
        <f>E67</f>
        <v>150053</v>
      </c>
      <c r="L67" s="135"/>
      <c r="M67" s="136"/>
      <c r="N67" s="119">
        <f>SUM(I67:M67)</f>
        <v>150053</v>
      </c>
      <c r="O67" s="119">
        <f>+N67-E67</f>
        <v>0</v>
      </c>
    </row>
    <row r="68" spans="1:15" x14ac:dyDescent="0.2">
      <c r="A68" s="127"/>
      <c r="B68" s="187" t="s">
        <v>1</v>
      </c>
      <c r="C68" s="127" t="s">
        <v>130</v>
      </c>
      <c r="D68" s="133" t="s">
        <v>90</v>
      </c>
      <c r="E68" s="129">
        <f>C68*1500</f>
        <v>0</v>
      </c>
      <c r="F68" s="134" t="s">
        <v>90</v>
      </c>
      <c r="G68" s="131">
        <f>A68*1500</f>
        <v>0</v>
      </c>
      <c r="H68" s="189"/>
      <c r="I68" s="135"/>
      <c r="J68" s="135"/>
      <c r="K68" s="135"/>
      <c r="L68" s="135">
        <f>E68</f>
        <v>0</v>
      </c>
      <c r="M68" s="136"/>
      <c r="N68" s="119">
        <f>SUM(I68:M68)</f>
        <v>0</v>
      </c>
      <c r="O68" s="119">
        <f>+N68-E68</f>
        <v>0</v>
      </c>
    </row>
    <row r="69" spans="1:15" x14ac:dyDescent="0.2">
      <c r="A69" s="127"/>
      <c r="B69" s="190"/>
      <c r="C69" s="127"/>
      <c r="D69" s="137">
        <f>SUM(D67)</f>
        <v>1062</v>
      </c>
      <c r="E69" s="138">
        <f>SUM(E67:E68)</f>
        <v>150053</v>
      </c>
      <c r="F69" s="139">
        <f>SUM(F67)</f>
        <v>0</v>
      </c>
      <c r="G69" s="140">
        <f>SUM(G67:G68)</f>
        <v>0</v>
      </c>
      <c r="H69" s="189"/>
      <c r="I69" s="135"/>
      <c r="J69" s="135"/>
      <c r="K69" s="135"/>
      <c r="L69" s="135"/>
      <c r="M69" s="136"/>
    </row>
    <row r="70" spans="1:15" x14ac:dyDescent="0.2">
      <c r="A70" s="127"/>
      <c r="B70" s="190"/>
      <c r="C70" s="127"/>
      <c r="D70" s="141"/>
      <c r="E70" s="142"/>
      <c r="F70" s="143"/>
      <c r="G70" s="144"/>
      <c r="H70" s="189"/>
      <c r="I70" s="135"/>
      <c r="J70" s="135"/>
      <c r="K70" s="135"/>
      <c r="L70" s="135"/>
      <c r="M70" s="136"/>
    </row>
    <row r="71" spans="1:15" x14ac:dyDescent="0.2">
      <c r="A71" s="127" t="s">
        <v>124</v>
      </c>
      <c r="B71" s="187" t="s">
        <v>42</v>
      </c>
      <c r="C71" s="127" t="s">
        <v>81</v>
      </c>
      <c r="D71" s="128">
        <v>248</v>
      </c>
      <c r="E71" s="129">
        <v>4352.75</v>
      </c>
      <c r="F71" s="130">
        <v>0</v>
      </c>
      <c r="G71" s="131">
        <v>0</v>
      </c>
      <c r="H71" s="189"/>
      <c r="I71" s="135"/>
      <c r="J71" s="135">
        <f>E71</f>
        <v>4352.75</v>
      </c>
      <c r="K71" s="135"/>
      <c r="L71" s="135"/>
      <c r="M71" s="136"/>
      <c r="N71" s="119">
        <f>SUM(I71:M71)</f>
        <v>4352.75</v>
      </c>
      <c r="O71" s="119">
        <f>+N71-E71</f>
        <v>0</v>
      </c>
    </row>
    <row r="72" spans="1:15" x14ac:dyDescent="0.2">
      <c r="A72" s="127"/>
      <c r="B72" s="187" t="s">
        <v>1</v>
      </c>
      <c r="C72" s="127" t="s">
        <v>92</v>
      </c>
      <c r="D72" s="133" t="s">
        <v>82</v>
      </c>
      <c r="E72" s="129">
        <v>1628</v>
      </c>
      <c r="F72" s="134" t="s">
        <v>82</v>
      </c>
      <c r="G72" s="131">
        <v>0</v>
      </c>
      <c r="H72" s="189"/>
      <c r="I72" s="135"/>
      <c r="J72" s="135"/>
      <c r="K72" s="135"/>
      <c r="L72" s="135">
        <f>E72</f>
        <v>1628</v>
      </c>
      <c r="M72" s="136"/>
      <c r="N72" s="119">
        <f>SUM(I72:M72)</f>
        <v>1628</v>
      </c>
      <c r="O72" s="119">
        <f>+N72-E72</f>
        <v>0</v>
      </c>
    </row>
    <row r="73" spans="1:15" x14ac:dyDescent="0.2">
      <c r="A73" s="127"/>
      <c r="B73" s="190"/>
      <c r="C73" s="127"/>
      <c r="D73" s="137">
        <f>SUM(D71)</f>
        <v>248</v>
      </c>
      <c r="E73" s="138">
        <f>SUM(E71:E72)</f>
        <v>5980.75</v>
      </c>
      <c r="F73" s="139">
        <f>SUM(F71)</f>
        <v>0</v>
      </c>
      <c r="G73" s="140">
        <f>SUM(G71:G72)</f>
        <v>0</v>
      </c>
      <c r="H73" s="189"/>
      <c r="I73" s="135"/>
      <c r="J73" s="135"/>
      <c r="K73" s="135"/>
      <c r="L73" s="135"/>
      <c r="M73" s="136"/>
    </row>
    <row r="74" spans="1:15" x14ac:dyDescent="0.2">
      <c r="A74" s="127"/>
      <c r="B74" s="190"/>
      <c r="C74" s="127"/>
      <c r="D74" s="141"/>
      <c r="E74" s="142"/>
      <c r="F74" s="143"/>
      <c r="G74" s="144"/>
      <c r="H74" s="189"/>
      <c r="I74" s="135"/>
      <c r="J74" s="135"/>
      <c r="K74" s="135"/>
      <c r="L74" s="135"/>
      <c r="M74" s="136"/>
    </row>
    <row r="75" spans="1:15" x14ac:dyDescent="0.2">
      <c r="A75" s="117" t="s">
        <v>73</v>
      </c>
      <c r="B75" s="187" t="s">
        <v>42</v>
      </c>
      <c r="C75" s="127" t="s">
        <v>93</v>
      </c>
      <c r="D75" s="128">
        <v>195</v>
      </c>
      <c r="E75" s="132">
        <v>64232.95</v>
      </c>
      <c r="F75" s="130">
        <v>192</v>
      </c>
      <c r="G75" s="188">
        <v>86400</v>
      </c>
      <c r="H75" s="189"/>
      <c r="I75" s="135"/>
      <c r="J75" s="135">
        <f>E75</f>
        <v>64232.95</v>
      </c>
      <c r="K75" s="135"/>
      <c r="L75" s="135"/>
      <c r="M75" s="136"/>
      <c r="N75" s="119">
        <f>SUM(I75:M75)</f>
        <v>64232.95</v>
      </c>
      <c r="O75" s="119">
        <f>+N75-E75</f>
        <v>0</v>
      </c>
    </row>
    <row r="76" spans="1:15" x14ac:dyDescent="0.2">
      <c r="A76" s="127"/>
      <c r="B76" s="187" t="s">
        <v>1</v>
      </c>
      <c r="C76" s="127" t="s">
        <v>92</v>
      </c>
      <c r="D76" s="133" t="s">
        <v>82</v>
      </c>
      <c r="E76" s="129">
        <v>1628</v>
      </c>
      <c r="F76" s="134" t="s">
        <v>82</v>
      </c>
      <c r="G76" s="131">
        <v>1500</v>
      </c>
      <c r="H76" s="189"/>
      <c r="I76" s="135"/>
      <c r="J76" s="135"/>
      <c r="K76" s="135"/>
      <c r="L76" s="135">
        <f>E76</f>
        <v>1628</v>
      </c>
      <c r="M76" s="136"/>
      <c r="N76" s="119">
        <f>SUM(I76:M76)</f>
        <v>1628</v>
      </c>
      <c r="O76" s="119">
        <f>+N76-E76</f>
        <v>0</v>
      </c>
    </row>
    <row r="77" spans="1:15" x14ac:dyDescent="0.2">
      <c r="A77" s="127"/>
      <c r="B77" s="190"/>
      <c r="C77" s="127"/>
      <c r="D77" s="137">
        <f>SUM(D75:D76)</f>
        <v>195</v>
      </c>
      <c r="E77" s="138">
        <f>SUM(E75:E76)</f>
        <v>65860.95</v>
      </c>
      <c r="F77" s="139">
        <f>SUM(F75:F76)</f>
        <v>192</v>
      </c>
      <c r="G77" s="140">
        <f>SUM(G75:G76)</f>
        <v>87900</v>
      </c>
      <c r="H77" s="189"/>
      <c r="I77" s="135"/>
      <c r="J77" s="135"/>
      <c r="K77" s="135"/>
      <c r="L77" s="135"/>
      <c r="M77" s="136"/>
    </row>
    <row r="78" spans="1:15" x14ac:dyDescent="0.2">
      <c r="A78" s="127"/>
      <c r="B78" s="190"/>
      <c r="C78" s="127"/>
      <c r="D78" s="141"/>
      <c r="E78" s="142"/>
      <c r="F78" s="143"/>
      <c r="G78" s="144"/>
      <c r="H78" s="189"/>
      <c r="I78" s="135"/>
      <c r="J78" s="135"/>
      <c r="K78" s="135"/>
      <c r="L78" s="135"/>
      <c r="M78" s="136"/>
    </row>
    <row r="79" spans="1:15" x14ac:dyDescent="0.2">
      <c r="A79" s="127" t="s">
        <v>66</v>
      </c>
      <c r="B79" s="187" t="s">
        <v>42</v>
      </c>
      <c r="C79" s="127" t="s">
        <v>81</v>
      </c>
      <c r="D79" s="128">
        <v>300</v>
      </c>
      <c r="E79" s="132">
        <v>8655.9699999999993</v>
      </c>
      <c r="F79" s="130">
        <v>0</v>
      </c>
      <c r="G79" s="188">
        <v>0</v>
      </c>
      <c r="H79" s="189"/>
      <c r="I79" s="135"/>
      <c r="J79" s="135">
        <f>E79</f>
        <v>8655.9699999999993</v>
      </c>
      <c r="K79" s="135"/>
      <c r="L79" s="135"/>
      <c r="M79" s="136"/>
      <c r="N79" s="119">
        <f>SUM(I79:M79)</f>
        <v>8655.9699999999993</v>
      </c>
      <c r="O79" s="119">
        <f>+N79-E79</f>
        <v>0</v>
      </c>
    </row>
    <row r="80" spans="1:15" x14ac:dyDescent="0.2">
      <c r="A80" s="127"/>
      <c r="B80" s="187" t="s">
        <v>1</v>
      </c>
      <c r="C80" s="127" t="s">
        <v>92</v>
      </c>
      <c r="D80" s="133" t="s">
        <v>82</v>
      </c>
      <c r="E80" s="129">
        <v>1628</v>
      </c>
      <c r="F80" s="134" t="s">
        <v>82</v>
      </c>
      <c r="G80" s="131">
        <v>0</v>
      </c>
      <c r="H80" s="189"/>
      <c r="I80" s="135"/>
      <c r="J80" s="135"/>
      <c r="K80" s="135"/>
      <c r="L80" s="135">
        <f>E80</f>
        <v>1628</v>
      </c>
      <c r="M80" s="136"/>
      <c r="N80" s="119">
        <f>SUM(I80:M80)</f>
        <v>1628</v>
      </c>
      <c r="O80" s="119">
        <f>+N80-E80</f>
        <v>0</v>
      </c>
    </row>
    <row r="81" spans="1:15" x14ac:dyDescent="0.2">
      <c r="A81" s="127"/>
      <c r="B81" s="187"/>
      <c r="C81" s="127"/>
      <c r="D81" s="137">
        <f>SUM(D79)</f>
        <v>300</v>
      </c>
      <c r="E81" s="138">
        <f>SUM(E79:E80)</f>
        <v>10283.969999999999</v>
      </c>
      <c r="F81" s="139">
        <f>SUM(F79)</f>
        <v>0</v>
      </c>
      <c r="G81" s="140">
        <f>SUM(G79:G80)</f>
        <v>0</v>
      </c>
      <c r="H81" s="189"/>
      <c r="I81" s="135"/>
      <c r="J81" s="135"/>
      <c r="K81" s="135"/>
      <c r="L81" s="135"/>
      <c r="M81" s="136"/>
    </row>
    <row r="82" spans="1:15" x14ac:dyDescent="0.2">
      <c r="A82" s="127"/>
      <c r="B82" s="190"/>
      <c r="C82" s="127"/>
      <c r="D82" s="128"/>
      <c r="E82" s="129"/>
      <c r="F82" s="130"/>
      <c r="G82" s="131"/>
      <c r="H82" s="189"/>
      <c r="I82" s="135"/>
      <c r="J82" s="135"/>
      <c r="K82" s="135"/>
      <c r="L82" s="135"/>
      <c r="M82" s="136"/>
    </row>
    <row r="83" spans="1:15" x14ac:dyDescent="0.2">
      <c r="A83" s="127" t="s">
        <v>128</v>
      </c>
      <c r="B83" s="187" t="s">
        <v>42</v>
      </c>
      <c r="C83" s="127" t="s">
        <v>81</v>
      </c>
      <c r="D83" s="128">
        <v>151</v>
      </c>
      <c r="E83" s="132">
        <v>7996.3</v>
      </c>
      <c r="F83" s="130">
        <v>0</v>
      </c>
      <c r="G83" s="188">
        <v>0</v>
      </c>
      <c r="H83" s="189"/>
      <c r="I83" s="135"/>
      <c r="J83" s="135">
        <f>E83</f>
        <v>7996.3</v>
      </c>
      <c r="K83" s="135"/>
      <c r="L83" s="135"/>
      <c r="M83" s="136"/>
      <c r="N83" s="119">
        <f>SUM(I83:M83)</f>
        <v>7996.3</v>
      </c>
      <c r="O83" s="119">
        <f>+N83-E83</f>
        <v>0</v>
      </c>
    </row>
    <row r="84" spans="1:15" x14ac:dyDescent="0.2">
      <c r="A84" s="127"/>
      <c r="B84" s="187" t="s">
        <v>1</v>
      </c>
      <c r="C84" s="127" t="s">
        <v>126</v>
      </c>
      <c r="D84" s="133" t="s">
        <v>82</v>
      </c>
      <c r="E84" s="129">
        <v>4883</v>
      </c>
      <c r="F84" s="134" t="s">
        <v>82</v>
      </c>
      <c r="G84" s="131">
        <v>0</v>
      </c>
      <c r="H84" s="189"/>
      <c r="I84" s="135"/>
      <c r="J84" s="135"/>
      <c r="K84" s="135"/>
      <c r="L84" s="135">
        <f>E84</f>
        <v>4883</v>
      </c>
      <c r="M84" s="136"/>
      <c r="N84" s="119">
        <f>SUM(I84:M84)</f>
        <v>4883</v>
      </c>
      <c r="O84" s="119">
        <f>+N84-E84</f>
        <v>0</v>
      </c>
    </row>
    <row r="85" spans="1:15" x14ac:dyDescent="0.2">
      <c r="A85" s="191"/>
      <c r="B85" s="192"/>
      <c r="C85" s="191"/>
      <c r="D85" s="137">
        <f>SUM(D83)</f>
        <v>151</v>
      </c>
      <c r="E85" s="138">
        <f>SUM(E83:E84)</f>
        <v>12879.3</v>
      </c>
      <c r="F85" s="139">
        <f>SUM(F83)</f>
        <v>0</v>
      </c>
      <c r="G85" s="140">
        <f>SUM(G83:G84)</f>
        <v>0</v>
      </c>
      <c r="I85" s="135"/>
      <c r="J85" s="135"/>
      <c r="K85" s="135"/>
      <c r="L85" s="135"/>
      <c r="M85" s="136"/>
    </row>
    <row r="86" spans="1:15" x14ac:dyDescent="0.2">
      <c r="A86" s="191"/>
      <c r="B86" s="192"/>
      <c r="C86" s="191"/>
      <c r="D86" s="154"/>
      <c r="E86" s="155"/>
      <c r="F86" s="156"/>
      <c r="G86" s="157"/>
    </row>
    <row r="87" spans="1:15" x14ac:dyDescent="0.2">
      <c r="A87" s="191" t="s">
        <v>134</v>
      </c>
      <c r="B87" s="187" t="s">
        <v>42</v>
      </c>
      <c r="C87" s="127" t="s">
        <v>81</v>
      </c>
      <c r="D87" s="166">
        <v>536</v>
      </c>
      <c r="E87" s="132">
        <v>10079.83</v>
      </c>
      <c r="F87" s="117">
        <v>0</v>
      </c>
      <c r="G87" s="188">
        <v>0</v>
      </c>
      <c r="J87" s="118">
        <f>E87</f>
        <v>10079.83</v>
      </c>
      <c r="N87" s="119">
        <f>SUM(I87:M87)</f>
        <v>10079.83</v>
      </c>
      <c r="O87" s="119">
        <f>+N87-E87</f>
        <v>0</v>
      </c>
    </row>
    <row r="88" spans="1:15" x14ac:dyDescent="0.2">
      <c r="A88" s="191"/>
      <c r="B88" s="187" t="s">
        <v>1</v>
      </c>
      <c r="C88" s="191" t="s">
        <v>133</v>
      </c>
      <c r="D88" s="133" t="s">
        <v>82</v>
      </c>
      <c r="E88" s="129">
        <v>0</v>
      </c>
      <c r="F88" s="134" t="s">
        <v>82</v>
      </c>
      <c r="G88" s="131">
        <v>0</v>
      </c>
      <c r="L88" s="118">
        <f>E88</f>
        <v>0</v>
      </c>
      <c r="N88" s="119">
        <f>SUM(I88:M88)</f>
        <v>0</v>
      </c>
      <c r="O88" s="119">
        <f>+N88-E88</f>
        <v>0</v>
      </c>
    </row>
    <row r="89" spans="1:15" x14ac:dyDescent="0.2">
      <c r="A89" s="191"/>
      <c r="B89" s="192"/>
      <c r="C89" s="191"/>
      <c r="D89" s="158">
        <f>SUM(D87)</f>
        <v>536</v>
      </c>
      <c r="E89" s="159">
        <f>SUM(E87:E88)</f>
        <v>10079.83</v>
      </c>
      <c r="F89" s="160">
        <f>SUM(F87)</f>
        <v>0</v>
      </c>
      <c r="G89" s="161">
        <f>SUM(G87:G88)</f>
        <v>0</v>
      </c>
    </row>
    <row r="90" spans="1:15" x14ac:dyDescent="0.2">
      <c r="A90" s="191"/>
      <c r="B90" s="192"/>
      <c r="C90" s="191"/>
      <c r="D90" s="154"/>
      <c r="E90" s="155"/>
      <c r="F90" s="156"/>
      <c r="G90" s="157"/>
    </row>
    <row r="91" spans="1:15" x14ac:dyDescent="0.2">
      <c r="A91" s="191" t="s">
        <v>73</v>
      </c>
      <c r="B91" s="187" t="s">
        <v>42</v>
      </c>
      <c r="C91" s="191" t="s">
        <v>81</v>
      </c>
      <c r="D91" s="128">
        <v>19644</v>
      </c>
      <c r="E91" s="132">
        <v>1243125</v>
      </c>
      <c r="F91" s="130">
        <v>32800</v>
      </c>
      <c r="G91" s="188">
        <v>2033600</v>
      </c>
      <c r="J91" s="118">
        <f>E91</f>
        <v>1243125</v>
      </c>
      <c r="M91" s="118"/>
      <c r="N91" s="119">
        <f>SUM(I91:M91)</f>
        <v>1243125</v>
      </c>
      <c r="O91" s="119">
        <f>+N91-E91</f>
        <v>0</v>
      </c>
    </row>
    <row r="92" spans="1:15" x14ac:dyDescent="0.2">
      <c r="A92" s="191"/>
      <c r="B92" s="187" t="s">
        <v>1</v>
      </c>
      <c r="C92" s="191" t="s">
        <v>132</v>
      </c>
      <c r="D92" s="133" t="s">
        <v>90</v>
      </c>
      <c r="E92" s="129">
        <v>315778</v>
      </c>
      <c r="F92" s="134" t="s">
        <v>90</v>
      </c>
      <c r="G92" s="131">
        <v>225000</v>
      </c>
      <c r="L92" s="118">
        <f>E92</f>
        <v>315778</v>
      </c>
      <c r="N92" s="119">
        <f>SUM(I92:M92)</f>
        <v>315778</v>
      </c>
      <c r="O92" s="119">
        <f>+N92-E92</f>
        <v>0</v>
      </c>
    </row>
    <row r="93" spans="1:15" x14ac:dyDescent="0.2">
      <c r="A93" s="191"/>
      <c r="B93" s="187"/>
      <c r="C93" s="191"/>
      <c r="D93" s="158">
        <f>SUM(D91:D91)</f>
        <v>19644</v>
      </c>
      <c r="E93" s="159">
        <f>SUM(E91:E92)</f>
        <v>1558903</v>
      </c>
      <c r="F93" s="160">
        <f>SUM(F91:F91)</f>
        <v>32800</v>
      </c>
      <c r="G93" s="161">
        <f>SUM(G91:G92)</f>
        <v>2258600</v>
      </c>
    </row>
    <row r="94" spans="1:15" x14ac:dyDescent="0.2">
      <c r="A94" s="191"/>
      <c r="B94" s="192"/>
      <c r="C94" s="191"/>
      <c r="D94" s="162"/>
      <c r="E94" s="163"/>
      <c r="F94" s="164"/>
      <c r="G94" s="165"/>
    </row>
    <row r="95" spans="1:15" x14ac:dyDescent="0.2">
      <c r="A95" s="191" t="s">
        <v>73</v>
      </c>
      <c r="B95" s="187" t="s">
        <v>42</v>
      </c>
      <c r="C95" s="191" t="s">
        <v>81</v>
      </c>
      <c r="D95" s="128">
        <v>1629</v>
      </c>
      <c r="E95" s="132">
        <v>62898</v>
      </c>
      <c r="F95" s="130">
        <v>0</v>
      </c>
      <c r="G95" s="188">
        <v>0</v>
      </c>
      <c r="J95" s="118">
        <f>E95</f>
        <v>62898</v>
      </c>
      <c r="N95" s="119">
        <f>SUM(I95:M95)</f>
        <v>62898</v>
      </c>
      <c r="O95" s="119">
        <f>+N95-E95</f>
        <v>0</v>
      </c>
    </row>
    <row r="96" spans="1:15" x14ac:dyDescent="0.2">
      <c r="A96" s="191"/>
      <c r="B96" s="187" t="s">
        <v>1</v>
      </c>
      <c r="C96" s="191" t="s">
        <v>131</v>
      </c>
      <c r="D96" s="133" t="s">
        <v>90</v>
      </c>
      <c r="E96" s="129">
        <v>0</v>
      </c>
      <c r="F96" s="134" t="s">
        <v>90</v>
      </c>
      <c r="G96" s="131">
        <v>0</v>
      </c>
      <c r="L96" s="118">
        <f>E96</f>
        <v>0</v>
      </c>
      <c r="N96" s="119">
        <f>SUM(I96:M96)</f>
        <v>0</v>
      </c>
      <c r="O96" s="119">
        <f>+N96-E96</f>
        <v>0</v>
      </c>
    </row>
    <row r="97" spans="1:15" x14ac:dyDescent="0.2">
      <c r="A97" s="191"/>
      <c r="B97" s="192"/>
      <c r="C97" s="191"/>
      <c r="D97" s="158">
        <f>SUM(D95)</f>
        <v>1629</v>
      </c>
      <c r="E97" s="159">
        <f>SUM(E95:E96)</f>
        <v>62898</v>
      </c>
      <c r="F97" s="160">
        <f>SUM(F95)</f>
        <v>0</v>
      </c>
      <c r="G97" s="161">
        <f>SUM(G95:G96)</f>
        <v>0</v>
      </c>
    </row>
    <row r="98" spans="1:15" x14ac:dyDescent="0.2">
      <c r="A98" s="191"/>
      <c r="B98" s="192"/>
      <c r="C98" s="191"/>
      <c r="D98" s="162"/>
      <c r="E98" s="163"/>
      <c r="F98" s="164"/>
      <c r="G98" s="165"/>
    </row>
    <row r="99" spans="1:15" x14ac:dyDescent="0.2">
      <c r="A99" s="191" t="s">
        <v>73</v>
      </c>
      <c r="B99" s="187" t="s">
        <v>42</v>
      </c>
      <c r="C99" s="127" t="s">
        <v>81</v>
      </c>
      <c r="D99" s="128">
        <v>50</v>
      </c>
      <c r="E99" s="132">
        <v>1876.74</v>
      </c>
      <c r="F99" s="130">
        <v>0</v>
      </c>
      <c r="G99" s="188">
        <v>0</v>
      </c>
      <c r="J99" s="118">
        <f>E99</f>
        <v>1876.74</v>
      </c>
      <c r="N99" s="119">
        <f>SUM(I99:M99)</f>
        <v>1876.74</v>
      </c>
      <c r="O99" s="119">
        <f>+N99-E99</f>
        <v>0</v>
      </c>
    </row>
    <row r="100" spans="1:15" x14ac:dyDescent="0.2">
      <c r="A100" s="191"/>
      <c r="B100" s="187" t="s">
        <v>1</v>
      </c>
      <c r="C100" s="191" t="s">
        <v>130</v>
      </c>
      <c r="D100" s="133" t="s">
        <v>82</v>
      </c>
      <c r="E100" s="129">
        <f>C100*1500</f>
        <v>0</v>
      </c>
      <c r="F100" s="134" t="s">
        <v>82</v>
      </c>
      <c r="G100" s="131">
        <f>A100*1500</f>
        <v>0</v>
      </c>
      <c r="L100" s="118">
        <f>E100</f>
        <v>0</v>
      </c>
      <c r="N100" s="119">
        <f>SUM(I100:M100)</f>
        <v>0</v>
      </c>
      <c r="O100" s="119">
        <f>+N100-E100</f>
        <v>0</v>
      </c>
    </row>
    <row r="101" spans="1:15" x14ac:dyDescent="0.2">
      <c r="A101" s="191"/>
      <c r="B101" s="187"/>
      <c r="C101" s="191"/>
      <c r="D101" s="158">
        <f>SUM(D99)</f>
        <v>50</v>
      </c>
      <c r="E101" s="159">
        <f>SUM(E99:E100)</f>
        <v>1876.74</v>
      </c>
      <c r="F101" s="160">
        <f>SUM(F99)</f>
        <v>0</v>
      </c>
      <c r="G101" s="161">
        <f>SUM(G99:G100)</f>
        <v>0</v>
      </c>
    </row>
    <row r="102" spans="1:15" x14ac:dyDescent="0.2">
      <c r="A102" s="191"/>
      <c r="B102" s="192"/>
      <c r="C102" s="191"/>
      <c r="D102" s="162"/>
      <c r="E102" s="163"/>
      <c r="F102" s="164"/>
      <c r="G102" s="165"/>
    </row>
    <row r="103" spans="1:15" x14ac:dyDescent="0.2">
      <c r="A103" s="191" t="s">
        <v>128</v>
      </c>
      <c r="B103" s="187" t="s">
        <v>42</v>
      </c>
      <c r="C103" s="127" t="s">
        <v>81</v>
      </c>
      <c r="D103" s="166">
        <v>114</v>
      </c>
      <c r="E103" s="132">
        <v>19762</v>
      </c>
      <c r="F103" s="117">
        <v>0</v>
      </c>
      <c r="G103" s="188">
        <v>0</v>
      </c>
      <c r="J103" s="118">
        <f>E103</f>
        <v>19762</v>
      </c>
      <c r="N103" s="119">
        <f>SUM(I103:M103)</f>
        <v>19762</v>
      </c>
      <c r="O103" s="119">
        <f>+N103-E103</f>
        <v>0</v>
      </c>
    </row>
    <row r="104" spans="1:15" x14ac:dyDescent="0.2">
      <c r="A104" s="127"/>
      <c r="B104" s="187" t="s">
        <v>1</v>
      </c>
      <c r="C104" s="127" t="s">
        <v>92</v>
      </c>
      <c r="D104" s="133" t="s">
        <v>82</v>
      </c>
      <c r="E104" s="129">
        <v>1628</v>
      </c>
      <c r="F104" s="134" t="s">
        <v>82</v>
      </c>
      <c r="G104" s="131">
        <v>0</v>
      </c>
      <c r="L104" s="118">
        <f>E104</f>
        <v>1628</v>
      </c>
      <c r="N104" s="119">
        <f>SUM(I104:M104)</f>
        <v>1628</v>
      </c>
      <c r="O104" s="119">
        <f>+N104-E104</f>
        <v>0</v>
      </c>
    </row>
    <row r="105" spans="1:15" x14ac:dyDescent="0.2">
      <c r="A105" s="127"/>
      <c r="B105" s="187"/>
      <c r="C105" s="127"/>
      <c r="D105" s="158">
        <f>SUM(D103)</f>
        <v>114</v>
      </c>
      <c r="E105" s="159">
        <f>SUM(E103:E104)</f>
        <v>21390</v>
      </c>
      <c r="F105" s="160">
        <f>SUM(F103)</f>
        <v>0</v>
      </c>
      <c r="G105" s="161">
        <f>SUM(G103:G104)</f>
        <v>0</v>
      </c>
    </row>
    <row r="106" spans="1:15" x14ac:dyDescent="0.2">
      <c r="A106" s="127"/>
      <c r="B106" s="190"/>
      <c r="C106" s="127"/>
      <c r="D106" s="128"/>
      <c r="E106" s="142"/>
      <c r="F106" s="130"/>
      <c r="G106" s="144"/>
    </row>
    <row r="107" spans="1:15" x14ac:dyDescent="0.2">
      <c r="A107" s="191" t="s">
        <v>73</v>
      </c>
      <c r="B107" s="187" t="s">
        <v>42</v>
      </c>
      <c r="C107" s="191" t="s">
        <v>94</v>
      </c>
      <c r="D107" s="166">
        <v>588</v>
      </c>
      <c r="E107" s="132">
        <v>53223</v>
      </c>
      <c r="F107" s="117">
        <v>0</v>
      </c>
      <c r="G107" s="188">
        <v>0</v>
      </c>
      <c r="J107" s="118">
        <f>E107</f>
        <v>53223</v>
      </c>
      <c r="N107" s="119">
        <f>SUM(I107:M107)</f>
        <v>53223</v>
      </c>
      <c r="O107" s="119">
        <f>+N107-E107</f>
        <v>0</v>
      </c>
    </row>
    <row r="108" spans="1:15" x14ac:dyDescent="0.2">
      <c r="A108" s="127"/>
      <c r="B108" s="187" t="s">
        <v>1</v>
      </c>
      <c r="C108" s="127" t="s">
        <v>126</v>
      </c>
      <c r="D108" s="133" t="s">
        <v>90</v>
      </c>
      <c r="E108" s="129">
        <v>3255</v>
      </c>
      <c r="F108" s="134" t="s">
        <v>90</v>
      </c>
      <c r="G108" s="131">
        <v>0</v>
      </c>
      <c r="L108" s="118">
        <f>E108</f>
        <v>3255</v>
      </c>
      <c r="N108" s="119">
        <f>SUM(I108:M108)</f>
        <v>3255</v>
      </c>
      <c r="O108" s="119">
        <f>+N108-E108</f>
        <v>0</v>
      </c>
    </row>
    <row r="109" spans="1:15" x14ac:dyDescent="0.2">
      <c r="A109" s="127"/>
      <c r="B109" s="187"/>
      <c r="C109" s="127"/>
      <c r="D109" s="158">
        <f>SUM(D107:D107)</f>
        <v>588</v>
      </c>
      <c r="E109" s="159">
        <f>SUM(E107:E108)</f>
        <v>56478</v>
      </c>
      <c r="F109" s="160">
        <f>SUM(F107:F107)</f>
        <v>0</v>
      </c>
      <c r="G109" s="161">
        <f>SUM(G107:G108)</f>
        <v>0</v>
      </c>
    </row>
    <row r="110" spans="1:15" x14ac:dyDescent="0.2">
      <c r="A110" s="127"/>
      <c r="B110" s="187"/>
      <c r="C110" s="127"/>
      <c r="D110" s="128"/>
      <c r="E110" s="142"/>
      <c r="F110" s="130"/>
      <c r="G110" s="144"/>
    </row>
    <row r="111" spans="1:15" x14ac:dyDescent="0.2">
      <c r="A111" s="191" t="s">
        <v>73</v>
      </c>
      <c r="B111" s="187" t="s">
        <v>42</v>
      </c>
      <c r="C111" s="191" t="s">
        <v>94</v>
      </c>
      <c r="D111" s="166">
        <v>679</v>
      </c>
      <c r="E111" s="132">
        <v>18984</v>
      </c>
      <c r="F111" s="117">
        <v>0</v>
      </c>
      <c r="G111" s="188">
        <v>0</v>
      </c>
      <c r="J111" s="118">
        <f>E111</f>
        <v>18984</v>
      </c>
      <c r="N111" s="119">
        <f>SUM(I111:M111)</f>
        <v>18984</v>
      </c>
      <c r="O111" s="119">
        <f>+N111-E111</f>
        <v>0</v>
      </c>
    </row>
    <row r="112" spans="1:15" x14ac:dyDescent="0.2">
      <c r="A112" s="127"/>
      <c r="B112" s="187" t="s">
        <v>1</v>
      </c>
      <c r="C112" s="127" t="s">
        <v>126</v>
      </c>
      <c r="D112" s="167" t="s">
        <v>129</v>
      </c>
      <c r="E112" s="129">
        <v>1628</v>
      </c>
      <c r="F112" s="168" t="s">
        <v>129</v>
      </c>
      <c r="G112" s="131">
        <v>0</v>
      </c>
      <c r="L112" s="118">
        <f>E112</f>
        <v>1628</v>
      </c>
      <c r="N112" s="119">
        <f>SUM(I112:M112)</f>
        <v>1628</v>
      </c>
      <c r="O112" s="119">
        <f>+N112-E112</f>
        <v>0</v>
      </c>
    </row>
    <row r="113" spans="1:15" x14ac:dyDescent="0.2">
      <c r="A113" s="127"/>
      <c r="B113" s="187"/>
      <c r="C113" s="127"/>
      <c r="D113" s="158">
        <f>SUM(D111:D111)</f>
        <v>679</v>
      </c>
      <c r="E113" s="159">
        <f>SUM(E111:E112)</f>
        <v>20612</v>
      </c>
      <c r="F113" s="160">
        <f>SUM(F111:F111)</f>
        <v>0</v>
      </c>
      <c r="G113" s="161">
        <f>SUM(G111:G112)</f>
        <v>0</v>
      </c>
    </row>
    <row r="114" spans="1:15" x14ac:dyDescent="0.2">
      <c r="A114" s="127"/>
      <c r="B114" s="187"/>
      <c r="C114" s="127"/>
      <c r="D114" s="162"/>
      <c r="E114" s="163"/>
      <c r="F114" s="164"/>
      <c r="G114" s="165"/>
    </row>
    <row r="115" spans="1:15" x14ac:dyDescent="0.2">
      <c r="A115" s="127" t="s">
        <v>128</v>
      </c>
      <c r="B115" s="187" t="s">
        <v>42</v>
      </c>
      <c r="C115" s="191" t="s">
        <v>127</v>
      </c>
      <c r="D115" s="128">
        <v>0</v>
      </c>
      <c r="E115" s="142">
        <v>3246</v>
      </c>
      <c r="F115" s="130">
        <v>0</v>
      </c>
      <c r="G115" s="144">
        <v>0</v>
      </c>
      <c r="J115" s="118">
        <f>E115</f>
        <v>3246</v>
      </c>
      <c r="N115" s="119">
        <f>SUM(I115:M115)</f>
        <v>3246</v>
      </c>
      <c r="O115" s="119">
        <f>+N115-E115</f>
        <v>0</v>
      </c>
    </row>
    <row r="116" spans="1:15" x14ac:dyDescent="0.2">
      <c r="A116" s="175"/>
      <c r="B116" s="187" t="s">
        <v>1</v>
      </c>
      <c r="C116" s="175" t="s">
        <v>125</v>
      </c>
      <c r="D116" s="133" t="s">
        <v>90</v>
      </c>
      <c r="E116" s="129">
        <v>0</v>
      </c>
      <c r="F116" s="134">
        <v>0</v>
      </c>
      <c r="G116" s="131">
        <v>0</v>
      </c>
      <c r="L116" s="118">
        <f>E116</f>
        <v>0</v>
      </c>
      <c r="N116" s="119">
        <f>SUM(I116:M116)</f>
        <v>0</v>
      </c>
      <c r="O116" s="119">
        <f>+N116-E116</f>
        <v>0</v>
      </c>
    </row>
    <row r="117" spans="1:15" x14ac:dyDescent="0.2">
      <c r="A117" s="175"/>
      <c r="B117" s="187"/>
      <c r="C117" s="175"/>
      <c r="D117" s="158">
        <f>SUM(D115:D115)</f>
        <v>0</v>
      </c>
      <c r="E117" s="159">
        <f>SUM(E115:E116)</f>
        <v>3246</v>
      </c>
      <c r="F117" s="160">
        <f>SUM(F115:F115)</f>
        <v>0</v>
      </c>
      <c r="G117" s="161">
        <f>SUM(G115:G116)</f>
        <v>0</v>
      </c>
    </row>
    <row r="118" spans="1:15" x14ac:dyDescent="0.2">
      <c r="A118" s="175"/>
      <c r="B118" s="187"/>
      <c r="C118" s="175"/>
      <c r="D118" s="162"/>
      <c r="E118" s="163"/>
      <c r="F118" s="164"/>
      <c r="G118" s="165"/>
    </row>
    <row r="119" spans="1:15" x14ac:dyDescent="0.2">
      <c r="A119" s="127" t="s">
        <v>124</v>
      </c>
      <c r="B119" s="190" t="s">
        <v>42</v>
      </c>
      <c r="C119" s="127" t="s">
        <v>123</v>
      </c>
      <c r="D119" s="141" t="s">
        <v>122</v>
      </c>
      <c r="E119" s="142">
        <v>53879</v>
      </c>
      <c r="F119" s="143" t="s">
        <v>122</v>
      </c>
      <c r="G119" s="144">
        <v>0</v>
      </c>
      <c r="J119" s="118">
        <f>E119</f>
        <v>53879</v>
      </c>
      <c r="N119" s="119">
        <f>SUM(I119:M119)</f>
        <v>53879</v>
      </c>
      <c r="O119" s="119">
        <f>+N119-E119</f>
        <v>0</v>
      </c>
    </row>
    <row r="120" spans="1:15" x14ac:dyDescent="0.2">
      <c r="A120" s="127"/>
      <c r="B120" s="190" t="s">
        <v>1</v>
      </c>
      <c r="C120" s="127"/>
      <c r="D120" s="133" t="s">
        <v>90</v>
      </c>
      <c r="E120" s="169">
        <f>C120*1500</f>
        <v>0</v>
      </c>
      <c r="F120" s="134" t="s">
        <v>90</v>
      </c>
      <c r="G120" s="170">
        <v>0</v>
      </c>
      <c r="L120" s="118">
        <f>E120</f>
        <v>0</v>
      </c>
      <c r="N120" s="119">
        <f>SUM(I120:M120)</f>
        <v>0</v>
      </c>
      <c r="O120" s="119">
        <f>+N120-E120</f>
        <v>0</v>
      </c>
    </row>
    <row r="121" spans="1:15" x14ac:dyDescent="0.2">
      <c r="A121" s="127"/>
      <c r="B121" s="190"/>
      <c r="C121" s="127"/>
      <c r="D121" s="133"/>
      <c r="E121" s="169">
        <f>SUM(E119:E120)</f>
        <v>53879</v>
      </c>
      <c r="F121" s="134"/>
      <c r="G121" s="170">
        <f>SUM(G119:G120)</f>
        <v>0</v>
      </c>
    </row>
    <row r="122" spans="1:15" x14ac:dyDescent="0.2">
      <c r="A122" s="127"/>
      <c r="B122" s="190"/>
      <c r="C122" s="127"/>
      <c r="D122" s="141"/>
      <c r="E122" s="142"/>
      <c r="F122" s="143"/>
      <c r="G122" s="144"/>
    </row>
    <row r="123" spans="1:15" x14ac:dyDescent="0.2">
      <c r="A123" s="127"/>
      <c r="B123" s="190"/>
      <c r="C123" s="127"/>
      <c r="D123" s="171"/>
      <c r="E123" s="172"/>
      <c r="F123" s="173"/>
      <c r="G123" s="174"/>
    </row>
    <row r="124" spans="1:15" x14ac:dyDescent="0.2">
      <c r="A124" s="175"/>
      <c r="B124" s="176" t="s">
        <v>53</v>
      </c>
      <c r="C124" s="175"/>
      <c r="D124" s="171">
        <f>SUM(D121,D117,D109,D105,D101,D97,D93,D89,D85,D81,D77,D73,D69,D65,D113,D61,D57,D52,D47,D42,D36,D32,D27,D22,D18,D14+D8)</f>
        <v>87476</v>
      </c>
      <c r="E124" s="172">
        <f>SUM(E121,E117,E109,E105,E101,E97,E93,E89,E85,E81,E77,E73,E69,E65,E113,E61,E57,E52,E47,E42,E36,E32,E27,E22,E18,E14+E8)</f>
        <v>6691502.3499999996</v>
      </c>
      <c r="F124" s="173">
        <f>SUM(F121,F117,F109,F105,F101,F97,F93,F89,F85,F81,F77,F73,F69,F65,F113,F61,F57,F52,F47,F42,F36,F32,F27,F22,F18,F14+F8)</f>
        <v>105270</v>
      </c>
      <c r="G124" s="173">
        <f>SUM(G121,G117,G109,G105,G101,G97,G93,G89,G85,G81,G77,G73,G69,G65,G113,G61,G57,G52,G47,G42,G36,G32,G27,G22,G18,G14+G8)</f>
        <v>8074114</v>
      </c>
      <c r="I124" s="124">
        <f t="shared" ref="I124:N124" si="0">SUM(I7:I123)</f>
        <v>162314</v>
      </c>
      <c r="J124" s="124">
        <f t="shared" si="0"/>
        <v>5447274.8200000003</v>
      </c>
      <c r="K124" s="124">
        <f t="shared" si="0"/>
        <v>411291.53</v>
      </c>
      <c r="L124" s="124">
        <f t="shared" si="0"/>
        <v>670622</v>
      </c>
      <c r="M124" s="124">
        <f t="shared" si="0"/>
        <v>0</v>
      </c>
      <c r="N124" s="124">
        <f t="shared" si="0"/>
        <v>6691502.3499999996</v>
      </c>
      <c r="O124" s="126">
        <f>E124-N124</f>
        <v>0</v>
      </c>
    </row>
    <row r="125" spans="1:15" x14ac:dyDescent="0.2">
      <c r="A125" s="175"/>
      <c r="B125" s="176"/>
      <c r="C125" s="175"/>
      <c r="D125" s="177"/>
      <c r="E125" s="177"/>
      <c r="F125" s="120"/>
      <c r="G125" s="120"/>
    </row>
    <row r="126" spans="1:15" x14ac:dyDescent="0.2">
      <c r="A126" s="193" t="s">
        <v>62</v>
      </c>
      <c r="B126" s="176"/>
      <c r="C126" s="175"/>
      <c r="D126" s="178"/>
      <c r="E126" s="177"/>
      <c r="F126" s="120"/>
      <c r="G126" s="120"/>
    </row>
    <row r="127" spans="1:15" x14ac:dyDescent="0.2">
      <c r="A127" s="193" t="s">
        <v>84</v>
      </c>
      <c r="B127" s="176"/>
      <c r="C127" s="175"/>
      <c r="E127" s="177"/>
      <c r="F127" s="175"/>
      <c r="G127" s="175"/>
    </row>
    <row r="128" spans="1:15" x14ac:dyDescent="0.2">
      <c r="A128" s="193" t="s">
        <v>83</v>
      </c>
      <c r="B128" s="176"/>
      <c r="C128" s="175"/>
      <c r="E128" s="177"/>
      <c r="F128" s="175"/>
      <c r="G128" s="175"/>
    </row>
    <row r="129" spans="1:7" x14ac:dyDescent="0.2">
      <c r="A129" s="193" t="s">
        <v>121</v>
      </c>
      <c r="B129" s="176"/>
      <c r="C129" s="175"/>
      <c r="E129" s="177"/>
      <c r="F129" s="175"/>
      <c r="G129" s="175"/>
    </row>
  </sheetData>
  <mergeCells count="1">
    <mergeCell ref="F5:G5"/>
  </mergeCells>
  <pageMargins left="0.7" right="0.7" top="0.75" bottom="0.75" header="0.3" footer="0.3"/>
  <pageSetup fitToHeight="2" orientation="portrait" r:id="rId1"/>
  <headerFooter>
    <oddHeader>&amp;R 2023 Schedule IV
Page &amp;P of &amp;N</oddHeader>
  </headerFooter>
  <rowBreaks count="2" manualBreakCount="2">
    <brk id="58" max="16383" man="1"/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3"/>
  <sheetViews>
    <sheetView workbookViewId="0">
      <selection activeCell="R26" sqref="R26"/>
    </sheetView>
  </sheetViews>
  <sheetFormatPr defaultColWidth="9.140625" defaultRowHeight="15" x14ac:dyDescent="0.25"/>
  <cols>
    <col min="1" max="1" width="3.7109375" customWidth="1"/>
    <col min="2" max="2" width="19.5703125" customWidth="1"/>
    <col min="3" max="3" width="7.5703125" customWidth="1"/>
    <col min="4" max="4" width="8" bestFit="1" customWidth="1"/>
    <col min="5" max="6" width="9" bestFit="1" customWidth="1"/>
    <col min="7" max="14" width="10.5703125" bestFit="1" customWidth="1"/>
    <col min="15" max="15" width="12.85546875" bestFit="1" customWidth="1"/>
    <col min="16" max="16" width="11.28515625" bestFit="1" customWidth="1"/>
    <col min="17" max="17" width="10.5703125" bestFit="1" customWidth="1"/>
    <col min="18" max="18" width="10.28515625" customWidth="1"/>
  </cols>
  <sheetData>
    <row r="1" spans="1:18" x14ac:dyDescent="0.25">
      <c r="A1" s="194" t="s">
        <v>60</v>
      </c>
      <c r="B1" s="194"/>
      <c r="C1" s="195"/>
      <c r="D1" s="196"/>
      <c r="E1" s="197"/>
      <c r="F1" s="198"/>
      <c r="G1" s="198"/>
      <c r="H1" s="198"/>
      <c r="I1" s="198"/>
      <c r="J1" s="198"/>
      <c r="K1" s="198"/>
      <c r="L1" s="197"/>
      <c r="M1" s="198"/>
      <c r="N1" s="198"/>
      <c r="O1" s="198"/>
      <c r="P1" s="197"/>
      <c r="Q1" s="198"/>
      <c r="R1" s="197" t="s">
        <v>80</v>
      </c>
    </row>
    <row r="2" spans="1:18" x14ac:dyDescent="0.25">
      <c r="A2" s="194" t="s">
        <v>87</v>
      </c>
      <c r="B2" s="194"/>
      <c r="C2" s="195"/>
      <c r="D2" s="196"/>
      <c r="E2" s="199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</row>
    <row r="3" spans="1:18" x14ac:dyDescent="0.25"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x14ac:dyDescent="0.25">
      <c r="C4" s="200" t="s">
        <v>98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198"/>
      <c r="R4" s="198"/>
    </row>
    <row r="5" spans="1:18" ht="30" x14ac:dyDescent="0.25">
      <c r="A5" s="201" t="s">
        <v>99</v>
      </c>
      <c r="B5" s="201"/>
      <c r="C5" s="202">
        <v>44926</v>
      </c>
      <c r="D5" s="202">
        <v>44957</v>
      </c>
      <c r="E5" s="202">
        <v>44985</v>
      </c>
      <c r="F5" s="202">
        <v>45016</v>
      </c>
      <c r="G5" s="202">
        <v>45046</v>
      </c>
      <c r="H5" s="202">
        <v>45077</v>
      </c>
      <c r="I5" s="202">
        <v>45107</v>
      </c>
      <c r="J5" s="202">
        <v>45138</v>
      </c>
      <c r="K5" s="202">
        <v>45169</v>
      </c>
      <c r="L5" s="202">
        <v>45199</v>
      </c>
      <c r="M5" s="202">
        <v>45230</v>
      </c>
      <c r="N5" s="202">
        <v>45260</v>
      </c>
      <c r="O5" s="203">
        <v>45291</v>
      </c>
      <c r="P5" s="204" t="s">
        <v>154</v>
      </c>
      <c r="Q5" s="205" t="s">
        <v>100</v>
      </c>
      <c r="R5" s="206" t="s">
        <v>102</v>
      </c>
    </row>
    <row r="6" spans="1:18" x14ac:dyDescent="0.25">
      <c r="A6" s="2" t="s">
        <v>50</v>
      </c>
      <c r="C6" s="196">
        <v>0</v>
      </c>
      <c r="D6" s="207">
        <v>0</v>
      </c>
      <c r="E6" s="207">
        <v>0</v>
      </c>
      <c r="F6" s="207">
        <v>0</v>
      </c>
      <c r="G6" s="207">
        <v>0</v>
      </c>
      <c r="H6" s="207">
        <v>0</v>
      </c>
      <c r="I6" s="207">
        <v>0</v>
      </c>
      <c r="J6" s="207">
        <v>0</v>
      </c>
      <c r="K6" s="207">
        <v>156475</v>
      </c>
      <c r="L6" s="207">
        <f>K6+3487</f>
        <v>159962</v>
      </c>
      <c r="M6" s="207">
        <f>L6+1634</f>
        <v>161596</v>
      </c>
      <c r="N6" s="207">
        <f>M6+411</f>
        <v>162007</v>
      </c>
      <c r="O6" s="208">
        <f>N6+307</f>
        <v>162314</v>
      </c>
      <c r="P6" s="209">
        <f>O6</f>
        <v>162314</v>
      </c>
      <c r="Q6" s="210">
        <f>SUM(C6:O6)/13</f>
        <v>61719.538461538461</v>
      </c>
      <c r="R6" s="198">
        <v>152375</v>
      </c>
    </row>
    <row r="7" spans="1:18" x14ac:dyDescent="0.25"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211"/>
      <c r="P7" s="212"/>
      <c r="Q7" s="210"/>
      <c r="R7" s="198"/>
    </row>
    <row r="8" spans="1:18" x14ac:dyDescent="0.25">
      <c r="A8" s="2" t="s">
        <v>42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211"/>
      <c r="P8" s="212"/>
      <c r="Q8" s="210"/>
      <c r="R8" s="198"/>
    </row>
    <row r="9" spans="1:18" x14ac:dyDescent="0.25">
      <c r="B9" t="s">
        <v>93</v>
      </c>
      <c r="C9" s="196">
        <v>0</v>
      </c>
      <c r="D9" s="207">
        <v>0</v>
      </c>
      <c r="E9" s="207">
        <v>0</v>
      </c>
      <c r="F9" s="207">
        <v>0</v>
      </c>
      <c r="G9" s="207">
        <v>0</v>
      </c>
      <c r="H9" s="207">
        <v>0</v>
      </c>
      <c r="I9" s="207">
        <f>24865.1</f>
        <v>24865.1</v>
      </c>
      <c r="J9" s="207">
        <f>I9+36804.1</f>
        <v>61669.2</v>
      </c>
      <c r="K9" s="207">
        <f>J9+2563.75</f>
        <v>64232.95</v>
      </c>
      <c r="L9" s="207">
        <f>K9</f>
        <v>64232.95</v>
      </c>
      <c r="M9" s="207">
        <f>L9</f>
        <v>64232.95</v>
      </c>
      <c r="N9" s="207">
        <f>M9</f>
        <v>64232.95</v>
      </c>
      <c r="O9" s="213">
        <f>N9</f>
        <v>64232.95</v>
      </c>
      <c r="P9" s="209">
        <f>O9</f>
        <v>64232.95</v>
      </c>
      <c r="Q9" s="210">
        <f>SUM(C9:O9)/13</f>
        <v>31361.465384615389</v>
      </c>
      <c r="R9" s="198">
        <v>46523</v>
      </c>
    </row>
    <row r="10" spans="1:18" x14ac:dyDescent="0.25">
      <c r="B10" t="s">
        <v>94</v>
      </c>
      <c r="C10" s="198">
        <v>0</v>
      </c>
      <c r="D10" s="207">
        <f>18087.45+-2342.19</f>
        <v>15745.26</v>
      </c>
      <c r="E10" s="207">
        <f>D10+14363.33+3654.98+19314.48</f>
        <v>53078.05</v>
      </c>
      <c r="F10" s="207">
        <f>E10+53372.67+40849.33+609.65+262.43+8504.05</f>
        <v>156676.17999999996</v>
      </c>
      <c r="G10" s="207">
        <f>F10+49254.51+60351.13+48073.4+54042.33+160335.36+7841.3+18004.62</f>
        <v>554578.82999999996</v>
      </c>
      <c r="H10" s="207">
        <f>G10+14842.58+76520.96+25986.08+70847.01+156701.99+66.91+1783.94</f>
        <v>901328.29999999981</v>
      </c>
      <c r="I10" s="207">
        <f>H10+399.97+53515.94+82414.65+110569.66+163269.08+912.28+21636.1</f>
        <v>1334045.98</v>
      </c>
      <c r="J10" s="207">
        <f>I10+1705.08+31730.72+81425.53+37054.45+110765.04+441.75+4595.17</f>
        <v>1601763.72</v>
      </c>
      <c r="K10" s="207">
        <f>J10+42814.85+12014.24+423.12+-5480.86+45479.81</f>
        <v>1697014.8800000001</v>
      </c>
      <c r="L10" s="207">
        <f>K10+18628.24+24910.22+2057.1+2834.89+52115.53+44397.58</f>
        <v>1841958.4400000002</v>
      </c>
      <c r="M10" s="207">
        <f>L10+337.92+42956.73+725.41+2063.47+64192.09+3796.7</f>
        <v>1956030.76</v>
      </c>
      <c r="N10" s="207">
        <f>M10+1194.81+38013.65+-258.46+22889.28+296.35</f>
        <v>2018166.3900000001</v>
      </c>
      <c r="O10" s="213">
        <f>N10+11601.71+2631.94+41828.06+6988.24+4732.51</f>
        <v>2085948.85</v>
      </c>
      <c r="P10" s="209">
        <f t="shared" ref="P10:P12" si="0">O10</f>
        <v>2085948.85</v>
      </c>
      <c r="Q10" s="210">
        <f>SUM(D10:O10)/13</f>
        <v>1093564.28</v>
      </c>
      <c r="R10" s="198">
        <v>727547</v>
      </c>
    </row>
    <row r="11" spans="1:18" x14ac:dyDescent="0.25">
      <c r="B11" t="s">
        <v>91</v>
      </c>
      <c r="C11" s="196">
        <v>0</v>
      </c>
      <c r="D11" s="207">
        <f>5078.1</f>
        <v>5078.1000000000004</v>
      </c>
      <c r="E11" s="207">
        <f>D11+3365.39</f>
        <v>8443.49</v>
      </c>
      <c r="F11" s="207">
        <f>E11+32511.64</f>
        <v>40955.129999999997</v>
      </c>
      <c r="G11" s="207">
        <f>F11+317681.37</f>
        <v>358636.5</v>
      </c>
      <c r="H11" s="207">
        <f>G11+301482.22</f>
        <v>660118.72</v>
      </c>
      <c r="I11" s="207">
        <f>H11+2354.01</f>
        <v>662472.73</v>
      </c>
      <c r="J11" s="207">
        <f>I11+618.73</f>
        <v>663091.46</v>
      </c>
      <c r="K11" s="207">
        <f>J11</f>
        <v>663091.46</v>
      </c>
      <c r="L11" s="207">
        <f>K11</f>
        <v>663091.46</v>
      </c>
      <c r="M11" s="207">
        <f>L11</f>
        <v>663091.46</v>
      </c>
      <c r="N11" s="207">
        <f>M11</f>
        <v>663091.46</v>
      </c>
      <c r="O11" s="213">
        <f>N11</f>
        <v>663091.46</v>
      </c>
      <c r="P11" s="209">
        <f t="shared" si="0"/>
        <v>663091.46</v>
      </c>
      <c r="Q11" s="210">
        <f t="shared" ref="Q11:Q14" si="1">SUM(C11:O11)/13</f>
        <v>439557.95615384611</v>
      </c>
      <c r="R11" s="198">
        <v>414959</v>
      </c>
    </row>
    <row r="12" spans="1:18" x14ac:dyDescent="0.25">
      <c r="B12" t="s">
        <v>81</v>
      </c>
      <c r="C12" s="196">
        <v>0</v>
      </c>
      <c r="D12" s="207">
        <f>1199.01+-953.68+150.34</f>
        <v>395.67000000000007</v>
      </c>
      <c r="E12" s="207">
        <f>D12+952.14+1488.2+6321.45+99.64</f>
        <v>9257.0999999999985</v>
      </c>
      <c r="F12" s="207">
        <f>E12+3538.04+16632.71+7761.25+962.56+754.37+92.37+13575.59</f>
        <v>52573.990000000005</v>
      </c>
      <c r="G12" s="207">
        <f>F12+3265.05+24573.31+15733.98+203.67+9405.45+66870.59+56436.06+12517.6</f>
        <v>241579.69999999998</v>
      </c>
      <c r="H12" s="207">
        <f>G12+983.91+31157.22+8505+8925.85+87664.27+55157.16+3966.77</f>
        <v>437939.88</v>
      </c>
      <c r="I12" s="207">
        <f>H12+26.51+21790.21+26973.55+69.69+136816.07+57468.69+8322.01+385.98+5563.71+6712.87+1700.18</f>
        <v>703769.35000000009</v>
      </c>
      <c r="J12" s="207">
        <f>I12+113.03+12919.87+26649.82+18.32+45850.22+38987.92+705.2+11477.5+3036.86+843.73+9880.45+20395.46+176.56+18433.36</f>
        <v>893257.64999999991</v>
      </c>
      <c r="K12" s="207">
        <f>J12+17433.02+3932.15+523.56+-1929.2+72602.44+99.82+55.4+439.7+199.38+343219.67+12151.46+1302.23</f>
        <v>1343287.28</v>
      </c>
      <c r="L12" s="207">
        <f>K12+7584.91+8152.88+2545.4+997.84+83195.49+13.15+358700.7+26.3</f>
        <v>1804503.9499999997</v>
      </c>
      <c r="M12" s="207">
        <f>L12+137.59+14059.33+897.6+726.32+102474.09+341442.81+41977.35</f>
        <v>2306219.04</v>
      </c>
      <c r="N12" s="207">
        <f>M12+486.49+12441.51+-90.98+36539.69+141258.69+6454.88</f>
        <v>2503309.3199999998</v>
      </c>
      <c r="O12" s="213">
        <f>N12+769.07+1071.65+13689.93+11155.8+38107.86+2314.6</f>
        <v>2570418.2299999995</v>
      </c>
      <c r="P12" s="209">
        <f t="shared" si="0"/>
        <v>2570418.2299999995</v>
      </c>
      <c r="Q12" s="210">
        <f t="shared" si="1"/>
        <v>989731.62769230769</v>
      </c>
      <c r="R12" s="198">
        <v>1954917</v>
      </c>
    </row>
    <row r="13" spans="1:18" x14ac:dyDescent="0.25">
      <c r="B13" t="s">
        <v>166</v>
      </c>
      <c r="C13" s="196">
        <v>0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13"/>
      <c r="P13" s="209">
        <v>0</v>
      </c>
      <c r="Q13" s="210">
        <v>0</v>
      </c>
      <c r="R13" s="198">
        <v>81507</v>
      </c>
    </row>
    <row r="14" spans="1:18" x14ac:dyDescent="0.25">
      <c r="B14" t="s">
        <v>140</v>
      </c>
      <c r="C14" s="196">
        <v>0</v>
      </c>
      <c r="D14" s="207">
        <f>49.46</f>
        <v>49.46</v>
      </c>
      <c r="E14" s="207">
        <f>D14+32.78</f>
        <v>82.240000000000009</v>
      </c>
      <c r="F14" s="207">
        <f>E14+316.63</f>
        <v>398.87</v>
      </c>
      <c r="G14" s="207">
        <f>F14+3093.9</f>
        <v>3492.77</v>
      </c>
      <c r="H14" s="207">
        <f>G14+2936.13</f>
        <v>6428.9</v>
      </c>
      <c r="I14" s="207">
        <f>H14+22.93</f>
        <v>6451.83</v>
      </c>
      <c r="J14" s="207">
        <f>I14+6.03</f>
        <v>6457.86</v>
      </c>
      <c r="K14" s="207">
        <f t="shared" ref="K14:P14" si="2">J14</f>
        <v>6457.86</v>
      </c>
      <c r="L14" s="207">
        <f t="shared" si="2"/>
        <v>6457.86</v>
      </c>
      <c r="M14" s="207">
        <f t="shared" si="2"/>
        <v>6457.86</v>
      </c>
      <c r="N14" s="207">
        <f t="shared" si="2"/>
        <v>6457.86</v>
      </c>
      <c r="O14" s="213">
        <f t="shared" si="2"/>
        <v>6457.86</v>
      </c>
      <c r="P14" s="209">
        <f t="shared" si="2"/>
        <v>6457.86</v>
      </c>
      <c r="Q14" s="210">
        <f t="shared" si="1"/>
        <v>4280.8638461538467</v>
      </c>
      <c r="R14" s="198">
        <v>1145</v>
      </c>
    </row>
    <row r="15" spans="1:18" x14ac:dyDescent="0.25">
      <c r="A15" s="2" t="s">
        <v>155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1"/>
      <c r="P15" s="212"/>
      <c r="Q15" s="210"/>
      <c r="R15" s="198"/>
    </row>
    <row r="16" spans="1:18" x14ac:dyDescent="0.25">
      <c r="B16" t="s">
        <v>156</v>
      </c>
      <c r="C16" s="214">
        <v>0</v>
      </c>
      <c r="D16" s="215">
        <v>0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f>3219.34</f>
        <v>3219.34</v>
      </c>
      <c r="K16" s="215">
        <f>J16+26.48</f>
        <v>3245.82</v>
      </c>
      <c r="L16" s="215">
        <f>K16</f>
        <v>3245.82</v>
      </c>
      <c r="M16" s="215">
        <f>L16</f>
        <v>3245.82</v>
      </c>
      <c r="N16" s="215">
        <f>M16</f>
        <v>3245.82</v>
      </c>
      <c r="O16" s="213">
        <f>N16</f>
        <v>3245.82</v>
      </c>
      <c r="P16" s="209">
        <f>O16</f>
        <v>3245.82</v>
      </c>
      <c r="Q16" s="210">
        <f t="shared" ref="Q16" si="3">SUM(C16:O16)/13</f>
        <v>1496.0338461538461</v>
      </c>
      <c r="R16" s="196"/>
    </row>
    <row r="17" spans="1:18" x14ac:dyDescent="0.25">
      <c r="A17" s="2" t="s">
        <v>157</v>
      </c>
      <c r="C17" s="214"/>
      <c r="D17" s="199"/>
      <c r="E17" s="199"/>
      <c r="F17" s="199"/>
      <c r="G17" s="199"/>
      <c r="H17" s="199"/>
      <c r="I17" s="214"/>
      <c r="J17" s="199"/>
      <c r="K17" s="199"/>
      <c r="L17" s="214"/>
      <c r="M17" s="214"/>
      <c r="N17" s="214"/>
      <c r="O17" s="211"/>
      <c r="P17" s="212"/>
      <c r="Q17" s="210"/>
      <c r="R17" s="196"/>
    </row>
    <row r="18" spans="1:18" x14ac:dyDescent="0.25">
      <c r="B18" t="s">
        <v>158</v>
      </c>
      <c r="C18" s="214">
        <v>0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216">
        <f>18143.94</f>
        <v>18143.939999999999</v>
      </c>
      <c r="J18" s="216">
        <f>I18+10514.35</f>
        <v>28658.29</v>
      </c>
      <c r="K18" s="216">
        <f>J18+2824.3</f>
        <v>31482.59</v>
      </c>
      <c r="L18" s="216">
        <f>K18+17374.91</f>
        <v>48857.5</v>
      </c>
      <c r="M18" s="216">
        <f>L18+849.16</f>
        <v>49706.66</v>
      </c>
      <c r="N18" s="216">
        <f>M18+4172</f>
        <v>53878.66</v>
      </c>
      <c r="O18" s="217">
        <f>N18</f>
        <v>53878.66</v>
      </c>
      <c r="P18" s="218">
        <f>O18</f>
        <v>53878.66</v>
      </c>
      <c r="Q18" s="218">
        <f t="shared" ref="Q18" si="4">SUM(C18:O18)/13</f>
        <v>21892.792307692307</v>
      </c>
      <c r="R18" s="219"/>
    </row>
    <row r="19" spans="1:18" x14ac:dyDescent="0.25">
      <c r="C19" s="214"/>
      <c r="D19" s="210">
        <f>SUM(D9:D18)</f>
        <v>21268.489999999998</v>
      </c>
      <c r="E19" s="210">
        <f t="shared" ref="E19:N19" si="5">SUM(E9:E18)</f>
        <v>70860.88</v>
      </c>
      <c r="F19" s="210">
        <f t="shared" si="5"/>
        <v>250604.16999999998</v>
      </c>
      <c r="G19" s="210">
        <f t="shared" si="5"/>
        <v>1158287.8</v>
      </c>
      <c r="H19" s="210">
        <f t="shared" si="5"/>
        <v>2005815.7999999998</v>
      </c>
      <c r="I19" s="210">
        <f t="shared" si="5"/>
        <v>2749748.93</v>
      </c>
      <c r="J19" s="210">
        <f t="shared" si="5"/>
        <v>3258117.5199999996</v>
      </c>
      <c r="K19" s="210">
        <f t="shared" si="5"/>
        <v>3808812.84</v>
      </c>
      <c r="L19" s="210">
        <f t="shared" si="5"/>
        <v>4432347.9800000004</v>
      </c>
      <c r="M19" s="210">
        <f t="shared" si="5"/>
        <v>5048984.5500000007</v>
      </c>
      <c r="N19" s="210">
        <f t="shared" si="5"/>
        <v>5312382.46</v>
      </c>
      <c r="O19" s="213">
        <f>SUM(O9:O18)</f>
        <v>5447273.830000001</v>
      </c>
      <c r="P19" s="209">
        <f>SUM(P9:P18)</f>
        <v>5447273.830000001</v>
      </c>
      <c r="Q19" s="210">
        <f>SUM(C19:O19)/13</f>
        <v>2581885.019230769</v>
      </c>
      <c r="R19" s="198">
        <f>SUM(R9:R18)</f>
        <v>3226598</v>
      </c>
    </row>
    <row r="20" spans="1:18" x14ac:dyDescent="0.25">
      <c r="C20" s="214"/>
      <c r="D20" s="214"/>
      <c r="E20" s="214"/>
      <c r="F20" s="214"/>
      <c r="G20" s="214"/>
      <c r="H20" s="214"/>
      <c r="I20" s="214"/>
      <c r="J20" s="199"/>
      <c r="K20" s="199"/>
      <c r="L20" s="214"/>
      <c r="M20" s="214"/>
      <c r="N20" s="214"/>
      <c r="O20" s="211"/>
      <c r="P20" s="212"/>
      <c r="Q20" s="210"/>
      <c r="R20" s="196"/>
    </row>
    <row r="21" spans="1:18" x14ac:dyDescent="0.25">
      <c r="A21" s="2" t="s">
        <v>0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211"/>
      <c r="P21" s="212"/>
      <c r="Q21" s="210"/>
      <c r="R21" s="198"/>
    </row>
    <row r="22" spans="1:18" x14ac:dyDescent="0.25">
      <c r="B22" t="s">
        <v>91</v>
      </c>
      <c r="C22" s="196">
        <v>0</v>
      </c>
      <c r="D22" s="207">
        <f>22033.02</f>
        <v>22033.02</v>
      </c>
      <c r="E22" s="207">
        <f>D22+268775.57+3134.45</f>
        <v>293943.04000000004</v>
      </c>
      <c r="F22" s="207">
        <f>E22+(-39809.33+428.19)</f>
        <v>254561.90000000002</v>
      </c>
      <c r="G22" s="207">
        <f>F22+5295.88</f>
        <v>259857.78000000003</v>
      </c>
      <c r="H22" s="207">
        <f>G22+1050</f>
        <v>260907.78000000003</v>
      </c>
      <c r="I22" s="207">
        <f>H22+330.75</f>
        <v>261238.53000000003</v>
      </c>
      <c r="J22" s="207">
        <f>I22</f>
        <v>261238.53000000003</v>
      </c>
      <c r="K22" s="207">
        <f>J22</f>
        <v>261238.53000000003</v>
      </c>
      <c r="L22" s="207">
        <f>K22+66444.51</f>
        <v>327683.04000000004</v>
      </c>
      <c r="M22" s="207">
        <f>L22+47094.2</f>
        <v>374777.24000000005</v>
      </c>
      <c r="N22" s="207">
        <f>M22+4222.36</f>
        <v>378999.60000000003</v>
      </c>
      <c r="O22" s="213">
        <f>N22+32292.11</f>
        <v>411291.71</v>
      </c>
      <c r="P22" s="209">
        <f>O22</f>
        <v>411291.71</v>
      </c>
      <c r="Q22" s="210">
        <f t="shared" ref="Q22" si="6">SUM(C22:O22)/13</f>
        <v>259059.28461538468</v>
      </c>
      <c r="R22" s="198">
        <v>0</v>
      </c>
    </row>
    <row r="23" spans="1:18" x14ac:dyDescent="0.25"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1"/>
      <c r="P23" s="212"/>
      <c r="Q23" s="210"/>
      <c r="R23" s="198"/>
    </row>
    <row r="24" spans="1:18" x14ac:dyDescent="0.25"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1"/>
      <c r="P24" s="212"/>
      <c r="Q24" s="210"/>
      <c r="R24" s="196"/>
    </row>
    <row r="25" spans="1:18" x14ac:dyDescent="0.25">
      <c r="A25" s="2" t="s">
        <v>1</v>
      </c>
      <c r="C25" s="219">
        <v>0</v>
      </c>
      <c r="D25" s="220">
        <f>7935.125+1627.8+465</f>
        <v>10027.924999999999</v>
      </c>
      <c r="E25" s="220">
        <f>D25+7935.125+1627.8+2515.545+1790.5+465</f>
        <v>24361.894999999997</v>
      </c>
      <c r="F25" s="220">
        <f>E25+7935.125+2515.545+465+7731.625+8603.714+11801</f>
        <v>63413.903999999995</v>
      </c>
      <c r="G25" s="220">
        <f>F25+7935.125+1627.8+2515.545+1790.5+465+7731.625+8603.714+11801+1628</f>
        <v>107512.21299999999</v>
      </c>
      <c r="H25" s="220">
        <f>G25+7935.125+1627.8+2515.545+1790.5+465+7731.625+8603.714+1628</f>
        <v>139809.522</v>
      </c>
      <c r="I25" s="220">
        <f>H25+7935.125+1627.8+2515.545+1790.5+465+7731.625+8603.714+1628+1627.67</f>
        <v>173734.50100000002</v>
      </c>
      <c r="J25" s="220">
        <f>I25+7935.125+2515.545+1790.5+465+7731.625+8603.714+11801+1628+1628+1627.67+52629.67+1628</f>
        <v>273718.35000000003</v>
      </c>
      <c r="K25" s="220">
        <f>J25+2515.545+1790.5+7731.625+11801+1627.67+52629.67</f>
        <v>351814.36</v>
      </c>
      <c r="L25" s="220">
        <f>K25+2515.545+1790.5+7731.625+8603.714+11801+52629.67</f>
        <v>436886.41399999993</v>
      </c>
      <c r="M25" s="220">
        <f>L25+2515.545+1790.5+7731.625+8603.714+11801+52629.67</f>
        <v>521958.46799999988</v>
      </c>
      <c r="N25" s="220">
        <f>M25+2515.545+1790.5+11801+52629.67+1627.5</f>
        <v>592322.68299999996</v>
      </c>
      <c r="O25" s="218">
        <f>N25+7935.125+2515.545+1790.5+11801+52629.67+1627.5</f>
        <v>670622.02300000004</v>
      </c>
      <c r="P25" s="221">
        <f>O25</f>
        <v>670622.02300000004</v>
      </c>
      <c r="Q25" s="218">
        <f>SUM(C25:O25)/13</f>
        <v>258937.09676923073</v>
      </c>
      <c r="R25" s="219">
        <v>268961</v>
      </c>
    </row>
    <row r="26" spans="1:18" x14ac:dyDescent="0.25">
      <c r="B26" s="16" t="s">
        <v>101</v>
      </c>
      <c r="C26" s="214">
        <f t="shared" ref="C26" si="7">C6+C19+C25</f>
        <v>0</v>
      </c>
      <c r="D26" s="210">
        <f t="shared" ref="D26:R26" si="8">D6+D19+D25+D22</f>
        <v>53329.434999999998</v>
      </c>
      <c r="E26" s="210">
        <f t="shared" si="8"/>
        <v>389165.81500000006</v>
      </c>
      <c r="F26" s="210">
        <f t="shared" si="8"/>
        <v>568579.97399999993</v>
      </c>
      <c r="G26" s="210">
        <f t="shared" si="8"/>
        <v>1525657.7930000001</v>
      </c>
      <c r="H26" s="210">
        <f t="shared" si="8"/>
        <v>2406533.102</v>
      </c>
      <c r="I26" s="210">
        <f t="shared" si="8"/>
        <v>3184721.9610000001</v>
      </c>
      <c r="J26" s="210">
        <f t="shared" si="8"/>
        <v>3793074.3999999994</v>
      </c>
      <c r="K26" s="210">
        <f t="shared" si="8"/>
        <v>4578340.7300000004</v>
      </c>
      <c r="L26" s="210">
        <f t="shared" si="8"/>
        <v>5356879.4340000004</v>
      </c>
      <c r="M26" s="210">
        <f t="shared" si="8"/>
        <v>6107316.2580000013</v>
      </c>
      <c r="N26" s="210">
        <f t="shared" si="8"/>
        <v>6445711.7429999998</v>
      </c>
      <c r="O26" s="210">
        <f t="shared" si="8"/>
        <v>6691501.563000001</v>
      </c>
      <c r="P26" s="210">
        <f t="shared" si="8"/>
        <v>6691501.563000001</v>
      </c>
      <c r="Q26" s="210">
        <f t="shared" si="8"/>
        <v>3161600.9390769233</v>
      </c>
      <c r="R26" s="199">
        <f t="shared" si="8"/>
        <v>3647934</v>
      </c>
    </row>
    <row r="30" spans="1:18" x14ac:dyDescent="0.25">
      <c r="O30" s="13"/>
    </row>
    <row r="33" spans="15:15" x14ac:dyDescent="0.25">
      <c r="O33" s="13"/>
    </row>
  </sheetData>
  <pageMargins left="0.7" right="0.7" top="0.75" bottom="0.75" header="0.3" footer="0.3"/>
  <pageSetup scale="6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5"/>
  <sheetViews>
    <sheetView view="pageBreakPreview" zoomScaleNormal="100" zoomScaleSheetLayoutView="100" workbookViewId="0">
      <selection activeCell="G13" sqref="G13"/>
    </sheetView>
  </sheetViews>
  <sheetFormatPr defaultRowHeight="15" x14ac:dyDescent="0.25"/>
  <sheetData>
    <row r="1" spans="1:23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</row>
    <row r="2" spans="1:23" x14ac:dyDescent="0.25">
      <c r="A2">
        <v>7</v>
      </c>
      <c r="B2" s="1">
        <v>0.14285999999999999</v>
      </c>
      <c r="C2" s="1">
        <v>0.24490000000000001</v>
      </c>
      <c r="D2" s="1">
        <v>0.17491999999999999</v>
      </c>
      <c r="E2" s="1">
        <v>0.12495000000000001</v>
      </c>
      <c r="F2" s="1">
        <v>8.9249999999999996E-2</v>
      </c>
      <c r="G2" s="1">
        <v>8.9249999999999996E-2</v>
      </c>
      <c r="H2" s="1">
        <v>8.9249999999999996E-2</v>
      </c>
      <c r="I2" s="1">
        <v>4.462E-2</v>
      </c>
      <c r="J2" s="1"/>
      <c r="K2" s="1"/>
      <c r="W2" s="12">
        <f>SUM(B2:V2)</f>
        <v>1.0000000000000002</v>
      </c>
    </row>
    <row r="3" spans="1:23" x14ac:dyDescent="0.25">
      <c r="A3">
        <v>15</v>
      </c>
      <c r="B3" s="1">
        <v>0.05</v>
      </c>
      <c r="C3" s="1">
        <v>9.5000000000000001E-2</v>
      </c>
      <c r="D3" s="1">
        <v>8.5500000000000007E-2</v>
      </c>
      <c r="E3" s="1">
        <v>7.6950000000000005E-2</v>
      </c>
      <c r="F3" s="1">
        <v>6.9250000000000006E-2</v>
      </c>
      <c r="G3" s="1">
        <v>6.2330000000000003E-2</v>
      </c>
      <c r="H3" s="1">
        <v>5.9049999999999998E-2</v>
      </c>
      <c r="I3" s="1">
        <v>5.9049999999999998E-2</v>
      </c>
      <c r="J3" s="1">
        <v>5.9049999999999998E-2</v>
      </c>
      <c r="K3" s="1">
        <v>5.9049999999999998E-2</v>
      </c>
      <c r="L3" s="1">
        <v>5.9049999999999998E-2</v>
      </c>
      <c r="M3" s="1">
        <v>5.9049999999999998E-2</v>
      </c>
      <c r="N3" s="1">
        <v>5.9049999999999998E-2</v>
      </c>
      <c r="O3" s="1">
        <v>5.9049999999999998E-2</v>
      </c>
      <c r="P3" s="1">
        <v>5.9049999999999998E-2</v>
      </c>
      <c r="Q3" s="1">
        <v>2.9520000000000001E-2</v>
      </c>
      <c r="W3" s="12">
        <f>SUM(B3:V3)</f>
        <v>1.0000000000000004</v>
      </c>
    </row>
    <row r="4" spans="1:23" x14ac:dyDescent="0.25">
      <c r="A4">
        <v>20</v>
      </c>
      <c r="B4" s="1">
        <v>3.7499999999999999E-2</v>
      </c>
      <c r="C4" s="1">
        <v>7.2190000000000004E-2</v>
      </c>
      <c r="D4" s="1">
        <v>6.6769999999999996E-2</v>
      </c>
      <c r="E4" s="1">
        <v>6.1769999999999999E-2</v>
      </c>
      <c r="F4" s="1">
        <v>5.713E-2</v>
      </c>
      <c r="G4" s="1">
        <v>5.2850000000000001E-2</v>
      </c>
      <c r="H4" s="1">
        <v>4.888E-2</v>
      </c>
      <c r="I4" s="1">
        <v>4.5220000000000003E-2</v>
      </c>
      <c r="J4" s="1">
        <v>4.462E-2</v>
      </c>
      <c r="K4" s="1">
        <v>4.4609999999999997E-2</v>
      </c>
      <c r="L4" s="1">
        <v>4.462E-2</v>
      </c>
      <c r="M4" s="1">
        <v>4.4610000000000004E-2</v>
      </c>
      <c r="N4" s="1">
        <v>4.462E-2</v>
      </c>
      <c r="O4" s="1">
        <v>4.4610000000000004E-2</v>
      </c>
      <c r="P4" s="1">
        <v>4.462E-2</v>
      </c>
      <c r="Q4" s="1">
        <v>4.4610000000000004E-2</v>
      </c>
      <c r="R4" s="1">
        <v>4.462E-2</v>
      </c>
      <c r="S4" s="1">
        <v>4.4610000000000004E-2</v>
      </c>
      <c r="T4" s="1">
        <v>4.462E-2</v>
      </c>
      <c r="U4" s="1">
        <v>4.4610000000000004E-2</v>
      </c>
      <c r="V4" s="1">
        <v>2.231E-2</v>
      </c>
      <c r="W4" s="12">
        <f>SUM(B4:V4)</f>
        <v>1.0000000000000002</v>
      </c>
    </row>
    <row r="5" spans="1:23" x14ac:dyDescent="0.25">
      <c r="K5" s="1"/>
    </row>
  </sheetData>
  <pageMargins left="0.7" right="0.7" top="0.75" bottom="0.75" header="0.3" footer="0.3"/>
  <pageSetup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Sch I Summary</vt:lpstr>
      <vt:lpstr>Sch II 2023</vt:lpstr>
      <vt:lpstr>Schedule III</vt:lpstr>
      <vt:lpstr>Schedule IV 2023 </vt:lpstr>
      <vt:lpstr>Schedule IV 2023 Monthly</vt:lpstr>
      <vt:lpstr>Tax Rates</vt:lpstr>
      <vt:lpstr>'Sch I Summary'!Print_Area</vt:lpstr>
      <vt:lpstr>'Schedule III'!Print_Area</vt:lpstr>
      <vt:lpstr>'Schedule IV 2023 '!Print_Area</vt:lpstr>
      <vt:lpstr>'Schedule IV 2023 '!Print_Titles</vt:lpstr>
    </vt:vector>
  </TitlesOfParts>
  <Company>Delta Natural Gas Company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Wesolosky</dc:creator>
  <cp:lastModifiedBy>Monica H. Braun</cp:lastModifiedBy>
  <cp:lastPrinted>2024-03-26T20:23:36Z</cp:lastPrinted>
  <dcterms:created xsi:type="dcterms:W3CDTF">2010-04-18T23:26:28Z</dcterms:created>
  <dcterms:modified xsi:type="dcterms:W3CDTF">2024-03-28T12:15:41Z</dcterms:modified>
</cp:coreProperties>
</file>